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75" yWindow="-60" windowWidth="12240" windowHeight="9225" firstSheet="13" activeTab="23"/>
  </bookViews>
  <sheets>
    <sheet name="Rekapitulace" sheetId="31" r:id="rId1"/>
    <sheet name="Odbor celkem" sheetId="20" r:id="rId2"/>
    <sheet name="01 " sheetId="52" r:id="rId3"/>
    <sheet name="02" sheetId="162" r:id="rId4"/>
    <sheet name="03" sheetId="54" r:id="rId5"/>
    <sheet name="04" sheetId="5" r:id="rId6"/>
    <sheet name="05" sheetId="4" r:id="rId7"/>
    <sheet name="06" sheetId="11" r:id="rId8"/>
    <sheet name="07" sheetId="10" r:id="rId9"/>
    <sheet name="08" sheetId="9" r:id="rId10"/>
    <sheet name="OPOK" sheetId="25" state="hidden" r:id="rId11"/>
    <sheet name="SROP" sheetId="27" state="hidden" r:id="rId12"/>
    <sheet name="List1" sheetId="28" state="hidden" r:id="rId13"/>
    <sheet name="09" sheetId="8" r:id="rId14"/>
    <sheet name="10" sheetId="7" r:id="rId15"/>
    <sheet name="10 - PO" sheetId="17" r:id="rId16"/>
    <sheet name="10 - soukr.šk." sheetId="18" r:id="rId17"/>
    <sheet name="11" sheetId="13" r:id="rId18"/>
    <sheet name="12" sheetId="12" r:id="rId19"/>
    <sheet name="13 " sheetId="55" r:id="rId20"/>
    <sheet name="14" sheetId="15" r:id="rId21"/>
    <sheet name="15" sheetId="23" r:id="rId22"/>
    <sheet name="16" sheetId="26" r:id="rId23"/>
    <sheet name="17" sheetId="24" r:id="rId24"/>
    <sheet name="17-st. akce" sheetId="21" state="hidden" r:id="rId25"/>
    <sheet name="30  " sheetId="163" r:id="rId26"/>
    <sheet name="32 " sheetId="164" r:id="rId27"/>
    <sheet name="37 " sheetId="107" state="hidden" r:id="rId28"/>
    <sheet name="38" sheetId="108" state="hidden" r:id="rId29"/>
    <sheet name="39 " sheetId="109" state="hidden" r:id="rId30"/>
    <sheet name="41 " sheetId="111" state="hidden" r:id="rId31"/>
    <sheet name="42 " sheetId="112" state="hidden" r:id="rId32"/>
    <sheet name="47 " sheetId="113" state="hidden" r:id="rId33"/>
    <sheet name="48 " sheetId="114" state="hidden" r:id="rId34"/>
    <sheet name="49 " sheetId="115" state="hidden" r:id="rId35"/>
    <sheet name="37" sheetId="189" r:id="rId36"/>
    <sheet name="50 " sheetId="165" r:id="rId37"/>
    <sheet name=" 52 " sheetId="188" r:id="rId38"/>
    <sheet name="53  " sheetId="166" r:id="rId39"/>
    <sheet name="54 " sheetId="167" r:id="rId40"/>
    <sheet name="55  " sheetId="168" r:id="rId41"/>
    <sheet name="56 " sheetId="169" r:id="rId42"/>
    <sheet name="57 " sheetId="170" r:id="rId43"/>
    <sheet name="58 " sheetId="171" r:id="rId44"/>
    <sheet name="59 " sheetId="172" r:id="rId45"/>
    <sheet name="60 " sheetId="173" r:id="rId46"/>
    <sheet name="61  " sheetId="174" r:id="rId47"/>
    <sheet name="62  " sheetId="175" r:id="rId48"/>
    <sheet name="63  " sheetId="176" r:id="rId49"/>
    <sheet name="64 " sheetId="177" r:id="rId50"/>
    <sheet name="65 " sheetId="178" r:id="rId51"/>
    <sheet name="46" sheetId="49" state="hidden" r:id="rId52"/>
    <sheet name="66 " sheetId="179" r:id="rId53"/>
    <sheet name="67" sheetId="180" r:id="rId54"/>
    <sheet name="68" sheetId="181" r:id="rId55"/>
    <sheet name="69" sheetId="182" r:id="rId56"/>
    <sheet name="70" sheetId="183" r:id="rId57"/>
    <sheet name="71" sheetId="184" r:id="rId58"/>
    <sheet name="72" sheetId="185" r:id="rId59"/>
    <sheet name="73" sheetId="186" r:id="rId60"/>
    <sheet name="74" sheetId="187" r:id="rId61"/>
    <sheet name="F - 99" sheetId="51" r:id="rId62"/>
    <sheet name="F -199 " sheetId="97" r:id="rId63"/>
    <sheet name="199" sheetId="29" state="hidden" r:id="rId64"/>
    <sheet name="99" sheetId="30" state="hidden" r:id="rId65"/>
    <sheet name="List2" sheetId="161" r:id="rId66"/>
  </sheets>
  <definedNames>
    <definedName name="_xlnm.Print_Area" localSheetId="37">' 52 '!$A$1:$H$29</definedName>
    <definedName name="_xlnm.Print_Area" localSheetId="2">'01 '!$A$1:$H$86</definedName>
    <definedName name="_xlnm.Print_Area" localSheetId="3">'02'!$A$1:$H$198</definedName>
    <definedName name="_xlnm.Print_Area" localSheetId="4">'03'!$A$1:$H$145</definedName>
    <definedName name="_xlnm.Print_Area" localSheetId="5">'04'!$A$1:$H$57</definedName>
    <definedName name="_xlnm.Print_Area" localSheetId="6">'05'!$A$1:$H$23</definedName>
    <definedName name="_xlnm.Print_Area" localSheetId="7">'06'!$A$1:$H$45</definedName>
    <definedName name="_xlnm.Print_Area" localSheetId="8">'07'!$A$1:$H$64</definedName>
    <definedName name="_xlnm.Print_Area" localSheetId="9">'08'!$A$1:$H$137</definedName>
    <definedName name="_xlnm.Print_Area" localSheetId="13">'09'!$A$1:$H$130</definedName>
    <definedName name="_xlnm.Print_Area" localSheetId="14">'10'!$A$1:$H$288</definedName>
    <definedName name="_xlnm.Print_Area" localSheetId="15">'10 - PO'!$A$1:$I$2655</definedName>
    <definedName name="_xlnm.Print_Area" localSheetId="16">'10 - soukr.šk.'!$A$1:$I$445</definedName>
    <definedName name="_xlnm.Print_Area" localSheetId="17">'11'!$A$1:$H$634</definedName>
    <definedName name="_xlnm.Print_Area" localSheetId="18">'12'!$A$1:$H$127</definedName>
    <definedName name="_xlnm.Print_Area" localSheetId="19">'13 '!$A$1:$H$348</definedName>
    <definedName name="_xlnm.Print_Area" localSheetId="20">'14'!$A$1:$H$165</definedName>
    <definedName name="_xlnm.Print_Area" localSheetId="21">'15'!$A$1:$H$15</definedName>
    <definedName name="_xlnm.Print_Area" localSheetId="22">'16'!$A$1:$H$15</definedName>
    <definedName name="_xlnm.Print_Area" localSheetId="23">'17'!$A$1:$H$193</definedName>
    <definedName name="_xlnm.Print_Area" localSheetId="24">'17-st. akce'!$A$1:$I$1228</definedName>
    <definedName name="_xlnm.Print_Area" localSheetId="63">'199'!$A$1:$H$67</definedName>
    <definedName name="_xlnm.Print_Area" localSheetId="25">'30  '!$A$1:$H$568</definedName>
    <definedName name="_xlnm.Print_Area" localSheetId="26">'32 '!$A$1:$H$26</definedName>
    <definedName name="_xlnm.Print_Area" localSheetId="35">'37'!$A$1:$H$21</definedName>
    <definedName name="_xlnm.Print_Area" localSheetId="27">'37 '!$A$1:$H$22</definedName>
    <definedName name="_xlnm.Print_Area" localSheetId="28">'38'!$A$1:$H$25</definedName>
    <definedName name="_xlnm.Print_Area" localSheetId="29">'39 '!$A$1:$H$25</definedName>
    <definedName name="_xlnm.Print_Area" localSheetId="30">'41 '!$A$1:$H$25</definedName>
    <definedName name="_xlnm.Print_Area" localSheetId="31">'42 '!$A$1:$H$25</definedName>
    <definedName name="_xlnm.Print_Area" localSheetId="32">'47 '!$A$1:$H$28</definedName>
    <definedName name="_xlnm.Print_Area" localSheetId="33">'48 '!$A$1:$H$25</definedName>
    <definedName name="_xlnm.Print_Area" localSheetId="34">'49 '!$A$1:$H$22</definedName>
    <definedName name="_xlnm.Print_Area" localSheetId="36">'50 '!$A$1:$H$148</definedName>
    <definedName name="_xlnm.Print_Area" localSheetId="38">'53  '!$A$1:$H$44</definedName>
    <definedName name="_xlnm.Print_Area" localSheetId="39">'54 '!$A$1:$H$34</definedName>
    <definedName name="_xlnm.Print_Area" localSheetId="40">'55  '!$A$1:$H$34</definedName>
    <definedName name="_xlnm.Print_Area" localSheetId="41">'56 '!$A$1:$H$416</definedName>
    <definedName name="_xlnm.Print_Area" localSheetId="42">'57 '!$A$1:$H$237</definedName>
    <definedName name="_xlnm.Print_Area" localSheetId="43">'58 '!$A$1:$H$229</definedName>
    <definedName name="_xlnm.Print_Area" localSheetId="44">'59 '!$A$1:$H$344</definedName>
    <definedName name="_xlnm.Print_Area" localSheetId="45">'60 '!$A$1:$H$114</definedName>
    <definedName name="_xlnm.Print_Area" localSheetId="46">'61  '!$A$1:$H$46</definedName>
    <definedName name="_xlnm.Print_Area" localSheetId="47">'62  '!$A$1:$H$57</definedName>
    <definedName name="_xlnm.Print_Area" localSheetId="48">'63  '!$A$1:$H$134</definedName>
    <definedName name="_xlnm.Print_Area" localSheetId="49">'64 '!$A$1:$H$187</definedName>
    <definedName name="_xlnm.Print_Area" localSheetId="50">'65 '!$A$1:$H$73</definedName>
    <definedName name="_xlnm.Print_Area" localSheetId="52">'66 '!$A$1:$H$219</definedName>
    <definedName name="_xlnm.Print_Area" localSheetId="53">'67'!$A$1:$H$107</definedName>
    <definedName name="_xlnm.Print_Area" localSheetId="54">'68'!$A$1:$H$71</definedName>
    <definedName name="_xlnm.Print_Area" localSheetId="55">'69'!$A$1:$H$69</definedName>
    <definedName name="_xlnm.Print_Area" localSheetId="56">'70'!$A$1:$H$79</definedName>
    <definedName name="_xlnm.Print_Area" localSheetId="57">'71'!$A$1:$H$39</definedName>
    <definedName name="_xlnm.Print_Area" localSheetId="58">'72'!$A$1:$H$114</definedName>
    <definedName name="_xlnm.Print_Area" localSheetId="59">'73'!$A$1:$H$67</definedName>
    <definedName name="_xlnm.Print_Area" localSheetId="60">'74'!$A$1:$H$99</definedName>
    <definedName name="_xlnm.Print_Area" localSheetId="64">'99'!$A$1:$H$54</definedName>
    <definedName name="_xlnm.Print_Area" localSheetId="61">'F - 99'!$A$1:$H$34</definedName>
    <definedName name="_xlnm.Print_Area" localSheetId="62">'F -199 '!$A$1:$H$35</definedName>
    <definedName name="_xlnm.Print_Area" localSheetId="1">'Odbor celkem'!$A$1:$F$361</definedName>
    <definedName name="_xlnm.Print_Area" localSheetId="10">OPOK!$A$1:$I$45</definedName>
    <definedName name="_xlnm.Print_Area" localSheetId="0">Rekapitulace!$A$1:$F$37</definedName>
    <definedName name="_xlnm.Print_Area" localSheetId="11">SROP!$A$1:$H$47</definedName>
  </definedNames>
  <calcPr calcId="145621"/>
</workbook>
</file>

<file path=xl/calcChain.xml><?xml version="1.0" encoding="utf-8"?>
<calcChain xmlns="http://schemas.openxmlformats.org/spreadsheetml/2006/main">
  <c r="N83" i="24" l="1"/>
  <c r="M83" i="24"/>
  <c r="L180" i="24" l="1"/>
  <c r="C14" i="31" l="1"/>
  <c r="D14" i="31" l="1"/>
  <c r="G83" i="24" l="1"/>
  <c r="F83" i="24"/>
  <c r="F444" i="18" l="1"/>
  <c r="I443" i="18"/>
  <c r="IV443" i="18" s="1"/>
  <c r="H442" i="18"/>
  <c r="H444" i="18" s="1"/>
  <c r="G442" i="18"/>
  <c r="G444" i="18" s="1"/>
  <c r="F437" i="18"/>
  <c r="I436" i="18"/>
  <c r="IV436" i="18" s="1"/>
  <c r="H435" i="18"/>
  <c r="H437" i="18" s="1"/>
  <c r="G435" i="18"/>
  <c r="G437" i="18" s="1"/>
  <c r="F430" i="18"/>
  <c r="I429" i="18"/>
  <c r="IV429" i="18" s="1"/>
  <c r="H428" i="18"/>
  <c r="H430" i="18" s="1"/>
  <c r="G428" i="18"/>
  <c r="G430" i="18" s="1"/>
  <c r="F423" i="18"/>
  <c r="I422" i="18"/>
  <c r="H421" i="18"/>
  <c r="H423" i="18" s="1"/>
  <c r="G421" i="18"/>
  <c r="G423" i="18" s="1"/>
  <c r="F416" i="18"/>
  <c r="IV415" i="18"/>
  <c r="H413" i="18"/>
  <c r="G413" i="18"/>
  <c r="G416" i="18" s="1"/>
  <c r="F408" i="18"/>
  <c r="I407" i="18"/>
  <c r="IV407" i="18" s="1"/>
  <c r="H406" i="18"/>
  <c r="H408" i="18" s="1"/>
  <c r="G406" i="18"/>
  <c r="G408" i="18" s="1"/>
  <c r="F401" i="18"/>
  <c r="I400" i="18"/>
  <c r="IV400" i="18" s="1"/>
  <c r="H398" i="18"/>
  <c r="H401" i="18" s="1"/>
  <c r="G398" i="18"/>
  <c r="G401" i="18" s="1"/>
  <c r="F393" i="18"/>
  <c r="I392" i="18"/>
  <c r="IV392" i="18" s="1"/>
  <c r="H390" i="18"/>
  <c r="G390" i="18"/>
  <c r="I389" i="18"/>
  <c r="IV389" i="18" s="1"/>
  <c r="H387" i="18"/>
  <c r="G387" i="18"/>
  <c r="F382" i="18"/>
  <c r="I381" i="18"/>
  <c r="IV381" i="18" s="1"/>
  <c r="H380" i="18"/>
  <c r="G380" i="18"/>
  <c r="I379" i="18"/>
  <c r="IV379" i="18" s="1"/>
  <c r="H378" i="18"/>
  <c r="G378" i="18"/>
  <c r="I377" i="18"/>
  <c r="IV377" i="18" s="1"/>
  <c r="H376" i="18"/>
  <c r="G376" i="18"/>
  <c r="F370" i="18"/>
  <c r="I369" i="18"/>
  <c r="H368" i="18"/>
  <c r="G368" i="18"/>
  <c r="G370" i="18" s="1"/>
  <c r="F362" i="18"/>
  <c r="I361" i="18"/>
  <c r="IV361" i="18" s="1"/>
  <c r="H360" i="18"/>
  <c r="H362" i="18" s="1"/>
  <c r="G360" i="18"/>
  <c r="G362" i="18" s="1"/>
  <c r="F354" i="18"/>
  <c r="I353" i="18"/>
  <c r="H352" i="18"/>
  <c r="H354" i="18" s="1"/>
  <c r="G352" i="18"/>
  <c r="G354" i="18" s="1"/>
  <c r="F346" i="18"/>
  <c r="I345" i="18"/>
  <c r="H344" i="18"/>
  <c r="H346" i="18" s="1"/>
  <c r="G344" i="18"/>
  <c r="G346" i="18" s="1"/>
  <c r="F339" i="18"/>
  <c r="I338" i="18"/>
  <c r="H337" i="18"/>
  <c r="I337" i="18" s="1"/>
  <c r="I336" i="18"/>
  <c r="IV336" i="18" s="1"/>
  <c r="H335" i="18"/>
  <c r="H339" i="18" s="1"/>
  <c r="G335" i="18"/>
  <c r="G339" i="18" s="1"/>
  <c r="I333" i="18"/>
  <c r="F325" i="18"/>
  <c r="H323" i="18"/>
  <c r="G323" i="18"/>
  <c r="I322" i="18"/>
  <c r="IV322" i="18" s="1"/>
  <c r="H321" i="18"/>
  <c r="G321" i="18"/>
  <c r="H314" i="18"/>
  <c r="G314" i="18"/>
  <c r="H312" i="18"/>
  <c r="H316" i="18" s="1"/>
  <c r="G312" i="18"/>
  <c r="G316" i="18" s="1"/>
  <c r="F307" i="18"/>
  <c r="I306" i="18"/>
  <c r="I305" i="18"/>
  <c r="I304" i="18"/>
  <c r="I303" i="18"/>
  <c r="I302" i="18"/>
  <c r="H301" i="18"/>
  <c r="G301" i="18"/>
  <c r="I300" i="18"/>
  <c r="IV300" i="18" s="1"/>
  <c r="H299" i="18"/>
  <c r="G299" i="18"/>
  <c r="F294" i="18"/>
  <c r="I293" i="18"/>
  <c r="IV293" i="18" s="1"/>
  <c r="I292" i="18"/>
  <c r="H291" i="18"/>
  <c r="H294" i="18" s="1"/>
  <c r="G291" i="18"/>
  <c r="G294" i="18" s="1"/>
  <c r="F286" i="18"/>
  <c r="I285" i="18"/>
  <c r="H284" i="18"/>
  <c r="H286" i="18" s="1"/>
  <c r="G284" i="18"/>
  <c r="G286" i="18" s="1"/>
  <c r="F279" i="18"/>
  <c r="I278" i="18"/>
  <c r="H277" i="18"/>
  <c r="H279" i="18" s="1"/>
  <c r="G277" i="18"/>
  <c r="G279" i="18" s="1"/>
  <c r="F272" i="18"/>
  <c r="I271" i="18"/>
  <c r="H268" i="18"/>
  <c r="H272" i="18" s="1"/>
  <c r="G268" i="18"/>
  <c r="G272" i="18" s="1"/>
  <c r="F261" i="18"/>
  <c r="I260" i="18"/>
  <c r="H259" i="18"/>
  <c r="H261" i="18" s="1"/>
  <c r="G259" i="18"/>
  <c r="G261" i="18" s="1"/>
  <c r="F254" i="18"/>
  <c r="I253" i="18"/>
  <c r="H252" i="18"/>
  <c r="G252" i="18"/>
  <c r="I251" i="18"/>
  <c r="H250" i="18"/>
  <c r="G250" i="18"/>
  <c r="F245" i="18"/>
  <c r="I244" i="18"/>
  <c r="H243" i="18"/>
  <c r="G243" i="18"/>
  <c r="I242" i="18"/>
  <c r="I241" i="18"/>
  <c r="I240" i="18"/>
  <c r="I239" i="18"/>
  <c r="I238" i="18"/>
  <c r="H237" i="18"/>
  <c r="G237" i="18"/>
  <c r="I236" i="18"/>
  <c r="H235" i="18"/>
  <c r="G235" i="18"/>
  <c r="F230" i="18"/>
  <c r="I229" i="18"/>
  <c r="I228" i="18"/>
  <c r="I227" i="18"/>
  <c r="I226" i="18"/>
  <c r="I225" i="18"/>
  <c r="I224" i="18"/>
  <c r="I223" i="18"/>
  <c r="H222" i="18"/>
  <c r="G222" i="18"/>
  <c r="I221" i="18"/>
  <c r="I220" i="18"/>
  <c r="H219" i="18"/>
  <c r="G219" i="18"/>
  <c r="G230" i="18" s="1"/>
  <c r="F214" i="18"/>
  <c r="I213" i="18"/>
  <c r="H212" i="18"/>
  <c r="G212" i="18"/>
  <c r="I211" i="18"/>
  <c r="H210" i="18"/>
  <c r="G210" i="18"/>
  <c r="I209" i="18"/>
  <c r="H208" i="18"/>
  <c r="G208" i="18"/>
  <c r="I207" i="18"/>
  <c r="I206" i="18"/>
  <c r="H205" i="18"/>
  <c r="G205" i="18"/>
  <c r="I204" i="18"/>
  <c r="H203" i="18"/>
  <c r="G203" i="18"/>
  <c r="F194" i="18"/>
  <c r="I193" i="18"/>
  <c r="H192" i="18"/>
  <c r="G192" i="18"/>
  <c r="I191" i="18"/>
  <c r="I190" i="18"/>
  <c r="H189" i="18"/>
  <c r="G189" i="18"/>
  <c r="G194" i="18" s="1"/>
  <c r="F184" i="18"/>
  <c r="H182" i="18"/>
  <c r="G182" i="18"/>
  <c r="I181" i="18"/>
  <c r="H180" i="18"/>
  <c r="G180" i="18"/>
  <c r="I179" i="18"/>
  <c r="H178" i="18"/>
  <c r="G178" i="18"/>
  <c r="I177" i="18"/>
  <c r="I176" i="18"/>
  <c r="H175" i="18"/>
  <c r="G175" i="18"/>
  <c r="I174" i="18"/>
  <c r="H173" i="18"/>
  <c r="G173" i="18"/>
  <c r="F168" i="18"/>
  <c r="I167" i="18"/>
  <c r="H166" i="18"/>
  <c r="G166" i="18"/>
  <c r="I165" i="18"/>
  <c r="H164" i="18"/>
  <c r="G164" i="18"/>
  <c r="I163" i="18"/>
  <c r="I162" i="18"/>
  <c r="H161" i="18"/>
  <c r="G161" i="18"/>
  <c r="I160" i="18"/>
  <c r="I159" i="18"/>
  <c r="H158" i="18"/>
  <c r="G158" i="18"/>
  <c r="I157" i="18"/>
  <c r="H156" i="18"/>
  <c r="G156" i="18"/>
  <c r="F151" i="18"/>
  <c r="I150" i="18"/>
  <c r="H149" i="18"/>
  <c r="G149" i="18"/>
  <c r="I148" i="18"/>
  <c r="H147" i="18"/>
  <c r="G147" i="18"/>
  <c r="I146" i="18"/>
  <c r="I145" i="18"/>
  <c r="I144" i="18"/>
  <c r="H143" i="18"/>
  <c r="G143" i="18"/>
  <c r="I142" i="18"/>
  <c r="I141" i="18"/>
  <c r="H140" i="18"/>
  <c r="G140" i="18"/>
  <c r="I139" i="18"/>
  <c r="I138" i="18"/>
  <c r="H137" i="18"/>
  <c r="G137" i="18"/>
  <c r="F129" i="18"/>
  <c r="I128" i="18"/>
  <c r="I127" i="18"/>
  <c r="I126" i="18"/>
  <c r="I125" i="18"/>
  <c r="I124" i="18"/>
  <c r="I123" i="18"/>
  <c r="H122" i="18"/>
  <c r="G122" i="18"/>
  <c r="I121" i="18"/>
  <c r="I120" i="18"/>
  <c r="H119" i="18"/>
  <c r="G119" i="18"/>
  <c r="G129" i="18" s="1"/>
  <c r="F113" i="18"/>
  <c r="I112" i="18"/>
  <c r="I111" i="18"/>
  <c r="I110" i="18"/>
  <c r="I109" i="18"/>
  <c r="H108" i="18"/>
  <c r="G108" i="18"/>
  <c r="G113" i="18" s="1"/>
  <c r="I101" i="18"/>
  <c r="H100" i="18"/>
  <c r="G100" i="18"/>
  <c r="I99" i="18"/>
  <c r="I98" i="18"/>
  <c r="I97" i="18"/>
  <c r="H96" i="18"/>
  <c r="G96" i="18"/>
  <c r="I95" i="18"/>
  <c r="I94" i="18"/>
  <c r="I93" i="18"/>
  <c r="H92" i="18"/>
  <c r="G92" i="18"/>
  <c r="I91" i="18"/>
  <c r="I90" i="18"/>
  <c r="H89" i="18"/>
  <c r="G89" i="18"/>
  <c r="F83" i="18"/>
  <c r="I82" i="18"/>
  <c r="I81" i="18"/>
  <c r="I80" i="18"/>
  <c r="H79" i="18"/>
  <c r="H83" i="18" s="1"/>
  <c r="G79" i="18"/>
  <c r="G83" i="18" s="1"/>
  <c r="F74" i="18"/>
  <c r="I73" i="18"/>
  <c r="I72" i="18"/>
  <c r="I71" i="18"/>
  <c r="H70" i="18"/>
  <c r="H74" i="18" s="1"/>
  <c r="G70" i="18"/>
  <c r="G74" i="18" s="1"/>
  <c r="F60" i="18"/>
  <c r="I59" i="18"/>
  <c r="I58" i="18"/>
  <c r="I57" i="18"/>
  <c r="H56" i="18"/>
  <c r="H60" i="18" s="1"/>
  <c r="G56" i="18"/>
  <c r="G60" i="18" s="1"/>
  <c r="I50" i="18"/>
  <c r="I49" i="18"/>
  <c r="I48" i="18"/>
  <c r="H47" i="18"/>
  <c r="H51" i="18" s="1"/>
  <c r="G47" i="18"/>
  <c r="G51" i="18" s="1"/>
  <c r="F42" i="18"/>
  <c r="I41" i="18"/>
  <c r="H40" i="18"/>
  <c r="G40" i="18"/>
  <c r="I39" i="18"/>
  <c r="I38" i="18"/>
  <c r="H37" i="18"/>
  <c r="G37" i="18"/>
  <c r="G42" i="18" s="1"/>
  <c r="I31" i="18"/>
  <c r="H30" i="18"/>
  <c r="G30" i="18"/>
  <c r="I29" i="18"/>
  <c r="I28" i="18"/>
  <c r="H27" i="18"/>
  <c r="H32" i="18" s="1"/>
  <c r="G27" i="18"/>
  <c r="F22" i="18"/>
  <c r="I21" i="18"/>
  <c r="H20" i="18"/>
  <c r="G20" i="18"/>
  <c r="I19" i="18"/>
  <c r="I18" i="18"/>
  <c r="H17" i="18"/>
  <c r="H22" i="18" s="1"/>
  <c r="G17" i="18"/>
  <c r="G22" i="18" s="1"/>
  <c r="F12" i="18"/>
  <c r="I11" i="18"/>
  <c r="H10" i="18"/>
  <c r="H12" i="18" s="1"/>
  <c r="G10" i="18"/>
  <c r="G12" i="18" s="1"/>
  <c r="H2652" i="17"/>
  <c r="T2652" i="17" s="1"/>
  <c r="G2644" i="17"/>
  <c r="G2652" i="17" s="1"/>
  <c r="S2652" i="17" s="1"/>
  <c r="F2644" i="17"/>
  <c r="F2652" i="17" s="1"/>
  <c r="R2652" i="17" s="1"/>
  <c r="I2633" i="17"/>
  <c r="I2632" i="17"/>
  <c r="H2631" i="17"/>
  <c r="G2631" i="17"/>
  <c r="I2630" i="17"/>
  <c r="I2629" i="17"/>
  <c r="I2628" i="17"/>
  <c r="H2627" i="17"/>
  <c r="G2627" i="17"/>
  <c r="F2627" i="17"/>
  <c r="F2634" i="17" s="1"/>
  <c r="I2621" i="17"/>
  <c r="I2620" i="17"/>
  <c r="I2619" i="17"/>
  <c r="I2618" i="17"/>
  <c r="I2617" i="17"/>
  <c r="I2616" i="17"/>
  <c r="I2615" i="17"/>
  <c r="I2614" i="17"/>
  <c r="H2613" i="17"/>
  <c r="H2622" i="17" s="1"/>
  <c r="G2613" i="17"/>
  <c r="G2622" i="17" s="1"/>
  <c r="S2622" i="17" s="1"/>
  <c r="F2613" i="17"/>
  <c r="F2622" i="17" s="1"/>
  <c r="R2622" i="17" s="1"/>
  <c r="I2607" i="17"/>
  <c r="I2606" i="17"/>
  <c r="I2605" i="17"/>
  <c r="I2604" i="17"/>
  <c r="H2603" i="17"/>
  <c r="H2608" i="17" s="1"/>
  <c r="G2603" i="17"/>
  <c r="G2608" i="17" s="1"/>
  <c r="S2608" i="17" s="1"/>
  <c r="F2603" i="17"/>
  <c r="F2608" i="17" s="1"/>
  <c r="R2608" i="17" s="1"/>
  <c r="I2602" i="17"/>
  <c r="I2601" i="17"/>
  <c r="H2596" i="17"/>
  <c r="T2596" i="17" s="1"/>
  <c r="G2596" i="17"/>
  <c r="S2596" i="17" s="1"/>
  <c r="F2596" i="17"/>
  <c r="R2596" i="17" s="1"/>
  <c r="I2595" i="17"/>
  <c r="I2594" i="17"/>
  <c r="I2593" i="17"/>
  <c r="I2586" i="17"/>
  <c r="I2585" i="17"/>
  <c r="I2584" i="17"/>
  <c r="I2583" i="17"/>
  <c r="H2582" i="17"/>
  <c r="H2587" i="17" s="1"/>
  <c r="G2582" i="17"/>
  <c r="G2587" i="17" s="1"/>
  <c r="S2587" i="17" s="1"/>
  <c r="F2582" i="17"/>
  <c r="F2587" i="17" s="1"/>
  <c r="R2587" i="17" s="1"/>
  <c r="I2576" i="17"/>
  <c r="I2575" i="17"/>
  <c r="I2574" i="17"/>
  <c r="I2573" i="17"/>
  <c r="H2572" i="17"/>
  <c r="H2577" i="17" s="1"/>
  <c r="G2572" i="17"/>
  <c r="G2577" i="17" s="1"/>
  <c r="S2577" i="17" s="1"/>
  <c r="F2572" i="17"/>
  <c r="F2577" i="17" s="1"/>
  <c r="R2577" i="17" s="1"/>
  <c r="I2560" i="17"/>
  <c r="I2559" i="17"/>
  <c r="I2558" i="17"/>
  <c r="I2557" i="17"/>
  <c r="H2556" i="17"/>
  <c r="H2561" i="17" s="1"/>
  <c r="T2561" i="17" s="1"/>
  <c r="G2556" i="17"/>
  <c r="G2561" i="17" s="1"/>
  <c r="S2561" i="17" s="1"/>
  <c r="F2556" i="17"/>
  <c r="F2561" i="17" s="1"/>
  <c r="R2561" i="17" s="1"/>
  <c r="I2550" i="17"/>
  <c r="I2549" i="17"/>
  <c r="I2548" i="17"/>
  <c r="I2547" i="17"/>
  <c r="H2546" i="17"/>
  <c r="H2551" i="17" s="1"/>
  <c r="T2551" i="17" s="1"/>
  <c r="G2546" i="17"/>
  <c r="G2551" i="17" s="1"/>
  <c r="S2551" i="17" s="1"/>
  <c r="F2546" i="17"/>
  <c r="F2551" i="17" s="1"/>
  <c r="R2551" i="17" s="1"/>
  <c r="I2540" i="17"/>
  <c r="I2539" i="17"/>
  <c r="I2538" i="17"/>
  <c r="I2537" i="17"/>
  <c r="I2536" i="17"/>
  <c r="H2535" i="17"/>
  <c r="H2541" i="17" s="1"/>
  <c r="G2535" i="17"/>
  <c r="G2541" i="17" s="1"/>
  <c r="S2541" i="17" s="1"/>
  <c r="F2535" i="17"/>
  <c r="F2541" i="17" s="1"/>
  <c r="R2541" i="17" s="1"/>
  <c r="I2529" i="17"/>
  <c r="I2528" i="17"/>
  <c r="I2527" i="17"/>
  <c r="I2526" i="17"/>
  <c r="H2525" i="17"/>
  <c r="H2530" i="17" s="1"/>
  <c r="G2525" i="17"/>
  <c r="G2530" i="17" s="1"/>
  <c r="S2530" i="17" s="1"/>
  <c r="F2525" i="17"/>
  <c r="F2530" i="17" s="1"/>
  <c r="R2530" i="17" s="1"/>
  <c r="I2519" i="17"/>
  <c r="I2518" i="17"/>
  <c r="I2517" i="17"/>
  <c r="I2516" i="17"/>
  <c r="H2515" i="17"/>
  <c r="H2520" i="17" s="1"/>
  <c r="G2515" i="17"/>
  <c r="G2520" i="17" s="1"/>
  <c r="S2520" i="17" s="1"/>
  <c r="F2515" i="17"/>
  <c r="F2520" i="17" s="1"/>
  <c r="R2520" i="17" s="1"/>
  <c r="I2513" i="17"/>
  <c r="I2507" i="17"/>
  <c r="I2506" i="17"/>
  <c r="I2505" i="17"/>
  <c r="I2504" i="17"/>
  <c r="I2503" i="17"/>
  <c r="I2502" i="17"/>
  <c r="H2501" i="17"/>
  <c r="H2508" i="17" s="1"/>
  <c r="G2501" i="17"/>
  <c r="G2508" i="17" s="1"/>
  <c r="S2508" i="17" s="1"/>
  <c r="F2501" i="17"/>
  <c r="F2508" i="17" s="1"/>
  <c r="R2508" i="17" s="1"/>
  <c r="I2494" i="17"/>
  <c r="I2493" i="17"/>
  <c r="I2492" i="17"/>
  <c r="I2491" i="17"/>
  <c r="H2490" i="17"/>
  <c r="H2495" i="17" s="1"/>
  <c r="G2490" i="17"/>
  <c r="G2495" i="17" s="1"/>
  <c r="S2495" i="17" s="1"/>
  <c r="F2490" i="17"/>
  <c r="F2495" i="17" s="1"/>
  <c r="R2495" i="17" s="1"/>
  <c r="I2484" i="17"/>
  <c r="I2483" i="17"/>
  <c r="I2482" i="17"/>
  <c r="I2481" i="17"/>
  <c r="I2480" i="17"/>
  <c r="I2479" i="17"/>
  <c r="H2478" i="17"/>
  <c r="H2485" i="17" s="1"/>
  <c r="G2478" i="17"/>
  <c r="G2485" i="17" s="1"/>
  <c r="S2485" i="17" s="1"/>
  <c r="F2478" i="17"/>
  <c r="F2485" i="17" s="1"/>
  <c r="R2485" i="17" s="1"/>
  <c r="I2472" i="17"/>
  <c r="I2471" i="17"/>
  <c r="I2470" i="17"/>
  <c r="I2469" i="17"/>
  <c r="I2468" i="17"/>
  <c r="I2467" i="17"/>
  <c r="H2466" i="17"/>
  <c r="H2473" i="17" s="1"/>
  <c r="G2466" i="17"/>
  <c r="G2473" i="17" s="1"/>
  <c r="S2473" i="17" s="1"/>
  <c r="F2466" i="17"/>
  <c r="F2473" i="17" s="1"/>
  <c r="R2473" i="17" s="1"/>
  <c r="I2460" i="17"/>
  <c r="I2459" i="17"/>
  <c r="I2458" i="17"/>
  <c r="I2457" i="17"/>
  <c r="H2456" i="17"/>
  <c r="H2461" i="17" s="1"/>
  <c r="G2456" i="17"/>
  <c r="G2461" i="17" s="1"/>
  <c r="S2461" i="17" s="1"/>
  <c r="F2456" i="17"/>
  <c r="F2461" i="17" s="1"/>
  <c r="R2461" i="17" s="1"/>
  <c r="I2445" i="17"/>
  <c r="I2444" i="17"/>
  <c r="I2443" i="17"/>
  <c r="I2442" i="17"/>
  <c r="I2441" i="17"/>
  <c r="I2440" i="17"/>
  <c r="H2439" i="17"/>
  <c r="H2451" i="17" s="1"/>
  <c r="G2439" i="17"/>
  <c r="G2451" i="17" s="1"/>
  <c r="S2451" i="17" s="1"/>
  <c r="F2439" i="17"/>
  <c r="F2451" i="17" s="1"/>
  <c r="R2451" i="17" s="1"/>
  <c r="I2432" i="17"/>
  <c r="I2431" i="17"/>
  <c r="H2429" i="17"/>
  <c r="H2434" i="17" s="1"/>
  <c r="T2434" i="17" s="1"/>
  <c r="G2429" i="17"/>
  <c r="F2429" i="17"/>
  <c r="F2434" i="17" s="1"/>
  <c r="R2434" i="17" s="1"/>
  <c r="I2421" i="17"/>
  <c r="I2420" i="17"/>
  <c r="I2419" i="17"/>
  <c r="I2418" i="17"/>
  <c r="H2417" i="17"/>
  <c r="G2417" i="17"/>
  <c r="G2422" i="17" s="1"/>
  <c r="S2422" i="17" s="1"/>
  <c r="F2417" i="17"/>
  <c r="F2422" i="17" s="1"/>
  <c r="R2422" i="17" s="1"/>
  <c r="I2411" i="17"/>
  <c r="I2410" i="17"/>
  <c r="I2409" i="17"/>
  <c r="I2408" i="17"/>
  <c r="H2407" i="17"/>
  <c r="H2412" i="17" s="1"/>
  <c r="T2412" i="17" s="1"/>
  <c r="G2407" i="17"/>
  <c r="F2407" i="17"/>
  <c r="F2412" i="17" s="1"/>
  <c r="R2412" i="17" s="1"/>
  <c r="I2401" i="17"/>
  <c r="I2400" i="17"/>
  <c r="I2399" i="17"/>
  <c r="I2398" i="17"/>
  <c r="H2397" i="17"/>
  <c r="H2402" i="17" s="1"/>
  <c r="G2397" i="17"/>
  <c r="G2402" i="17" s="1"/>
  <c r="S2402" i="17" s="1"/>
  <c r="F2397" i="17"/>
  <c r="F2402" i="17" s="1"/>
  <c r="R2402" i="17" s="1"/>
  <c r="I2391" i="17"/>
  <c r="I2390" i="17"/>
  <c r="I2389" i="17"/>
  <c r="I2388" i="17"/>
  <c r="H2387" i="17"/>
  <c r="H2392" i="17" s="1"/>
  <c r="G2387" i="17"/>
  <c r="G2392" i="17" s="1"/>
  <c r="S2392" i="17" s="1"/>
  <c r="F2387" i="17"/>
  <c r="F2392" i="17" s="1"/>
  <c r="R2392" i="17" s="1"/>
  <c r="H2382" i="17"/>
  <c r="T2382" i="17" s="1"/>
  <c r="G2382" i="17"/>
  <c r="S2382" i="17" s="1"/>
  <c r="I2381" i="17"/>
  <c r="I2380" i="17"/>
  <c r="I2379" i="17"/>
  <c r="I2378" i="17"/>
  <c r="F2378" i="17"/>
  <c r="F2382" i="17" s="1"/>
  <c r="R2382" i="17" s="1"/>
  <c r="I2372" i="17"/>
  <c r="I2371" i="17"/>
  <c r="I2370" i="17"/>
  <c r="I2369" i="17"/>
  <c r="H2368" i="17"/>
  <c r="H2373" i="17" s="1"/>
  <c r="G2368" i="17"/>
  <c r="G2373" i="17" s="1"/>
  <c r="S2373" i="17" s="1"/>
  <c r="F2368" i="17"/>
  <c r="F2373" i="17" s="1"/>
  <c r="R2373" i="17" s="1"/>
  <c r="I2362" i="17"/>
  <c r="I2361" i="17"/>
  <c r="I2360" i="17"/>
  <c r="I2359" i="17"/>
  <c r="H2358" i="17"/>
  <c r="H2363" i="17" s="1"/>
  <c r="G2358" i="17"/>
  <c r="G2363" i="17" s="1"/>
  <c r="S2363" i="17" s="1"/>
  <c r="F2358" i="17"/>
  <c r="F2363" i="17" s="1"/>
  <c r="R2363" i="17" s="1"/>
  <c r="H2351" i="17"/>
  <c r="T2351" i="17" s="1"/>
  <c r="G2351" i="17"/>
  <c r="S2351" i="17" s="1"/>
  <c r="I2350" i="17"/>
  <c r="I2347" i="17"/>
  <c r="F2347" i="17"/>
  <c r="F2351" i="17" s="1"/>
  <c r="R2351" i="17" s="1"/>
  <c r="I2341" i="17"/>
  <c r="I2340" i="17"/>
  <c r="I2339" i="17"/>
  <c r="I2338" i="17"/>
  <c r="I2337" i="17"/>
  <c r="H2336" i="17"/>
  <c r="H2342" i="17" s="1"/>
  <c r="T2342" i="17" s="1"/>
  <c r="G2336" i="17"/>
  <c r="F2336" i="17"/>
  <c r="F2342" i="17" s="1"/>
  <c r="R2342" i="17" s="1"/>
  <c r="H2331" i="17"/>
  <c r="T2331" i="17" s="1"/>
  <c r="G2331" i="17"/>
  <c r="S2331" i="17" s="1"/>
  <c r="I2330" i="17"/>
  <c r="I2329" i="17"/>
  <c r="I2328" i="17"/>
  <c r="I2327" i="17"/>
  <c r="F2327" i="17"/>
  <c r="F2331" i="17" s="1"/>
  <c r="R2331" i="17" s="1"/>
  <c r="I2321" i="17"/>
  <c r="I2320" i="17"/>
  <c r="I2319" i="17"/>
  <c r="I2318" i="17"/>
  <c r="H2317" i="17"/>
  <c r="H2322" i="17" s="1"/>
  <c r="G2317" i="17"/>
  <c r="G2322" i="17" s="1"/>
  <c r="S2322" i="17" s="1"/>
  <c r="F2317" i="17"/>
  <c r="F2322" i="17" s="1"/>
  <c r="R2322" i="17" s="1"/>
  <c r="I2311" i="17"/>
  <c r="I2310" i="17"/>
  <c r="I2309" i="17"/>
  <c r="I2308" i="17"/>
  <c r="H2307" i="17"/>
  <c r="H2312" i="17" s="1"/>
  <c r="G2307" i="17"/>
  <c r="G2312" i="17" s="1"/>
  <c r="S2312" i="17" s="1"/>
  <c r="F2307" i="17"/>
  <c r="F2312" i="17" s="1"/>
  <c r="R2312" i="17" s="1"/>
  <c r="H2302" i="17"/>
  <c r="T2302" i="17" s="1"/>
  <c r="G2302" i="17"/>
  <c r="S2302" i="17" s="1"/>
  <c r="I2301" i="17"/>
  <c r="I2300" i="17"/>
  <c r="I2299" i="17"/>
  <c r="I2298" i="17"/>
  <c r="F2298" i="17"/>
  <c r="F2302" i="17" s="1"/>
  <c r="R2302" i="17" s="1"/>
  <c r="I2292" i="17"/>
  <c r="I2291" i="17"/>
  <c r="I2290" i="17"/>
  <c r="I2289" i="17"/>
  <c r="H2288" i="17"/>
  <c r="H2293" i="17" s="1"/>
  <c r="G2288" i="17"/>
  <c r="G2293" i="17" s="1"/>
  <c r="S2293" i="17" s="1"/>
  <c r="F2288" i="17"/>
  <c r="F2293" i="17" s="1"/>
  <c r="R2293" i="17" s="1"/>
  <c r="I2280" i="17"/>
  <c r="I2279" i="17"/>
  <c r="I2278" i="17"/>
  <c r="I2277" i="17"/>
  <c r="H2276" i="17"/>
  <c r="H2281" i="17" s="1"/>
  <c r="G2276" i="17"/>
  <c r="G2281" i="17" s="1"/>
  <c r="S2281" i="17" s="1"/>
  <c r="F2276" i="17"/>
  <c r="F2281" i="17" s="1"/>
  <c r="R2281" i="17" s="1"/>
  <c r="I2270" i="17"/>
  <c r="I2269" i="17"/>
  <c r="I2268" i="17"/>
  <c r="H2267" i="17"/>
  <c r="H2271" i="17" s="1"/>
  <c r="T2271" i="17" s="1"/>
  <c r="G2267" i="17"/>
  <c r="F2267" i="17"/>
  <c r="F2271" i="17" s="1"/>
  <c r="R2271" i="17" s="1"/>
  <c r="I2261" i="17"/>
  <c r="I2260" i="17"/>
  <c r="I2259" i="17"/>
  <c r="H2255" i="17"/>
  <c r="G2255" i="17"/>
  <c r="F2255" i="17"/>
  <c r="I2254" i="17"/>
  <c r="I2253" i="17"/>
  <c r="I2252" i="17"/>
  <c r="I2251" i="17"/>
  <c r="H2250" i="17"/>
  <c r="G2250" i="17"/>
  <c r="F2250" i="17"/>
  <c r="I2249" i="17"/>
  <c r="I2248" i="17"/>
  <c r="I2247" i="17"/>
  <c r="I2246" i="17"/>
  <c r="I2245" i="17"/>
  <c r="I2244" i="17"/>
  <c r="I2243" i="17"/>
  <c r="H2242" i="17"/>
  <c r="G2242" i="17"/>
  <c r="F2242" i="17"/>
  <c r="H2238" i="17"/>
  <c r="G2238" i="17"/>
  <c r="I2232" i="17"/>
  <c r="I2231" i="17"/>
  <c r="I2230" i="17"/>
  <c r="I2229" i="17"/>
  <c r="I2228" i="17"/>
  <c r="H2227" i="17"/>
  <c r="G2227" i="17"/>
  <c r="F2227" i="17"/>
  <c r="I2222" i="17"/>
  <c r="H2221" i="17"/>
  <c r="G2221" i="17"/>
  <c r="F2221" i="17"/>
  <c r="H2217" i="17"/>
  <c r="G2217" i="17"/>
  <c r="I2211" i="17"/>
  <c r="H2210" i="17"/>
  <c r="G2210" i="17"/>
  <c r="F2210" i="17"/>
  <c r="I2208" i="17"/>
  <c r="I2201" i="17"/>
  <c r="I2200" i="17"/>
  <c r="I2199" i="17"/>
  <c r="I2198" i="17"/>
  <c r="I2197" i="17"/>
  <c r="I2196" i="17"/>
  <c r="I2195" i="17"/>
  <c r="I2194" i="17"/>
  <c r="I2193" i="17"/>
  <c r="I2192" i="17"/>
  <c r="I2191" i="17"/>
  <c r="I2190" i="17"/>
  <c r="H2189" i="17"/>
  <c r="G2189" i="17"/>
  <c r="F2189" i="17"/>
  <c r="I2188" i="17"/>
  <c r="I2187" i="17"/>
  <c r="I2186" i="17"/>
  <c r="H2185" i="17"/>
  <c r="G2185" i="17"/>
  <c r="I2184" i="17"/>
  <c r="I2183" i="17"/>
  <c r="I2182" i="17"/>
  <c r="I2181" i="17"/>
  <c r="H2180" i="17"/>
  <c r="H2202" i="17" s="1"/>
  <c r="G2180" i="17"/>
  <c r="G2202" i="17" s="1"/>
  <c r="S2202" i="17" s="1"/>
  <c r="F2180" i="17"/>
  <c r="F2202" i="17" s="1"/>
  <c r="R2202" i="17" s="1"/>
  <c r="I2174" i="17"/>
  <c r="I2173" i="17"/>
  <c r="I2172" i="17"/>
  <c r="I2171" i="17"/>
  <c r="F2171" i="17"/>
  <c r="I2170" i="17"/>
  <c r="I2169" i="17"/>
  <c r="I2168" i="17"/>
  <c r="I2167" i="17"/>
  <c r="I2166" i="17"/>
  <c r="I2165" i="17"/>
  <c r="I2164" i="17"/>
  <c r="H2163" i="17"/>
  <c r="G2163" i="17"/>
  <c r="I2162" i="17"/>
  <c r="I2161" i="17"/>
  <c r="H2160" i="17"/>
  <c r="G2160" i="17"/>
  <c r="F2160" i="17"/>
  <c r="F2175" i="17" s="1"/>
  <c r="R2175" i="17" s="1"/>
  <c r="I2159" i="17"/>
  <c r="I2158" i="17"/>
  <c r="I2151" i="17"/>
  <c r="I2150" i="17"/>
  <c r="I2149" i="17"/>
  <c r="I2144" i="17"/>
  <c r="I2143" i="17"/>
  <c r="F2143" i="17"/>
  <c r="I2142" i="17"/>
  <c r="I2141" i="17"/>
  <c r="I2140" i="17"/>
  <c r="I2139" i="17"/>
  <c r="I2138" i="17"/>
  <c r="I2137" i="17"/>
  <c r="I2136" i="17"/>
  <c r="I2135" i="17"/>
  <c r="H2134" i="17"/>
  <c r="G2134" i="17"/>
  <c r="F2134" i="17"/>
  <c r="I2133" i="17"/>
  <c r="I2132" i="17"/>
  <c r="I2131" i="17"/>
  <c r="I2130" i="17"/>
  <c r="I2129" i="17"/>
  <c r="H2128" i="17"/>
  <c r="G2128" i="17"/>
  <c r="F2128" i="17"/>
  <c r="I2127" i="17"/>
  <c r="I2126" i="17"/>
  <c r="I2125" i="17"/>
  <c r="H2124" i="17"/>
  <c r="G2124" i="17"/>
  <c r="I2121" i="17"/>
  <c r="I2120" i="17"/>
  <c r="H2119" i="17"/>
  <c r="G2119" i="17"/>
  <c r="F2119" i="17"/>
  <c r="I2113" i="17"/>
  <c r="I2112" i="17"/>
  <c r="I2111" i="17"/>
  <c r="H2110" i="17"/>
  <c r="G2110" i="17"/>
  <c r="I2109" i="17"/>
  <c r="I2108" i="17"/>
  <c r="I2107" i="17"/>
  <c r="H2106" i="17"/>
  <c r="G2106" i="17"/>
  <c r="F2106" i="17"/>
  <c r="F2114" i="17" s="1"/>
  <c r="R2114" i="17" s="1"/>
  <c r="U2101" i="17"/>
  <c r="H2101" i="17"/>
  <c r="G2101" i="17"/>
  <c r="V2101" i="17" s="1"/>
  <c r="I2097" i="17"/>
  <c r="I2096" i="17"/>
  <c r="I2095" i="17"/>
  <c r="I2094" i="17"/>
  <c r="H2093" i="17"/>
  <c r="G2093" i="17"/>
  <c r="F2093" i="17"/>
  <c r="I2092" i="17"/>
  <c r="I2091" i="17"/>
  <c r="I2090" i="17"/>
  <c r="I2089" i="17"/>
  <c r="I2088" i="17"/>
  <c r="H2087" i="17"/>
  <c r="G2087" i="17"/>
  <c r="I2085" i="17"/>
  <c r="I2084" i="17"/>
  <c r="H2083" i="17"/>
  <c r="G2083" i="17"/>
  <c r="F2083" i="17"/>
  <c r="I2082" i="17"/>
  <c r="I2081" i="17"/>
  <c r="I2080" i="17"/>
  <c r="I2079" i="17"/>
  <c r="H2078" i="17"/>
  <c r="G2078" i="17"/>
  <c r="F2078" i="17"/>
  <c r="I2066" i="17"/>
  <c r="I2065" i="17"/>
  <c r="I2064" i="17"/>
  <c r="I2063" i="17"/>
  <c r="I2062" i="17"/>
  <c r="I2061" i="17"/>
  <c r="H2060" i="17"/>
  <c r="G2060" i="17"/>
  <c r="F2060" i="17"/>
  <c r="I2058" i="17"/>
  <c r="I2057" i="17"/>
  <c r="I2056" i="17"/>
  <c r="H2055" i="17"/>
  <c r="G2055" i="17"/>
  <c r="F2055" i="17"/>
  <c r="I2054" i="17"/>
  <c r="I2053" i="17"/>
  <c r="I2052" i="17"/>
  <c r="I2051" i="17"/>
  <c r="I2050" i="17"/>
  <c r="H2049" i="17"/>
  <c r="G2049" i="17"/>
  <c r="I2048" i="17"/>
  <c r="I2047" i="17"/>
  <c r="I2046" i="17"/>
  <c r="H2045" i="17"/>
  <c r="G2045" i="17"/>
  <c r="F2045" i="17"/>
  <c r="I2038" i="17"/>
  <c r="I2037" i="17"/>
  <c r="I2036" i="17"/>
  <c r="I2035" i="17"/>
  <c r="F2035" i="17"/>
  <c r="I2034" i="17"/>
  <c r="I2033" i="17"/>
  <c r="I2032" i="17"/>
  <c r="I2031" i="17"/>
  <c r="H2030" i="17"/>
  <c r="G2030" i="17"/>
  <c r="F2030" i="17"/>
  <c r="I2029" i="17"/>
  <c r="I2028" i="17"/>
  <c r="I2027" i="17"/>
  <c r="H2026" i="17"/>
  <c r="G2026" i="17"/>
  <c r="I2025" i="17"/>
  <c r="I2024" i="17"/>
  <c r="I2023" i="17"/>
  <c r="I2022" i="17"/>
  <c r="H2021" i="17"/>
  <c r="G2021" i="17"/>
  <c r="F2021" i="17"/>
  <c r="I2014" i="17"/>
  <c r="I2013" i="17"/>
  <c r="I2012" i="17"/>
  <c r="I2011" i="17"/>
  <c r="H2010" i="17"/>
  <c r="G2010" i="17"/>
  <c r="F2010" i="17"/>
  <c r="I2009" i="17"/>
  <c r="I2008" i="17"/>
  <c r="I2001" i="17"/>
  <c r="I2000" i="17"/>
  <c r="H1999" i="17"/>
  <c r="G1999" i="17"/>
  <c r="F1999" i="17"/>
  <c r="I1998" i="17"/>
  <c r="I1997" i="17"/>
  <c r="I1996" i="17"/>
  <c r="H1995" i="17"/>
  <c r="G1995" i="17"/>
  <c r="I1994" i="17"/>
  <c r="I1993" i="17"/>
  <c r="H1992" i="17"/>
  <c r="G1992" i="17"/>
  <c r="F1992" i="17"/>
  <c r="U1987" i="17"/>
  <c r="H1987" i="17"/>
  <c r="G1987" i="17"/>
  <c r="V1987" i="17" s="1"/>
  <c r="I1986" i="17"/>
  <c r="I1985" i="17"/>
  <c r="I1983" i="17"/>
  <c r="I1982" i="17"/>
  <c r="I1981" i="17"/>
  <c r="I1980" i="17"/>
  <c r="I1979" i="17"/>
  <c r="I1978" i="17"/>
  <c r="I1977" i="17"/>
  <c r="H1976" i="17"/>
  <c r="G1976" i="17"/>
  <c r="I1975" i="17"/>
  <c r="I1974" i="17"/>
  <c r="I1973" i="17"/>
  <c r="H1972" i="17"/>
  <c r="G1972" i="17"/>
  <c r="F1972" i="17"/>
  <c r="F1984" i="17" s="1"/>
  <c r="R1984" i="17" s="1"/>
  <c r="I1971" i="17"/>
  <c r="I1970" i="17"/>
  <c r="I1964" i="17"/>
  <c r="I1962" i="17"/>
  <c r="I1961" i="17"/>
  <c r="I1960" i="17"/>
  <c r="I1959" i="17"/>
  <c r="I1958" i="17"/>
  <c r="I1957" i="17"/>
  <c r="I1956" i="17"/>
  <c r="H1955" i="17"/>
  <c r="G1955" i="17"/>
  <c r="F1955" i="17"/>
  <c r="I1953" i="17"/>
  <c r="H1950" i="17"/>
  <c r="G1950" i="17"/>
  <c r="F1950" i="17"/>
  <c r="I1949" i="17"/>
  <c r="I1948" i="17"/>
  <c r="I1947" i="17"/>
  <c r="I1946" i="17"/>
  <c r="I1945" i="17"/>
  <c r="H1944" i="17"/>
  <c r="G1944" i="17"/>
  <c r="I1943" i="17"/>
  <c r="I1942" i="17"/>
  <c r="I1941" i="17"/>
  <c r="I1940" i="17"/>
  <c r="H1939" i="17"/>
  <c r="H1965" i="17" s="1"/>
  <c r="G1939" i="17"/>
  <c r="F1939" i="17"/>
  <c r="I1938" i="17"/>
  <c r="I1937" i="17"/>
  <c r="I1926" i="17"/>
  <c r="I1925" i="17"/>
  <c r="I1924" i="17"/>
  <c r="I1923" i="17"/>
  <c r="I1922" i="17"/>
  <c r="I1921" i="17"/>
  <c r="H1920" i="17"/>
  <c r="G1920" i="17"/>
  <c r="F1920" i="17"/>
  <c r="I1919" i="17"/>
  <c r="I1918" i="17"/>
  <c r="I1917" i="17"/>
  <c r="I1916" i="17"/>
  <c r="H1915" i="17"/>
  <c r="G1915" i="17"/>
  <c r="F1915" i="17"/>
  <c r="I1914" i="17"/>
  <c r="I1913" i="17"/>
  <c r="I1912" i="17"/>
  <c r="H1911" i="17"/>
  <c r="G1911" i="17"/>
  <c r="I1910" i="17"/>
  <c r="I1909" i="17"/>
  <c r="I1908" i="17"/>
  <c r="H1907" i="17"/>
  <c r="G1907" i="17"/>
  <c r="F1907" i="17"/>
  <c r="I1906" i="17"/>
  <c r="I1905" i="17"/>
  <c r="I1902" i="17"/>
  <c r="I1901" i="17"/>
  <c r="I1895" i="17"/>
  <c r="I1894" i="17"/>
  <c r="I1893" i="17"/>
  <c r="I1892" i="17"/>
  <c r="I1891" i="17"/>
  <c r="I1890" i="17"/>
  <c r="H1889" i="17"/>
  <c r="G1889" i="17"/>
  <c r="F1889" i="17"/>
  <c r="I1888" i="17"/>
  <c r="I1887" i="17"/>
  <c r="I1886" i="17"/>
  <c r="H1885" i="17"/>
  <c r="G1885" i="17"/>
  <c r="I1884" i="17"/>
  <c r="I1882" i="17"/>
  <c r="I1881" i="17"/>
  <c r="H1880" i="17"/>
  <c r="G1880" i="17"/>
  <c r="F1880" i="17"/>
  <c r="I1879" i="17"/>
  <c r="I1878" i="17"/>
  <c r="I1871" i="17"/>
  <c r="I1870" i="17"/>
  <c r="I1869" i="17"/>
  <c r="I1868" i="17"/>
  <c r="I1867" i="17"/>
  <c r="I1862" i="17"/>
  <c r="I1861" i="17"/>
  <c r="I1860" i="17"/>
  <c r="H1859" i="17"/>
  <c r="G1859" i="17"/>
  <c r="I1858" i="17"/>
  <c r="I1857" i="17"/>
  <c r="H1856" i="17"/>
  <c r="G1856" i="17"/>
  <c r="G1873" i="17" s="1"/>
  <c r="K1873" i="17" s="1"/>
  <c r="F1856" i="17"/>
  <c r="F1873" i="17" s="1"/>
  <c r="R1873" i="17" s="1"/>
  <c r="I1855" i="17"/>
  <c r="I1854" i="17"/>
  <c r="I1848" i="17"/>
  <c r="I1847" i="17"/>
  <c r="I1846" i="17"/>
  <c r="I1845" i="17"/>
  <c r="I1844" i="17"/>
  <c r="I1843" i="17"/>
  <c r="I1842" i="17"/>
  <c r="I1841" i="17"/>
  <c r="I1840" i="17"/>
  <c r="I1839" i="17"/>
  <c r="F1839" i="17"/>
  <c r="I1838" i="17"/>
  <c r="I1837" i="17"/>
  <c r="I1836" i="17"/>
  <c r="I1835" i="17"/>
  <c r="I1834" i="17"/>
  <c r="I1833" i="17"/>
  <c r="I1832" i="17"/>
  <c r="I1831" i="17"/>
  <c r="I1830" i="17"/>
  <c r="I1829" i="17"/>
  <c r="H1828" i="17"/>
  <c r="G1828" i="17"/>
  <c r="I1827" i="17"/>
  <c r="I1826" i="17"/>
  <c r="I1825" i="17"/>
  <c r="I1824" i="17"/>
  <c r="H1823" i="17"/>
  <c r="G1823" i="17"/>
  <c r="G1849" i="17" s="1"/>
  <c r="F1823" i="17"/>
  <c r="I1822" i="17"/>
  <c r="I1821" i="17"/>
  <c r="I1815" i="17"/>
  <c r="I1814" i="17"/>
  <c r="I1813" i="17"/>
  <c r="I1812" i="17"/>
  <c r="I1811" i="17"/>
  <c r="I1810" i="17"/>
  <c r="I1809" i="17"/>
  <c r="I1808" i="17"/>
  <c r="I1807" i="17"/>
  <c r="I1806" i="17"/>
  <c r="I1805" i="17"/>
  <c r="I1804" i="17"/>
  <c r="I1803" i="17"/>
  <c r="H1802" i="17"/>
  <c r="G1802" i="17"/>
  <c r="I1799" i="17"/>
  <c r="I1798" i="17"/>
  <c r="I1797" i="17"/>
  <c r="H1796" i="17"/>
  <c r="G1796" i="17"/>
  <c r="F1796" i="17"/>
  <c r="F1816" i="17" s="1"/>
  <c r="R1816" i="17" s="1"/>
  <c r="I1789" i="17"/>
  <c r="I1788" i="17"/>
  <c r="I1787" i="17"/>
  <c r="I1786" i="17"/>
  <c r="H1785" i="17"/>
  <c r="G1785" i="17"/>
  <c r="F1785" i="17"/>
  <c r="I1784" i="17"/>
  <c r="I1783" i="17"/>
  <c r="I1782" i="17"/>
  <c r="I1781" i="17"/>
  <c r="I1780" i="17"/>
  <c r="H1779" i="17"/>
  <c r="G1779" i="17"/>
  <c r="I1778" i="17"/>
  <c r="I1777" i="17"/>
  <c r="I1776" i="17"/>
  <c r="H1775" i="17"/>
  <c r="G1775" i="17"/>
  <c r="F1775" i="17"/>
  <c r="I1774" i="17"/>
  <c r="I1773" i="17"/>
  <c r="I1767" i="17"/>
  <c r="I1766" i="17"/>
  <c r="I1765" i="17"/>
  <c r="I1764" i="17"/>
  <c r="H1763" i="17"/>
  <c r="G1763" i="17"/>
  <c r="F1763" i="17"/>
  <c r="I1762" i="17"/>
  <c r="I1761" i="17"/>
  <c r="I1760" i="17"/>
  <c r="H1759" i="17"/>
  <c r="G1759" i="17"/>
  <c r="I1758" i="17"/>
  <c r="I1757" i="17"/>
  <c r="I1756" i="17"/>
  <c r="I1755" i="17"/>
  <c r="I1754" i="17"/>
  <c r="I1753" i="17"/>
  <c r="H1752" i="17"/>
  <c r="G1752" i="17"/>
  <c r="G1768" i="17" s="1"/>
  <c r="S1768" i="17" s="1"/>
  <c r="F1752" i="17"/>
  <c r="F1768" i="17" s="1"/>
  <c r="R1768" i="17" s="1"/>
  <c r="I1751" i="17"/>
  <c r="I1750" i="17"/>
  <c r="I1744" i="17"/>
  <c r="H1743" i="17"/>
  <c r="G1743" i="17"/>
  <c r="I1742" i="17"/>
  <c r="I1741" i="17"/>
  <c r="I1740" i="17"/>
  <c r="I1739" i="17"/>
  <c r="H1738" i="17"/>
  <c r="G1738" i="17"/>
  <c r="F1738" i="17"/>
  <c r="H1734" i="17"/>
  <c r="G1734" i="17"/>
  <c r="I1727" i="17"/>
  <c r="H1726" i="17"/>
  <c r="G1726" i="17"/>
  <c r="F1726" i="17"/>
  <c r="F1745" i="17" s="1"/>
  <c r="R1745" i="17" s="1"/>
  <c r="I1717" i="17"/>
  <c r="I1716" i="17"/>
  <c r="I1715" i="17"/>
  <c r="I1714" i="17"/>
  <c r="I1713" i="17"/>
  <c r="H1712" i="17"/>
  <c r="G1712" i="17"/>
  <c r="I1711" i="17"/>
  <c r="I1710" i="17"/>
  <c r="I1709" i="17"/>
  <c r="I1708" i="17"/>
  <c r="I1707" i="17"/>
  <c r="H1706" i="17"/>
  <c r="G1706" i="17"/>
  <c r="I1705" i="17"/>
  <c r="I1704" i="17"/>
  <c r="I1703" i="17"/>
  <c r="I1702" i="17"/>
  <c r="H1701" i="17"/>
  <c r="G1701" i="17"/>
  <c r="F1701" i="17"/>
  <c r="F1718" i="17" s="1"/>
  <c r="R1718" i="17" s="1"/>
  <c r="I1700" i="17"/>
  <c r="I1699" i="17"/>
  <c r="I1693" i="17"/>
  <c r="I1692" i="17"/>
  <c r="I1691" i="17"/>
  <c r="I1690" i="17"/>
  <c r="I1689" i="17"/>
  <c r="I1688" i="17"/>
  <c r="I1687" i="17"/>
  <c r="I1686" i="17"/>
  <c r="I1685" i="17"/>
  <c r="I1684" i="17"/>
  <c r="F1684" i="17"/>
  <c r="I1683" i="17"/>
  <c r="H1682" i="17"/>
  <c r="G1682" i="17"/>
  <c r="I1681" i="17"/>
  <c r="I1680" i="17"/>
  <c r="I1679" i="17"/>
  <c r="I1678" i="17"/>
  <c r="I1677" i="17"/>
  <c r="I1676" i="17"/>
  <c r="I1675" i="17"/>
  <c r="H1674" i="17"/>
  <c r="G1674" i="17"/>
  <c r="I1673" i="17"/>
  <c r="I1672" i="17"/>
  <c r="I1671" i="17"/>
  <c r="I1670" i="17"/>
  <c r="H1669" i="17"/>
  <c r="G1669" i="17"/>
  <c r="F1669" i="17"/>
  <c r="I1668" i="17"/>
  <c r="I1667" i="17"/>
  <c r="I1666" i="17"/>
  <c r="I1665" i="17"/>
  <c r="F1665" i="17"/>
  <c r="H1655" i="17"/>
  <c r="G1655" i="17"/>
  <c r="F1655" i="17"/>
  <c r="I1648" i="17"/>
  <c r="H1645" i="17"/>
  <c r="G1645" i="17"/>
  <c r="F1645" i="17"/>
  <c r="H1637" i="17"/>
  <c r="G1637" i="17"/>
  <c r="F1637" i="17"/>
  <c r="O1633" i="17"/>
  <c r="N1633" i="17"/>
  <c r="M1633" i="17"/>
  <c r="L1633" i="17"/>
  <c r="K1633" i="17"/>
  <c r="J1633" i="17"/>
  <c r="I1633" i="17"/>
  <c r="H1633" i="17"/>
  <c r="G1633" i="17"/>
  <c r="I1631" i="17"/>
  <c r="F1631" i="17"/>
  <c r="I1625" i="17"/>
  <c r="I1624" i="17"/>
  <c r="I1623" i="17"/>
  <c r="I1622" i="17"/>
  <c r="F1622" i="17"/>
  <c r="I1621" i="17"/>
  <c r="I1620" i="17"/>
  <c r="I1619" i="17"/>
  <c r="I1618" i="17"/>
  <c r="I1617" i="17"/>
  <c r="I1616" i="17"/>
  <c r="I1615" i="17"/>
  <c r="H1614" i="17"/>
  <c r="G1614" i="17"/>
  <c r="I1613" i="17"/>
  <c r="I1612" i="17"/>
  <c r="I1611" i="17"/>
  <c r="I1610" i="17"/>
  <c r="H1609" i="17"/>
  <c r="G1609" i="17"/>
  <c r="G1626" i="17" s="1"/>
  <c r="S1626" i="17" s="1"/>
  <c r="F1609" i="17"/>
  <c r="F1626" i="17" s="1"/>
  <c r="R1626" i="17" s="1"/>
  <c r="I1608" i="17"/>
  <c r="I1607" i="17"/>
  <c r="I1601" i="17"/>
  <c r="I1600" i="17"/>
  <c r="I1599" i="17"/>
  <c r="I1598" i="17"/>
  <c r="I1597" i="17"/>
  <c r="I1596" i="17"/>
  <c r="F1596" i="17"/>
  <c r="I1595" i="17"/>
  <c r="I1594" i="17"/>
  <c r="I1593" i="17"/>
  <c r="I1592" i="17"/>
  <c r="H1591" i="17"/>
  <c r="G1591" i="17"/>
  <c r="F1591" i="17"/>
  <c r="I1590" i="17"/>
  <c r="I1589" i="17"/>
  <c r="I1588" i="17"/>
  <c r="H1587" i="17"/>
  <c r="G1587" i="17"/>
  <c r="I1586" i="17"/>
  <c r="I1585" i="17"/>
  <c r="H1584" i="17"/>
  <c r="G1584" i="17"/>
  <c r="G1602" i="17" s="1"/>
  <c r="S1602" i="17" s="1"/>
  <c r="F1584" i="17"/>
  <c r="I1572" i="17"/>
  <c r="I1571" i="17"/>
  <c r="I1570" i="17"/>
  <c r="H1569" i="17"/>
  <c r="G1569" i="17"/>
  <c r="I1568" i="17"/>
  <c r="I1567" i="17"/>
  <c r="I1566" i="17"/>
  <c r="H1565" i="17"/>
  <c r="G1565" i="17"/>
  <c r="F1565" i="17"/>
  <c r="F1573" i="17" s="1"/>
  <c r="R1573" i="17" s="1"/>
  <c r="I1559" i="17"/>
  <c r="I1558" i="17"/>
  <c r="I1557" i="17"/>
  <c r="H1556" i="17"/>
  <c r="G1556" i="17"/>
  <c r="I1555" i="17"/>
  <c r="I1554" i="17"/>
  <c r="I1553" i="17"/>
  <c r="H1552" i="17"/>
  <c r="G1552" i="17"/>
  <c r="F1552" i="17"/>
  <c r="F1560" i="17" s="1"/>
  <c r="R1560" i="17" s="1"/>
  <c r="I1546" i="17"/>
  <c r="I1545" i="17"/>
  <c r="I1544" i="17"/>
  <c r="I1543" i="17"/>
  <c r="F1543" i="17"/>
  <c r="I1542" i="17"/>
  <c r="I1541" i="17"/>
  <c r="I1540" i="17"/>
  <c r="I1539" i="17"/>
  <c r="F1539" i="17"/>
  <c r="I1538" i="17"/>
  <c r="I1537" i="17"/>
  <c r="I1536" i="17"/>
  <c r="I1535" i="17"/>
  <c r="H1534" i="17"/>
  <c r="G1534" i="17"/>
  <c r="F1534" i="17"/>
  <c r="I1533" i="17"/>
  <c r="I1532" i="17"/>
  <c r="I1531" i="17"/>
  <c r="H1530" i="17"/>
  <c r="G1530" i="17"/>
  <c r="I1529" i="17"/>
  <c r="I1528" i="17"/>
  <c r="I1527" i="17"/>
  <c r="H1526" i="17"/>
  <c r="G1526" i="17"/>
  <c r="F1526" i="17"/>
  <c r="I1520" i="17"/>
  <c r="I1519" i="17"/>
  <c r="I1518" i="17"/>
  <c r="H1517" i="17"/>
  <c r="G1517" i="17"/>
  <c r="I1516" i="17"/>
  <c r="I1515" i="17"/>
  <c r="I1514" i="17"/>
  <c r="H1513" i="17"/>
  <c r="G1513" i="17"/>
  <c r="F1513" i="17"/>
  <c r="F1521" i="17" s="1"/>
  <c r="R1521" i="17" s="1"/>
  <c r="U1503" i="17"/>
  <c r="H1503" i="17"/>
  <c r="G1503" i="17"/>
  <c r="V1503" i="17" s="1"/>
  <c r="I1502" i="17"/>
  <c r="I1501" i="17"/>
  <c r="I1499" i="17"/>
  <c r="I1498" i="17"/>
  <c r="I1497" i="17"/>
  <c r="I1496" i="17"/>
  <c r="H1495" i="17"/>
  <c r="G1495" i="17"/>
  <c r="F1495" i="17"/>
  <c r="I1494" i="17"/>
  <c r="I1493" i="17"/>
  <c r="I1492" i="17"/>
  <c r="I1491" i="17"/>
  <c r="H1490" i="17"/>
  <c r="G1490" i="17"/>
  <c r="F1490" i="17"/>
  <c r="I1489" i="17"/>
  <c r="I1488" i="17"/>
  <c r="I1487" i="17"/>
  <c r="H1486" i="17"/>
  <c r="G1486" i="17"/>
  <c r="I1485" i="17"/>
  <c r="I1484" i="17"/>
  <c r="I1483" i="17"/>
  <c r="I1482" i="17"/>
  <c r="H1481" i="17"/>
  <c r="G1481" i="17"/>
  <c r="F1481" i="17"/>
  <c r="I1475" i="17"/>
  <c r="I1474" i="17"/>
  <c r="I1473" i="17"/>
  <c r="I1472" i="17"/>
  <c r="I1471" i="17"/>
  <c r="H1470" i="17"/>
  <c r="G1470" i="17"/>
  <c r="I1469" i="17"/>
  <c r="I1468" i="17"/>
  <c r="I1467" i="17"/>
  <c r="I1466" i="17"/>
  <c r="H1465" i="17"/>
  <c r="G1465" i="17"/>
  <c r="G1476" i="17" s="1"/>
  <c r="S1476" i="17" s="1"/>
  <c r="F1465" i="17"/>
  <c r="F1476" i="17" s="1"/>
  <c r="R1476" i="17" s="1"/>
  <c r="I1459" i="17"/>
  <c r="I1458" i="17"/>
  <c r="I1457" i="17"/>
  <c r="H1456" i="17"/>
  <c r="G1456" i="17"/>
  <c r="I1455" i="17"/>
  <c r="I1454" i="17"/>
  <c r="I1453" i="17"/>
  <c r="I1452" i="17"/>
  <c r="H1451" i="17"/>
  <c r="G1451" i="17"/>
  <c r="G1460" i="17" s="1"/>
  <c r="S1460" i="17" s="1"/>
  <c r="F1451" i="17"/>
  <c r="F1460" i="17" s="1"/>
  <c r="R1460" i="17" s="1"/>
  <c r="U1446" i="17"/>
  <c r="I1445" i="17"/>
  <c r="I1444" i="17"/>
  <c r="H1443" i="17"/>
  <c r="G1443" i="17"/>
  <c r="G1446" i="17" s="1"/>
  <c r="V1446" i="17" s="1"/>
  <c r="I1437" i="17"/>
  <c r="I1436" i="17"/>
  <c r="I1435" i="17"/>
  <c r="I1434" i="17"/>
  <c r="I1433" i="17"/>
  <c r="I1432" i="17"/>
  <c r="I1431" i="17"/>
  <c r="H1427" i="17"/>
  <c r="G1427" i="17"/>
  <c r="I1426" i="17"/>
  <c r="I1425" i="17"/>
  <c r="I1424" i="17"/>
  <c r="I1423" i="17"/>
  <c r="H1422" i="17"/>
  <c r="G1422" i="17"/>
  <c r="G1438" i="17" s="1"/>
  <c r="S1438" i="17" s="1"/>
  <c r="F1422" i="17"/>
  <c r="F1438" i="17" s="1"/>
  <c r="R1438" i="17" s="1"/>
  <c r="U1417" i="17"/>
  <c r="H1417" i="17"/>
  <c r="W1417" i="17" s="1"/>
  <c r="G1417" i="17"/>
  <c r="V1417" i="17" s="1"/>
  <c r="I1416" i="17"/>
  <c r="I1415" i="17"/>
  <c r="I1413" i="17"/>
  <c r="I1412" i="17"/>
  <c r="I1411" i="17"/>
  <c r="I1410" i="17"/>
  <c r="I1409" i="17"/>
  <c r="I1408" i="17"/>
  <c r="F1408" i="17"/>
  <c r="I1407" i="17"/>
  <c r="I1406" i="17"/>
  <c r="I1405" i="17"/>
  <c r="I1404" i="17"/>
  <c r="I1403" i="17"/>
  <c r="I1402" i="17"/>
  <c r="I1401" i="17"/>
  <c r="I1400" i="17"/>
  <c r="I1399" i="17"/>
  <c r="H1398" i="17"/>
  <c r="G1398" i="17"/>
  <c r="I1397" i="17"/>
  <c r="I1396" i="17"/>
  <c r="I1395" i="17"/>
  <c r="I1394" i="17"/>
  <c r="H1393" i="17"/>
  <c r="G1393" i="17"/>
  <c r="F1393" i="17"/>
  <c r="I1392" i="17"/>
  <c r="I1391" i="17"/>
  <c r="I1390" i="17"/>
  <c r="H1389" i="17"/>
  <c r="H1414" i="17" s="1"/>
  <c r="T1414" i="17" s="1"/>
  <c r="G1389" i="17"/>
  <c r="G1414" i="17" s="1"/>
  <c r="S1414" i="17" s="1"/>
  <c r="I1388" i="17"/>
  <c r="I1387" i="17"/>
  <c r="F1387" i="17"/>
  <c r="F1414" i="17" s="1"/>
  <c r="R1414" i="17" s="1"/>
  <c r="I1381" i="17"/>
  <c r="I1380" i="17"/>
  <c r="I1379" i="17"/>
  <c r="I1378" i="17"/>
  <c r="H1377" i="17"/>
  <c r="G1377" i="17"/>
  <c r="F1377" i="17"/>
  <c r="I1376" i="17"/>
  <c r="I1375" i="17"/>
  <c r="I1374" i="17"/>
  <c r="H1373" i="17"/>
  <c r="G1373" i="17"/>
  <c r="I1367" i="17"/>
  <c r="I1366" i="17"/>
  <c r="I1365" i="17"/>
  <c r="H1364" i="17"/>
  <c r="G1364" i="17"/>
  <c r="F1364" i="17"/>
  <c r="I1363" i="17"/>
  <c r="I1362" i="17"/>
  <c r="I1356" i="17"/>
  <c r="I1355" i="17"/>
  <c r="I1354" i="17"/>
  <c r="I1353" i="17"/>
  <c r="I1352" i="17"/>
  <c r="H1351" i="17"/>
  <c r="G1351" i="17"/>
  <c r="F1351" i="17"/>
  <c r="I1350" i="17"/>
  <c r="I1349" i="17"/>
  <c r="I1348" i="17"/>
  <c r="I1347" i="17"/>
  <c r="H1346" i="17"/>
  <c r="G1346" i="17"/>
  <c r="F1346" i="17"/>
  <c r="I1345" i="17"/>
  <c r="I1344" i="17"/>
  <c r="I1343" i="17"/>
  <c r="I1342" i="17"/>
  <c r="I1341" i="17"/>
  <c r="H1340" i="17"/>
  <c r="G1340" i="17"/>
  <c r="I1339" i="17"/>
  <c r="I1338" i="17"/>
  <c r="I1337" i="17"/>
  <c r="I1336" i="17"/>
  <c r="H1335" i="17"/>
  <c r="G1335" i="17"/>
  <c r="F1335" i="17"/>
  <c r="I1329" i="17"/>
  <c r="I1328" i="17"/>
  <c r="I1327" i="17"/>
  <c r="H1326" i="17"/>
  <c r="G1326" i="17"/>
  <c r="I1325" i="17"/>
  <c r="I1324" i="17"/>
  <c r="I1323" i="17"/>
  <c r="H1322" i="17"/>
  <c r="G1322" i="17"/>
  <c r="F1322" i="17"/>
  <c r="F1330" i="17" s="1"/>
  <c r="R1330" i="17" s="1"/>
  <c r="I1316" i="17"/>
  <c r="I1315" i="17"/>
  <c r="I1314" i="17"/>
  <c r="I1313" i="17"/>
  <c r="I1312" i="17"/>
  <c r="I1311" i="17"/>
  <c r="I1310" i="17"/>
  <c r="I1309" i="17"/>
  <c r="I1308" i="17"/>
  <c r="I1307" i="17"/>
  <c r="I1306" i="17"/>
  <c r="I1305" i="17"/>
  <c r="I1304" i="17"/>
  <c r="I1303" i="17"/>
  <c r="I1298" i="17"/>
  <c r="I1297" i="17"/>
  <c r="I1296" i="17"/>
  <c r="I1295" i="17"/>
  <c r="F1295" i="17"/>
  <c r="I1294" i="17"/>
  <c r="I1293" i="17"/>
  <c r="I1292" i="17"/>
  <c r="H1291" i="17"/>
  <c r="G1291" i="17"/>
  <c r="I1290" i="17"/>
  <c r="I1289" i="17"/>
  <c r="H1288" i="17"/>
  <c r="G1288" i="17"/>
  <c r="G1317" i="17" s="1"/>
  <c r="S1317" i="17" s="1"/>
  <c r="F1288" i="17"/>
  <c r="F1317" i="17" s="1"/>
  <c r="R1317" i="17" s="1"/>
  <c r="I1282" i="17"/>
  <c r="I1281" i="17"/>
  <c r="I1280" i="17"/>
  <c r="I1279" i="17"/>
  <c r="I1278" i="17"/>
  <c r="I1277" i="17"/>
  <c r="I1276" i="17"/>
  <c r="I1275" i="17"/>
  <c r="I1273" i="17"/>
  <c r="I1272" i="17"/>
  <c r="I1270" i="17"/>
  <c r="I1269" i="17"/>
  <c r="I1268" i="17"/>
  <c r="I1267" i="17"/>
  <c r="I1266" i="17"/>
  <c r="H1265" i="17"/>
  <c r="G1265" i="17"/>
  <c r="I1264" i="17"/>
  <c r="I1261" i="17"/>
  <c r="I1260" i="17"/>
  <c r="I1259" i="17"/>
  <c r="H1258" i="17"/>
  <c r="G1258" i="17"/>
  <c r="G1283" i="17" s="1"/>
  <c r="S1283" i="17" s="1"/>
  <c r="F1258" i="17"/>
  <c r="F1283" i="17" s="1"/>
  <c r="R1283" i="17" s="1"/>
  <c r="I1252" i="17"/>
  <c r="I1251" i="17"/>
  <c r="I1250" i="17"/>
  <c r="I1249" i="17"/>
  <c r="I1248" i="17"/>
  <c r="I1247" i="17"/>
  <c r="I1246" i="17"/>
  <c r="I1245" i="17"/>
  <c r="F1245" i="17"/>
  <c r="I1244" i="17"/>
  <c r="I1243" i="17"/>
  <c r="I1242" i="17"/>
  <c r="I1241" i="17"/>
  <c r="H1240" i="17"/>
  <c r="G1240" i="17"/>
  <c r="F1240" i="17"/>
  <c r="I1239" i="17"/>
  <c r="I1238" i="17"/>
  <c r="I1237" i="17"/>
  <c r="H1236" i="17"/>
  <c r="G1236" i="17"/>
  <c r="I1235" i="17"/>
  <c r="I1234" i="17"/>
  <c r="H1233" i="17"/>
  <c r="G1233" i="17"/>
  <c r="F1233" i="17"/>
  <c r="I1226" i="17"/>
  <c r="I1225" i="17"/>
  <c r="I1224" i="17"/>
  <c r="I1223" i="17"/>
  <c r="I1222" i="17"/>
  <c r="I1221" i="17"/>
  <c r="H1220" i="17"/>
  <c r="G1220" i="17"/>
  <c r="F1220" i="17"/>
  <c r="I1219" i="17"/>
  <c r="I1218" i="17"/>
  <c r="I1217" i="17"/>
  <c r="I1216" i="17"/>
  <c r="I1215" i="17"/>
  <c r="I1214" i="17"/>
  <c r="I1213" i="17"/>
  <c r="H1212" i="17"/>
  <c r="G1212" i="17"/>
  <c r="I1211" i="17"/>
  <c r="I1208" i="17"/>
  <c r="I1207" i="17"/>
  <c r="I1206" i="17"/>
  <c r="I1205" i="17"/>
  <c r="I1204" i="17"/>
  <c r="H1203" i="17"/>
  <c r="G1203" i="17"/>
  <c r="F1203" i="17"/>
  <c r="I1202" i="17"/>
  <c r="I1201" i="17"/>
  <c r="I1200" i="17"/>
  <c r="I1199" i="17"/>
  <c r="I1198" i="17"/>
  <c r="H1197" i="17"/>
  <c r="G1197" i="17"/>
  <c r="F1197" i="17"/>
  <c r="F1227" i="17" s="1"/>
  <c r="R1227" i="17" s="1"/>
  <c r="H1185" i="17"/>
  <c r="G1185" i="17"/>
  <c r="F1185" i="17"/>
  <c r="I1184" i="17"/>
  <c r="I1183" i="17"/>
  <c r="I1182" i="17"/>
  <c r="I1181" i="17"/>
  <c r="H1180" i="17"/>
  <c r="G1180" i="17"/>
  <c r="F1180" i="17"/>
  <c r="I1179" i="17"/>
  <c r="I1178" i="17"/>
  <c r="H1177" i="17"/>
  <c r="G1177" i="17"/>
  <c r="F1177" i="17"/>
  <c r="I1176" i="17"/>
  <c r="I1175" i="17"/>
  <c r="I1174" i="17"/>
  <c r="I1173" i="17"/>
  <c r="H1172" i="17"/>
  <c r="G1172" i="17"/>
  <c r="I1170" i="17"/>
  <c r="I1168" i="17"/>
  <c r="I1167" i="17"/>
  <c r="I1166" i="17"/>
  <c r="H1165" i="17"/>
  <c r="G1165" i="17"/>
  <c r="F1165" i="17"/>
  <c r="U1160" i="17"/>
  <c r="H1160" i="17"/>
  <c r="W1160" i="17" s="1"/>
  <c r="G1160" i="17"/>
  <c r="V1160" i="17" s="1"/>
  <c r="I1159" i="17"/>
  <c r="I1158" i="17"/>
  <c r="I1156" i="17"/>
  <c r="I1155" i="17"/>
  <c r="I1154" i="17"/>
  <c r="I1153" i="17"/>
  <c r="I1152" i="17"/>
  <c r="H1151" i="17"/>
  <c r="G1151" i="17"/>
  <c r="I1150" i="17"/>
  <c r="I1149" i="17"/>
  <c r="I1148" i="17"/>
  <c r="H1147" i="17"/>
  <c r="G1147" i="17"/>
  <c r="F1147" i="17"/>
  <c r="F1157" i="17" s="1"/>
  <c r="R1157" i="17" s="1"/>
  <c r="I1146" i="17"/>
  <c r="I1145" i="17"/>
  <c r="I1139" i="17"/>
  <c r="I1138" i="17"/>
  <c r="I1137" i="17"/>
  <c r="H1136" i="17"/>
  <c r="G1136" i="17"/>
  <c r="F1136" i="17"/>
  <c r="I1135" i="17"/>
  <c r="I1134" i="17"/>
  <c r="I1133" i="17"/>
  <c r="H1132" i="17"/>
  <c r="G1132" i="17"/>
  <c r="I1131" i="17"/>
  <c r="I1130" i="17"/>
  <c r="H1129" i="17"/>
  <c r="H1140" i="17" s="1"/>
  <c r="G1129" i="17"/>
  <c r="F1129" i="17"/>
  <c r="I1123" i="17"/>
  <c r="H1122" i="17"/>
  <c r="G1122" i="17"/>
  <c r="I1121" i="17"/>
  <c r="I1120" i="17"/>
  <c r="I1119" i="17"/>
  <c r="H1118" i="17"/>
  <c r="G1118" i="17"/>
  <c r="I1117" i="17"/>
  <c r="I1116" i="17"/>
  <c r="I1115" i="17"/>
  <c r="H1114" i="17"/>
  <c r="G1114" i="17"/>
  <c r="F1114" i="17"/>
  <c r="F1124" i="17" s="1"/>
  <c r="R1124" i="17" s="1"/>
  <c r="I1108" i="17"/>
  <c r="I1107" i="17"/>
  <c r="I1106" i="17"/>
  <c r="I1105" i="17"/>
  <c r="H1104" i="17"/>
  <c r="G1104" i="17"/>
  <c r="F1104" i="17"/>
  <c r="I1103" i="17"/>
  <c r="I1102" i="17"/>
  <c r="I1101" i="17"/>
  <c r="I1100" i="17"/>
  <c r="H1099" i="17"/>
  <c r="G1099" i="17"/>
  <c r="F1099" i="17"/>
  <c r="I1098" i="17"/>
  <c r="I1097" i="17"/>
  <c r="I1096" i="17"/>
  <c r="I1095" i="17"/>
  <c r="I1094" i="17"/>
  <c r="H1093" i="17"/>
  <c r="G1093" i="17"/>
  <c r="F1093" i="17"/>
  <c r="I1087" i="17"/>
  <c r="I1086" i="17"/>
  <c r="I1085" i="17"/>
  <c r="H1084" i="17"/>
  <c r="G1084" i="17"/>
  <c r="I1083" i="17"/>
  <c r="I1082" i="17"/>
  <c r="I1081" i="17"/>
  <c r="H1080" i="17"/>
  <c r="G1080" i="17"/>
  <c r="F1080" i="17"/>
  <c r="I1074" i="17"/>
  <c r="I1073" i="17"/>
  <c r="I1072" i="17"/>
  <c r="I1071" i="17"/>
  <c r="I1070" i="17"/>
  <c r="I1069" i="17"/>
  <c r="H1068" i="17"/>
  <c r="G1068" i="17"/>
  <c r="F1068" i="17"/>
  <c r="I1067" i="17"/>
  <c r="I1066" i="17"/>
  <c r="I1065" i="17"/>
  <c r="I1064" i="17"/>
  <c r="H1063" i="17"/>
  <c r="G1063" i="17"/>
  <c r="F1063" i="17"/>
  <c r="I1062" i="17"/>
  <c r="I1061" i="17"/>
  <c r="I1060" i="17"/>
  <c r="I1059" i="17"/>
  <c r="I1058" i="17"/>
  <c r="I1057" i="17"/>
  <c r="F1057" i="17"/>
  <c r="I1056" i="17"/>
  <c r="I1055" i="17"/>
  <c r="I1054" i="17"/>
  <c r="I1053" i="17"/>
  <c r="I1052" i="17"/>
  <c r="I1051" i="17"/>
  <c r="H1050" i="17"/>
  <c r="G1050" i="17"/>
  <c r="F1050" i="17"/>
  <c r="I1049" i="17"/>
  <c r="I1048" i="17"/>
  <c r="I1047" i="17"/>
  <c r="I1046" i="17"/>
  <c r="I1045" i="17"/>
  <c r="H1044" i="17"/>
  <c r="G1044" i="17"/>
  <c r="I1041" i="17"/>
  <c r="H1040" i="17"/>
  <c r="G1040" i="17"/>
  <c r="F1040" i="17"/>
  <c r="I1034" i="17"/>
  <c r="I1033" i="17"/>
  <c r="I1032" i="17"/>
  <c r="I1031" i="17"/>
  <c r="I1030" i="17"/>
  <c r="I1029" i="17"/>
  <c r="I1028" i="17"/>
  <c r="H1027" i="17"/>
  <c r="G1027" i="17"/>
  <c r="F1027" i="17"/>
  <c r="I1026" i="17"/>
  <c r="I1025" i="17"/>
  <c r="I1024" i="17"/>
  <c r="H1023" i="17"/>
  <c r="G1023" i="17"/>
  <c r="I1019" i="17"/>
  <c r="I1016" i="17"/>
  <c r="I1015" i="17"/>
  <c r="I1014" i="17"/>
  <c r="I1013" i="17"/>
  <c r="H1012" i="17"/>
  <c r="G1012" i="17"/>
  <c r="F1012" i="17"/>
  <c r="I1006" i="17"/>
  <c r="I1005" i="17"/>
  <c r="I1004" i="17"/>
  <c r="I1003" i="17"/>
  <c r="H1002" i="17"/>
  <c r="G1002" i="17"/>
  <c r="F1002" i="17"/>
  <c r="I1001" i="17"/>
  <c r="I1000" i="17"/>
  <c r="I999" i="17"/>
  <c r="I998" i="17"/>
  <c r="I997" i="17"/>
  <c r="H996" i="17"/>
  <c r="G996" i="17"/>
  <c r="I995" i="17"/>
  <c r="I994" i="17"/>
  <c r="H993" i="17"/>
  <c r="H1007" i="17" s="1"/>
  <c r="G993" i="17"/>
  <c r="F993" i="17"/>
  <c r="I987" i="17"/>
  <c r="I986" i="17"/>
  <c r="H985" i="17"/>
  <c r="H988" i="17" s="1"/>
  <c r="T988" i="17" s="1"/>
  <c r="G985" i="17"/>
  <c r="G988" i="17" s="1"/>
  <c r="S988" i="17" s="1"/>
  <c r="F985" i="17"/>
  <c r="F988" i="17" s="1"/>
  <c r="R988" i="17" s="1"/>
  <c r="I979" i="17"/>
  <c r="I978" i="17"/>
  <c r="I977" i="17"/>
  <c r="I976" i="17"/>
  <c r="I975" i="17"/>
  <c r="I974" i="17"/>
  <c r="H973" i="17"/>
  <c r="G973" i="17"/>
  <c r="F973" i="17"/>
  <c r="I972" i="17"/>
  <c r="I971" i="17"/>
  <c r="I970" i="17"/>
  <c r="I969" i="17"/>
  <c r="H968" i="17"/>
  <c r="G968" i="17"/>
  <c r="F968" i="17"/>
  <c r="I967" i="17"/>
  <c r="I966" i="17"/>
  <c r="I965" i="17"/>
  <c r="I964" i="17"/>
  <c r="H963" i="17"/>
  <c r="G963" i="17"/>
  <c r="F963" i="17"/>
  <c r="I962" i="17"/>
  <c r="I961" i="17"/>
  <c r="I959" i="17"/>
  <c r="I958" i="17"/>
  <c r="H957" i="17"/>
  <c r="G957" i="17"/>
  <c r="F957" i="17"/>
  <c r="I956" i="17"/>
  <c r="I955" i="17"/>
  <c r="I954" i="17"/>
  <c r="H953" i="17"/>
  <c r="G953" i="17"/>
  <c r="I947" i="17"/>
  <c r="I944" i="17"/>
  <c r="I943" i="17"/>
  <c r="I942" i="17"/>
  <c r="I941" i="17"/>
  <c r="H940" i="17"/>
  <c r="G940" i="17"/>
  <c r="F940" i="17"/>
  <c r="I934" i="17"/>
  <c r="I933" i="17"/>
  <c r="I932" i="17"/>
  <c r="I931" i="17"/>
  <c r="I930" i="17"/>
  <c r="I929" i="17"/>
  <c r="F929" i="17"/>
  <c r="I928" i="17"/>
  <c r="I927" i="17"/>
  <c r="I926" i="17"/>
  <c r="I925" i="17"/>
  <c r="H924" i="17"/>
  <c r="G924" i="17"/>
  <c r="F924" i="17"/>
  <c r="I923" i="17"/>
  <c r="I922" i="17"/>
  <c r="I921" i="17"/>
  <c r="I920" i="17"/>
  <c r="I919" i="17"/>
  <c r="H918" i="17"/>
  <c r="G918" i="17"/>
  <c r="I917" i="17"/>
  <c r="I916" i="17"/>
  <c r="I915" i="17"/>
  <c r="I914" i="17"/>
  <c r="I913" i="17"/>
  <c r="H912" i="17"/>
  <c r="G912" i="17"/>
  <c r="I911" i="17"/>
  <c r="I910" i="17"/>
  <c r="I909" i="17"/>
  <c r="H908" i="17"/>
  <c r="G908" i="17"/>
  <c r="F908" i="17"/>
  <c r="I902" i="17"/>
  <c r="I901" i="17"/>
  <c r="I900" i="17"/>
  <c r="H899" i="17"/>
  <c r="G899" i="17"/>
  <c r="I898" i="17"/>
  <c r="I897" i="17"/>
  <c r="I896" i="17"/>
  <c r="H895" i="17"/>
  <c r="G895" i="17"/>
  <c r="F895" i="17"/>
  <c r="F903" i="17" s="1"/>
  <c r="R903" i="17" s="1"/>
  <c r="I889" i="17"/>
  <c r="I888" i="17"/>
  <c r="I887" i="17"/>
  <c r="H886" i="17"/>
  <c r="G886" i="17"/>
  <c r="I885" i="17"/>
  <c r="I884" i="17"/>
  <c r="F884" i="17"/>
  <c r="I879" i="17"/>
  <c r="I878" i="17"/>
  <c r="I877" i="17"/>
  <c r="I876" i="17"/>
  <c r="F876" i="17"/>
  <c r="I875" i="17"/>
  <c r="I874" i="17"/>
  <c r="I873" i="17"/>
  <c r="H872" i="17"/>
  <c r="G872" i="17"/>
  <c r="I871" i="17"/>
  <c r="I870" i="17"/>
  <c r="I869" i="17"/>
  <c r="H868" i="17"/>
  <c r="G868" i="17"/>
  <c r="F868" i="17"/>
  <c r="I862" i="17"/>
  <c r="I861" i="17"/>
  <c r="I860" i="17"/>
  <c r="I859" i="17"/>
  <c r="I858" i="17"/>
  <c r="I857" i="17"/>
  <c r="I856" i="17"/>
  <c r="I855" i="17"/>
  <c r="I854" i="17"/>
  <c r="H853" i="17"/>
  <c r="G853" i="17"/>
  <c r="I852" i="17"/>
  <c r="I851" i="17"/>
  <c r="I850" i="17"/>
  <c r="H849" i="17"/>
  <c r="G849" i="17"/>
  <c r="F849" i="17"/>
  <c r="F863" i="17" s="1"/>
  <c r="R863" i="17" s="1"/>
  <c r="I843" i="17"/>
  <c r="I842" i="17"/>
  <c r="I841" i="17"/>
  <c r="I840" i="17"/>
  <c r="I839" i="17"/>
  <c r="H838" i="17"/>
  <c r="G838" i="17"/>
  <c r="F838" i="17"/>
  <c r="I837" i="17"/>
  <c r="I836" i="17"/>
  <c r="I835" i="17"/>
  <c r="I834" i="17"/>
  <c r="I833" i="17"/>
  <c r="H832" i="17"/>
  <c r="G832" i="17"/>
  <c r="I829" i="17"/>
  <c r="H828" i="17"/>
  <c r="G828" i="17"/>
  <c r="F828" i="17"/>
  <c r="I822" i="17"/>
  <c r="I821" i="17"/>
  <c r="I820" i="17"/>
  <c r="I819" i="17"/>
  <c r="I818" i="17"/>
  <c r="I817" i="17"/>
  <c r="I816" i="17"/>
  <c r="H815" i="17"/>
  <c r="G815" i="17"/>
  <c r="F815" i="17"/>
  <c r="I810" i="17"/>
  <c r="H809" i="17"/>
  <c r="G809" i="17"/>
  <c r="I808" i="17"/>
  <c r="I807" i="17"/>
  <c r="I806" i="17"/>
  <c r="H805" i="17"/>
  <c r="G805" i="17"/>
  <c r="I804" i="17"/>
  <c r="I803" i="17"/>
  <c r="I802" i="17"/>
  <c r="I801" i="17"/>
  <c r="H800" i="17"/>
  <c r="G800" i="17"/>
  <c r="F800" i="17"/>
  <c r="M795" i="17"/>
  <c r="L795" i="17"/>
  <c r="K795" i="17"/>
  <c r="I794" i="17"/>
  <c r="H793" i="17"/>
  <c r="G793" i="17"/>
  <c r="F793" i="17"/>
  <c r="I792" i="17"/>
  <c r="I791" i="17"/>
  <c r="I790" i="17"/>
  <c r="H789" i="17"/>
  <c r="G789" i="17"/>
  <c r="I788" i="17"/>
  <c r="I787" i="17"/>
  <c r="I786" i="17"/>
  <c r="H785" i="17"/>
  <c r="G785" i="17"/>
  <c r="F785" i="17"/>
  <c r="H778" i="17"/>
  <c r="G778" i="17"/>
  <c r="I777" i="17"/>
  <c r="H776" i="17"/>
  <c r="G776" i="17"/>
  <c r="F776" i="17"/>
  <c r="I775" i="17"/>
  <c r="I774" i="17"/>
  <c r="I773" i="17"/>
  <c r="H772" i="17"/>
  <c r="G772" i="17"/>
  <c r="I771" i="17"/>
  <c r="I770" i="17"/>
  <c r="I769" i="17"/>
  <c r="H768" i="17"/>
  <c r="G768" i="17"/>
  <c r="F768" i="17"/>
  <c r="I762" i="17"/>
  <c r="H761" i="17"/>
  <c r="G761" i="17"/>
  <c r="H759" i="17"/>
  <c r="G759" i="17"/>
  <c r="F759" i="17"/>
  <c r="I758" i="17"/>
  <c r="I757" i="17"/>
  <c r="I756" i="17"/>
  <c r="I755" i="17"/>
  <c r="I754" i="17"/>
  <c r="H753" i="17"/>
  <c r="G753" i="17"/>
  <c r="I752" i="17"/>
  <c r="I751" i="17"/>
  <c r="I750" i="17"/>
  <c r="H749" i="17"/>
  <c r="G749" i="17"/>
  <c r="F749" i="17"/>
  <c r="H742" i="17"/>
  <c r="W742" i="17" s="1"/>
  <c r="G742" i="17"/>
  <c r="V742" i="17" s="1"/>
  <c r="F742" i="17"/>
  <c r="U742" i="17" s="1"/>
  <c r="I740" i="17"/>
  <c r="I738" i="17"/>
  <c r="I737" i="17"/>
  <c r="I736" i="17"/>
  <c r="I735" i="17"/>
  <c r="I734" i="17"/>
  <c r="H733" i="17"/>
  <c r="G733" i="17"/>
  <c r="I732" i="17"/>
  <c r="I731" i="17"/>
  <c r="I730" i="17"/>
  <c r="I729" i="17"/>
  <c r="H728" i="17"/>
  <c r="H739" i="17" s="1"/>
  <c r="G728" i="17"/>
  <c r="G739" i="17" s="1"/>
  <c r="S739" i="17" s="1"/>
  <c r="F728" i="17"/>
  <c r="F739" i="17" s="1"/>
  <c r="R739" i="17" s="1"/>
  <c r="I722" i="17"/>
  <c r="I721" i="17"/>
  <c r="I720" i="17"/>
  <c r="I719" i="17"/>
  <c r="I718" i="17"/>
  <c r="H717" i="17"/>
  <c r="G717" i="17"/>
  <c r="I716" i="17"/>
  <c r="I715" i="17"/>
  <c r="I714" i="17"/>
  <c r="H713" i="17"/>
  <c r="G713" i="17"/>
  <c r="F713" i="17"/>
  <c r="F723" i="17" s="1"/>
  <c r="R723" i="17" s="1"/>
  <c r="I707" i="17"/>
  <c r="I706" i="17"/>
  <c r="I705" i="17"/>
  <c r="H704" i="17"/>
  <c r="G704" i="17"/>
  <c r="I703" i="17"/>
  <c r="I702" i="17"/>
  <c r="I701" i="17"/>
  <c r="H700" i="17"/>
  <c r="G700" i="17"/>
  <c r="F700" i="17"/>
  <c r="F708" i="17" s="1"/>
  <c r="R708" i="17" s="1"/>
  <c r="I694" i="17"/>
  <c r="I693" i="17"/>
  <c r="I691" i="17"/>
  <c r="I690" i="17"/>
  <c r="I689" i="17"/>
  <c r="I688" i="17"/>
  <c r="H687" i="17"/>
  <c r="G687" i="17"/>
  <c r="I686" i="17"/>
  <c r="I685" i="17"/>
  <c r="I684" i="17"/>
  <c r="I683" i="17"/>
  <c r="I682" i="17"/>
  <c r="I681" i="17"/>
  <c r="H680" i="17"/>
  <c r="G680" i="17"/>
  <c r="F680" i="17"/>
  <c r="F695" i="17" s="1"/>
  <c r="R695" i="17" s="1"/>
  <c r="I671" i="17"/>
  <c r="I670" i="17"/>
  <c r="I669" i="17"/>
  <c r="H668" i="17"/>
  <c r="G668" i="17"/>
  <c r="I667" i="17"/>
  <c r="I666" i="17"/>
  <c r="I665" i="17"/>
  <c r="F664" i="17"/>
  <c r="I663" i="17"/>
  <c r="I662" i="17"/>
  <c r="I661" i="17"/>
  <c r="I660" i="17"/>
  <c r="I659" i="17"/>
  <c r="H658" i="17"/>
  <c r="G658" i="17"/>
  <c r="I657" i="17"/>
  <c r="I656" i="17"/>
  <c r="I655" i="17"/>
  <c r="I654" i="17"/>
  <c r="I653" i="17"/>
  <c r="I652" i="17"/>
  <c r="H651" i="17"/>
  <c r="G651" i="17"/>
  <c r="F651" i="17"/>
  <c r="F672" i="17" s="1"/>
  <c r="R672" i="17" s="1"/>
  <c r="I645" i="17"/>
  <c r="I644" i="17"/>
  <c r="I642" i="17"/>
  <c r="I641" i="17"/>
  <c r="I640" i="17"/>
  <c r="H639" i="17"/>
  <c r="G639" i="17"/>
  <c r="F639" i="17"/>
  <c r="I638" i="17"/>
  <c r="I637" i="17"/>
  <c r="I636" i="17"/>
  <c r="I635" i="17"/>
  <c r="I634" i="17"/>
  <c r="H633" i="17"/>
  <c r="G633" i="17"/>
  <c r="I632" i="17"/>
  <c r="I631" i="17"/>
  <c r="I630" i="17"/>
  <c r="I629" i="17"/>
  <c r="I628" i="17"/>
  <c r="I627" i="17"/>
  <c r="H626" i="17"/>
  <c r="H646" i="17" s="1"/>
  <c r="G626" i="17"/>
  <c r="F626" i="17"/>
  <c r="F646" i="17" s="1"/>
  <c r="R646" i="17" s="1"/>
  <c r="H619" i="17"/>
  <c r="G619" i="17"/>
  <c r="F619" i="17"/>
  <c r="I618" i="17"/>
  <c r="I617" i="17"/>
  <c r="I616" i="17"/>
  <c r="H615" i="17"/>
  <c r="G615" i="17"/>
  <c r="I614" i="17"/>
  <c r="I613" i="17"/>
  <c r="I612" i="17"/>
  <c r="I611" i="17"/>
  <c r="H610" i="17"/>
  <c r="G610" i="17"/>
  <c r="G621" i="17" s="1"/>
  <c r="S621" i="17" s="1"/>
  <c r="F610" i="17"/>
  <c r="F621" i="17" s="1"/>
  <c r="R621" i="17" s="1"/>
  <c r="I602" i="17"/>
  <c r="I600" i="17"/>
  <c r="I599" i="17"/>
  <c r="I598" i="17"/>
  <c r="I597" i="17"/>
  <c r="H596" i="17"/>
  <c r="G596" i="17"/>
  <c r="I595" i="17"/>
  <c r="I594" i="17"/>
  <c r="I593" i="17"/>
  <c r="H592" i="17"/>
  <c r="G592" i="17"/>
  <c r="F592" i="17"/>
  <c r="F604" i="17" s="1"/>
  <c r="R604" i="17" s="1"/>
  <c r="I591" i="17"/>
  <c r="I585" i="17"/>
  <c r="H584" i="17"/>
  <c r="G584" i="17"/>
  <c r="I583" i="17"/>
  <c r="I582" i="17"/>
  <c r="I581" i="17"/>
  <c r="I580" i="17"/>
  <c r="I579" i="17"/>
  <c r="H578" i="17"/>
  <c r="G578" i="17"/>
  <c r="I577" i="17"/>
  <c r="I576" i="17"/>
  <c r="I575" i="17"/>
  <c r="I574" i="17"/>
  <c r="I573" i="17"/>
  <c r="H572" i="17"/>
  <c r="G572" i="17"/>
  <c r="F572" i="17"/>
  <c r="F586" i="17" s="1"/>
  <c r="R586" i="17" s="1"/>
  <c r="I566" i="17"/>
  <c r="I565" i="17"/>
  <c r="I562" i="17"/>
  <c r="I561" i="17"/>
  <c r="H560" i="17"/>
  <c r="G560" i="17"/>
  <c r="F560" i="17"/>
  <c r="I559" i="17"/>
  <c r="I558" i="17"/>
  <c r="I557" i="17"/>
  <c r="I556" i="17"/>
  <c r="I555" i="17"/>
  <c r="I554" i="17"/>
  <c r="F554" i="17"/>
  <c r="I553" i="17"/>
  <c r="I552" i="17"/>
  <c r="I551" i="17"/>
  <c r="I550" i="17"/>
  <c r="I549" i="17"/>
  <c r="I548" i="17"/>
  <c r="F548" i="17"/>
  <c r="I547" i="17"/>
  <c r="I546" i="17"/>
  <c r="I545" i="17"/>
  <c r="H544" i="17"/>
  <c r="G544" i="17"/>
  <c r="I538" i="17"/>
  <c r="I537" i="17"/>
  <c r="H536" i="17"/>
  <c r="H567" i="17" s="1"/>
  <c r="G536" i="17"/>
  <c r="F536" i="17"/>
  <c r="I529" i="17"/>
  <c r="I528" i="17"/>
  <c r="I527" i="17"/>
  <c r="I526" i="17"/>
  <c r="I525" i="17"/>
  <c r="I524" i="17"/>
  <c r="I523" i="17"/>
  <c r="I522" i="17"/>
  <c r="I521" i="17"/>
  <c r="I520" i="17"/>
  <c r="F520" i="17"/>
  <c r="I519" i="17"/>
  <c r="I518" i="17"/>
  <c r="I517" i="17"/>
  <c r="I516" i="17"/>
  <c r="F516" i="17"/>
  <c r="I515" i="17"/>
  <c r="I514" i="17"/>
  <c r="I513" i="17"/>
  <c r="I512" i="17"/>
  <c r="I511" i="17"/>
  <c r="H510" i="17"/>
  <c r="G510" i="17"/>
  <c r="I509" i="17"/>
  <c r="I508" i="17"/>
  <c r="I507" i="17"/>
  <c r="I506" i="17"/>
  <c r="I505" i="17"/>
  <c r="H504" i="17"/>
  <c r="G504" i="17"/>
  <c r="I503" i="17"/>
  <c r="I502" i="17"/>
  <c r="I501" i="17"/>
  <c r="H500" i="17"/>
  <c r="G500" i="17"/>
  <c r="F500" i="17"/>
  <c r="I499" i="17"/>
  <c r="I498" i="17"/>
  <c r="I497" i="17"/>
  <c r="I496" i="17"/>
  <c r="F496" i="17"/>
  <c r="I489" i="17"/>
  <c r="I488" i="17"/>
  <c r="I487" i="17"/>
  <c r="I486" i="17"/>
  <c r="I485" i="17"/>
  <c r="I484" i="17"/>
  <c r="I483" i="17"/>
  <c r="I482" i="17"/>
  <c r="I481" i="17"/>
  <c r="I480" i="17"/>
  <c r="I479" i="17"/>
  <c r="I478" i="17"/>
  <c r="I477" i="17"/>
  <c r="H476" i="17"/>
  <c r="G476" i="17"/>
  <c r="I475" i="17"/>
  <c r="I474" i="17"/>
  <c r="I470" i="17"/>
  <c r="I469" i="17"/>
  <c r="I468" i="17"/>
  <c r="I467" i="17"/>
  <c r="I466" i="17"/>
  <c r="I465" i="17"/>
  <c r="H464" i="17"/>
  <c r="H490" i="17" s="1"/>
  <c r="G464" i="17"/>
  <c r="G490" i="17" s="1"/>
  <c r="S490" i="17" s="1"/>
  <c r="F464" i="17"/>
  <c r="F490" i="17" s="1"/>
  <c r="R490" i="17" s="1"/>
  <c r="I458" i="17"/>
  <c r="I457" i="17"/>
  <c r="I456" i="17"/>
  <c r="I455" i="17"/>
  <c r="I454" i="17"/>
  <c r="I453" i="17"/>
  <c r="I452" i="17"/>
  <c r="H451" i="17"/>
  <c r="G451" i="17"/>
  <c r="I450" i="17"/>
  <c r="I449" i="17"/>
  <c r="I448" i="17"/>
  <c r="H447" i="17"/>
  <c r="G447" i="17"/>
  <c r="F447" i="17"/>
  <c r="F459" i="17" s="1"/>
  <c r="R459" i="17" s="1"/>
  <c r="I446" i="17"/>
  <c r="I445" i="17"/>
  <c r="I439" i="17"/>
  <c r="I438" i="17"/>
  <c r="I437" i="17"/>
  <c r="I436" i="17"/>
  <c r="I435" i="17"/>
  <c r="I434" i="17"/>
  <c r="I433" i="17"/>
  <c r="I432" i="17"/>
  <c r="F432" i="17"/>
  <c r="I431" i="17"/>
  <c r="I430" i="17"/>
  <c r="I429" i="17"/>
  <c r="I428" i="17"/>
  <c r="I427" i="17"/>
  <c r="H426" i="17"/>
  <c r="H440" i="17" s="1"/>
  <c r="G426" i="17"/>
  <c r="G440" i="17" s="1"/>
  <c r="S440" i="17" s="1"/>
  <c r="F426" i="17"/>
  <c r="F440" i="17" s="1"/>
  <c r="R440" i="17" s="1"/>
  <c r="I425" i="17"/>
  <c r="I424" i="17"/>
  <c r="I423" i="17"/>
  <c r="I422" i="17"/>
  <c r="M417" i="17"/>
  <c r="L417" i="17"/>
  <c r="K417" i="17"/>
  <c r="I416" i="17"/>
  <c r="I415" i="17"/>
  <c r="I414" i="17"/>
  <c r="I413" i="17"/>
  <c r="I412" i="17"/>
  <c r="H411" i="17"/>
  <c r="G411" i="17"/>
  <c r="I407" i="17"/>
  <c r="I406" i="17"/>
  <c r="H405" i="17"/>
  <c r="H417" i="17" s="1"/>
  <c r="G405" i="17"/>
  <c r="F405" i="17"/>
  <c r="F417" i="17" s="1"/>
  <c r="R417" i="17" s="1"/>
  <c r="I398" i="17"/>
  <c r="I397" i="17"/>
  <c r="I396" i="17"/>
  <c r="I395" i="17"/>
  <c r="H394" i="17"/>
  <c r="H399" i="17" s="1"/>
  <c r="G394" i="17"/>
  <c r="G399" i="17" s="1"/>
  <c r="S399" i="17" s="1"/>
  <c r="F394" i="17"/>
  <c r="I393" i="17"/>
  <c r="I392" i="17"/>
  <c r="I391" i="17"/>
  <c r="I390" i="17"/>
  <c r="I389" i="17"/>
  <c r="I388" i="17"/>
  <c r="I387" i="17"/>
  <c r="I386" i="17"/>
  <c r="F386" i="17"/>
  <c r="I379" i="17"/>
  <c r="I378" i="17"/>
  <c r="I377" i="17"/>
  <c r="I376" i="17"/>
  <c r="I375" i="17"/>
  <c r="I374" i="17"/>
  <c r="I373" i="17"/>
  <c r="I372" i="17"/>
  <c r="I371" i="17"/>
  <c r="H370" i="17"/>
  <c r="H380" i="17" s="1"/>
  <c r="G370" i="17"/>
  <c r="G380" i="17" s="1"/>
  <c r="S380" i="17" s="1"/>
  <c r="F370" i="17"/>
  <c r="F380" i="17" s="1"/>
  <c r="R380" i="17" s="1"/>
  <c r="I363" i="17"/>
  <c r="I362" i="17"/>
  <c r="I361" i="17"/>
  <c r="I360" i="17"/>
  <c r="I359" i="17"/>
  <c r="I358" i="17"/>
  <c r="I357" i="17"/>
  <c r="H356" i="17"/>
  <c r="G356" i="17"/>
  <c r="I355" i="17"/>
  <c r="I354" i="17"/>
  <c r="H353" i="17"/>
  <c r="H364" i="17" s="1"/>
  <c r="G353" i="17"/>
  <c r="F353" i="17"/>
  <c r="F364" i="17" s="1"/>
  <c r="R364" i="17" s="1"/>
  <c r="H347" i="17"/>
  <c r="T347" i="17" s="1"/>
  <c r="G347" i="17"/>
  <c r="S347" i="17" s="1"/>
  <c r="I346" i="17"/>
  <c r="I345" i="17"/>
  <c r="I344" i="17"/>
  <c r="I343" i="17"/>
  <c r="I337" i="17"/>
  <c r="I336" i="17"/>
  <c r="I335" i="17"/>
  <c r="I334" i="17"/>
  <c r="F334" i="17"/>
  <c r="F347" i="17" s="1"/>
  <c r="R347" i="17" s="1"/>
  <c r="I328" i="17"/>
  <c r="I327" i="17"/>
  <c r="I326" i="17"/>
  <c r="H325" i="17"/>
  <c r="G325" i="17"/>
  <c r="I324" i="17"/>
  <c r="I323" i="17"/>
  <c r="H322" i="17"/>
  <c r="H329" i="17" s="1"/>
  <c r="G322" i="17"/>
  <c r="G329" i="17" s="1"/>
  <c r="F322" i="17"/>
  <c r="F329" i="17" s="1"/>
  <c r="I321" i="17"/>
  <c r="I320" i="17"/>
  <c r="I314" i="17"/>
  <c r="I313" i="17"/>
  <c r="I312" i="17"/>
  <c r="I311" i="17"/>
  <c r="I310" i="17"/>
  <c r="I309" i="17"/>
  <c r="I308" i="17"/>
  <c r="I307" i="17"/>
  <c r="F307" i="17"/>
  <c r="I306" i="17"/>
  <c r="I305" i="17"/>
  <c r="I304" i="17"/>
  <c r="I303" i="17"/>
  <c r="F303" i="17"/>
  <c r="I302" i="17"/>
  <c r="I301" i="17"/>
  <c r="I300" i="17"/>
  <c r="H299" i="17"/>
  <c r="G299" i="17"/>
  <c r="I297" i="17"/>
  <c r="I296" i="17"/>
  <c r="I295" i="17"/>
  <c r="H294" i="17"/>
  <c r="G294" i="17"/>
  <c r="F294" i="17"/>
  <c r="I293" i="17"/>
  <c r="I292" i="17"/>
  <c r="I291" i="17"/>
  <c r="I290" i="17"/>
  <c r="F290" i="17"/>
  <c r="I284" i="17"/>
  <c r="I283" i="17"/>
  <c r="I282" i="17"/>
  <c r="H281" i="17"/>
  <c r="H285" i="17" s="1"/>
  <c r="G281" i="17"/>
  <c r="G285" i="17" s="1"/>
  <c r="S285" i="17" s="1"/>
  <c r="I280" i="17"/>
  <c r="I279" i="17"/>
  <c r="I278" i="17"/>
  <c r="I277" i="17"/>
  <c r="I276" i="17"/>
  <c r="I275" i="17"/>
  <c r="F275" i="17"/>
  <c r="F285" i="17" s="1"/>
  <c r="R285" i="17" s="1"/>
  <c r="H270" i="17"/>
  <c r="T270" i="17" s="1"/>
  <c r="G270" i="17"/>
  <c r="S270" i="17" s="1"/>
  <c r="I269" i="17"/>
  <c r="I268" i="17"/>
  <c r="I267" i="17"/>
  <c r="I266" i="17"/>
  <c r="F266" i="17"/>
  <c r="F270" i="17" s="1"/>
  <c r="R270" i="17" s="1"/>
  <c r="I265" i="17"/>
  <c r="I264" i="17"/>
  <c r="I263" i="17"/>
  <c r="I262" i="17"/>
  <c r="I256" i="17"/>
  <c r="I255" i="17"/>
  <c r="I254" i="17"/>
  <c r="I253" i="17"/>
  <c r="H252" i="17"/>
  <c r="G252" i="17"/>
  <c r="F252" i="17"/>
  <c r="I251" i="17"/>
  <c r="I250" i="17"/>
  <c r="I249" i="17"/>
  <c r="I248" i="17"/>
  <c r="F248" i="17"/>
  <c r="I247" i="17"/>
  <c r="I246" i="17"/>
  <c r="I245" i="17"/>
  <c r="I244" i="17"/>
  <c r="F244" i="17"/>
  <c r="I243" i="17"/>
  <c r="I242" i="17"/>
  <c r="I241" i="17"/>
  <c r="I240" i="17"/>
  <c r="F240" i="17"/>
  <c r="I239" i="17"/>
  <c r="I238" i="17"/>
  <c r="I237" i="17"/>
  <c r="I236" i="17"/>
  <c r="I235" i="17"/>
  <c r="H234" i="17"/>
  <c r="G234" i="17"/>
  <c r="I233" i="17"/>
  <c r="I232" i="17"/>
  <c r="F232" i="17"/>
  <c r="I226" i="17"/>
  <c r="I225" i="17"/>
  <c r="I224" i="17"/>
  <c r="I223" i="17"/>
  <c r="I222" i="17"/>
  <c r="I221" i="17"/>
  <c r="F221" i="17"/>
  <c r="I220" i="17"/>
  <c r="I219" i="17"/>
  <c r="I218" i="17"/>
  <c r="I217" i="17"/>
  <c r="F217" i="17"/>
  <c r="I216" i="17"/>
  <c r="I215" i="17"/>
  <c r="I214" i="17"/>
  <c r="I213" i="17"/>
  <c r="F213" i="17"/>
  <c r="I212" i="17"/>
  <c r="I211" i="17"/>
  <c r="I210" i="17"/>
  <c r="I209" i="17"/>
  <c r="I208" i="17"/>
  <c r="H207" i="17"/>
  <c r="G207" i="17"/>
  <c r="I203" i="17"/>
  <c r="I202" i="17"/>
  <c r="F202" i="17"/>
  <c r="I201" i="17"/>
  <c r="I200" i="17"/>
  <c r="I199" i="17"/>
  <c r="H198" i="17"/>
  <c r="G198" i="17"/>
  <c r="I197" i="17"/>
  <c r="I196" i="17"/>
  <c r="I195" i="17"/>
  <c r="H194" i="17"/>
  <c r="G194" i="17"/>
  <c r="F194" i="17"/>
  <c r="I193" i="17"/>
  <c r="I192" i="17"/>
  <c r="I191" i="17"/>
  <c r="I190" i="17"/>
  <c r="H189" i="17"/>
  <c r="G189" i="17"/>
  <c r="F189" i="17"/>
  <c r="I183" i="17"/>
  <c r="I182" i="17"/>
  <c r="I181" i="17"/>
  <c r="I180" i="17"/>
  <c r="I179" i="17"/>
  <c r="I178" i="17"/>
  <c r="F178" i="17"/>
  <c r="I177" i="17"/>
  <c r="I176" i="17"/>
  <c r="I175" i="17"/>
  <c r="I174" i="17"/>
  <c r="I173" i="17"/>
  <c r="H172" i="17"/>
  <c r="G172" i="17"/>
  <c r="F172" i="17"/>
  <c r="I171" i="17"/>
  <c r="I170" i="17"/>
  <c r="I169" i="17"/>
  <c r="H168" i="17"/>
  <c r="G168" i="17"/>
  <c r="I167" i="17"/>
  <c r="I166" i="17"/>
  <c r="I165" i="17"/>
  <c r="H164" i="17"/>
  <c r="G164" i="17"/>
  <c r="F164" i="17"/>
  <c r="I158" i="17"/>
  <c r="I157" i="17"/>
  <c r="I156" i="17"/>
  <c r="I155" i="17"/>
  <c r="F155" i="17"/>
  <c r="I154" i="17"/>
  <c r="I153" i="17"/>
  <c r="I152" i="17"/>
  <c r="I151" i="17"/>
  <c r="F151" i="17"/>
  <c r="I150" i="17"/>
  <c r="I149" i="17"/>
  <c r="I148" i="17"/>
  <c r="I147" i="17"/>
  <c r="F147" i="17"/>
  <c r="I146" i="17"/>
  <c r="I145" i="17"/>
  <c r="I144" i="17"/>
  <c r="I143" i="17"/>
  <c r="F143" i="17"/>
  <c r="I142" i="17"/>
  <c r="I141" i="17"/>
  <c r="I140" i="17"/>
  <c r="I139" i="17"/>
  <c r="I135" i="17"/>
  <c r="I134" i="17"/>
  <c r="I133" i="17"/>
  <c r="H132" i="17"/>
  <c r="G132" i="17"/>
  <c r="I131" i="17"/>
  <c r="I130" i="17"/>
  <c r="I129" i="17"/>
  <c r="I128" i="17"/>
  <c r="I127" i="17"/>
  <c r="H126" i="17"/>
  <c r="G126" i="17"/>
  <c r="F126" i="17"/>
  <c r="I120" i="17"/>
  <c r="I119" i="17"/>
  <c r="I118" i="17"/>
  <c r="I117" i="17"/>
  <c r="I116" i="17"/>
  <c r="I115" i="17"/>
  <c r="I114" i="17"/>
  <c r="I113" i="17"/>
  <c r="F113" i="17"/>
  <c r="I112" i="17"/>
  <c r="I111" i="17"/>
  <c r="I110" i="17"/>
  <c r="H109" i="17"/>
  <c r="G109" i="17"/>
  <c r="F109" i="17"/>
  <c r="I108" i="17"/>
  <c r="I107" i="17"/>
  <c r="I106" i="17"/>
  <c r="I105" i="17"/>
  <c r="I104" i="17"/>
  <c r="I103" i="17"/>
  <c r="I102" i="17"/>
  <c r="I101" i="17"/>
  <c r="I100" i="17"/>
  <c r="H99" i="17"/>
  <c r="G99" i="17"/>
  <c r="I98" i="17"/>
  <c r="I97" i="17"/>
  <c r="H96" i="17"/>
  <c r="G96" i="17"/>
  <c r="G121" i="17" s="1"/>
  <c r="S121" i="17" s="1"/>
  <c r="F96" i="17"/>
  <c r="I95" i="17"/>
  <c r="I94" i="17"/>
  <c r="I88" i="17"/>
  <c r="I87" i="17"/>
  <c r="I86" i="17"/>
  <c r="H85" i="17"/>
  <c r="G85" i="17"/>
  <c r="F85" i="17"/>
  <c r="I84" i="17"/>
  <c r="I83" i="17"/>
  <c r="I82" i="17"/>
  <c r="H81" i="17"/>
  <c r="G81" i="17"/>
  <c r="F81" i="17"/>
  <c r="I80" i="17"/>
  <c r="I79" i="17"/>
  <c r="I78" i="17"/>
  <c r="I77" i="17"/>
  <c r="I76" i="17"/>
  <c r="H75" i="17"/>
  <c r="G75" i="17"/>
  <c r="F75" i="17"/>
  <c r="I74" i="17"/>
  <c r="H73" i="17"/>
  <c r="G73" i="17"/>
  <c r="I69" i="17"/>
  <c r="I68" i="17"/>
  <c r="I67" i="17"/>
  <c r="H66" i="17"/>
  <c r="G66" i="17"/>
  <c r="I65" i="17"/>
  <c r="I64" i="17"/>
  <c r="H63" i="17"/>
  <c r="G63" i="17"/>
  <c r="F63" i="17"/>
  <c r="I62" i="17"/>
  <c r="I61" i="17"/>
  <c r="I60" i="17"/>
  <c r="I59" i="17"/>
  <c r="I53" i="17"/>
  <c r="I52" i="17"/>
  <c r="I51" i="17"/>
  <c r="H50" i="17"/>
  <c r="G50" i="17"/>
  <c r="I49" i="17"/>
  <c r="H48" i="17"/>
  <c r="G48" i="17"/>
  <c r="F48" i="17"/>
  <c r="I47" i="17"/>
  <c r="I46" i="17"/>
  <c r="I45" i="17"/>
  <c r="I44" i="17"/>
  <c r="H43" i="17"/>
  <c r="G43" i="17"/>
  <c r="F43" i="17"/>
  <c r="I37" i="17"/>
  <c r="H36" i="17"/>
  <c r="G36" i="17"/>
  <c r="I35" i="17"/>
  <c r="I34" i="17"/>
  <c r="I33" i="17"/>
  <c r="I32" i="17"/>
  <c r="H31" i="17"/>
  <c r="H38" i="17" s="1"/>
  <c r="G31" i="17"/>
  <c r="F31" i="17"/>
  <c r="F38" i="17" s="1"/>
  <c r="R38" i="17" s="1"/>
  <c r="R26" i="17"/>
  <c r="I25" i="17"/>
  <c r="I24" i="17"/>
  <c r="I23" i="17"/>
  <c r="I22" i="17"/>
  <c r="I21" i="17"/>
  <c r="I20" i="17"/>
  <c r="I19" i="17"/>
  <c r="I18" i="17"/>
  <c r="I17" i="17"/>
  <c r="H16" i="17"/>
  <c r="G16" i="17"/>
  <c r="I15" i="17"/>
  <c r="I14" i="17"/>
  <c r="I13" i="17"/>
  <c r="H12" i="17"/>
  <c r="G12" i="17"/>
  <c r="I222" i="18" l="1"/>
  <c r="G245" i="18"/>
  <c r="H245" i="18"/>
  <c r="I243" i="18"/>
  <c r="G382" i="18"/>
  <c r="H325" i="18"/>
  <c r="I323" i="18"/>
  <c r="I368" i="18"/>
  <c r="IV368" i="18" s="1"/>
  <c r="IV370" i="18" s="1"/>
  <c r="I376" i="18"/>
  <c r="IV376" i="18" s="1"/>
  <c r="IV382" i="18" s="1"/>
  <c r="I378" i="18"/>
  <c r="IV378" i="18" s="1"/>
  <c r="H393" i="18"/>
  <c r="I390" i="18"/>
  <c r="IV390" i="18" s="1"/>
  <c r="I444" i="18"/>
  <c r="I22" i="18"/>
  <c r="I20" i="18"/>
  <c r="H102" i="18"/>
  <c r="I96" i="18"/>
  <c r="I122" i="18"/>
  <c r="G151" i="18"/>
  <c r="I147" i="18"/>
  <c r="G168" i="18"/>
  <c r="I158" i="18"/>
  <c r="I164" i="18"/>
  <c r="I175" i="18"/>
  <c r="I180" i="18"/>
  <c r="I192" i="18"/>
  <c r="I203" i="18"/>
  <c r="I208" i="18"/>
  <c r="I212" i="18"/>
  <c r="H254" i="18"/>
  <c r="I252" i="18"/>
  <c r="H307" i="18"/>
  <c r="I301" i="18"/>
  <c r="IV301" i="18" s="1"/>
  <c r="I401" i="18"/>
  <c r="G32" i="18"/>
  <c r="I32" i="18" s="1"/>
  <c r="I37" i="18"/>
  <c r="I74" i="18"/>
  <c r="G307" i="18"/>
  <c r="I307" i="18" s="1"/>
  <c r="H382" i="18"/>
  <c r="I382" i="18" s="1"/>
  <c r="I430" i="18"/>
  <c r="I40" i="18"/>
  <c r="I60" i="18"/>
  <c r="I83" i="18"/>
  <c r="G102" i="18"/>
  <c r="I102" i="18" s="1"/>
  <c r="I100" i="18"/>
  <c r="I108" i="18"/>
  <c r="I140" i="18"/>
  <c r="I161" i="18"/>
  <c r="I166" i="18"/>
  <c r="G184" i="18"/>
  <c r="K184" i="18" s="1"/>
  <c r="I182" i="18"/>
  <c r="I189" i="18"/>
  <c r="H214" i="18"/>
  <c r="I205" i="18"/>
  <c r="I210" i="18"/>
  <c r="G214" i="18"/>
  <c r="I219" i="18"/>
  <c r="I237" i="18"/>
  <c r="G254" i="18"/>
  <c r="I294" i="18"/>
  <c r="I299" i="18"/>
  <c r="IV299" i="18" s="1"/>
  <c r="IV307" i="18" s="1"/>
  <c r="I316" i="18"/>
  <c r="G325" i="18"/>
  <c r="G393" i="18"/>
  <c r="I393" i="18" s="1"/>
  <c r="I413" i="18"/>
  <c r="IV413" i="18" s="1"/>
  <c r="IV416" i="18" s="1"/>
  <c r="I423" i="18"/>
  <c r="F121" i="17"/>
  <c r="R121" i="17" s="1"/>
  <c r="G1007" i="17"/>
  <c r="S1007" i="17" s="1"/>
  <c r="H695" i="17"/>
  <c r="F1007" i="17"/>
  <c r="R1007" i="17" s="1"/>
  <c r="U2635" i="17"/>
  <c r="G89" i="17"/>
  <c r="S89" i="17" s="1"/>
  <c r="G364" i="17"/>
  <c r="S364" i="17" s="1"/>
  <c r="G38" i="17"/>
  <c r="S38" i="17" s="1"/>
  <c r="G417" i="17"/>
  <c r="S417" i="17" s="1"/>
  <c r="G567" i="17"/>
  <c r="S567" i="17" s="1"/>
  <c r="H121" i="17"/>
  <c r="T121" i="17" s="1"/>
  <c r="H621" i="17"/>
  <c r="T621" i="17" s="1"/>
  <c r="V2635" i="17"/>
  <c r="H2634" i="17"/>
  <c r="L2634" i="17" s="1"/>
  <c r="I2631" i="17"/>
  <c r="F89" i="17"/>
  <c r="R89" i="17" s="1"/>
  <c r="H89" i="17"/>
  <c r="T89" i="17" s="1"/>
  <c r="I73" i="17"/>
  <c r="I81" i="17"/>
  <c r="I99" i="17"/>
  <c r="H159" i="17"/>
  <c r="T159" i="17" s="1"/>
  <c r="I132" i="17"/>
  <c r="H459" i="17"/>
  <c r="T459" i="17" s="1"/>
  <c r="I325" i="17"/>
  <c r="I476" i="17"/>
  <c r="F530" i="17"/>
  <c r="R530" i="17" s="1"/>
  <c r="I500" i="17"/>
  <c r="I510" i="17"/>
  <c r="I592" i="17"/>
  <c r="G723" i="17"/>
  <c r="S723" i="17" s="1"/>
  <c r="I717" i="17"/>
  <c r="G844" i="17"/>
  <c r="S844" i="17" s="1"/>
  <c r="I838" i="17"/>
  <c r="G903" i="17"/>
  <c r="S903" i="17" s="1"/>
  <c r="I899" i="17"/>
  <c r="I1136" i="17"/>
  <c r="H1157" i="17"/>
  <c r="T1157" i="17" s="1"/>
  <c r="H1330" i="17"/>
  <c r="T1330" i="17" s="1"/>
  <c r="I1326" i="17"/>
  <c r="I1346" i="17"/>
  <c r="F1357" i="17"/>
  <c r="R1357" i="17" s="1"/>
  <c r="F1382" i="17"/>
  <c r="R1382" i="17" s="1"/>
  <c r="I1393" i="17"/>
  <c r="I1422" i="17"/>
  <c r="I1456" i="17"/>
  <c r="G1500" i="17"/>
  <c r="S1500" i="17" s="1"/>
  <c r="I1486" i="17"/>
  <c r="I1495" i="17"/>
  <c r="I1503" i="17"/>
  <c r="H1521" i="17"/>
  <c r="T1521" i="17" s="1"/>
  <c r="I1517" i="17"/>
  <c r="G1547" i="17"/>
  <c r="S1547" i="17" s="1"/>
  <c r="F1547" i="17"/>
  <c r="R1547" i="17" s="1"/>
  <c r="I1534" i="17"/>
  <c r="G1560" i="17"/>
  <c r="S1560" i="17" s="1"/>
  <c r="F1602" i="17"/>
  <c r="R1602" i="17" s="1"/>
  <c r="I1614" i="17"/>
  <c r="I1743" i="17"/>
  <c r="I1752" i="17"/>
  <c r="I1763" i="17"/>
  <c r="G1790" i="17"/>
  <c r="S1790" i="17" s="1"/>
  <c r="F1790" i="17"/>
  <c r="R1790" i="17" s="1"/>
  <c r="I1785" i="17"/>
  <c r="G1816" i="17"/>
  <c r="S1816" i="17" s="1"/>
  <c r="F1896" i="17"/>
  <c r="R1896" i="17" s="1"/>
  <c r="F1927" i="17"/>
  <c r="R1927" i="17" s="1"/>
  <c r="I1915" i="17"/>
  <c r="I1950" i="17"/>
  <c r="G1984" i="17"/>
  <c r="S1984" i="17" s="1"/>
  <c r="I2185" i="17"/>
  <c r="G2262" i="17"/>
  <c r="S2262" i="17" s="1"/>
  <c r="F2262" i="17"/>
  <c r="R2262" i="17" s="1"/>
  <c r="I2242" i="17"/>
  <c r="I2255" i="17"/>
  <c r="I2267" i="17"/>
  <c r="I2407" i="17"/>
  <c r="I2417" i="17"/>
  <c r="I2429" i="17"/>
  <c r="G26" i="17"/>
  <c r="S26" i="17" s="1"/>
  <c r="I16" i="17"/>
  <c r="G54" i="17"/>
  <c r="S54" i="17" s="1"/>
  <c r="I48" i="17"/>
  <c r="I168" i="17"/>
  <c r="I194" i="17"/>
  <c r="I234" i="17"/>
  <c r="H257" i="17"/>
  <c r="T257" i="17" s="1"/>
  <c r="H315" i="17"/>
  <c r="T315" i="17" s="1"/>
  <c r="I299" i="17"/>
  <c r="I356" i="17"/>
  <c r="I411" i="17"/>
  <c r="I447" i="17"/>
  <c r="F567" i="17"/>
  <c r="R567" i="17" s="1"/>
  <c r="I544" i="17"/>
  <c r="G586" i="17"/>
  <c r="S586" i="17" s="1"/>
  <c r="I578" i="17"/>
  <c r="I615" i="17"/>
  <c r="I658" i="17"/>
  <c r="G708" i="17"/>
  <c r="S708" i="17" s="1"/>
  <c r="I704" i="17"/>
  <c r="I733" i="17"/>
  <c r="G763" i="17"/>
  <c r="S763" i="17" s="1"/>
  <c r="I761" i="17"/>
  <c r="F780" i="17"/>
  <c r="R780" i="17" s="1"/>
  <c r="H780" i="17"/>
  <c r="T780" i="17" s="1"/>
  <c r="G795" i="17"/>
  <c r="S795" i="17" s="1"/>
  <c r="I789" i="17"/>
  <c r="G823" i="17"/>
  <c r="S823" i="17" s="1"/>
  <c r="I809" i="17"/>
  <c r="F823" i="17"/>
  <c r="R823" i="17" s="1"/>
  <c r="G863" i="17"/>
  <c r="S863" i="17" s="1"/>
  <c r="F890" i="17"/>
  <c r="R890" i="17" s="1"/>
  <c r="G890" i="17"/>
  <c r="S890" i="17" s="1"/>
  <c r="I886" i="17"/>
  <c r="I912" i="17"/>
  <c r="G980" i="17"/>
  <c r="S980" i="17" s="1"/>
  <c r="F980" i="17"/>
  <c r="R980" i="17" s="1"/>
  <c r="I968" i="17"/>
  <c r="I1002" i="17"/>
  <c r="F1035" i="17"/>
  <c r="R1035" i="17" s="1"/>
  <c r="H1035" i="17"/>
  <c r="T1035" i="17" s="1"/>
  <c r="I1023" i="17"/>
  <c r="I1027" i="17"/>
  <c r="I1040" i="17"/>
  <c r="F1109" i="17"/>
  <c r="R1109" i="17" s="1"/>
  <c r="H1109" i="17"/>
  <c r="T1109" i="17" s="1"/>
  <c r="I1084" i="17"/>
  <c r="I1099" i="17"/>
  <c r="G1124" i="17"/>
  <c r="S1124" i="17" s="1"/>
  <c r="I1118" i="17"/>
  <c r="G1157" i="17"/>
  <c r="S1157" i="17" s="1"/>
  <c r="G1192" i="17"/>
  <c r="S1192" i="17" s="1"/>
  <c r="I1177" i="17"/>
  <c r="I1220" i="17"/>
  <c r="F1253" i="17"/>
  <c r="R1253" i="17" s="1"/>
  <c r="I1240" i="17"/>
  <c r="I1258" i="17"/>
  <c r="I1291" i="17"/>
  <c r="G1382" i="17"/>
  <c r="S1382" i="17" s="1"/>
  <c r="I1377" i="17"/>
  <c r="H1560" i="17"/>
  <c r="T1560" i="17" s="1"/>
  <c r="H1573" i="17"/>
  <c r="T1573" i="17" s="1"/>
  <c r="I1569" i="17"/>
  <c r="I1591" i="17"/>
  <c r="I1645" i="17"/>
  <c r="I1674" i="17"/>
  <c r="H1718" i="17"/>
  <c r="T1718" i="17" s="1"/>
  <c r="I1706" i="17"/>
  <c r="H1816" i="17"/>
  <c r="I1816" i="17" s="1"/>
  <c r="F1849" i="17"/>
  <c r="J1849" i="17" s="1"/>
  <c r="I1828" i="17"/>
  <c r="I1859" i="17"/>
  <c r="H1984" i="17"/>
  <c r="T1984" i="17" s="1"/>
  <c r="G2015" i="17"/>
  <c r="S2015" i="17" s="1"/>
  <c r="I1999" i="17"/>
  <c r="I2055" i="17"/>
  <c r="I2087" i="17"/>
  <c r="I2101" i="17"/>
  <c r="H2114" i="17"/>
  <c r="T2114" i="17" s="1"/>
  <c r="I2110" i="17"/>
  <c r="I2119" i="17"/>
  <c r="I2128" i="17"/>
  <c r="I2336" i="17"/>
  <c r="H227" i="17"/>
  <c r="T227" i="17" s="1"/>
  <c r="F257" i="17"/>
  <c r="R257" i="17" s="1"/>
  <c r="H530" i="17"/>
  <c r="T530" i="17" s="1"/>
  <c r="H604" i="17"/>
  <c r="T604" i="17" s="1"/>
  <c r="G646" i="17"/>
  <c r="S646" i="17" s="1"/>
  <c r="G780" i="17"/>
  <c r="S780" i="17" s="1"/>
  <c r="I12" i="17"/>
  <c r="I36" i="17"/>
  <c r="F54" i="17"/>
  <c r="R54" i="17" s="1"/>
  <c r="H54" i="17"/>
  <c r="T54" i="17" s="1"/>
  <c r="I50" i="17"/>
  <c r="I66" i="17"/>
  <c r="I75" i="17"/>
  <c r="I85" i="17"/>
  <c r="I109" i="17"/>
  <c r="I126" i="17"/>
  <c r="F159" i="17"/>
  <c r="R159" i="17" s="1"/>
  <c r="I164" i="17"/>
  <c r="F184" i="17"/>
  <c r="R184" i="17" s="1"/>
  <c r="H184" i="17"/>
  <c r="T184" i="17" s="1"/>
  <c r="I189" i="17"/>
  <c r="I198" i="17"/>
  <c r="F227" i="17"/>
  <c r="R227" i="17" s="1"/>
  <c r="G257" i="17"/>
  <c r="S257" i="17" s="1"/>
  <c r="F315" i="17"/>
  <c r="R315" i="17" s="1"/>
  <c r="I294" i="17"/>
  <c r="F399" i="17"/>
  <c r="R399" i="17" s="1"/>
  <c r="I451" i="17"/>
  <c r="I504" i="17"/>
  <c r="I560" i="17"/>
  <c r="H586" i="17"/>
  <c r="I584" i="17"/>
  <c r="I596" i="17"/>
  <c r="I619" i="17"/>
  <c r="I639" i="17"/>
  <c r="H672" i="17"/>
  <c r="T672" i="17" s="1"/>
  <c r="G672" i="17"/>
  <c r="S672" i="17" s="1"/>
  <c r="G695" i="17"/>
  <c r="S695" i="17" s="1"/>
  <c r="H708" i="17"/>
  <c r="H723" i="17"/>
  <c r="T723" i="17" s="1"/>
  <c r="F763" i="17"/>
  <c r="R763" i="17" s="1"/>
  <c r="H763" i="17"/>
  <c r="T763" i="17" s="1"/>
  <c r="I753" i="17"/>
  <c r="I772" i="17"/>
  <c r="I778" i="17"/>
  <c r="F795" i="17"/>
  <c r="R795" i="17" s="1"/>
  <c r="H795" i="17"/>
  <c r="I795" i="17" s="1"/>
  <c r="I793" i="17"/>
  <c r="I805" i="17"/>
  <c r="I815" i="17"/>
  <c r="I832" i="17"/>
  <c r="I853" i="17"/>
  <c r="I872" i="17"/>
  <c r="F935" i="17"/>
  <c r="R935" i="17" s="1"/>
  <c r="I908" i="17"/>
  <c r="I918" i="17"/>
  <c r="I953" i="17"/>
  <c r="I963" i="17"/>
  <c r="I973" i="17"/>
  <c r="I996" i="17"/>
  <c r="G1035" i="17"/>
  <c r="S1035" i="17" s="1"/>
  <c r="I1050" i="17"/>
  <c r="I1068" i="17"/>
  <c r="G1109" i="17"/>
  <c r="S1109" i="17" s="1"/>
  <c r="I1093" i="17"/>
  <c r="I1104" i="17"/>
  <c r="H1124" i="17"/>
  <c r="T1124" i="17" s="1"/>
  <c r="I1122" i="17"/>
  <c r="G1140" i="17"/>
  <c r="S1140" i="17" s="1"/>
  <c r="I1151" i="17"/>
  <c r="F1192" i="17"/>
  <c r="R1192" i="17" s="1"/>
  <c r="H1192" i="17"/>
  <c r="T1192" i="17" s="1"/>
  <c r="I1172" i="17"/>
  <c r="I1180" i="17"/>
  <c r="I1212" i="17"/>
  <c r="G935" i="17"/>
  <c r="S935" i="17" s="1"/>
  <c r="F1075" i="17"/>
  <c r="R1075" i="17" s="1"/>
  <c r="H1075" i="17"/>
  <c r="T1075" i="17" s="1"/>
  <c r="F1140" i="17"/>
  <c r="R1140" i="17" s="1"/>
  <c r="G1227" i="17"/>
  <c r="S1227" i="17" s="1"/>
  <c r="G1896" i="17"/>
  <c r="S1896" i="17" s="1"/>
  <c r="G2039" i="17"/>
  <c r="K2039" i="17" s="1"/>
  <c r="H2175" i="17"/>
  <c r="T2175" i="17" s="1"/>
  <c r="F2233" i="17"/>
  <c r="R2233" i="17" s="1"/>
  <c r="H2233" i="17"/>
  <c r="T2233" i="17" s="1"/>
  <c r="G1253" i="17"/>
  <c r="S1253" i="17" s="1"/>
  <c r="I1265" i="17"/>
  <c r="G1330" i="17"/>
  <c r="S1330" i="17" s="1"/>
  <c r="I1340" i="17"/>
  <c r="I1351" i="17"/>
  <c r="I1373" i="17"/>
  <c r="I1398" i="17"/>
  <c r="I1427" i="17"/>
  <c r="I1451" i="17"/>
  <c r="I1470" i="17"/>
  <c r="I1481" i="17"/>
  <c r="F1500" i="17"/>
  <c r="R1500" i="17" s="1"/>
  <c r="I1490" i="17"/>
  <c r="G1521" i="17"/>
  <c r="S1521" i="17" s="1"/>
  <c r="I1530" i="17"/>
  <c r="I1556" i="17"/>
  <c r="G1573" i="17"/>
  <c r="S1573" i="17" s="1"/>
  <c r="I1587" i="17"/>
  <c r="I1655" i="17"/>
  <c r="F1694" i="17"/>
  <c r="R1694" i="17" s="1"/>
  <c r="G1694" i="17"/>
  <c r="S1694" i="17" s="1"/>
  <c r="I1682" i="17"/>
  <c r="I1701" i="17"/>
  <c r="I1712" i="17"/>
  <c r="G1718" i="17"/>
  <c r="S1718" i="17" s="1"/>
  <c r="G1745" i="17"/>
  <c r="S1745" i="17" s="1"/>
  <c r="I1759" i="17"/>
  <c r="I1779" i="17"/>
  <c r="I1802" i="17"/>
  <c r="I1885" i="17"/>
  <c r="I1911" i="17"/>
  <c r="I1944" i="17"/>
  <c r="F1965" i="17"/>
  <c r="R1965" i="17" s="1"/>
  <c r="I1955" i="17"/>
  <c r="I1976" i="17"/>
  <c r="I1987" i="17"/>
  <c r="F2015" i="17"/>
  <c r="R2015" i="17" s="1"/>
  <c r="H2015" i="17"/>
  <c r="T2015" i="17" s="1"/>
  <c r="I1995" i="17"/>
  <c r="I2010" i="17"/>
  <c r="F2039" i="17"/>
  <c r="J2039" i="17" s="1"/>
  <c r="I2030" i="17"/>
  <c r="F2067" i="17"/>
  <c r="R2067" i="17" s="1"/>
  <c r="H2067" i="17"/>
  <c r="T2067" i="17" s="1"/>
  <c r="I2049" i="17"/>
  <c r="I2060" i="17"/>
  <c r="F2098" i="17"/>
  <c r="J2098" i="17" s="1"/>
  <c r="H2098" i="17"/>
  <c r="L2098" i="17" s="1"/>
  <c r="G2098" i="17"/>
  <c r="S2098" i="17" s="1"/>
  <c r="I2093" i="17"/>
  <c r="G2114" i="17"/>
  <c r="S2114" i="17" s="1"/>
  <c r="H2153" i="17"/>
  <c r="T2153" i="17" s="1"/>
  <c r="F2153" i="17"/>
  <c r="R2153" i="17" s="1"/>
  <c r="I2134" i="17"/>
  <c r="I2160" i="17"/>
  <c r="I2189" i="17"/>
  <c r="I2210" i="17"/>
  <c r="I2227" i="17"/>
  <c r="H2262" i="17"/>
  <c r="T2262" i="17" s="1"/>
  <c r="I2250" i="17"/>
  <c r="G2634" i="17"/>
  <c r="S2634" i="17" s="1"/>
  <c r="I51" i="18"/>
  <c r="I12" i="18"/>
  <c r="I10" i="18"/>
  <c r="I17" i="18"/>
  <c r="I30" i="18"/>
  <c r="H42" i="18"/>
  <c r="I42" i="18" s="1"/>
  <c r="I47" i="18"/>
  <c r="I92" i="18"/>
  <c r="H113" i="18"/>
  <c r="I113" i="18" s="1"/>
  <c r="I119" i="18"/>
  <c r="H129" i="18"/>
  <c r="I129" i="18" s="1"/>
  <c r="I137" i="18"/>
  <c r="H151" i="18"/>
  <c r="I151" i="18" s="1"/>
  <c r="H184" i="18"/>
  <c r="I173" i="18"/>
  <c r="I178" i="18"/>
  <c r="H194" i="18"/>
  <c r="I194" i="18" s="1"/>
  <c r="I235" i="18"/>
  <c r="I250" i="18"/>
  <c r="I259" i="18"/>
  <c r="I268" i="18"/>
  <c r="I277" i="18"/>
  <c r="I284" i="18"/>
  <c r="I291" i="18"/>
  <c r="IV291" i="18" s="1"/>
  <c r="IV294" i="18" s="1"/>
  <c r="I312" i="18"/>
  <c r="IV312" i="18" s="1"/>
  <c r="IV316" i="18" s="1"/>
  <c r="I362" i="18"/>
  <c r="I27" i="18"/>
  <c r="I56" i="18"/>
  <c r="I70" i="18"/>
  <c r="I79" i="18"/>
  <c r="I89" i="18"/>
  <c r="H168" i="18"/>
  <c r="I168" i="18" s="1"/>
  <c r="I156" i="18"/>
  <c r="H230" i="18"/>
  <c r="I230" i="18" s="1"/>
  <c r="I261" i="18"/>
  <c r="I272" i="18"/>
  <c r="I279" i="18"/>
  <c r="I286" i="18"/>
  <c r="I321" i="18"/>
  <c r="IV321" i="18" s="1"/>
  <c r="IV325" i="18" s="1"/>
  <c r="I339" i="18"/>
  <c r="I346" i="18"/>
  <c r="I354" i="18"/>
  <c r="I408" i="18"/>
  <c r="I335" i="18"/>
  <c r="IV335" i="18" s="1"/>
  <c r="IV339" i="18" s="1"/>
  <c r="I344" i="18"/>
  <c r="IV344" i="18" s="1"/>
  <c r="IV346" i="18" s="1"/>
  <c r="I352" i="18"/>
  <c r="IV352" i="18" s="1"/>
  <c r="IV354" i="18" s="1"/>
  <c r="I360" i="18"/>
  <c r="IV360" i="18" s="1"/>
  <c r="IV362" i="18" s="1"/>
  <c r="H370" i="18"/>
  <c r="I370" i="18" s="1"/>
  <c r="I387" i="18"/>
  <c r="IV387" i="18" s="1"/>
  <c r="IV393" i="18" s="1"/>
  <c r="I406" i="18"/>
  <c r="IV406" i="18" s="1"/>
  <c r="IV408" i="18" s="1"/>
  <c r="H416" i="18"/>
  <c r="I416" i="18" s="1"/>
  <c r="I435" i="18"/>
  <c r="IV435" i="18" s="1"/>
  <c r="IV437" i="18" s="1"/>
  <c r="I380" i="18"/>
  <c r="IV380" i="18" s="1"/>
  <c r="I398" i="18"/>
  <c r="IV398" i="18" s="1"/>
  <c r="IV401" i="18" s="1"/>
  <c r="I421" i="18"/>
  <c r="I428" i="18"/>
  <c r="IV428" i="18" s="1"/>
  <c r="IV430" i="18" s="1"/>
  <c r="I437" i="18"/>
  <c r="I442" i="18"/>
  <c r="IV442" i="18" s="1"/>
  <c r="IV444" i="18" s="1"/>
  <c r="K329" i="17"/>
  <c r="S329" i="17"/>
  <c r="T417" i="17"/>
  <c r="I417" i="17"/>
  <c r="T646" i="17"/>
  <c r="T739" i="17"/>
  <c r="I739" i="17"/>
  <c r="T38" i="17"/>
  <c r="I285" i="17"/>
  <c r="T285" i="17"/>
  <c r="R329" i="17"/>
  <c r="J329" i="17"/>
  <c r="T329" i="17"/>
  <c r="I329" i="17"/>
  <c r="L329" i="17"/>
  <c r="I364" i="17"/>
  <c r="T364" i="17"/>
  <c r="I380" i="17"/>
  <c r="T380" i="17"/>
  <c r="I399" i="17"/>
  <c r="T399" i="17"/>
  <c r="T440" i="17"/>
  <c r="I440" i="17"/>
  <c r="I490" i="17"/>
  <c r="T490" i="17"/>
  <c r="T567" i="17"/>
  <c r="T695" i="17"/>
  <c r="H26" i="17"/>
  <c r="I31" i="17"/>
  <c r="I43" i="17"/>
  <c r="I63" i="17"/>
  <c r="I96" i="17"/>
  <c r="G159" i="17"/>
  <c r="S159" i="17" s="1"/>
  <c r="I172" i="17"/>
  <c r="G184" i="17"/>
  <c r="S184" i="17" s="1"/>
  <c r="I207" i="17"/>
  <c r="G227" i="17"/>
  <c r="S227" i="17" s="1"/>
  <c r="I281" i="17"/>
  <c r="G315" i="17"/>
  <c r="S315" i="17" s="1"/>
  <c r="I347" i="17"/>
  <c r="I370" i="17"/>
  <c r="I405" i="17"/>
  <c r="I426" i="17"/>
  <c r="G459" i="17"/>
  <c r="S459" i="17" s="1"/>
  <c r="G530" i="17"/>
  <c r="S530" i="17" s="1"/>
  <c r="I572" i="17"/>
  <c r="G604" i="17"/>
  <c r="S604" i="17" s="1"/>
  <c r="I626" i="17"/>
  <c r="I651" i="17"/>
  <c r="I680" i="17"/>
  <c r="I700" i="17"/>
  <c r="I713" i="17"/>
  <c r="I728" i="17"/>
  <c r="I742" i="17"/>
  <c r="I768" i="17"/>
  <c r="I785" i="17"/>
  <c r="I800" i="17"/>
  <c r="F844" i="17"/>
  <c r="R844" i="17" s="1"/>
  <c r="H844" i="17"/>
  <c r="H863" i="17"/>
  <c r="I849" i="17"/>
  <c r="H890" i="17"/>
  <c r="I868" i="17"/>
  <c r="I924" i="17"/>
  <c r="T1007" i="17"/>
  <c r="S1849" i="17"/>
  <c r="K1849" i="17"/>
  <c r="I252" i="17"/>
  <c r="I270" i="17"/>
  <c r="I322" i="17"/>
  <c r="I353" i="17"/>
  <c r="I394" i="17"/>
  <c r="I464" i="17"/>
  <c r="I536" i="17"/>
  <c r="I610" i="17"/>
  <c r="I633" i="17"/>
  <c r="I687" i="17"/>
  <c r="I749" i="17"/>
  <c r="I776" i="17"/>
  <c r="H823" i="17"/>
  <c r="I828" i="17"/>
  <c r="H903" i="17"/>
  <c r="I895" i="17"/>
  <c r="H935" i="17"/>
  <c r="I940" i="17"/>
  <c r="H980" i="17"/>
  <c r="I957" i="17"/>
  <c r="T1140" i="17"/>
  <c r="I988" i="17"/>
  <c r="I1012" i="17"/>
  <c r="I1063" i="17"/>
  <c r="G1075" i="17"/>
  <c r="S1075" i="17" s="1"/>
  <c r="I1114" i="17"/>
  <c r="I1129" i="17"/>
  <c r="I1147" i="17"/>
  <c r="I1203" i="17"/>
  <c r="I1236" i="17"/>
  <c r="G1357" i="17"/>
  <c r="S1357" i="17" s="1"/>
  <c r="I1335" i="17"/>
  <c r="H1357" i="17"/>
  <c r="I1364" i="17"/>
  <c r="H1382" i="17"/>
  <c r="I1389" i="17"/>
  <c r="H1438" i="17"/>
  <c r="H1446" i="17"/>
  <c r="I1443" i="17"/>
  <c r="H1476" i="17"/>
  <c r="H1500" i="17"/>
  <c r="W1503" i="17"/>
  <c r="I1513" i="17"/>
  <c r="I1565" i="17"/>
  <c r="F1660" i="17"/>
  <c r="R1660" i="17" s="1"/>
  <c r="G1660" i="17"/>
  <c r="S1660" i="17" s="1"/>
  <c r="H1694" i="17"/>
  <c r="H1745" i="17"/>
  <c r="I1726" i="17"/>
  <c r="I1823" i="17"/>
  <c r="I1856" i="17"/>
  <c r="H1873" i="17"/>
  <c r="H1896" i="17"/>
  <c r="I1880" i="17"/>
  <c r="I1889" i="17"/>
  <c r="H1927" i="17"/>
  <c r="I1907" i="17"/>
  <c r="H2039" i="17"/>
  <c r="I2021" i="17"/>
  <c r="I993" i="17"/>
  <c r="I1080" i="17"/>
  <c r="I1132" i="17"/>
  <c r="I1160" i="17"/>
  <c r="H1227" i="17"/>
  <c r="I1197" i="17"/>
  <c r="H1253" i="17"/>
  <c r="I1233" i="17"/>
  <c r="H1283" i="17"/>
  <c r="I1288" i="17"/>
  <c r="H1317" i="17"/>
  <c r="I1322" i="17"/>
  <c r="I1414" i="17"/>
  <c r="I1417" i="17"/>
  <c r="H1460" i="17"/>
  <c r="I1465" i="17"/>
  <c r="I1526" i="17"/>
  <c r="H1547" i="17"/>
  <c r="I1552" i="17"/>
  <c r="I1584" i="17"/>
  <c r="H1602" i="17"/>
  <c r="I1609" i="17"/>
  <c r="H1626" i="17"/>
  <c r="H1660" i="17"/>
  <c r="I1637" i="17"/>
  <c r="I1669" i="17"/>
  <c r="I1738" i="17"/>
  <c r="H1768" i="17"/>
  <c r="I1775" i="17"/>
  <c r="H1790" i="17"/>
  <c r="I1796" i="17"/>
  <c r="H1849" i="17"/>
  <c r="J1873" i="17"/>
  <c r="S1873" i="17"/>
  <c r="T1965" i="17"/>
  <c r="I1972" i="17"/>
  <c r="G2067" i="17"/>
  <c r="S2067" i="17" s="1"/>
  <c r="I2083" i="17"/>
  <c r="W2101" i="17"/>
  <c r="I2106" i="17"/>
  <c r="I2281" i="17"/>
  <c r="T2281" i="17"/>
  <c r="I2312" i="17"/>
  <c r="T2312" i="17"/>
  <c r="I2363" i="17"/>
  <c r="T2363" i="17"/>
  <c r="I2392" i="17"/>
  <c r="T2392" i="17"/>
  <c r="G1927" i="17"/>
  <c r="S1927" i="17" s="1"/>
  <c r="I1920" i="17"/>
  <c r="G1965" i="17"/>
  <c r="S1965" i="17" s="1"/>
  <c r="I1939" i="17"/>
  <c r="W1987" i="17"/>
  <c r="I1992" i="17"/>
  <c r="I2026" i="17"/>
  <c r="I2045" i="17"/>
  <c r="I2202" i="17"/>
  <c r="T2202" i="17"/>
  <c r="T2293" i="17"/>
  <c r="I2293" i="17"/>
  <c r="T2322" i="17"/>
  <c r="I2322" i="17"/>
  <c r="T2373" i="17"/>
  <c r="I2373" i="17"/>
  <c r="T2402" i="17"/>
  <c r="I2402" i="17"/>
  <c r="I2124" i="17"/>
  <c r="G2153" i="17"/>
  <c r="S2153" i="17" s="1"/>
  <c r="I2163" i="17"/>
  <c r="G2175" i="17"/>
  <c r="S2175" i="17" s="1"/>
  <c r="I2221" i="17"/>
  <c r="G2233" i="17"/>
  <c r="S2233" i="17" s="1"/>
  <c r="I2238" i="17"/>
  <c r="G2271" i="17"/>
  <c r="S2271" i="17" s="1"/>
  <c r="I2288" i="17"/>
  <c r="I2302" i="17"/>
  <c r="I2317" i="17"/>
  <c r="I2331" i="17"/>
  <c r="G2342" i="17"/>
  <c r="S2342" i="17" s="1"/>
  <c r="I2351" i="17"/>
  <c r="I2368" i="17"/>
  <c r="I2382" i="17"/>
  <c r="I2397" i="17"/>
  <c r="G2412" i="17"/>
  <c r="G2434" i="17"/>
  <c r="T2587" i="17"/>
  <c r="I2587" i="17"/>
  <c r="T2622" i="17"/>
  <c r="I2622" i="17"/>
  <c r="I2180" i="17"/>
  <c r="I2276" i="17"/>
  <c r="I2307" i="17"/>
  <c r="I2358" i="17"/>
  <c r="I2387" i="17"/>
  <c r="H2422" i="17"/>
  <c r="I2451" i="17"/>
  <c r="T2451" i="17"/>
  <c r="I2461" i="17"/>
  <c r="T2461" i="17"/>
  <c r="I2473" i="17"/>
  <c r="T2473" i="17"/>
  <c r="I2485" i="17"/>
  <c r="T2485" i="17"/>
  <c r="I2495" i="17"/>
  <c r="T2495" i="17"/>
  <c r="T2508" i="17"/>
  <c r="I2508" i="17"/>
  <c r="I2520" i="17"/>
  <c r="T2520" i="17"/>
  <c r="I2530" i="17"/>
  <c r="T2530" i="17"/>
  <c r="T2541" i="17"/>
  <c r="I2541" i="17"/>
  <c r="I2577" i="17"/>
  <c r="T2577" i="17"/>
  <c r="I2608" i="17"/>
  <c r="T2608" i="17"/>
  <c r="R2634" i="17"/>
  <c r="J2634" i="17"/>
  <c r="I2501" i="17"/>
  <c r="I2551" i="17"/>
  <c r="I2561" i="17"/>
  <c r="I2582" i="17"/>
  <c r="I2596" i="17"/>
  <c r="I2613" i="17"/>
  <c r="I2572" i="17"/>
  <c r="I2603" i="17"/>
  <c r="I2627" i="17"/>
  <c r="K17" i="31"/>
  <c r="J394" i="20"/>
  <c r="G389" i="20"/>
  <c r="H14" i="31" s="1"/>
  <c r="I245" i="18" l="1"/>
  <c r="I254" i="18"/>
  <c r="K437" i="18"/>
  <c r="K444" i="18" s="1"/>
  <c r="I325" i="18"/>
  <c r="I214" i="18"/>
  <c r="I1007" i="17"/>
  <c r="I780" i="17"/>
  <c r="I695" i="17"/>
  <c r="T2634" i="17"/>
  <c r="R2098" i="17"/>
  <c r="S2039" i="17"/>
  <c r="I1718" i="17"/>
  <c r="I1330" i="17"/>
  <c r="K2634" i="17"/>
  <c r="I2114" i="17"/>
  <c r="R2039" i="17"/>
  <c r="K2098" i="17"/>
  <c r="T1816" i="17"/>
  <c r="I621" i="17"/>
  <c r="I567" i="17"/>
  <c r="I723" i="17"/>
  <c r="I257" i="17"/>
  <c r="I2634" i="17"/>
  <c r="I38" i="17"/>
  <c r="I708" i="17"/>
  <c r="I586" i="17"/>
  <c r="I121" i="17"/>
  <c r="I1124" i="17"/>
  <c r="I2262" i="17"/>
  <c r="R1849" i="17"/>
  <c r="I763" i="17"/>
  <c r="I1157" i="17"/>
  <c r="I1984" i="17"/>
  <c r="I1560" i="17"/>
  <c r="I54" i="17"/>
  <c r="I646" i="17"/>
  <c r="I1109" i="17"/>
  <c r="I2342" i="17"/>
  <c r="I2271" i="17"/>
  <c r="T2098" i="17"/>
  <c r="I2015" i="17"/>
  <c r="I1192" i="17"/>
  <c r="I2098" i="17"/>
  <c r="I1140" i="17"/>
  <c r="I1035" i="17"/>
  <c r="T795" i="17"/>
  <c r="I604" i="17"/>
  <c r="T708" i="17"/>
  <c r="T586" i="17"/>
  <c r="R2635" i="17"/>
  <c r="R2642" i="17" s="1"/>
  <c r="R2653" i="17" s="1"/>
  <c r="I159" i="17"/>
  <c r="I89" i="17"/>
  <c r="I672" i="17"/>
  <c r="I1573" i="17"/>
  <c r="I1521" i="17"/>
  <c r="L437" i="18"/>
  <c r="I184" i="18"/>
  <c r="L184" i="18"/>
  <c r="I1790" i="17"/>
  <c r="T1790" i="17"/>
  <c r="I1768" i="17"/>
  <c r="T1768" i="17"/>
  <c r="T1660" i="17"/>
  <c r="I1660" i="17"/>
  <c r="I1965" i="17"/>
  <c r="I1927" i="17"/>
  <c r="T1927" i="17"/>
  <c r="T1873" i="17"/>
  <c r="I1873" i="17"/>
  <c r="L1873" i="17"/>
  <c r="T1745" i="17"/>
  <c r="I1745" i="17"/>
  <c r="I1694" i="17"/>
  <c r="T1694" i="17"/>
  <c r="I1500" i="17"/>
  <c r="T1500" i="17"/>
  <c r="I1438" i="17"/>
  <c r="T1438" i="17"/>
  <c r="I1382" i="17"/>
  <c r="T1382" i="17"/>
  <c r="I1357" i="17"/>
  <c r="T1357" i="17"/>
  <c r="I1075" i="17"/>
  <c r="T844" i="17"/>
  <c r="I844" i="17"/>
  <c r="I530" i="17"/>
  <c r="I459" i="17"/>
  <c r="I315" i="17"/>
  <c r="T26" i="17"/>
  <c r="I26" i="17"/>
  <c r="I184" i="17"/>
  <c r="I2422" i="17"/>
  <c r="T2422" i="17"/>
  <c r="I2434" i="17"/>
  <c r="S2434" i="17"/>
  <c r="L1849" i="17"/>
  <c r="I1849" i="17"/>
  <c r="T1849" i="17"/>
  <c r="I2412" i="17"/>
  <c r="S2412" i="17"/>
  <c r="I2233" i="17"/>
  <c r="I2175" i="17"/>
  <c r="I2153" i="17"/>
  <c r="I2067" i="17"/>
  <c r="I1626" i="17"/>
  <c r="T1626" i="17"/>
  <c r="I1602" i="17"/>
  <c r="T1602" i="17"/>
  <c r="I1547" i="17"/>
  <c r="T1547" i="17"/>
  <c r="I1460" i="17"/>
  <c r="T1460" i="17"/>
  <c r="I1317" i="17"/>
  <c r="T1317" i="17"/>
  <c r="I1283" i="17"/>
  <c r="T1283" i="17"/>
  <c r="T1253" i="17"/>
  <c r="I1253" i="17"/>
  <c r="T1227" i="17"/>
  <c r="I1227" i="17"/>
  <c r="L2039" i="17"/>
  <c r="T2039" i="17"/>
  <c r="I2039" i="17"/>
  <c r="T1896" i="17"/>
  <c r="I1896" i="17"/>
  <c r="T1476" i="17"/>
  <c r="I1476" i="17"/>
  <c r="W1446" i="17"/>
  <c r="W2635" i="17" s="1"/>
  <c r="I1446" i="17"/>
  <c r="T980" i="17"/>
  <c r="I980" i="17"/>
  <c r="I935" i="17"/>
  <c r="T935" i="17"/>
  <c r="T903" i="17"/>
  <c r="I903" i="17"/>
  <c r="I823" i="17"/>
  <c r="T823" i="17"/>
  <c r="T890" i="17"/>
  <c r="I890" i="17"/>
  <c r="T863" i="17"/>
  <c r="I863" i="17"/>
  <c r="I227" i="17"/>
  <c r="S2635" i="17" l="1"/>
  <c r="S2642" i="17" s="1"/>
  <c r="S2653" i="17" s="1"/>
  <c r="L444" i="18"/>
  <c r="T2635" i="17"/>
  <c r="T2642" i="17" s="1"/>
  <c r="T2653" i="17" s="1"/>
  <c r="I19" i="20"/>
  <c r="E19" i="20"/>
  <c r="I8" i="20"/>
  <c r="L117" i="54"/>
  <c r="G118" i="54" s="1"/>
  <c r="G53" i="52"/>
  <c r="G10" i="97"/>
  <c r="G20" i="97"/>
  <c r="K144" i="20" l="1"/>
  <c r="K119" i="20"/>
  <c r="K51" i="20" l="1"/>
  <c r="G135" i="9"/>
  <c r="M357" i="20" l="1"/>
  <c r="L357" i="20"/>
  <c r="K63" i="20" l="1"/>
  <c r="M144" i="20"/>
  <c r="G60" i="183"/>
  <c r="G71" i="183"/>
  <c r="G70" i="183"/>
  <c r="L147" i="20" l="1"/>
  <c r="M121" i="20"/>
  <c r="L121" i="20"/>
  <c r="L53" i="20"/>
  <c r="K145" i="20"/>
  <c r="L144" i="20"/>
  <c r="L122" i="20"/>
  <c r="K121" i="20"/>
  <c r="M120" i="20"/>
  <c r="L120" i="20"/>
  <c r="F195" i="7"/>
  <c r="F270" i="7"/>
  <c r="D78" i="20"/>
  <c r="H76" i="20"/>
  <c r="K120" i="20" l="1"/>
  <c r="H328" i="20"/>
  <c r="I328" i="20"/>
  <c r="H327" i="20"/>
  <c r="H339" i="20" s="1"/>
  <c r="I327" i="20"/>
  <c r="I339" i="20" s="1"/>
  <c r="H326" i="20"/>
  <c r="H338" i="20" s="1"/>
  <c r="H340" i="20" s="1"/>
  <c r="I326" i="20"/>
  <c r="I338" i="20" s="1"/>
  <c r="I340" i="20" s="1"/>
  <c r="G327" i="20"/>
  <c r="G339" i="20" s="1"/>
  <c r="G328" i="20"/>
  <c r="G326" i="20"/>
  <c r="G338" i="20" s="1"/>
  <c r="G340" i="20" s="1"/>
  <c r="D328" i="20"/>
  <c r="E328" i="20"/>
  <c r="D327" i="20"/>
  <c r="E327" i="20"/>
  <c r="D326" i="20"/>
  <c r="E326" i="20"/>
  <c r="C327" i="20"/>
  <c r="C328" i="20"/>
  <c r="C326" i="20"/>
  <c r="H316" i="20"/>
  <c r="I316" i="20"/>
  <c r="H315" i="20"/>
  <c r="I315" i="20"/>
  <c r="H314" i="20"/>
  <c r="I314" i="20"/>
  <c r="G315" i="20"/>
  <c r="G316" i="20"/>
  <c r="G314" i="20"/>
  <c r="D316" i="20"/>
  <c r="E316" i="20"/>
  <c r="D315" i="20"/>
  <c r="E315" i="20"/>
  <c r="D314" i="20"/>
  <c r="E314" i="20"/>
  <c r="C315" i="20"/>
  <c r="C316" i="20"/>
  <c r="C314" i="20"/>
  <c r="H311" i="20"/>
  <c r="I311" i="20"/>
  <c r="H310" i="20"/>
  <c r="I310" i="20"/>
  <c r="H309" i="20"/>
  <c r="I309" i="20"/>
  <c r="G310" i="20"/>
  <c r="G311" i="20"/>
  <c r="G309" i="20"/>
  <c r="D311" i="20"/>
  <c r="E311" i="20"/>
  <c r="D310" i="20"/>
  <c r="E310" i="20"/>
  <c r="D309" i="20"/>
  <c r="E309" i="20"/>
  <c r="C310" i="20"/>
  <c r="C311" i="20"/>
  <c r="C309" i="20"/>
  <c r="H306" i="20"/>
  <c r="I306" i="20"/>
  <c r="H305" i="20"/>
  <c r="I305" i="20"/>
  <c r="H304" i="20"/>
  <c r="I304" i="20"/>
  <c r="G305" i="20"/>
  <c r="G306" i="20"/>
  <c r="G304" i="20"/>
  <c r="D306" i="20"/>
  <c r="E306" i="20"/>
  <c r="D305" i="20"/>
  <c r="E305" i="20"/>
  <c r="D304" i="20"/>
  <c r="E304" i="20"/>
  <c r="C305" i="20"/>
  <c r="C306" i="20"/>
  <c r="C304" i="20"/>
  <c r="H300" i="20"/>
  <c r="I300" i="20"/>
  <c r="H299" i="20"/>
  <c r="I299" i="20"/>
  <c r="H298" i="20"/>
  <c r="I298" i="20"/>
  <c r="G299" i="20"/>
  <c r="G300" i="20"/>
  <c r="G298" i="20"/>
  <c r="D300" i="20"/>
  <c r="E300" i="20"/>
  <c r="D299" i="20"/>
  <c r="E299" i="20"/>
  <c r="C299" i="20"/>
  <c r="C300" i="20"/>
  <c r="C298" i="20"/>
  <c r="H312" i="20" l="1"/>
  <c r="I307" i="20"/>
  <c r="D312" i="20"/>
  <c r="I312" i="20"/>
  <c r="C324" i="20"/>
  <c r="D324" i="20"/>
  <c r="I324" i="20"/>
  <c r="F304" i="20"/>
  <c r="G307" i="20"/>
  <c r="H307" i="20"/>
  <c r="H324" i="20"/>
  <c r="C307" i="20"/>
  <c r="D307" i="20"/>
  <c r="E312" i="20"/>
  <c r="G312" i="20"/>
  <c r="F326" i="20"/>
  <c r="F309" i="20"/>
  <c r="C312" i="20"/>
  <c r="G324" i="20"/>
  <c r="E307" i="20"/>
  <c r="F314" i="20"/>
  <c r="E324" i="20"/>
  <c r="H295" i="20"/>
  <c r="I295" i="20"/>
  <c r="H294" i="20"/>
  <c r="I294" i="20"/>
  <c r="H293" i="20"/>
  <c r="I293" i="20"/>
  <c r="G294" i="20"/>
  <c r="G295" i="20"/>
  <c r="G293" i="20"/>
  <c r="D295" i="20"/>
  <c r="E295" i="20"/>
  <c r="D294" i="20"/>
  <c r="E294" i="20"/>
  <c r="D293" i="20"/>
  <c r="E293" i="20"/>
  <c r="C294" i="20"/>
  <c r="C295" i="20"/>
  <c r="C293" i="20"/>
  <c r="H290" i="20"/>
  <c r="I290" i="20"/>
  <c r="H289" i="20"/>
  <c r="I289" i="20"/>
  <c r="H288" i="20"/>
  <c r="I288" i="20"/>
  <c r="G289" i="20"/>
  <c r="G290" i="20"/>
  <c r="G288" i="20"/>
  <c r="D290" i="20"/>
  <c r="E290" i="20"/>
  <c r="D289" i="20"/>
  <c r="E289" i="20"/>
  <c r="D288" i="20"/>
  <c r="E288" i="20"/>
  <c r="C289" i="20"/>
  <c r="C290" i="20"/>
  <c r="C288" i="20"/>
  <c r="H284" i="20"/>
  <c r="I284" i="20"/>
  <c r="H283" i="20"/>
  <c r="I283" i="20"/>
  <c r="H282" i="20"/>
  <c r="I282" i="20"/>
  <c r="G283" i="20"/>
  <c r="G284" i="20"/>
  <c r="G282" i="20"/>
  <c r="D284" i="20"/>
  <c r="E284" i="20"/>
  <c r="D283" i="20"/>
  <c r="E283" i="20"/>
  <c r="C283" i="20"/>
  <c r="C284" i="20"/>
  <c r="E282" i="20"/>
  <c r="C282" i="20"/>
  <c r="H279" i="20"/>
  <c r="I279" i="20"/>
  <c r="H278" i="20"/>
  <c r="I278" i="20"/>
  <c r="H277" i="20"/>
  <c r="I277" i="20"/>
  <c r="G278" i="20"/>
  <c r="G279" i="20"/>
  <c r="G277" i="20"/>
  <c r="D279" i="20"/>
  <c r="E279" i="20"/>
  <c r="C279" i="20"/>
  <c r="F293" i="20" l="1"/>
  <c r="H274" i="20"/>
  <c r="I274" i="20"/>
  <c r="H273" i="20"/>
  <c r="I273" i="20"/>
  <c r="H272" i="20"/>
  <c r="I272" i="20"/>
  <c r="G273" i="20"/>
  <c r="G274" i="20"/>
  <c r="G272" i="20"/>
  <c r="D274" i="20"/>
  <c r="E274" i="20"/>
  <c r="D273" i="20"/>
  <c r="E273" i="20"/>
  <c r="D272" i="20"/>
  <c r="E272" i="20"/>
  <c r="C273" i="20"/>
  <c r="C274" i="20"/>
  <c r="C272" i="20"/>
  <c r="H269" i="20"/>
  <c r="I269" i="20"/>
  <c r="H268" i="20"/>
  <c r="I268" i="20"/>
  <c r="H267" i="20"/>
  <c r="I267" i="20"/>
  <c r="G268" i="20"/>
  <c r="G269" i="20"/>
  <c r="G267" i="20"/>
  <c r="D269" i="20"/>
  <c r="C269" i="20"/>
  <c r="H256" i="20"/>
  <c r="I256" i="20"/>
  <c r="H255" i="20"/>
  <c r="I255" i="20"/>
  <c r="I254" i="20"/>
  <c r="H254" i="20"/>
  <c r="G255" i="20"/>
  <c r="G256" i="20"/>
  <c r="G254" i="20"/>
  <c r="D256" i="20"/>
  <c r="E256" i="20"/>
  <c r="D255" i="20"/>
  <c r="E255" i="20"/>
  <c r="D254" i="20"/>
  <c r="E254" i="20"/>
  <c r="C255" i="20"/>
  <c r="C256" i="20"/>
  <c r="C254" i="20"/>
  <c r="H251" i="20"/>
  <c r="I251" i="20"/>
  <c r="H250" i="20"/>
  <c r="H249" i="20"/>
  <c r="G250" i="20"/>
  <c r="G251" i="20"/>
  <c r="G249" i="20"/>
  <c r="H246" i="20"/>
  <c r="I246" i="20"/>
  <c r="H245" i="20"/>
  <c r="I245" i="20"/>
  <c r="H244" i="20"/>
  <c r="I244" i="20"/>
  <c r="G245" i="20"/>
  <c r="G246" i="20"/>
  <c r="G244" i="20"/>
  <c r="D246" i="20"/>
  <c r="E246" i="20"/>
  <c r="D245" i="20"/>
  <c r="E245" i="20"/>
  <c r="D244" i="20"/>
  <c r="E244" i="20"/>
  <c r="C245" i="20"/>
  <c r="C246" i="20"/>
  <c r="C244" i="20"/>
  <c r="H241" i="20"/>
  <c r="I241" i="20"/>
  <c r="H240" i="20"/>
  <c r="I240" i="20"/>
  <c r="H239" i="20"/>
  <c r="I239" i="20"/>
  <c r="G240" i="20"/>
  <c r="G241" i="20"/>
  <c r="G239" i="20"/>
  <c r="D241" i="20"/>
  <c r="E241" i="20"/>
  <c r="D240" i="20"/>
  <c r="E240" i="20"/>
  <c r="D239" i="20"/>
  <c r="E239" i="20"/>
  <c r="C240" i="20"/>
  <c r="C241" i="20"/>
  <c r="C239" i="20"/>
  <c r="H236" i="20"/>
  <c r="I236" i="20"/>
  <c r="H235" i="20"/>
  <c r="I235" i="20"/>
  <c r="H234" i="20"/>
  <c r="I234" i="20"/>
  <c r="G235" i="20"/>
  <c r="G236" i="20"/>
  <c r="G234" i="20"/>
  <c r="D236" i="20"/>
  <c r="E236" i="20"/>
  <c r="D235" i="20"/>
  <c r="E235" i="20"/>
  <c r="D234" i="20"/>
  <c r="E234" i="20"/>
  <c r="C235" i="20"/>
  <c r="C236" i="20"/>
  <c r="C234" i="20"/>
  <c r="H232" i="20"/>
  <c r="I232" i="20"/>
  <c r="H231" i="20"/>
  <c r="I231" i="20"/>
  <c r="H230" i="20"/>
  <c r="I230" i="20"/>
  <c r="G231" i="20"/>
  <c r="G232" i="20"/>
  <c r="G230" i="20"/>
  <c r="D232" i="20"/>
  <c r="E232" i="20"/>
  <c r="D231" i="20"/>
  <c r="E231" i="20"/>
  <c r="D230" i="20"/>
  <c r="E230" i="20"/>
  <c r="C231" i="20"/>
  <c r="C232" i="20"/>
  <c r="C230" i="20"/>
  <c r="H227" i="20"/>
  <c r="I227" i="20"/>
  <c r="H226" i="20"/>
  <c r="I226" i="20"/>
  <c r="H225" i="20"/>
  <c r="I225" i="20"/>
  <c r="G226" i="20"/>
  <c r="G227" i="20"/>
  <c r="G225" i="20"/>
  <c r="D227" i="20"/>
  <c r="E227" i="20"/>
  <c r="C227" i="20"/>
  <c r="H221" i="20"/>
  <c r="I221" i="20"/>
  <c r="H220" i="20"/>
  <c r="I220" i="20"/>
  <c r="H219" i="20"/>
  <c r="I219" i="20"/>
  <c r="G220" i="20"/>
  <c r="G221" i="20"/>
  <c r="G219" i="20"/>
  <c r="D221" i="20"/>
  <c r="E221" i="20"/>
  <c r="E220" i="20"/>
  <c r="D220" i="20"/>
  <c r="D219" i="20"/>
  <c r="E219" i="20"/>
  <c r="C220" i="20"/>
  <c r="C221" i="20"/>
  <c r="C219" i="20"/>
  <c r="H216" i="20"/>
  <c r="I216" i="20"/>
  <c r="H215" i="20"/>
  <c r="I215" i="20"/>
  <c r="H214" i="20"/>
  <c r="I214" i="20"/>
  <c r="G215" i="20"/>
  <c r="G216" i="20"/>
  <c r="G214" i="20"/>
  <c r="E216" i="20"/>
  <c r="D216" i="20"/>
  <c r="E215" i="20"/>
  <c r="D215" i="20"/>
  <c r="C216" i="20"/>
  <c r="C215" i="20"/>
  <c r="C214" i="20"/>
  <c r="I210" i="20"/>
  <c r="H210" i="20"/>
  <c r="I209" i="20"/>
  <c r="H137" i="20"/>
  <c r="I211" i="20"/>
  <c r="H211" i="20"/>
  <c r="H209" i="20"/>
  <c r="G211" i="20"/>
  <c r="G210" i="20"/>
  <c r="G209" i="20"/>
  <c r="D211" i="20"/>
  <c r="E211" i="20"/>
  <c r="D210" i="20"/>
  <c r="E210" i="20"/>
  <c r="E209" i="20"/>
  <c r="D209" i="20"/>
  <c r="C211" i="20"/>
  <c r="C210" i="20"/>
  <c r="C209" i="20"/>
  <c r="H318" i="20" l="1"/>
  <c r="G318" i="20"/>
  <c r="I318" i="20"/>
  <c r="I319" i="20"/>
  <c r="G319" i="20"/>
  <c r="H319" i="20"/>
  <c r="F273" i="20"/>
  <c r="G258" i="20"/>
  <c r="H198" i="20"/>
  <c r="I198" i="20"/>
  <c r="H197" i="20"/>
  <c r="I197" i="20"/>
  <c r="H196" i="20"/>
  <c r="I196" i="20"/>
  <c r="G197" i="20"/>
  <c r="G198" i="20"/>
  <c r="G196" i="20"/>
  <c r="E198" i="20"/>
  <c r="D198" i="20"/>
  <c r="E197" i="20"/>
  <c r="D197" i="20"/>
  <c r="E196" i="20"/>
  <c r="D196" i="20"/>
  <c r="C198" i="20"/>
  <c r="C197" i="20"/>
  <c r="C196" i="20"/>
  <c r="H193" i="20"/>
  <c r="I193" i="20"/>
  <c r="H192" i="20"/>
  <c r="I192" i="20"/>
  <c r="I191" i="20"/>
  <c r="H191" i="20"/>
  <c r="G193" i="20"/>
  <c r="G192" i="20"/>
  <c r="G191" i="20"/>
  <c r="D193" i="20"/>
  <c r="E193" i="20"/>
  <c r="D192" i="20"/>
  <c r="E192" i="20"/>
  <c r="D191" i="20"/>
  <c r="E191" i="20"/>
  <c r="C192" i="20"/>
  <c r="C193" i="20"/>
  <c r="C191" i="20"/>
  <c r="I188" i="20"/>
  <c r="H188" i="20"/>
  <c r="I187" i="20"/>
  <c r="H187" i="20"/>
  <c r="I186" i="20"/>
  <c r="H186" i="20"/>
  <c r="G188" i="20"/>
  <c r="G187" i="20"/>
  <c r="G186" i="20"/>
  <c r="E188" i="20"/>
  <c r="D188" i="20"/>
  <c r="E187" i="20"/>
  <c r="D187" i="20"/>
  <c r="E186" i="20"/>
  <c r="D186" i="20"/>
  <c r="C187" i="20"/>
  <c r="C188" i="20"/>
  <c r="C186" i="20"/>
  <c r="I163" i="20"/>
  <c r="H163" i="20"/>
  <c r="I162" i="20"/>
  <c r="H162" i="20"/>
  <c r="I161" i="20"/>
  <c r="H161" i="20"/>
  <c r="G162" i="20"/>
  <c r="G163" i="20"/>
  <c r="G161" i="20"/>
  <c r="E163" i="20"/>
  <c r="D163" i="20"/>
  <c r="E162" i="20"/>
  <c r="D162" i="20"/>
  <c r="E161" i="20"/>
  <c r="D161" i="20"/>
  <c r="C163" i="20"/>
  <c r="C162" i="20"/>
  <c r="C161" i="20"/>
  <c r="I157" i="20"/>
  <c r="I156" i="20"/>
  <c r="I155" i="20"/>
  <c r="H157" i="20"/>
  <c r="H156" i="20"/>
  <c r="H155" i="20"/>
  <c r="G157" i="20"/>
  <c r="G156" i="20"/>
  <c r="G155" i="20"/>
  <c r="E157" i="20"/>
  <c r="D157" i="20"/>
  <c r="E156" i="20"/>
  <c r="D156" i="20"/>
  <c r="E155" i="20"/>
  <c r="D155" i="20"/>
  <c r="C157" i="20"/>
  <c r="C156" i="20"/>
  <c r="C155" i="20"/>
  <c r="G16" i="189"/>
  <c r="H16" i="189" s="1"/>
  <c r="F16" i="189"/>
  <c r="E16" i="189"/>
  <c r="E15" i="189" s="1"/>
  <c r="E20" i="189" s="1"/>
  <c r="L15" i="189"/>
  <c r="K15" i="189"/>
  <c r="J15" i="189"/>
  <c r="F15" i="189"/>
  <c r="F20" i="189" s="1"/>
  <c r="G12" i="189"/>
  <c r="F12" i="189"/>
  <c r="E12" i="189"/>
  <c r="H11" i="189"/>
  <c r="I153" i="20"/>
  <c r="H153" i="20"/>
  <c r="I152" i="20"/>
  <c r="H152" i="20"/>
  <c r="I151" i="20"/>
  <c r="H151" i="20"/>
  <c r="G153" i="20"/>
  <c r="G152" i="20"/>
  <c r="G151" i="20"/>
  <c r="K300" i="20" s="1"/>
  <c r="D147" i="188"/>
  <c r="G21" i="188"/>
  <c r="F21" i="188"/>
  <c r="E21" i="188"/>
  <c r="G19" i="188"/>
  <c r="H19" i="188" s="1"/>
  <c r="F19" i="188"/>
  <c r="E19" i="188"/>
  <c r="E18" i="188" s="1"/>
  <c r="E23" i="188" s="1"/>
  <c r="L18" i="188"/>
  <c r="K18" i="188"/>
  <c r="J18" i="188"/>
  <c r="F18" i="188"/>
  <c r="F23" i="188" s="1"/>
  <c r="G15" i="188"/>
  <c r="H15" i="188" s="1"/>
  <c r="F15" i="188"/>
  <c r="E15" i="188"/>
  <c r="H12" i="188"/>
  <c r="H11" i="188"/>
  <c r="E95" i="187"/>
  <c r="G94" i="187"/>
  <c r="G93" i="187" s="1"/>
  <c r="G98" i="187" s="1"/>
  <c r="H98" i="187" s="1"/>
  <c r="F94" i="187"/>
  <c r="E94" i="187"/>
  <c r="L93" i="187"/>
  <c r="K93" i="187"/>
  <c r="J93" i="187"/>
  <c r="F93" i="187"/>
  <c r="F98" i="187" s="1"/>
  <c r="E93" i="187"/>
  <c r="E98" i="187" s="1"/>
  <c r="G89" i="187"/>
  <c r="F89" i="187"/>
  <c r="E89" i="187"/>
  <c r="G82" i="187"/>
  <c r="F82" i="187"/>
  <c r="E82" i="187"/>
  <c r="H81" i="187"/>
  <c r="H80" i="187"/>
  <c r="H79" i="187"/>
  <c r="H78" i="187"/>
  <c r="H77" i="187"/>
  <c r="H76" i="187"/>
  <c r="H75" i="187"/>
  <c r="H74" i="187"/>
  <c r="H73" i="187"/>
  <c r="H72" i="187"/>
  <c r="H71" i="187"/>
  <c r="H70" i="187"/>
  <c r="H69" i="187"/>
  <c r="H68" i="187"/>
  <c r="H67" i="187"/>
  <c r="H66" i="187"/>
  <c r="H64" i="187"/>
  <c r="H63" i="187"/>
  <c r="H62" i="187"/>
  <c r="H61" i="187"/>
  <c r="H60" i="187"/>
  <c r="H59" i="187"/>
  <c r="H58" i="187"/>
  <c r="H57" i="187"/>
  <c r="G51" i="187"/>
  <c r="F51" i="187"/>
  <c r="E51" i="187"/>
  <c r="H50" i="187"/>
  <c r="H49" i="187"/>
  <c r="H48" i="187"/>
  <c r="H47" i="187"/>
  <c r="H46" i="187"/>
  <c r="H45" i="187"/>
  <c r="H44" i="187"/>
  <c r="H43" i="187"/>
  <c r="H42" i="187"/>
  <c r="H41" i="187"/>
  <c r="H40" i="187"/>
  <c r="H39" i="187"/>
  <c r="H38" i="187"/>
  <c r="H37" i="187"/>
  <c r="H36" i="187"/>
  <c r="H35" i="187"/>
  <c r="H34" i="187"/>
  <c r="H32" i="187"/>
  <c r="H31" i="187"/>
  <c r="H30" i="187"/>
  <c r="H29" i="187"/>
  <c r="H28" i="187"/>
  <c r="H27" i="187"/>
  <c r="H26" i="187"/>
  <c r="H25" i="187"/>
  <c r="G18" i="187"/>
  <c r="H18" i="187" s="1"/>
  <c r="F18" i="187"/>
  <c r="E18" i="187"/>
  <c r="H13" i="187"/>
  <c r="H12" i="187"/>
  <c r="D181" i="186"/>
  <c r="F59" i="186"/>
  <c r="G57" i="186"/>
  <c r="F57" i="186"/>
  <c r="E57" i="186"/>
  <c r="G55" i="186"/>
  <c r="H55" i="186" s="1"/>
  <c r="F55" i="186"/>
  <c r="E55" i="186"/>
  <c r="E54" i="186" s="1"/>
  <c r="E59" i="186" s="1"/>
  <c r="L54" i="186"/>
  <c r="K54" i="186"/>
  <c r="J54" i="186"/>
  <c r="F54" i="186"/>
  <c r="H48" i="186"/>
  <c r="G48" i="186"/>
  <c r="F48" i="186"/>
  <c r="E48" i="186"/>
  <c r="H45" i="186"/>
  <c r="H43" i="186"/>
  <c r="H42" i="186"/>
  <c r="H41" i="186"/>
  <c r="H40" i="186"/>
  <c r="H38" i="186"/>
  <c r="H37" i="186"/>
  <c r="H36" i="186"/>
  <c r="H35" i="186"/>
  <c r="H34" i="186"/>
  <c r="H33" i="186"/>
  <c r="H32" i="186"/>
  <c r="H31" i="186"/>
  <c r="H30" i="186"/>
  <c r="H29" i="186"/>
  <c r="H28" i="186"/>
  <c r="H27" i="186"/>
  <c r="H26" i="186"/>
  <c r="H25" i="186"/>
  <c r="H24" i="186"/>
  <c r="H23" i="186"/>
  <c r="H22" i="186"/>
  <c r="H19" i="186"/>
  <c r="H17" i="186"/>
  <c r="H16" i="186"/>
  <c r="H14" i="186"/>
  <c r="H13" i="186"/>
  <c r="H12" i="186"/>
  <c r="D191" i="185"/>
  <c r="F69" i="185"/>
  <c r="G66" i="185"/>
  <c r="F66" i="185"/>
  <c r="E66" i="185"/>
  <c r="G65" i="185"/>
  <c r="H65" i="185" s="1"/>
  <c r="F65" i="185"/>
  <c r="E65" i="185"/>
  <c r="E64" i="185" s="1"/>
  <c r="E69" i="185" s="1"/>
  <c r="L64" i="185"/>
  <c r="K64" i="185"/>
  <c r="J64" i="185"/>
  <c r="F64" i="185"/>
  <c r="H60" i="185"/>
  <c r="G60" i="185"/>
  <c r="F60" i="185"/>
  <c r="E60" i="185"/>
  <c r="H57" i="185"/>
  <c r="H55" i="185"/>
  <c r="H54" i="185"/>
  <c r="H53" i="185"/>
  <c r="H52" i="185"/>
  <c r="H50" i="185"/>
  <c r="H49" i="185"/>
  <c r="H47" i="185"/>
  <c r="H46" i="185"/>
  <c r="H44" i="185"/>
  <c r="H43" i="185"/>
  <c r="H41" i="185"/>
  <c r="H40" i="185"/>
  <c r="H38" i="185"/>
  <c r="H37" i="185"/>
  <c r="H35" i="185"/>
  <c r="H34" i="185"/>
  <c r="H31" i="185"/>
  <c r="H29" i="185"/>
  <c r="H28" i="185"/>
  <c r="H26" i="185"/>
  <c r="H25" i="185"/>
  <c r="H24" i="185"/>
  <c r="H23" i="185"/>
  <c r="H21" i="185"/>
  <c r="H20" i="185"/>
  <c r="H18" i="185"/>
  <c r="H17" i="185"/>
  <c r="H15" i="185"/>
  <c r="H14" i="185"/>
  <c r="H12" i="185"/>
  <c r="G36" i="184"/>
  <c r="G35" i="184"/>
  <c r="F35" i="184"/>
  <c r="E35" i="184"/>
  <c r="L34" i="184"/>
  <c r="G34" i="184"/>
  <c r="F34" i="184"/>
  <c r="H34" i="184" s="1"/>
  <c r="E34" i="184"/>
  <c r="L33" i="184"/>
  <c r="K33" i="184"/>
  <c r="J33" i="184"/>
  <c r="G33" i="184"/>
  <c r="E33" i="184"/>
  <c r="E38" i="184" s="1"/>
  <c r="G27" i="184"/>
  <c r="H27" i="184" s="1"/>
  <c r="F27" i="184"/>
  <c r="E27" i="184"/>
  <c r="H25" i="184"/>
  <c r="H24" i="184"/>
  <c r="H23" i="184"/>
  <c r="H22" i="184"/>
  <c r="H21" i="184"/>
  <c r="H20" i="184"/>
  <c r="H19" i="184"/>
  <c r="H18" i="184"/>
  <c r="H17" i="184"/>
  <c r="H16" i="184"/>
  <c r="H15" i="184"/>
  <c r="H14" i="184"/>
  <c r="H13" i="184"/>
  <c r="H12" i="184"/>
  <c r="H11" i="184"/>
  <c r="H10" i="184"/>
  <c r="D197" i="183"/>
  <c r="G73" i="183"/>
  <c r="F73" i="183"/>
  <c r="E73" i="183"/>
  <c r="G72" i="183"/>
  <c r="F72" i="183"/>
  <c r="E72" i="183"/>
  <c r="L70" i="183"/>
  <c r="F71" i="183"/>
  <c r="D298" i="20" s="1"/>
  <c r="E71" i="183"/>
  <c r="E70" i="183" s="1"/>
  <c r="E75" i="183" s="1"/>
  <c r="K70" i="183"/>
  <c r="J70" i="183"/>
  <c r="F70" i="183"/>
  <c r="F75" i="183" s="1"/>
  <c r="G67" i="183"/>
  <c r="F67" i="183"/>
  <c r="E67" i="183"/>
  <c r="H60" i="183"/>
  <c r="F60" i="183"/>
  <c r="E60" i="183"/>
  <c r="H57" i="183"/>
  <c r="H55" i="183"/>
  <c r="H54" i="183"/>
  <c r="H53" i="183"/>
  <c r="H52" i="183"/>
  <c r="H50" i="183"/>
  <c r="H49" i="183"/>
  <c r="H47" i="183"/>
  <c r="H46" i="183"/>
  <c r="H44" i="183"/>
  <c r="H43" i="183"/>
  <c r="H41" i="183"/>
  <c r="H40" i="183"/>
  <c r="H38" i="183"/>
  <c r="H37" i="183"/>
  <c r="H35" i="183"/>
  <c r="H34" i="183"/>
  <c r="H31" i="183"/>
  <c r="H29" i="183"/>
  <c r="H28" i="183"/>
  <c r="H26" i="183"/>
  <c r="H25" i="183"/>
  <c r="H24" i="183"/>
  <c r="H23" i="183"/>
  <c r="H21" i="183"/>
  <c r="H20" i="183"/>
  <c r="H18" i="183"/>
  <c r="H17" i="183"/>
  <c r="H15" i="183"/>
  <c r="H14" i="183"/>
  <c r="H12" i="183"/>
  <c r="F68" i="182"/>
  <c r="E65" i="182"/>
  <c r="G64" i="182"/>
  <c r="H64" i="182" s="1"/>
  <c r="F64" i="182"/>
  <c r="E64" i="182"/>
  <c r="L63" i="182"/>
  <c r="K63" i="182"/>
  <c r="J63" i="182"/>
  <c r="F63" i="182"/>
  <c r="E63" i="182"/>
  <c r="E68" i="182" s="1"/>
  <c r="G60" i="182"/>
  <c r="F60" i="182"/>
  <c r="E60" i="182"/>
  <c r="H59" i="182"/>
  <c r="H58" i="182"/>
  <c r="H57" i="182"/>
  <c r="H56" i="182"/>
  <c r="H55" i="182"/>
  <c r="H54" i="182"/>
  <c r="H53" i="182"/>
  <c r="H52" i="182"/>
  <c r="H51" i="182"/>
  <c r="H50" i="182"/>
  <c r="H49" i="182"/>
  <c r="H48" i="182"/>
  <c r="H47" i="182"/>
  <c r="H46" i="182"/>
  <c r="H45" i="182"/>
  <c r="H44" i="182"/>
  <c r="H42" i="182"/>
  <c r="H41" i="182"/>
  <c r="H40" i="182"/>
  <c r="H39" i="182"/>
  <c r="H38" i="182"/>
  <c r="H37" i="182"/>
  <c r="H36" i="182"/>
  <c r="H35" i="182"/>
  <c r="H29" i="182"/>
  <c r="G29" i="182"/>
  <c r="F29" i="182"/>
  <c r="E29" i="182"/>
  <c r="H28" i="182"/>
  <c r="H27" i="182"/>
  <c r="H26" i="182"/>
  <c r="H25" i="182"/>
  <c r="H24" i="182"/>
  <c r="H23" i="182"/>
  <c r="H22" i="182"/>
  <c r="H21" i="182"/>
  <c r="H19" i="182"/>
  <c r="H18" i="182"/>
  <c r="H17" i="182"/>
  <c r="H16" i="182"/>
  <c r="H15" i="182"/>
  <c r="H14" i="182"/>
  <c r="H13" i="182"/>
  <c r="H12" i="182"/>
  <c r="G67" i="181"/>
  <c r="H67" i="181" s="1"/>
  <c r="F67" i="181"/>
  <c r="E67" i="181"/>
  <c r="G66" i="181"/>
  <c r="H66" i="181" s="1"/>
  <c r="F66" i="181"/>
  <c r="E66" i="181"/>
  <c r="E65" i="181" s="1"/>
  <c r="E70" i="181" s="1"/>
  <c r="L65" i="181"/>
  <c r="K65" i="181"/>
  <c r="J65" i="181"/>
  <c r="F65" i="181"/>
  <c r="F70" i="181" s="1"/>
  <c r="G58" i="181"/>
  <c r="F58" i="181"/>
  <c r="H58" i="181" s="1"/>
  <c r="E58" i="181"/>
  <c r="H57" i="181"/>
  <c r="H56" i="181"/>
  <c r="H55" i="181"/>
  <c r="H54" i="181"/>
  <c r="G48" i="181"/>
  <c r="F48" i="181"/>
  <c r="H48" i="181" s="1"/>
  <c r="E48" i="181"/>
  <c r="H47" i="181"/>
  <c r="H46" i="181"/>
  <c r="H45" i="181"/>
  <c r="H44" i="181"/>
  <c r="G38" i="181"/>
  <c r="F38" i="181"/>
  <c r="H38" i="181" s="1"/>
  <c r="E38" i="181"/>
  <c r="H37" i="181"/>
  <c r="H36" i="181"/>
  <c r="H35" i="181"/>
  <c r="H34" i="181"/>
  <c r="G27" i="181"/>
  <c r="F27" i="181"/>
  <c r="H27" i="181" s="1"/>
  <c r="E27" i="181"/>
  <c r="H26" i="181"/>
  <c r="H25" i="181"/>
  <c r="H24" i="181"/>
  <c r="H23" i="181"/>
  <c r="H22" i="181"/>
  <c r="H21" i="181"/>
  <c r="H20" i="181"/>
  <c r="H19" i="181"/>
  <c r="H18" i="181"/>
  <c r="H17" i="181"/>
  <c r="H16" i="181"/>
  <c r="H15" i="181"/>
  <c r="H14" i="181"/>
  <c r="H13" i="181"/>
  <c r="H12" i="181"/>
  <c r="H11" i="181"/>
  <c r="H10" i="181"/>
  <c r="G103" i="180"/>
  <c r="H103" i="180" s="1"/>
  <c r="F103" i="180"/>
  <c r="E103" i="180"/>
  <c r="G102" i="180"/>
  <c r="F102" i="180"/>
  <c r="D282" i="20" s="1"/>
  <c r="E102" i="180"/>
  <c r="E101" i="180" s="1"/>
  <c r="E106" i="180" s="1"/>
  <c r="M101" i="180"/>
  <c r="L101" i="180"/>
  <c r="K101" i="180"/>
  <c r="G94" i="180"/>
  <c r="F94" i="180"/>
  <c r="H94" i="180" s="1"/>
  <c r="E94" i="180"/>
  <c r="H93" i="180"/>
  <c r="H92" i="180"/>
  <c r="H91" i="180"/>
  <c r="G85" i="180"/>
  <c r="H85" i="180" s="1"/>
  <c r="F85" i="180"/>
  <c r="E85" i="180"/>
  <c r="H84" i="180"/>
  <c r="H83" i="180"/>
  <c r="H82" i="180"/>
  <c r="H76" i="180"/>
  <c r="G76" i="180"/>
  <c r="F76" i="180"/>
  <c r="E76" i="180"/>
  <c r="H75" i="180"/>
  <c r="H74" i="180"/>
  <c r="H73" i="180"/>
  <c r="G67" i="180"/>
  <c r="H67" i="180" s="1"/>
  <c r="F67" i="180"/>
  <c r="E67" i="180"/>
  <c r="H66" i="180"/>
  <c r="H65" i="180"/>
  <c r="H64" i="180"/>
  <c r="H63" i="180"/>
  <c r="G57" i="180"/>
  <c r="H57" i="180" s="1"/>
  <c r="F57" i="180"/>
  <c r="E57" i="180"/>
  <c r="H56" i="180"/>
  <c r="H55" i="180"/>
  <c r="H54" i="180"/>
  <c r="H53" i="180"/>
  <c r="G47" i="180"/>
  <c r="H47" i="180" s="1"/>
  <c r="F47" i="180"/>
  <c r="E47" i="180"/>
  <c r="H46" i="180"/>
  <c r="H45" i="180"/>
  <c r="H44" i="180"/>
  <c r="H43" i="180"/>
  <c r="G37" i="180"/>
  <c r="H37" i="180" s="1"/>
  <c r="F37" i="180"/>
  <c r="E37" i="180"/>
  <c r="H36" i="180"/>
  <c r="H35" i="180"/>
  <c r="H34" i="180"/>
  <c r="H33" i="180"/>
  <c r="G27" i="180"/>
  <c r="F27" i="180"/>
  <c r="E27" i="180"/>
  <c r="H26" i="180"/>
  <c r="H25" i="180"/>
  <c r="H24" i="180"/>
  <c r="H23" i="180"/>
  <c r="H22" i="180"/>
  <c r="H21" i="180"/>
  <c r="H20" i="180"/>
  <c r="H19" i="180"/>
  <c r="H18" i="180"/>
  <c r="H17" i="180"/>
  <c r="H16" i="180"/>
  <c r="H15" i="180"/>
  <c r="H14" i="180"/>
  <c r="H13" i="180"/>
  <c r="H12" i="180"/>
  <c r="H11" i="180"/>
  <c r="H10" i="180"/>
  <c r="G215" i="179"/>
  <c r="F215" i="179"/>
  <c r="D278" i="20" s="1"/>
  <c r="E215" i="179"/>
  <c r="C278" i="20" s="1"/>
  <c r="G214" i="179"/>
  <c r="F214" i="179"/>
  <c r="D277" i="20" s="1"/>
  <c r="E214" i="179"/>
  <c r="L213" i="179"/>
  <c r="K213" i="179"/>
  <c r="J213" i="179"/>
  <c r="G208" i="179"/>
  <c r="F208" i="179"/>
  <c r="E208" i="179"/>
  <c r="H207" i="179"/>
  <c r="H206" i="179"/>
  <c r="H205" i="179"/>
  <c r="H204" i="179"/>
  <c r="G198" i="179"/>
  <c r="F198" i="179"/>
  <c r="H198" i="179" s="1"/>
  <c r="E198" i="179"/>
  <c r="H197" i="179"/>
  <c r="H196" i="179"/>
  <c r="H195" i="179"/>
  <c r="H194" i="179"/>
  <c r="G188" i="179"/>
  <c r="F188" i="179"/>
  <c r="E188" i="179"/>
  <c r="H187" i="179"/>
  <c r="H186" i="179"/>
  <c r="H185" i="179"/>
  <c r="H184" i="179"/>
  <c r="G178" i="179"/>
  <c r="F178" i="179"/>
  <c r="H178" i="179" s="1"/>
  <c r="E178" i="179"/>
  <c r="H177" i="179"/>
  <c r="H176" i="179"/>
  <c r="H175" i="179"/>
  <c r="H174" i="179"/>
  <c r="G168" i="179"/>
  <c r="F168" i="179"/>
  <c r="E168" i="179"/>
  <c r="H167" i="179"/>
  <c r="H166" i="179"/>
  <c r="H165" i="179"/>
  <c r="H164" i="179"/>
  <c r="G158" i="179"/>
  <c r="F158" i="179"/>
  <c r="H158" i="179" s="1"/>
  <c r="E158" i="179"/>
  <c r="H157" i="179"/>
  <c r="H156" i="179"/>
  <c r="H155" i="179"/>
  <c r="H154" i="179"/>
  <c r="G148" i="179"/>
  <c r="F148" i="179"/>
  <c r="E148" i="179"/>
  <c r="H147" i="179"/>
  <c r="H146" i="179"/>
  <c r="H145" i="179"/>
  <c r="H144" i="179"/>
  <c r="G138" i="179"/>
  <c r="F138" i="179"/>
  <c r="H138" i="179" s="1"/>
  <c r="E138" i="179"/>
  <c r="H137" i="179"/>
  <c r="H136" i="179"/>
  <c r="H135" i="179"/>
  <c r="H134" i="179"/>
  <c r="G128" i="179"/>
  <c r="F128" i="179"/>
  <c r="E128" i="179"/>
  <c r="H127" i="179"/>
  <c r="H126" i="179"/>
  <c r="H125" i="179"/>
  <c r="H124" i="179"/>
  <c r="G118" i="179"/>
  <c r="F118" i="179"/>
  <c r="H118" i="179" s="1"/>
  <c r="E118" i="179"/>
  <c r="H117" i="179"/>
  <c r="H116" i="179"/>
  <c r="H115" i="179"/>
  <c r="H114" i="179"/>
  <c r="G108" i="179"/>
  <c r="F108" i="179"/>
  <c r="E108" i="179"/>
  <c r="H107" i="179"/>
  <c r="H106" i="179"/>
  <c r="H105" i="179"/>
  <c r="H104" i="179"/>
  <c r="G98" i="179"/>
  <c r="F98" i="179"/>
  <c r="H98" i="179" s="1"/>
  <c r="E98" i="179"/>
  <c r="H97" i="179"/>
  <c r="H96" i="179"/>
  <c r="H95" i="179"/>
  <c r="H94" i="179"/>
  <c r="G88" i="179"/>
  <c r="F88" i="179"/>
  <c r="E88" i="179"/>
  <c r="H87" i="179"/>
  <c r="H86" i="179"/>
  <c r="H85" i="179"/>
  <c r="H84" i="179"/>
  <c r="G78" i="179"/>
  <c r="F78" i="179"/>
  <c r="H78" i="179" s="1"/>
  <c r="E78" i="179"/>
  <c r="H77" i="179"/>
  <c r="H76" i="179"/>
  <c r="H75" i="179"/>
  <c r="H74" i="179"/>
  <c r="G68" i="179"/>
  <c r="F68" i="179"/>
  <c r="E68" i="179"/>
  <c r="H67" i="179"/>
  <c r="H66" i="179"/>
  <c r="H65" i="179"/>
  <c r="H64" i="179"/>
  <c r="G58" i="179"/>
  <c r="F58" i="179"/>
  <c r="H58" i="179" s="1"/>
  <c r="E58" i="179"/>
  <c r="H57" i="179"/>
  <c r="H56" i="179"/>
  <c r="H55" i="179"/>
  <c r="H54" i="179"/>
  <c r="G48" i="179"/>
  <c r="F48" i="179"/>
  <c r="E48" i="179"/>
  <c r="H47" i="179"/>
  <c r="H46" i="179"/>
  <c r="H45" i="179"/>
  <c r="H44" i="179"/>
  <c r="G38" i="179"/>
  <c r="F38" i="179"/>
  <c r="H38" i="179" s="1"/>
  <c r="E38" i="179"/>
  <c r="H37" i="179"/>
  <c r="H36" i="179"/>
  <c r="H35" i="179"/>
  <c r="H34" i="179"/>
  <c r="G27" i="179"/>
  <c r="F27" i="179"/>
  <c r="E27" i="179"/>
  <c r="H26" i="179"/>
  <c r="H25" i="179"/>
  <c r="H24" i="179"/>
  <c r="H23" i="179"/>
  <c r="H22" i="179"/>
  <c r="H21" i="179"/>
  <c r="H20" i="179"/>
  <c r="H19" i="179"/>
  <c r="H18" i="179"/>
  <c r="H17" i="179"/>
  <c r="H16" i="179"/>
  <c r="H15" i="179"/>
  <c r="H14" i="179"/>
  <c r="H13" i="179"/>
  <c r="H12" i="179"/>
  <c r="H11" i="179"/>
  <c r="H10" i="179"/>
  <c r="D191" i="178"/>
  <c r="G67" i="178"/>
  <c r="F67" i="178"/>
  <c r="E67" i="178"/>
  <c r="E64" i="178" s="1"/>
  <c r="E69" i="178" s="1"/>
  <c r="G66" i="178"/>
  <c r="F66" i="178"/>
  <c r="E66" i="178"/>
  <c r="H65" i="178"/>
  <c r="G65" i="178"/>
  <c r="F65" i="178"/>
  <c r="F64" i="178" s="1"/>
  <c r="F69" i="178" s="1"/>
  <c r="E65" i="178"/>
  <c r="L64" i="178"/>
  <c r="K64" i="178"/>
  <c r="J64" i="178"/>
  <c r="G64" i="178"/>
  <c r="G69" i="178" s="1"/>
  <c r="G60" i="178"/>
  <c r="H60" i="178" s="1"/>
  <c r="F60" i="178"/>
  <c r="E60" i="178"/>
  <c r="H57" i="178"/>
  <c r="H55" i="178"/>
  <c r="H52" i="178"/>
  <c r="H50" i="178"/>
  <c r="H49" i="178"/>
  <c r="H46" i="178"/>
  <c r="H44" i="178"/>
  <c r="H43" i="178"/>
  <c r="H41" i="178"/>
  <c r="H37" i="178"/>
  <c r="H35" i="178"/>
  <c r="H34" i="178"/>
  <c r="H31" i="178"/>
  <c r="H28" i="178"/>
  <c r="H26" i="178"/>
  <c r="H25" i="178"/>
  <c r="H24" i="178"/>
  <c r="H23" i="178"/>
  <c r="H21" i="178"/>
  <c r="H20" i="178"/>
  <c r="H18" i="178"/>
  <c r="H17" i="178"/>
  <c r="H15" i="178"/>
  <c r="H14" i="178"/>
  <c r="H12" i="178"/>
  <c r="D308" i="177"/>
  <c r="G184" i="177"/>
  <c r="E269" i="20" s="1"/>
  <c r="G183" i="177"/>
  <c r="F183" i="177"/>
  <c r="D268" i="20" s="1"/>
  <c r="E183" i="177"/>
  <c r="C268" i="20" s="1"/>
  <c r="G182" i="177"/>
  <c r="F182" i="177"/>
  <c r="D267" i="20" s="1"/>
  <c r="E182" i="177"/>
  <c r="L181" i="177"/>
  <c r="K181" i="177"/>
  <c r="J181" i="177"/>
  <c r="F181" i="177"/>
  <c r="F186" i="177" s="1"/>
  <c r="G176" i="177"/>
  <c r="F176" i="177"/>
  <c r="H176" i="177" s="1"/>
  <c r="E176" i="177"/>
  <c r="H175" i="177"/>
  <c r="G169" i="177"/>
  <c r="F169" i="177"/>
  <c r="E169" i="177"/>
  <c r="H167" i="177"/>
  <c r="H166" i="177"/>
  <c r="H165" i="177"/>
  <c r="H164" i="177"/>
  <c r="H163" i="177"/>
  <c r="H161" i="177"/>
  <c r="H160" i="177"/>
  <c r="H159" i="177"/>
  <c r="H158" i="177"/>
  <c r="H157" i="177"/>
  <c r="H156" i="177"/>
  <c r="H155" i="177"/>
  <c r="H154" i="177"/>
  <c r="H153" i="177"/>
  <c r="H152" i="177"/>
  <c r="H151" i="177"/>
  <c r="H150" i="177"/>
  <c r="H149" i="177"/>
  <c r="H148" i="177"/>
  <c r="H147" i="177"/>
  <c r="H146" i="177"/>
  <c r="H145" i="177"/>
  <c r="G139" i="177"/>
  <c r="H139" i="177" s="1"/>
  <c r="F139" i="177"/>
  <c r="E139" i="177"/>
  <c r="H137" i="177"/>
  <c r="H133" i="177"/>
  <c r="H132" i="177"/>
  <c r="H131" i="177"/>
  <c r="H130" i="177"/>
  <c r="H129" i="177"/>
  <c r="H128" i="177"/>
  <c r="H127" i="177"/>
  <c r="H126" i="177"/>
  <c r="H124" i="177"/>
  <c r="H123" i="177"/>
  <c r="H122" i="177"/>
  <c r="H121" i="177"/>
  <c r="H120" i="177"/>
  <c r="H119" i="177"/>
  <c r="H118" i="177"/>
  <c r="H117" i="177"/>
  <c r="H116" i="177"/>
  <c r="H115" i="177"/>
  <c r="H114" i="177"/>
  <c r="H113" i="177"/>
  <c r="H112" i="177"/>
  <c r="H111" i="177"/>
  <c r="H110" i="177"/>
  <c r="H109" i="177"/>
  <c r="H108" i="177"/>
  <c r="G102" i="177"/>
  <c r="F102" i="177"/>
  <c r="E102" i="177"/>
  <c r="H100" i="177"/>
  <c r="H99" i="177"/>
  <c r="H97" i="177"/>
  <c r="H96" i="177"/>
  <c r="H95" i="177"/>
  <c r="H94" i="177"/>
  <c r="H93" i="177"/>
  <c r="H92" i="177"/>
  <c r="H91" i="177"/>
  <c r="H89" i="177"/>
  <c r="H88" i="177"/>
  <c r="H87" i="177"/>
  <c r="H86" i="177"/>
  <c r="H85" i="177"/>
  <c r="H84" i="177"/>
  <c r="H83" i="177"/>
  <c r="H82" i="177"/>
  <c r="H81" i="177"/>
  <c r="H80" i="177"/>
  <c r="H79" i="177"/>
  <c r="H78" i="177"/>
  <c r="G66" i="177"/>
  <c r="H66" i="177" s="1"/>
  <c r="F66" i="177"/>
  <c r="E66" i="177"/>
  <c r="H64" i="177"/>
  <c r="H63" i="177"/>
  <c r="H61" i="177"/>
  <c r="H60" i="177"/>
  <c r="H59" i="177"/>
  <c r="H58" i="177"/>
  <c r="H57" i="177"/>
  <c r="H56" i="177"/>
  <c r="H55" i="177"/>
  <c r="H53" i="177"/>
  <c r="H52" i="177"/>
  <c r="H51" i="177"/>
  <c r="H50" i="177"/>
  <c r="H49" i="177"/>
  <c r="H48" i="177"/>
  <c r="H47" i="177"/>
  <c r="H46" i="177"/>
  <c r="H45" i="177"/>
  <c r="H44" i="177"/>
  <c r="H43" i="177"/>
  <c r="H42" i="177"/>
  <c r="G36" i="177"/>
  <c r="H36" i="177" s="1"/>
  <c r="F36" i="177"/>
  <c r="E36" i="177"/>
  <c r="H35" i="177"/>
  <c r="H34" i="177"/>
  <c r="H33" i="177"/>
  <c r="H32" i="177"/>
  <c r="H31" i="177"/>
  <c r="H30" i="177"/>
  <c r="H29" i="177"/>
  <c r="H28" i="177"/>
  <c r="H27" i="177"/>
  <c r="H26" i="177"/>
  <c r="H25" i="177"/>
  <c r="H24" i="177"/>
  <c r="H23" i="177"/>
  <c r="H22" i="177"/>
  <c r="H20" i="177"/>
  <c r="H19" i="177"/>
  <c r="H18" i="177"/>
  <c r="H17" i="177"/>
  <c r="H16" i="177"/>
  <c r="H15" i="177"/>
  <c r="H14" i="177"/>
  <c r="H13" i="177"/>
  <c r="H12" i="177"/>
  <c r="H11" i="177"/>
  <c r="D252" i="176"/>
  <c r="H127" i="176"/>
  <c r="G127" i="176"/>
  <c r="F127" i="176"/>
  <c r="E127" i="176"/>
  <c r="F126" i="176"/>
  <c r="F125" i="176" s="1"/>
  <c r="F130" i="176" s="1"/>
  <c r="L125" i="176"/>
  <c r="K125" i="176"/>
  <c r="J125" i="176"/>
  <c r="G117" i="176"/>
  <c r="H117" i="176" s="1"/>
  <c r="F117" i="176"/>
  <c r="E117" i="176"/>
  <c r="H116" i="176"/>
  <c r="H115" i="176"/>
  <c r="H114" i="176"/>
  <c r="H113" i="176"/>
  <c r="G107" i="176"/>
  <c r="H107" i="176" s="1"/>
  <c r="F107" i="176"/>
  <c r="E107" i="176"/>
  <c r="H106" i="176"/>
  <c r="H105" i="176"/>
  <c r="H104" i="176"/>
  <c r="H103" i="176"/>
  <c r="G97" i="176"/>
  <c r="H97" i="176" s="1"/>
  <c r="F97" i="176"/>
  <c r="E97" i="176"/>
  <c r="H96" i="176"/>
  <c r="H95" i="176"/>
  <c r="H94" i="176"/>
  <c r="H93" i="176"/>
  <c r="G87" i="176"/>
  <c r="H87" i="176" s="1"/>
  <c r="F87" i="176"/>
  <c r="E87" i="176"/>
  <c r="H86" i="176"/>
  <c r="H85" i="176"/>
  <c r="H84" i="176"/>
  <c r="H83" i="176"/>
  <c r="G77" i="176"/>
  <c r="H77" i="176" s="1"/>
  <c r="F77" i="176"/>
  <c r="E77" i="176"/>
  <c r="H76" i="176"/>
  <c r="H75" i="176"/>
  <c r="H74" i="176"/>
  <c r="H73" i="176"/>
  <c r="G67" i="176"/>
  <c r="H67" i="176" s="1"/>
  <c r="F67" i="176"/>
  <c r="E67" i="176"/>
  <c r="H66" i="176"/>
  <c r="H65" i="176"/>
  <c r="H64" i="176"/>
  <c r="H63" i="176"/>
  <c r="G57" i="176"/>
  <c r="H57" i="176" s="1"/>
  <c r="F57" i="176"/>
  <c r="E57" i="176"/>
  <c r="H56" i="176"/>
  <c r="H55" i="176"/>
  <c r="H54" i="176"/>
  <c r="H53" i="176"/>
  <c r="G47" i="176"/>
  <c r="H47" i="176" s="1"/>
  <c r="F47" i="176"/>
  <c r="E47" i="176"/>
  <c r="H46" i="176"/>
  <c r="H45" i="176"/>
  <c r="H44" i="176"/>
  <c r="H43" i="176"/>
  <c r="G37" i="176"/>
  <c r="H37" i="176" s="1"/>
  <c r="F37" i="176"/>
  <c r="E37" i="176"/>
  <c r="E126" i="176" s="1"/>
  <c r="E125" i="176" s="1"/>
  <c r="E130" i="176" s="1"/>
  <c r="H36" i="176"/>
  <c r="H35" i="176"/>
  <c r="H34" i="176"/>
  <c r="G28" i="176"/>
  <c r="F28" i="176"/>
  <c r="H28" i="176" s="1"/>
  <c r="E28" i="176"/>
  <c r="H26" i="176"/>
  <c r="H25" i="176"/>
  <c r="H24" i="176"/>
  <c r="H23" i="176"/>
  <c r="H22" i="176"/>
  <c r="H21" i="176"/>
  <c r="H20" i="176"/>
  <c r="H19" i="176"/>
  <c r="H18" i="176"/>
  <c r="H17" i="176"/>
  <c r="H16" i="176"/>
  <c r="H15" i="176"/>
  <c r="H14" i="176"/>
  <c r="H13" i="176"/>
  <c r="H12" i="176"/>
  <c r="H11" i="176"/>
  <c r="H10" i="176"/>
  <c r="D178" i="175"/>
  <c r="G53" i="175"/>
  <c r="E251" i="20" s="1"/>
  <c r="F53" i="175"/>
  <c r="D251" i="20" s="1"/>
  <c r="E53" i="175"/>
  <c r="C251" i="20" s="1"/>
  <c r="L52" i="175"/>
  <c r="I250" i="20" s="1"/>
  <c r="G52" i="175"/>
  <c r="E250" i="20" s="1"/>
  <c r="F52" i="175"/>
  <c r="D250" i="20" s="1"/>
  <c r="E52" i="175"/>
  <c r="C250" i="20" s="1"/>
  <c r="L51" i="175"/>
  <c r="G51" i="175"/>
  <c r="F51" i="175"/>
  <c r="D249" i="20" s="1"/>
  <c r="E51" i="175"/>
  <c r="K50" i="175"/>
  <c r="J50" i="175"/>
  <c r="G45" i="175"/>
  <c r="F45" i="175"/>
  <c r="E45" i="175"/>
  <c r="G39" i="175"/>
  <c r="F39" i="175"/>
  <c r="E39" i="175"/>
  <c r="H38" i="175"/>
  <c r="H37" i="175"/>
  <c r="G31" i="175"/>
  <c r="F31" i="175"/>
  <c r="E31" i="175"/>
  <c r="H30" i="175"/>
  <c r="H29" i="175"/>
  <c r="G23" i="175"/>
  <c r="F23" i="175"/>
  <c r="E23" i="175"/>
  <c r="H22" i="175"/>
  <c r="H21" i="175"/>
  <c r="G15" i="175"/>
  <c r="F15" i="175"/>
  <c r="E15" i="175"/>
  <c r="H13" i="175"/>
  <c r="H11" i="175"/>
  <c r="D166" i="174"/>
  <c r="F41" i="174"/>
  <c r="G39" i="174"/>
  <c r="F39" i="174"/>
  <c r="E39" i="174"/>
  <c r="H38" i="174"/>
  <c r="G38" i="174"/>
  <c r="F38" i="174"/>
  <c r="E38" i="174"/>
  <c r="H37" i="174"/>
  <c r="G37" i="174"/>
  <c r="F37" i="174"/>
  <c r="E37" i="174"/>
  <c r="E36" i="174" s="1"/>
  <c r="E41" i="174" s="1"/>
  <c r="L36" i="174"/>
  <c r="K36" i="174"/>
  <c r="J36" i="174"/>
  <c r="G36" i="174"/>
  <c r="G41" i="174" s="1"/>
  <c r="H41" i="174" s="1"/>
  <c r="F36" i="174"/>
  <c r="G31" i="174"/>
  <c r="F31" i="174"/>
  <c r="E31" i="174"/>
  <c r="H29" i="174"/>
  <c r="G24" i="174"/>
  <c r="H24" i="174" s="1"/>
  <c r="F24" i="174"/>
  <c r="E24" i="174"/>
  <c r="H23" i="174"/>
  <c r="H22" i="174"/>
  <c r="G16" i="174"/>
  <c r="H16" i="174" s="1"/>
  <c r="F16" i="174"/>
  <c r="E16" i="174"/>
  <c r="H14" i="174"/>
  <c r="H13" i="174"/>
  <c r="H12" i="174"/>
  <c r="D234" i="173"/>
  <c r="G109" i="173"/>
  <c r="G107" i="173"/>
  <c r="H107" i="173" s="1"/>
  <c r="F107" i="173"/>
  <c r="E107" i="173"/>
  <c r="E106" i="173" s="1"/>
  <c r="E111" i="173" s="1"/>
  <c r="L106" i="173"/>
  <c r="K106" i="173"/>
  <c r="J106" i="173"/>
  <c r="F106" i="173"/>
  <c r="F111" i="173" s="1"/>
  <c r="H104" i="173"/>
  <c r="G104" i="173"/>
  <c r="F104" i="173"/>
  <c r="E104" i="173"/>
  <c r="H103" i="173"/>
  <c r="H102" i="173"/>
  <c r="H101" i="173"/>
  <c r="H100" i="173"/>
  <c r="H99" i="173"/>
  <c r="H97" i="173"/>
  <c r="H96" i="173"/>
  <c r="H95" i="173"/>
  <c r="H94" i="173"/>
  <c r="H93" i="173"/>
  <c r="H92" i="173"/>
  <c r="H91" i="173"/>
  <c r="H90" i="173"/>
  <c r="H89" i="173"/>
  <c r="H88" i="173"/>
  <c r="H87" i="173"/>
  <c r="H86" i="173"/>
  <c r="H85" i="173"/>
  <c r="H84" i="173"/>
  <c r="H83" i="173"/>
  <c r="H82" i="173"/>
  <c r="H81" i="173"/>
  <c r="H80" i="173"/>
  <c r="H79" i="173"/>
  <c r="H78" i="173"/>
  <c r="H77" i="173"/>
  <c r="G70" i="173"/>
  <c r="F70" i="173"/>
  <c r="H70" i="173" s="1"/>
  <c r="E70" i="173"/>
  <c r="H68" i="173"/>
  <c r="H67" i="173"/>
  <c r="H66" i="173"/>
  <c r="H65" i="173"/>
  <c r="H64" i="173"/>
  <c r="H62" i="173"/>
  <c r="H61" i="173"/>
  <c r="H60" i="173"/>
  <c r="H59" i="173"/>
  <c r="H58" i="173"/>
  <c r="H57" i="173"/>
  <c r="H53" i="173"/>
  <c r="H52" i="173"/>
  <c r="H51" i="173"/>
  <c r="H50" i="173"/>
  <c r="H49" i="173"/>
  <c r="H48" i="173"/>
  <c r="H47" i="173"/>
  <c r="H46" i="173"/>
  <c r="H45" i="173"/>
  <c r="H44" i="173"/>
  <c r="H43" i="173"/>
  <c r="H42" i="173"/>
  <c r="H41" i="173"/>
  <c r="H40" i="173"/>
  <c r="H39" i="173"/>
  <c r="H38" i="173"/>
  <c r="H37" i="173"/>
  <c r="H36" i="173"/>
  <c r="H35" i="173"/>
  <c r="H33" i="173"/>
  <c r="H29" i="173"/>
  <c r="H28" i="173"/>
  <c r="H27" i="173"/>
  <c r="H26" i="173"/>
  <c r="H25" i="173"/>
  <c r="H24" i="173"/>
  <c r="H23" i="173"/>
  <c r="H22" i="173"/>
  <c r="H21" i="173"/>
  <c r="H20" i="173"/>
  <c r="H19" i="173"/>
  <c r="H18" i="173"/>
  <c r="H17" i="173"/>
  <c r="H16" i="173"/>
  <c r="H15" i="173"/>
  <c r="H14" i="173"/>
  <c r="H13" i="173"/>
  <c r="H12" i="173"/>
  <c r="F344" i="172"/>
  <c r="G342" i="172"/>
  <c r="F342" i="172"/>
  <c r="E342" i="172"/>
  <c r="H341" i="172"/>
  <c r="G341" i="172"/>
  <c r="F341" i="172"/>
  <c r="E341" i="172"/>
  <c r="H340" i="172"/>
  <c r="G340" i="172"/>
  <c r="F340" i="172"/>
  <c r="E340" i="172"/>
  <c r="E339" i="172" s="1"/>
  <c r="E344" i="172" s="1"/>
  <c r="L339" i="172"/>
  <c r="K339" i="172"/>
  <c r="J339" i="172"/>
  <c r="G339" i="172"/>
  <c r="G344" i="172" s="1"/>
  <c r="H344" i="172" s="1"/>
  <c r="F339" i="172"/>
  <c r="G333" i="172"/>
  <c r="H333" i="172" s="1"/>
  <c r="F333" i="172"/>
  <c r="E333" i="172"/>
  <c r="H332" i="172"/>
  <c r="H331" i="172"/>
  <c r="H330" i="172"/>
  <c r="G324" i="172"/>
  <c r="H324" i="172" s="1"/>
  <c r="F324" i="172"/>
  <c r="E324" i="172"/>
  <c r="H323" i="172"/>
  <c r="H322" i="172"/>
  <c r="H316" i="172"/>
  <c r="G316" i="172"/>
  <c r="F316" i="172"/>
  <c r="E316" i="172"/>
  <c r="H315" i="172"/>
  <c r="H314" i="172"/>
  <c r="H313" i="172"/>
  <c r="H312" i="172"/>
  <c r="H306" i="172"/>
  <c r="G306" i="172"/>
  <c r="F306" i="172"/>
  <c r="E306" i="172"/>
  <c r="H305" i="172"/>
  <c r="H304" i="172"/>
  <c r="H303" i="172"/>
  <c r="H302" i="172"/>
  <c r="G296" i="172"/>
  <c r="F296" i="172"/>
  <c r="E296" i="172"/>
  <c r="G289" i="172"/>
  <c r="H289" i="172" s="1"/>
  <c r="F289" i="172"/>
  <c r="E289" i="172"/>
  <c r="H288" i="172"/>
  <c r="H287" i="172"/>
  <c r="H286" i="172"/>
  <c r="H282" i="172"/>
  <c r="H281" i="172"/>
  <c r="H280" i="172"/>
  <c r="H279" i="172"/>
  <c r="G272" i="172"/>
  <c r="F272" i="172"/>
  <c r="E272" i="172"/>
  <c r="G265" i="172"/>
  <c r="F265" i="172"/>
  <c r="H265" i="172" s="1"/>
  <c r="E265" i="172"/>
  <c r="H264" i="172"/>
  <c r="H263" i="172"/>
  <c r="H262" i="172"/>
  <c r="H261" i="172"/>
  <c r="G255" i="172"/>
  <c r="F255" i="172"/>
  <c r="H255" i="172" s="1"/>
  <c r="E255" i="172"/>
  <c r="H254" i="172"/>
  <c r="H253" i="172"/>
  <c r="H252" i="172"/>
  <c r="H251" i="172"/>
  <c r="G245" i="172"/>
  <c r="F245" i="172"/>
  <c r="H245" i="172" s="1"/>
  <c r="E245" i="172"/>
  <c r="H244" i="172"/>
  <c r="H243" i="172"/>
  <c r="H242" i="172"/>
  <c r="H241" i="172"/>
  <c r="G235" i="172"/>
  <c r="F235" i="172"/>
  <c r="H235" i="172" s="1"/>
  <c r="E235" i="172"/>
  <c r="H234" i="172"/>
  <c r="H233" i="172"/>
  <c r="G227" i="172"/>
  <c r="H227" i="172" s="1"/>
  <c r="F227" i="172"/>
  <c r="E227" i="172"/>
  <c r="H226" i="172"/>
  <c r="H225" i="172"/>
  <c r="H224" i="172"/>
  <c r="H223" i="172"/>
  <c r="H222" i="172"/>
  <c r="H221" i="172"/>
  <c r="H220" i="172"/>
  <c r="G214" i="172"/>
  <c r="H214" i="172" s="1"/>
  <c r="F214" i="172"/>
  <c r="E214" i="172"/>
  <c r="H213" i="172"/>
  <c r="H212" i="172"/>
  <c r="H211" i="172"/>
  <c r="H210" i="172"/>
  <c r="H209" i="172"/>
  <c r="G203" i="172"/>
  <c r="F203" i="172"/>
  <c r="E203" i="172"/>
  <c r="G196" i="172"/>
  <c r="H196" i="172" s="1"/>
  <c r="F196" i="172"/>
  <c r="E196" i="172"/>
  <c r="H195" i="172"/>
  <c r="H194" i="172"/>
  <c r="H193" i="172"/>
  <c r="H192" i="172"/>
  <c r="G186" i="172"/>
  <c r="F186" i="172"/>
  <c r="E186" i="172"/>
  <c r="G179" i="172"/>
  <c r="F179" i="172"/>
  <c r="H179" i="172" s="1"/>
  <c r="E179" i="172"/>
  <c r="H178" i="172"/>
  <c r="H176" i="172"/>
  <c r="H175" i="172"/>
  <c r="H174" i="172"/>
  <c r="H173" i="172"/>
  <c r="H172" i="172"/>
  <c r="H171" i="172"/>
  <c r="H170" i="172"/>
  <c r="G164" i="172"/>
  <c r="F164" i="172"/>
  <c r="H164" i="172" s="1"/>
  <c r="E164" i="172"/>
  <c r="H163" i="172"/>
  <c r="H162" i="172"/>
  <c r="H161" i="172"/>
  <c r="H160" i="172"/>
  <c r="H159" i="172"/>
  <c r="H158" i="172"/>
  <c r="H157" i="172"/>
  <c r="H156" i="172"/>
  <c r="H155" i="172"/>
  <c r="H154" i="172"/>
  <c r="H152" i="172"/>
  <c r="H149" i="172"/>
  <c r="H148" i="172"/>
  <c r="H147" i="172"/>
  <c r="H146" i="172"/>
  <c r="H145" i="172"/>
  <c r="H144" i="172"/>
  <c r="H143" i="172"/>
  <c r="H139" i="172"/>
  <c r="H136" i="172"/>
  <c r="H135" i="172"/>
  <c r="H134" i="172"/>
  <c r="G128" i="172"/>
  <c r="H128" i="172" s="1"/>
  <c r="F128" i="172"/>
  <c r="E128" i="172"/>
  <c r="H127" i="172"/>
  <c r="H126" i="172"/>
  <c r="H125" i="172"/>
  <c r="H124" i="172"/>
  <c r="G118" i="172"/>
  <c r="H118" i="172" s="1"/>
  <c r="F118" i="172"/>
  <c r="E118" i="172"/>
  <c r="H117" i="172"/>
  <c r="H116" i="172"/>
  <c r="H115" i="172"/>
  <c r="H114" i="172"/>
  <c r="G108" i="172"/>
  <c r="H108" i="172" s="1"/>
  <c r="F108" i="172"/>
  <c r="E108" i="172"/>
  <c r="H107" i="172"/>
  <c r="H106" i="172"/>
  <c r="H105" i="172"/>
  <c r="H104" i="172"/>
  <c r="H103" i="172"/>
  <c r="H102" i="172"/>
  <c r="G96" i="172"/>
  <c r="F96" i="172"/>
  <c r="H96" i="172" s="1"/>
  <c r="E96" i="172"/>
  <c r="H94" i="172"/>
  <c r="H93" i="172"/>
  <c r="H92" i="172"/>
  <c r="H91" i="172"/>
  <c r="H90" i="172"/>
  <c r="H89" i="172"/>
  <c r="H88" i="172"/>
  <c r="H87" i="172"/>
  <c r="H86" i="172"/>
  <c r="G80" i="172"/>
  <c r="H80" i="172" s="1"/>
  <c r="F80" i="172"/>
  <c r="E80" i="172"/>
  <c r="H79" i="172"/>
  <c r="H78" i="172"/>
  <c r="H77" i="172"/>
  <c r="H76" i="172"/>
  <c r="H75" i="172"/>
  <c r="H74" i="172"/>
  <c r="H73" i="172"/>
  <c r="H72" i="172"/>
  <c r="H71" i="172"/>
  <c r="H70" i="172"/>
  <c r="H69" i="172"/>
  <c r="H68" i="172"/>
  <c r="H67" i="172"/>
  <c r="H66" i="172"/>
  <c r="H65" i="172"/>
  <c r="H64" i="172"/>
  <c r="H62" i="172"/>
  <c r="H61" i="172"/>
  <c r="H60" i="172"/>
  <c r="H59" i="172"/>
  <c r="H58" i="172"/>
  <c r="H57" i="172"/>
  <c r="H56" i="172"/>
  <c r="H55" i="172"/>
  <c r="H54" i="172"/>
  <c r="H53" i="172"/>
  <c r="H52" i="172"/>
  <c r="H51" i="172"/>
  <c r="H50" i="172"/>
  <c r="G44" i="172"/>
  <c r="H44" i="172" s="1"/>
  <c r="F44" i="172"/>
  <c r="E44" i="172"/>
  <c r="H43" i="172"/>
  <c r="H37" i="172"/>
  <c r="G37" i="172"/>
  <c r="F37" i="172"/>
  <c r="E37" i="172"/>
  <c r="H36" i="172"/>
  <c r="G30" i="172"/>
  <c r="F30" i="172"/>
  <c r="H30" i="172" s="1"/>
  <c r="E30" i="172"/>
  <c r="H29" i="172"/>
  <c r="H28" i="172"/>
  <c r="G22" i="172"/>
  <c r="H22" i="172" s="1"/>
  <c r="F22" i="172"/>
  <c r="E22" i="172"/>
  <c r="H21" i="172"/>
  <c r="H20" i="172"/>
  <c r="H19" i="172"/>
  <c r="G13" i="172"/>
  <c r="F13" i="172"/>
  <c r="E13" i="172"/>
  <c r="D349" i="171"/>
  <c r="G223" i="171"/>
  <c r="F223" i="171"/>
  <c r="E223" i="171"/>
  <c r="G222" i="171"/>
  <c r="H222" i="171" s="1"/>
  <c r="F222" i="171"/>
  <c r="E222" i="171"/>
  <c r="E221" i="171" s="1"/>
  <c r="E226" i="171" s="1"/>
  <c r="L221" i="171"/>
  <c r="K221" i="171"/>
  <c r="J221" i="171"/>
  <c r="F221" i="171"/>
  <c r="F226" i="171" s="1"/>
  <c r="G215" i="171"/>
  <c r="F215" i="171"/>
  <c r="H215" i="171" s="1"/>
  <c r="E215" i="171"/>
  <c r="H214" i="171"/>
  <c r="H213" i="171"/>
  <c r="H212" i="171"/>
  <c r="H211" i="171"/>
  <c r="G205" i="171"/>
  <c r="F205" i="171"/>
  <c r="H205" i="171" s="1"/>
  <c r="E205" i="171"/>
  <c r="H204" i="171"/>
  <c r="H203" i="171"/>
  <c r="H202" i="171"/>
  <c r="H201" i="171"/>
  <c r="G195" i="171"/>
  <c r="F195" i="171"/>
  <c r="H195" i="171" s="1"/>
  <c r="E195" i="171"/>
  <c r="H194" i="171"/>
  <c r="H193" i="171"/>
  <c r="H192" i="171"/>
  <c r="H191" i="171"/>
  <c r="G185" i="171"/>
  <c r="F185" i="171"/>
  <c r="H185" i="171" s="1"/>
  <c r="E185" i="171"/>
  <c r="H184" i="171"/>
  <c r="H183" i="171"/>
  <c r="H182" i="171"/>
  <c r="H181" i="171"/>
  <c r="G175" i="171"/>
  <c r="F175" i="171"/>
  <c r="H175" i="171" s="1"/>
  <c r="E175" i="171"/>
  <c r="H174" i="171"/>
  <c r="H173" i="171"/>
  <c r="H172" i="171"/>
  <c r="H171" i="171"/>
  <c r="G165" i="171"/>
  <c r="F165" i="171"/>
  <c r="H165" i="171" s="1"/>
  <c r="E165" i="171"/>
  <c r="H164" i="171"/>
  <c r="H163" i="171"/>
  <c r="H162" i="171"/>
  <c r="H161" i="171"/>
  <c r="G155" i="171"/>
  <c r="F155" i="171"/>
  <c r="H155" i="171" s="1"/>
  <c r="E155" i="171"/>
  <c r="H154" i="171"/>
  <c r="H153" i="171"/>
  <c r="H152" i="171"/>
  <c r="H151" i="171"/>
  <c r="G145" i="171"/>
  <c r="F145" i="171"/>
  <c r="H145" i="171" s="1"/>
  <c r="E145" i="171"/>
  <c r="H144" i="171"/>
  <c r="H143" i="171"/>
  <c r="H142" i="171"/>
  <c r="H141" i="171"/>
  <c r="G135" i="171"/>
  <c r="F135" i="171"/>
  <c r="H135" i="171" s="1"/>
  <c r="E135" i="171"/>
  <c r="H134" i="171"/>
  <c r="H133" i="171"/>
  <c r="H132" i="171"/>
  <c r="H131" i="171"/>
  <c r="G125" i="171"/>
  <c r="F125" i="171"/>
  <c r="H125" i="171" s="1"/>
  <c r="E125" i="171"/>
  <c r="H124" i="171"/>
  <c r="H123" i="171"/>
  <c r="H122" i="171"/>
  <c r="H121" i="171"/>
  <c r="G115" i="171"/>
  <c r="F115" i="171"/>
  <c r="H105" i="171"/>
  <c r="G105" i="171"/>
  <c r="F105" i="171"/>
  <c r="E105" i="171"/>
  <c r="H104" i="171"/>
  <c r="H103" i="171"/>
  <c r="H102" i="171"/>
  <c r="H101" i="171"/>
  <c r="H95" i="171"/>
  <c r="G95" i="171"/>
  <c r="F95" i="171"/>
  <c r="E95" i="171"/>
  <c r="H94" i="171"/>
  <c r="H93" i="171"/>
  <c r="H92" i="171"/>
  <c r="H91" i="171"/>
  <c r="H84" i="171"/>
  <c r="G84" i="171"/>
  <c r="F84" i="171"/>
  <c r="E84" i="171"/>
  <c r="H83" i="171"/>
  <c r="H82" i="171"/>
  <c r="H81" i="171"/>
  <c r="H80" i="171"/>
  <c r="H74" i="171"/>
  <c r="G74" i="171"/>
  <c r="F74" i="171"/>
  <c r="E74" i="171"/>
  <c r="H73" i="171"/>
  <c r="H72" i="171"/>
  <c r="H71" i="171"/>
  <c r="H70" i="171"/>
  <c r="H64" i="171"/>
  <c r="G64" i="171"/>
  <c r="F64" i="171"/>
  <c r="E64" i="171"/>
  <c r="H63" i="171"/>
  <c r="H62" i="171"/>
  <c r="H61" i="171"/>
  <c r="H60" i="171"/>
  <c r="H54" i="171"/>
  <c r="G54" i="171"/>
  <c r="F54" i="171"/>
  <c r="E54" i="171"/>
  <c r="H53" i="171"/>
  <c r="H52" i="171"/>
  <c r="H51" i="171"/>
  <c r="H50" i="171"/>
  <c r="H44" i="171"/>
  <c r="G44" i="171"/>
  <c r="F44" i="171"/>
  <c r="E44" i="171"/>
  <c r="H43" i="171"/>
  <c r="H42" i="171"/>
  <c r="H41" i="171"/>
  <c r="H40" i="171"/>
  <c r="H33" i="171"/>
  <c r="G33" i="171"/>
  <c r="F33" i="171"/>
  <c r="E33" i="171"/>
  <c r="H32" i="171"/>
  <c r="H31" i="171"/>
  <c r="H30" i="171"/>
  <c r="H29" i="171"/>
  <c r="H28" i="171"/>
  <c r="H27" i="171"/>
  <c r="H26" i="171"/>
  <c r="H25" i="171"/>
  <c r="H24" i="171"/>
  <c r="H23" i="171"/>
  <c r="H22" i="171"/>
  <c r="H21" i="171"/>
  <c r="H20" i="171"/>
  <c r="H19" i="171"/>
  <c r="H18" i="171"/>
  <c r="H17" i="171"/>
  <c r="H16" i="171"/>
  <c r="H15" i="171"/>
  <c r="H14" i="171"/>
  <c r="H13" i="171"/>
  <c r="H12" i="171"/>
  <c r="H11" i="171"/>
  <c r="H10" i="171"/>
  <c r="D358" i="170"/>
  <c r="G231" i="170"/>
  <c r="F231" i="170"/>
  <c r="D226" i="20" s="1"/>
  <c r="E231" i="170"/>
  <c r="C226" i="20" s="1"/>
  <c r="G230" i="170"/>
  <c r="F230" i="170"/>
  <c r="L229" i="170"/>
  <c r="K229" i="170"/>
  <c r="J229" i="170"/>
  <c r="G221" i="170"/>
  <c r="F221" i="170"/>
  <c r="H221" i="170" s="1"/>
  <c r="E221" i="170"/>
  <c r="H220" i="170"/>
  <c r="H219" i="170"/>
  <c r="H218" i="170"/>
  <c r="H217" i="170"/>
  <c r="G211" i="170"/>
  <c r="F211" i="170"/>
  <c r="E211" i="170"/>
  <c r="H210" i="170"/>
  <c r="H209" i="170"/>
  <c r="G203" i="170"/>
  <c r="F203" i="170"/>
  <c r="E203" i="170"/>
  <c r="H202" i="170"/>
  <c r="H201" i="170"/>
  <c r="H200" i="170"/>
  <c r="H199" i="170"/>
  <c r="G193" i="170"/>
  <c r="H193" i="170" s="1"/>
  <c r="F193" i="170"/>
  <c r="E193" i="170"/>
  <c r="H192" i="170"/>
  <c r="H191" i="170"/>
  <c r="G185" i="170"/>
  <c r="F185" i="170"/>
  <c r="H185" i="170" s="1"/>
  <c r="E185" i="170"/>
  <c r="H184" i="170"/>
  <c r="H183" i="170"/>
  <c r="G177" i="170"/>
  <c r="H177" i="170" s="1"/>
  <c r="F177" i="170"/>
  <c r="E177" i="170"/>
  <c r="H176" i="170"/>
  <c r="H175" i="170"/>
  <c r="G169" i="170"/>
  <c r="F169" i="170"/>
  <c r="H169" i="170" s="1"/>
  <c r="E169" i="170"/>
  <c r="H168" i="170"/>
  <c r="H167" i="170"/>
  <c r="H166" i="170"/>
  <c r="H165" i="170"/>
  <c r="G159" i="170"/>
  <c r="F159" i="170"/>
  <c r="G151" i="170"/>
  <c r="F151" i="170"/>
  <c r="G143" i="170"/>
  <c r="F143" i="170"/>
  <c r="E143" i="170"/>
  <c r="H142" i="170"/>
  <c r="H141" i="170"/>
  <c r="G135" i="170"/>
  <c r="F135" i="170"/>
  <c r="E135" i="170"/>
  <c r="H134" i="170"/>
  <c r="H133" i="170"/>
  <c r="G127" i="170"/>
  <c r="F127" i="170"/>
  <c r="E127" i="170"/>
  <c r="H126" i="170"/>
  <c r="H125" i="170"/>
  <c r="G119" i="170"/>
  <c r="F119" i="170"/>
  <c r="E119" i="170"/>
  <c r="H118" i="170"/>
  <c r="H117" i="170"/>
  <c r="G112" i="170"/>
  <c r="F112" i="170"/>
  <c r="G104" i="170"/>
  <c r="H104" i="170" s="1"/>
  <c r="F104" i="170"/>
  <c r="E104" i="170"/>
  <c r="H103" i="170"/>
  <c r="H102" i="170"/>
  <c r="G96" i="170"/>
  <c r="F96" i="170"/>
  <c r="H96" i="170" s="1"/>
  <c r="E96" i="170"/>
  <c r="H95" i="170"/>
  <c r="H94" i="170"/>
  <c r="H93" i="170"/>
  <c r="H92" i="170"/>
  <c r="G86" i="170"/>
  <c r="F86" i="170"/>
  <c r="E86" i="170"/>
  <c r="H85" i="170"/>
  <c r="H84" i="170"/>
  <c r="H83" i="170"/>
  <c r="H82" i="170"/>
  <c r="G76" i="170"/>
  <c r="F76" i="170"/>
  <c r="H76" i="170" s="1"/>
  <c r="E76" i="170"/>
  <c r="H75" i="170"/>
  <c r="H74" i="170"/>
  <c r="G68" i="170"/>
  <c r="H68" i="170" s="1"/>
  <c r="F68" i="170"/>
  <c r="E68" i="170"/>
  <c r="H67" i="170"/>
  <c r="H66" i="170"/>
  <c r="H65" i="170"/>
  <c r="H64" i="170"/>
  <c r="G58" i="170"/>
  <c r="F58" i="170"/>
  <c r="E58" i="170"/>
  <c r="H57" i="170"/>
  <c r="H56" i="170"/>
  <c r="G43" i="170"/>
  <c r="F43" i="170"/>
  <c r="E43" i="170"/>
  <c r="H42" i="170"/>
  <c r="H41" i="170"/>
  <c r="G35" i="170"/>
  <c r="F35" i="170"/>
  <c r="E35" i="170"/>
  <c r="H34" i="170"/>
  <c r="H33" i="170"/>
  <c r="H32" i="170"/>
  <c r="H31" i="170"/>
  <c r="G25" i="170"/>
  <c r="H25" i="170" s="1"/>
  <c r="F25" i="170"/>
  <c r="E25" i="170"/>
  <c r="H24" i="170"/>
  <c r="H23" i="170"/>
  <c r="H22" i="170"/>
  <c r="H21" i="170"/>
  <c r="H20" i="170"/>
  <c r="H19" i="170"/>
  <c r="H18" i="170"/>
  <c r="H17" i="170"/>
  <c r="H16" i="170"/>
  <c r="H15" i="170"/>
  <c r="H14" i="170"/>
  <c r="H13" i="170"/>
  <c r="H12" i="170"/>
  <c r="H11" i="170"/>
  <c r="H10" i="170"/>
  <c r="D537" i="169"/>
  <c r="G412" i="169"/>
  <c r="F412" i="169"/>
  <c r="H412" i="169" s="1"/>
  <c r="E412" i="169"/>
  <c r="G411" i="169"/>
  <c r="F411" i="169"/>
  <c r="H411" i="169" s="1"/>
  <c r="E411" i="169"/>
  <c r="L410" i="169"/>
  <c r="K410" i="169"/>
  <c r="J410" i="169"/>
  <c r="G410" i="169"/>
  <c r="E410" i="169"/>
  <c r="E415" i="169" s="1"/>
  <c r="G406" i="169"/>
  <c r="H406" i="169" s="1"/>
  <c r="F406" i="169"/>
  <c r="E406" i="169"/>
  <c r="H405" i="169"/>
  <c r="H404" i="169"/>
  <c r="H403" i="169"/>
  <c r="H402" i="169"/>
  <c r="G396" i="169"/>
  <c r="H396" i="169" s="1"/>
  <c r="F396" i="169"/>
  <c r="E396" i="169"/>
  <c r="H395" i="169"/>
  <c r="H394" i="169"/>
  <c r="G388" i="169"/>
  <c r="H388" i="169" s="1"/>
  <c r="F388" i="169"/>
  <c r="E388" i="169"/>
  <c r="H387" i="169"/>
  <c r="H386" i="169"/>
  <c r="G380" i="169"/>
  <c r="H380" i="169" s="1"/>
  <c r="F380" i="169"/>
  <c r="E380" i="169"/>
  <c r="H379" i="169"/>
  <c r="H378" i="169"/>
  <c r="H377" i="169"/>
  <c r="H376" i="169"/>
  <c r="G370" i="169"/>
  <c r="H370" i="169" s="1"/>
  <c r="F370" i="169"/>
  <c r="E370" i="169"/>
  <c r="H369" i="169"/>
  <c r="H368" i="169"/>
  <c r="H367" i="169"/>
  <c r="H366" i="169"/>
  <c r="G360" i="169"/>
  <c r="H360" i="169" s="1"/>
  <c r="F360" i="169"/>
  <c r="E360" i="169"/>
  <c r="H359" i="169"/>
  <c r="H358" i="169"/>
  <c r="G352" i="169"/>
  <c r="H352" i="169" s="1"/>
  <c r="F352" i="169"/>
  <c r="E352" i="169"/>
  <c r="H351" i="169"/>
  <c r="H350" i="169"/>
  <c r="H349" i="169"/>
  <c r="H348" i="169"/>
  <c r="G342" i="169"/>
  <c r="H342" i="169" s="1"/>
  <c r="F342" i="169"/>
  <c r="E342" i="169"/>
  <c r="H339" i="169"/>
  <c r="H338" i="169"/>
  <c r="H337" i="169"/>
  <c r="H336" i="169"/>
  <c r="G330" i="169"/>
  <c r="H330" i="169" s="1"/>
  <c r="F330" i="169"/>
  <c r="E330" i="169"/>
  <c r="H329" i="169"/>
  <c r="H328" i="169"/>
  <c r="H327" i="169"/>
  <c r="H326" i="169"/>
  <c r="G320" i="169"/>
  <c r="H320" i="169" s="1"/>
  <c r="F320" i="169"/>
  <c r="E320" i="169"/>
  <c r="H319" i="169"/>
  <c r="H318" i="169"/>
  <c r="G312" i="169"/>
  <c r="H312" i="169" s="1"/>
  <c r="F312" i="169"/>
  <c r="E312" i="169"/>
  <c r="H311" i="169"/>
  <c r="H310" i="169"/>
  <c r="H309" i="169"/>
  <c r="H308" i="169"/>
  <c r="G302" i="169"/>
  <c r="H302" i="169" s="1"/>
  <c r="F302" i="169"/>
  <c r="E302" i="169"/>
  <c r="H301" i="169"/>
  <c r="H300" i="169"/>
  <c r="H299" i="169"/>
  <c r="H298" i="169"/>
  <c r="G292" i="169"/>
  <c r="H292" i="169" s="1"/>
  <c r="F292" i="169"/>
  <c r="E292" i="169"/>
  <c r="H291" i="169"/>
  <c r="H290" i="169"/>
  <c r="G284" i="169"/>
  <c r="H284" i="169" s="1"/>
  <c r="F284" i="169"/>
  <c r="E284" i="169"/>
  <c r="H283" i="169"/>
  <c r="H282" i="169"/>
  <c r="G276" i="169"/>
  <c r="H276" i="169" s="1"/>
  <c r="F276" i="169"/>
  <c r="E276" i="169"/>
  <c r="H275" i="169"/>
  <c r="H274" i="169"/>
  <c r="H273" i="169"/>
  <c r="H272" i="169"/>
  <c r="G266" i="169"/>
  <c r="H266" i="169" s="1"/>
  <c r="F266" i="169"/>
  <c r="E266" i="169"/>
  <c r="H265" i="169"/>
  <c r="H264" i="169"/>
  <c r="G258" i="169"/>
  <c r="H258" i="169" s="1"/>
  <c r="F258" i="169"/>
  <c r="E258" i="169"/>
  <c r="H257" i="169"/>
  <c r="H256" i="169"/>
  <c r="G250" i="169"/>
  <c r="H250" i="169" s="1"/>
  <c r="F250" i="169"/>
  <c r="E250" i="169"/>
  <c r="H249" i="169"/>
  <c r="H248" i="169"/>
  <c r="H247" i="169"/>
  <c r="H246" i="169"/>
  <c r="G240" i="169"/>
  <c r="H240" i="169" s="1"/>
  <c r="F240" i="169"/>
  <c r="E240" i="169"/>
  <c r="H239" i="169"/>
  <c r="H238" i="169"/>
  <c r="H237" i="169"/>
  <c r="H236" i="169"/>
  <c r="G230" i="169"/>
  <c r="H230" i="169" s="1"/>
  <c r="F230" i="169"/>
  <c r="E230" i="169"/>
  <c r="H229" i="169"/>
  <c r="H228" i="169"/>
  <c r="H227" i="169"/>
  <c r="H226" i="169"/>
  <c r="G220" i="169"/>
  <c r="H220" i="169" s="1"/>
  <c r="F220" i="169"/>
  <c r="E220" i="169"/>
  <c r="H219" i="169"/>
  <c r="H218" i="169"/>
  <c r="G212" i="169"/>
  <c r="H212" i="169" s="1"/>
  <c r="F212" i="169"/>
  <c r="E212" i="169"/>
  <c r="H211" i="169"/>
  <c r="H210" i="169"/>
  <c r="G204" i="169"/>
  <c r="H204" i="169" s="1"/>
  <c r="F204" i="169"/>
  <c r="E204" i="169"/>
  <c r="H203" i="169"/>
  <c r="H202" i="169"/>
  <c r="G196" i="169"/>
  <c r="H196" i="169" s="1"/>
  <c r="F196" i="169"/>
  <c r="E196" i="169"/>
  <c r="H195" i="169"/>
  <c r="H194" i="169"/>
  <c r="H193" i="169"/>
  <c r="H192" i="169"/>
  <c r="G186" i="169"/>
  <c r="H186" i="169" s="1"/>
  <c r="F186" i="169"/>
  <c r="E186" i="169"/>
  <c r="H185" i="169"/>
  <c r="H184" i="169"/>
  <c r="G178" i="169"/>
  <c r="H178" i="169" s="1"/>
  <c r="F178" i="169"/>
  <c r="E178" i="169"/>
  <c r="H177" i="169"/>
  <c r="H176" i="169"/>
  <c r="G170" i="169"/>
  <c r="H170" i="169" s="1"/>
  <c r="F170" i="169"/>
  <c r="E170" i="169"/>
  <c r="H169" i="169"/>
  <c r="H168" i="169"/>
  <c r="G162" i="169"/>
  <c r="H162" i="169" s="1"/>
  <c r="F162" i="169"/>
  <c r="E162" i="169"/>
  <c r="H161" i="169"/>
  <c r="H160" i="169"/>
  <c r="G154" i="169"/>
  <c r="H154" i="169" s="1"/>
  <c r="F154" i="169"/>
  <c r="E154" i="169"/>
  <c r="H153" i="169"/>
  <c r="H152" i="169"/>
  <c r="H151" i="169"/>
  <c r="H150" i="169"/>
  <c r="G144" i="169"/>
  <c r="H144" i="169" s="1"/>
  <c r="F144" i="169"/>
  <c r="E144" i="169"/>
  <c r="H143" i="169"/>
  <c r="H142" i="169"/>
  <c r="H141" i="169"/>
  <c r="H140" i="169"/>
  <c r="G134" i="169"/>
  <c r="H134" i="169" s="1"/>
  <c r="F134" i="169"/>
  <c r="E134" i="169"/>
  <c r="H133" i="169"/>
  <c r="H132" i="169"/>
  <c r="H131" i="169"/>
  <c r="H130" i="169"/>
  <c r="G124" i="169"/>
  <c r="H124" i="169" s="1"/>
  <c r="F124" i="169"/>
  <c r="E124" i="169"/>
  <c r="H123" i="169"/>
  <c r="H122" i="169"/>
  <c r="G116" i="169"/>
  <c r="H116" i="169" s="1"/>
  <c r="F116" i="169"/>
  <c r="E116" i="169"/>
  <c r="H115" i="169"/>
  <c r="H114" i="169"/>
  <c r="G108" i="169"/>
  <c r="H108" i="169" s="1"/>
  <c r="F108" i="169"/>
  <c r="E108" i="169"/>
  <c r="H107" i="169"/>
  <c r="H106" i="169"/>
  <c r="G100" i="169"/>
  <c r="H100" i="169" s="1"/>
  <c r="F100" i="169"/>
  <c r="E100" i="169"/>
  <c r="H99" i="169"/>
  <c r="H98" i="169"/>
  <c r="G92" i="169"/>
  <c r="H92" i="169" s="1"/>
  <c r="F92" i="169"/>
  <c r="E92" i="169"/>
  <c r="H91" i="169"/>
  <c r="H90" i="169"/>
  <c r="G84" i="169"/>
  <c r="H84" i="169" s="1"/>
  <c r="F84" i="169"/>
  <c r="E84" i="169"/>
  <c r="H83" i="169"/>
  <c r="H82" i="169"/>
  <c r="H81" i="169"/>
  <c r="H80" i="169"/>
  <c r="G74" i="169"/>
  <c r="H74" i="169" s="1"/>
  <c r="F74" i="169"/>
  <c r="E74" i="169"/>
  <c r="H73" i="169"/>
  <c r="H72" i="169"/>
  <c r="G66" i="169"/>
  <c r="H66" i="169" s="1"/>
  <c r="F66" i="169"/>
  <c r="E66" i="169"/>
  <c r="H65" i="169"/>
  <c r="H64" i="169"/>
  <c r="H63" i="169"/>
  <c r="H62" i="169"/>
  <c r="G56" i="169"/>
  <c r="H56" i="169" s="1"/>
  <c r="F56" i="169"/>
  <c r="E56" i="169"/>
  <c r="H55" i="169"/>
  <c r="H54" i="169"/>
  <c r="G48" i="169"/>
  <c r="H48" i="169" s="1"/>
  <c r="F48" i="169"/>
  <c r="E48" i="169"/>
  <c r="H47" i="169"/>
  <c r="H46" i="169"/>
  <c r="H45" i="169"/>
  <c r="H44" i="169"/>
  <c r="G38" i="169"/>
  <c r="H38" i="169" s="1"/>
  <c r="F38" i="169"/>
  <c r="E38" i="169"/>
  <c r="H37" i="169"/>
  <c r="H36" i="169"/>
  <c r="H35" i="169"/>
  <c r="H34" i="169"/>
  <c r="G27" i="169"/>
  <c r="H27" i="169" s="1"/>
  <c r="F27" i="169"/>
  <c r="E27" i="169"/>
  <c r="H26" i="169"/>
  <c r="H25" i="169"/>
  <c r="H24" i="169"/>
  <c r="H23" i="169"/>
  <c r="H22" i="169"/>
  <c r="H21" i="169"/>
  <c r="H20" i="169"/>
  <c r="H19" i="169"/>
  <c r="H18" i="169"/>
  <c r="H17" i="169"/>
  <c r="H16" i="169"/>
  <c r="H15" i="169"/>
  <c r="H14" i="169"/>
  <c r="H13" i="169"/>
  <c r="H12" i="169"/>
  <c r="H11" i="169"/>
  <c r="H10" i="169"/>
  <c r="D152" i="168"/>
  <c r="L25" i="168"/>
  <c r="K25" i="168"/>
  <c r="J25" i="168"/>
  <c r="G22" i="168"/>
  <c r="F22" i="168"/>
  <c r="F26" i="168" s="1"/>
  <c r="E22" i="168"/>
  <c r="E26" i="168" s="1"/>
  <c r="E25" i="168" s="1"/>
  <c r="E30" i="168" s="1"/>
  <c r="H21" i="168"/>
  <c r="H20" i="168"/>
  <c r="H19" i="168"/>
  <c r="H18" i="168"/>
  <c r="H17" i="168"/>
  <c r="H16" i="168"/>
  <c r="H15" i="168"/>
  <c r="H14" i="168"/>
  <c r="H13" i="168"/>
  <c r="H12" i="168"/>
  <c r="H11" i="168"/>
  <c r="H9" i="168"/>
  <c r="D151" i="167"/>
  <c r="F24" i="167"/>
  <c r="F23" i="167" s="1"/>
  <c r="F28" i="167" s="1"/>
  <c r="L23" i="167"/>
  <c r="K23" i="167"/>
  <c r="J23" i="167"/>
  <c r="G18" i="167"/>
  <c r="H18" i="167" s="1"/>
  <c r="F18" i="167"/>
  <c r="E18" i="167"/>
  <c r="E24" i="167" s="1"/>
  <c r="E23" i="167" s="1"/>
  <c r="E28" i="167" s="1"/>
  <c r="H17" i="167"/>
  <c r="H16" i="167"/>
  <c r="H15" i="167"/>
  <c r="H14" i="167"/>
  <c r="H13" i="167"/>
  <c r="H12" i="167"/>
  <c r="H11" i="167"/>
  <c r="H10" i="167"/>
  <c r="H9" i="167"/>
  <c r="D165" i="166"/>
  <c r="G37" i="166"/>
  <c r="H37" i="166" s="1"/>
  <c r="F37" i="166"/>
  <c r="F36" i="166" s="1"/>
  <c r="F41" i="166" s="1"/>
  <c r="L36" i="166"/>
  <c r="K36" i="166"/>
  <c r="J36" i="166"/>
  <c r="G32" i="166"/>
  <c r="F32" i="166"/>
  <c r="H32" i="166" s="1"/>
  <c r="E32" i="166"/>
  <c r="E37" i="166" s="1"/>
  <c r="E36" i="166" s="1"/>
  <c r="E41" i="166" s="1"/>
  <c r="H31" i="166"/>
  <c r="H30" i="166"/>
  <c r="H29" i="166"/>
  <c r="H28" i="166"/>
  <c r="H23" i="166"/>
  <c r="H22" i="166"/>
  <c r="H21" i="166"/>
  <c r="H20" i="166"/>
  <c r="H19" i="166"/>
  <c r="H18" i="166"/>
  <c r="H17" i="166"/>
  <c r="H15" i="166"/>
  <c r="H14" i="166"/>
  <c r="H13" i="166"/>
  <c r="H12" i="166"/>
  <c r="H11" i="166"/>
  <c r="H10" i="166"/>
  <c r="H11" i="165"/>
  <c r="H12" i="165"/>
  <c r="H13" i="165"/>
  <c r="E14" i="165"/>
  <c r="F14" i="165"/>
  <c r="G14" i="165"/>
  <c r="H14" i="165" s="1"/>
  <c r="H20" i="165"/>
  <c r="H21" i="165"/>
  <c r="H22" i="165"/>
  <c r="H23" i="165"/>
  <c r="H24" i="165"/>
  <c r="E25" i="165"/>
  <c r="F25" i="165"/>
  <c r="H25" i="165" s="1"/>
  <c r="G25" i="165"/>
  <c r="H31" i="165"/>
  <c r="H32" i="165"/>
  <c r="H33" i="165"/>
  <c r="E34" i="165"/>
  <c r="F34" i="165"/>
  <c r="G34" i="165"/>
  <c r="H34" i="165" s="1"/>
  <c r="H40" i="165"/>
  <c r="H41" i="165"/>
  <c r="H42" i="165"/>
  <c r="H43" i="165"/>
  <c r="E44" i="165"/>
  <c r="F44" i="165"/>
  <c r="G44" i="165"/>
  <c r="H44" i="165" s="1"/>
  <c r="H53" i="165"/>
  <c r="E54" i="165"/>
  <c r="F54" i="165"/>
  <c r="H54" i="165" s="1"/>
  <c r="G54" i="165"/>
  <c r="H61" i="165"/>
  <c r="H63" i="165"/>
  <c r="E64" i="165"/>
  <c r="F64" i="165"/>
  <c r="G64" i="165"/>
  <c r="H64" i="165"/>
  <c r="H71" i="165"/>
  <c r="H72" i="165"/>
  <c r="H73" i="165"/>
  <c r="H74" i="165"/>
  <c r="H75" i="165"/>
  <c r="E76" i="165"/>
  <c r="F76" i="165"/>
  <c r="G76" i="165"/>
  <c r="H76" i="165" s="1"/>
  <c r="H83" i="165"/>
  <c r="H84" i="165"/>
  <c r="H85" i="165"/>
  <c r="E86" i="165"/>
  <c r="F86" i="165"/>
  <c r="G86" i="165"/>
  <c r="H86" i="165"/>
  <c r="H92" i="165"/>
  <c r="H93" i="165"/>
  <c r="H94" i="165"/>
  <c r="E95" i="165"/>
  <c r="F95" i="165"/>
  <c r="G95" i="165"/>
  <c r="H95" i="165" s="1"/>
  <c r="H101" i="165"/>
  <c r="H102" i="165"/>
  <c r="H103" i="165"/>
  <c r="H104" i="165"/>
  <c r="H105" i="165"/>
  <c r="E106" i="165"/>
  <c r="F106" i="165"/>
  <c r="G106" i="165"/>
  <c r="H106" i="165"/>
  <c r="H112" i="165"/>
  <c r="E113" i="165"/>
  <c r="F113" i="165"/>
  <c r="G113" i="165"/>
  <c r="H113" i="165" s="1"/>
  <c r="H119" i="165"/>
  <c r="E120" i="165"/>
  <c r="F120" i="165"/>
  <c r="H120" i="165" s="1"/>
  <c r="G120" i="165"/>
  <c r="E130" i="165"/>
  <c r="F130" i="165"/>
  <c r="G130" i="165"/>
  <c r="E139" i="165"/>
  <c r="G139" i="165"/>
  <c r="K139" i="165"/>
  <c r="L139" i="165"/>
  <c r="M139" i="165"/>
  <c r="E140" i="165"/>
  <c r="F140" i="165"/>
  <c r="F139" i="165" s="1"/>
  <c r="F144" i="165" s="1"/>
  <c r="G140" i="165"/>
  <c r="H140" i="165"/>
  <c r="E141" i="165"/>
  <c r="F141" i="165"/>
  <c r="G141" i="165"/>
  <c r="H141" i="165"/>
  <c r="E142" i="165"/>
  <c r="F142" i="165"/>
  <c r="G142" i="165"/>
  <c r="E144" i="165"/>
  <c r="G16" i="164"/>
  <c r="F16" i="164"/>
  <c r="F15" i="164" s="1"/>
  <c r="F20" i="164" s="1"/>
  <c r="E16" i="164"/>
  <c r="E15" i="164" s="1"/>
  <c r="E20" i="164" s="1"/>
  <c r="L15" i="164"/>
  <c r="K15" i="164"/>
  <c r="J15" i="164"/>
  <c r="G15" i="164"/>
  <c r="G20" i="164" s="1"/>
  <c r="G12" i="164"/>
  <c r="F12" i="164"/>
  <c r="E12" i="164"/>
  <c r="G566" i="163"/>
  <c r="E153" i="20" s="1"/>
  <c r="F566" i="163"/>
  <c r="D153" i="20" s="1"/>
  <c r="E566" i="163"/>
  <c r="C153" i="20" s="1"/>
  <c r="G565" i="163"/>
  <c r="H565" i="163" s="1"/>
  <c r="F565" i="163"/>
  <c r="D152" i="20" s="1"/>
  <c r="E565" i="163"/>
  <c r="C152" i="20" s="1"/>
  <c r="G564" i="163"/>
  <c r="E151" i="20" s="1"/>
  <c r="L563" i="163"/>
  <c r="K563" i="163"/>
  <c r="J563" i="163"/>
  <c r="G561" i="163"/>
  <c r="F555" i="163"/>
  <c r="F564" i="163" s="1"/>
  <c r="F563" i="163" s="1"/>
  <c r="F568" i="163" s="1"/>
  <c r="E555" i="163"/>
  <c r="E561" i="163" s="1"/>
  <c r="H554" i="163"/>
  <c r="G548" i="163"/>
  <c r="F548" i="163"/>
  <c r="H548" i="163" s="1"/>
  <c r="E548" i="163"/>
  <c r="H547" i="163"/>
  <c r="G541" i="163"/>
  <c r="F541" i="163"/>
  <c r="E541" i="163"/>
  <c r="H540" i="163"/>
  <c r="H538" i="163"/>
  <c r="G532" i="163"/>
  <c r="H532" i="163" s="1"/>
  <c r="F532" i="163"/>
  <c r="E532" i="163"/>
  <c r="H531" i="163"/>
  <c r="G525" i="163"/>
  <c r="F525" i="163"/>
  <c r="E525" i="163"/>
  <c r="H524" i="163"/>
  <c r="G518" i="163"/>
  <c r="H518" i="163" s="1"/>
  <c r="F518" i="163"/>
  <c r="E518" i="163"/>
  <c r="H517" i="163"/>
  <c r="G511" i="163"/>
  <c r="F511" i="163"/>
  <c r="H511" i="163" s="1"/>
  <c r="E511" i="163"/>
  <c r="H510" i="163"/>
  <c r="H509" i="163"/>
  <c r="G503" i="163"/>
  <c r="F503" i="163"/>
  <c r="E503" i="163"/>
  <c r="H502" i="163"/>
  <c r="G496" i="163"/>
  <c r="H496" i="163" s="1"/>
  <c r="F496" i="163"/>
  <c r="E496" i="163"/>
  <c r="H495" i="163"/>
  <c r="H494" i="163"/>
  <c r="G488" i="163"/>
  <c r="F488" i="163"/>
  <c r="E488" i="163"/>
  <c r="H487" i="163"/>
  <c r="G482" i="163"/>
  <c r="F482" i="163"/>
  <c r="H482" i="163" s="1"/>
  <c r="E482" i="163"/>
  <c r="H481" i="163"/>
  <c r="G475" i="163"/>
  <c r="F475" i="163"/>
  <c r="E475" i="163"/>
  <c r="H474" i="163"/>
  <c r="G468" i="163"/>
  <c r="H468" i="163" s="1"/>
  <c r="F468" i="163"/>
  <c r="E468" i="163"/>
  <c r="H467" i="163"/>
  <c r="G461" i="163"/>
  <c r="H461" i="163" s="1"/>
  <c r="F461" i="163"/>
  <c r="E461" i="163"/>
  <c r="H460" i="163"/>
  <c r="G454" i="163"/>
  <c r="F454" i="163"/>
  <c r="E454" i="163"/>
  <c r="H453" i="163"/>
  <c r="H452" i="163"/>
  <c r="G446" i="163"/>
  <c r="H446" i="163" s="1"/>
  <c r="F446" i="163"/>
  <c r="E446" i="163"/>
  <c r="H445" i="163"/>
  <c r="H444" i="163"/>
  <c r="G438" i="163"/>
  <c r="F438" i="163"/>
  <c r="H438" i="163" s="1"/>
  <c r="E438" i="163"/>
  <c r="H437" i="163"/>
  <c r="H436" i="163"/>
  <c r="G430" i="163"/>
  <c r="F430" i="163"/>
  <c r="H430" i="163" s="1"/>
  <c r="E430" i="163"/>
  <c r="H429" i="163"/>
  <c r="H428" i="163"/>
  <c r="G422" i="163"/>
  <c r="F422" i="163"/>
  <c r="E422" i="163"/>
  <c r="H421" i="163"/>
  <c r="H420" i="163"/>
  <c r="G414" i="163"/>
  <c r="H414" i="163" s="1"/>
  <c r="F414" i="163"/>
  <c r="E414" i="163"/>
  <c r="H413" i="163"/>
  <c r="H412" i="163"/>
  <c r="G406" i="163"/>
  <c r="F406" i="163"/>
  <c r="H406" i="163" s="1"/>
  <c r="E406" i="163"/>
  <c r="H405" i="163"/>
  <c r="G399" i="163"/>
  <c r="F399" i="163"/>
  <c r="E399" i="163"/>
  <c r="H398" i="163"/>
  <c r="G392" i="163"/>
  <c r="H392" i="163" s="1"/>
  <c r="F392" i="163"/>
  <c r="E392" i="163"/>
  <c r="H391" i="163"/>
  <c r="G385" i="163"/>
  <c r="H385" i="163" s="1"/>
  <c r="F385" i="163"/>
  <c r="E385" i="163"/>
  <c r="H384" i="163"/>
  <c r="G378" i="163"/>
  <c r="F378" i="163"/>
  <c r="E378" i="163"/>
  <c r="H377" i="163"/>
  <c r="G371" i="163"/>
  <c r="H371" i="163" s="1"/>
  <c r="F371" i="163"/>
  <c r="E371" i="163"/>
  <c r="H370" i="163"/>
  <c r="G364" i="163"/>
  <c r="F364" i="163"/>
  <c r="E364" i="163"/>
  <c r="G356" i="163"/>
  <c r="F356" i="163"/>
  <c r="E356" i="163"/>
  <c r="H355" i="163"/>
  <c r="G349" i="163"/>
  <c r="H349" i="163" s="1"/>
  <c r="F349" i="163"/>
  <c r="E349" i="163"/>
  <c r="H348" i="163"/>
  <c r="G342" i="163"/>
  <c r="H342" i="163" s="1"/>
  <c r="F342" i="163"/>
  <c r="E342" i="163"/>
  <c r="H341" i="163"/>
  <c r="G335" i="163"/>
  <c r="F335" i="163"/>
  <c r="E335" i="163"/>
  <c r="H334" i="163"/>
  <c r="G328" i="163"/>
  <c r="H328" i="163" s="1"/>
  <c r="F328" i="163"/>
  <c r="E328" i="163"/>
  <c r="H327" i="163"/>
  <c r="G321" i="163"/>
  <c r="F321" i="163"/>
  <c r="H321" i="163" s="1"/>
  <c r="E321" i="163"/>
  <c r="H320" i="163"/>
  <c r="G314" i="163"/>
  <c r="F314" i="163"/>
  <c r="E314" i="163"/>
  <c r="H313" i="163"/>
  <c r="G307" i="163"/>
  <c r="F307" i="163"/>
  <c r="H307" i="163" s="1"/>
  <c r="E307" i="163"/>
  <c r="H306" i="163"/>
  <c r="H305" i="163"/>
  <c r="G299" i="163"/>
  <c r="F299" i="163"/>
  <c r="H299" i="163" s="1"/>
  <c r="E299" i="163"/>
  <c r="H298" i="163"/>
  <c r="G292" i="163"/>
  <c r="F292" i="163"/>
  <c r="E292" i="163"/>
  <c r="H291" i="163"/>
  <c r="G285" i="163"/>
  <c r="F285" i="163"/>
  <c r="H285" i="163" s="1"/>
  <c r="E285" i="163"/>
  <c r="H284" i="163"/>
  <c r="G278" i="163"/>
  <c r="F278" i="163"/>
  <c r="E278" i="163"/>
  <c r="H277" i="163"/>
  <c r="H276" i="163"/>
  <c r="G269" i="163"/>
  <c r="H269" i="163" s="1"/>
  <c r="F269" i="163"/>
  <c r="E269" i="163"/>
  <c r="H268" i="163"/>
  <c r="G262" i="163"/>
  <c r="F262" i="163"/>
  <c r="E262" i="163"/>
  <c r="H261" i="163"/>
  <c r="G255" i="163"/>
  <c r="H255" i="163" s="1"/>
  <c r="F255" i="163"/>
  <c r="E255" i="163"/>
  <c r="H254" i="163"/>
  <c r="G248" i="163"/>
  <c r="F248" i="163"/>
  <c r="H248" i="163" s="1"/>
  <c r="E248" i="163"/>
  <c r="H247" i="163"/>
  <c r="G241" i="163"/>
  <c r="F241" i="163"/>
  <c r="E241" i="163"/>
  <c r="H240" i="163"/>
  <c r="G234" i="163"/>
  <c r="F234" i="163"/>
  <c r="H234" i="163" s="1"/>
  <c r="E234" i="163"/>
  <c r="H233" i="163"/>
  <c r="G227" i="163"/>
  <c r="F227" i="163"/>
  <c r="E227" i="163"/>
  <c r="H226" i="163"/>
  <c r="G220" i="163"/>
  <c r="H220" i="163" s="1"/>
  <c r="F220" i="163"/>
  <c r="E220" i="163"/>
  <c r="H219" i="163"/>
  <c r="G213" i="163"/>
  <c r="H213" i="163" s="1"/>
  <c r="F213" i="163"/>
  <c r="E213" i="163"/>
  <c r="H212" i="163"/>
  <c r="G206" i="163"/>
  <c r="F206" i="163"/>
  <c r="E206" i="163"/>
  <c r="H205" i="163"/>
  <c r="G199" i="163"/>
  <c r="H199" i="163" s="1"/>
  <c r="F199" i="163"/>
  <c r="E199" i="163"/>
  <c r="H198" i="163"/>
  <c r="G192" i="163"/>
  <c r="F192" i="163"/>
  <c r="H192" i="163" s="1"/>
  <c r="E192" i="163"/>
  <c r="H191" i="163"/>
  <c r="G185" i="163"/>
  <c r="F185" i="163"/>
  <c r="E185" i="163"/>
  <c r="H184" i="163"/>
  <c r="G178" i="163"/>
  <c r="F178" i="163"/>
  <c r="H178" i="163" s="1"/>
  <c r="E178" i="163"/>
  <c r="H177" i="163"/>
  <c r="G171" i="163"/>
  <c r="F171" i="163"/>
  <c r="E171" i="163"/>
  <c r="H170" i="163"/>
  <c r="G164" i="163"/>
  <c r="H164" i="163" s="1"/>
  <c r="F164" i="163"/>
  <c r="E164" i="163"/>
  <c r="H163" i="163"/>
  <c r="G157" i="163"/>
  <c r="H157" i="163" s="1"/>
  <c r="F157" i="163"/>
  <c r="E157" i="163"/>
  <c r="H156" i="163"/>
  <c r="G150" i="163"/>
  <c r="F150" i="163"/>
  <c r="E150" i="163"/>
  <c r="H149" i="163"/>
  <c r="G143" i="163"/>
  <c r="H143" i="163" s="1"/>
  <c r="F143" i="163"/>
  <c r="E143" i="163"/>
  <c r="H142" i="163"/>
  <c r="G136" i="163"/>
  <c r="F136" i="163"/>
  <c r="H136" i="163" s="1"/>
  <c r="E136" i="163"/>
  <c r="H135" i="163"/>
  <c r="G129" i="163"/>
  <c r="F129" i="163"/>
  <c r="E129" i="163"/>
  <c r="H128" i="163"/>
  <c r="G122" i="163"/>
  <c r="F122" i="163"/>
  <c r="H122" i="163" s="1"/>
  <c r="E122" i="163"/>
  <c r="H121" i="163"/>
  <c r="G115" i="163"/>
  <c r="F115" i="163"/>
  <c r="E115" i="163"/>
  <c r="H114" i="163"/>
  <c r="G108" i="163"/>
  <c r="H108" i="163" s="1"/>
  <c r="F108" i="163"/>
  <c r="E108" i="163"/>
  <c r="H107" i="163"/>
  <c r="G101" i="163"/>
  <c r="H101" i="163" s="1"/>
  <c r="F101" i="163"/>
  <c r="E101" i="163"/>
  <c r="H100" i="163"/>
  <c r="H99" i="163"/>
  <c r="G93" i="163"/>
  <c r="F93" i="163"/>
  <c r="E93" i="163"/>
  <c r="H92" i="163"/>
  <c r="G86" i="163"/>
  <c r="H86" i="163" s="1"/>
  <c r="F86" i="163"/>
  <c r="E86" i="163"/>
  <c r="H85" i="163"/>
  <c r="G79" i="163"/>
  <c r="H79" i="163" s="1"/>
  <c r="F79" i="163"/>
  <c r="E79" i="163"/>
  <c r="H78" i="163"/>
  <c r="G72" i="163"/>
  <c r="F72" i="163"/>
  <c r="E72" i="163"/>
  <c r="H71" i="163"/>
  <c r="G65" i="163"/>
  <c r="H65" i="163" s="1"/>
  <c r="F65" i="163"/>
  <c r="E65" i="163"/>
  <c r="H64" i="163"/>
  <c r="G58" i="163"/>
  <c r="F58" i="163"/>
  <c r="H58" i="163" s="1"/>
  <c r="E58" i="163"/>
  <c r="H57" i="163"/>
  <c r="G51" i="163"/>
  <c r="F51" i="163"/>
  <c r="E51" i="163"/>
  <c r="H50" i="163"/>
  <c r="G44" i="163"/>
  <c r="F44" i="163"/>
  <c r="H44" i="163" s="1"/>
  <c r="E44" i="163"/>
  <c r="H43" i="163"/>
  <c r="G37" i="163"/>
  <c r="F37" i="163"/>
  <c r="E37" i="163"/>
  <c r="H36" i="163"/>
  <c r="H35" i="163"/>
  <c r="G29" i="163"/>
  <c r="H29" i="163" s="1"/>
  <c r="F29" i="163"/>
  <c r="E29" i="163"/>
  <c r="H28" i="163"/>
  <c r="G22" i="163"/>
  <c r="F22" i="163"/>
  <c r="E22" i="163"/>
  <c r="H21" i="163"/>
  <c r="G15" i="163"/>
  <c r="H15" i="163" s="1"/>
  <c r="F15" i="163"/>
  <c r="E15" i="163"/>
  <c r="H14" i="163"/>
  <c r="H13" i="163"/>
  <c r="H51" i="175" l="1"/>
  <c r="E249" i="20"/>
  <c r="L50" i="175"/>
  <c r="I249" i="20"/>
  <c r="H52" i="175"/>
  <c r="H31" i="175"/>
  <c r="E50" i="175"/>
  <c r="E55" i="175" s="1"/>
  <c r="C249" i="20"/>
  <c r="H23" i="175"/>
  <c r="H39" i="175"/>
  <c r="F50" i="175"/>
  <c r="F55" i="175" s="1"/>
  <c r="H320" i="20"/>
  <c r="G320" i="20"/>
  <c r="I320" i="20"/>
  <c r="D318" i="20"/>
  <c r="C319" i="20"/>
  <c r="D319" i="20"/>
  <c r="H215" i="179"/>
  <c r="E278" i="20"/>
  <c r="H27" i="179"/>
  <c r="H48" i="179"/>
  <c r="H68" i="179"/>
  <c r="H88" i="179"/>
  <c r="H108" i="179"/>
  <c r="H128" i="179"/>
  <c r="H148" i="179"/>
  <c r="H168" i="179"/>
  <c r="H188" i="179"/>
  <c r="H208" i="179"/>
  <c r="F213" i="179"/>
  <c r="F218" i="179" s="1"/>
  <c r="E213" i="179"/>
  <c r="E218" i="179" s="1"/>
  <c r="C277" i="20"/>
  <c r="H214" i="179"/>
  <c r="E277" i="20"/>
  <c r="E181" i="177"/>
  <c r="E186" i="177" s="1"/>
  <c r="C267" i="20"/>
  <c r="H102" i="177"/>
  <c r="H169" i="177"/>
  <c r="H183" i="177"/>
  <c r="E268" i="20"/>
  <c r="F268" i="20" s="1"/>
  <c r="H22" i="163"/>
  <c r="H37" i="163"/>
  <c r="H51" i="163"/>
  <c r="H72" i="163"/>
  <c r="H93" i="163"/>
  <c r="H115" i="163"/>
  <c r="H129" i="163"/>
  <c r="H150" i="163"/>
  <c r="H171" i="163"/>
  <c r="H185" i="163"/>
  <c r="H206" i="163"/>
  <c r="H227" i="163"/>
  <c r="H241" i="163"/>
  <c r="H262" i="163"/>
  <c r="H278" i="163"/>
  <c r="H292" i="163"/>
  <c r="H314" i="163"/>
  <c r="H335" i="163"/>
  <c r="H356" i="163"/>
  <c r="H378" i="163"/>
  <c r="H399" i="163"/>
  <c r="H422" i="163"/>
  <c r="H454" i="163"/>
  <c r="H475" i="163"/>
  <c r="H488" i="163"/>
  <c r="H503" i="163"/>
  <c r="H525" i="163"/>
  <c r="H541" i="163"/>
  <c r="H555" i="163"/>
  <c r="H35" i="170"/>
  <c r="H43" i="170"/>
  <c r="H58" i="170"/>
  <c r="H86" i="170"/>
  <c r="E230" i="170"/>
  <c r="H119" i="170"/>
  <c r="H127" i="170"/>
  <c r="H135" i="170"/>
  <c r="H143" i="170"/>
  <c r="H203" i="170"/>
  <c r="H211" i="170"/>
  <c r="F229" i="170"/>
  <c r="F234" i="170" s="1"/>
  <c r="D225" i="20"/>
  <c r="H231" i="170"/>
  <c r="E226" i="20"/>
  <c r="D151" i="20"/>
  <c r="F561" i="163"/>
  <c r="H561" i="163" s="1"/>
  <c r="H230" i="170"/>
  <c r="E225" i="20"/>
  <c r="E152" i="20"/>
  <c r="H182" i="177"/>
  <c r="E267" i="20"/>
  <c r="L301" i="20"/>
  <c r="L300" i="20"/>
  <c r="L302" i="20"/>
  <c r="G201" i="20"/>
  <c r="K301" i="20"/>
  <c r="K302" i="20"/>
  <c r="M301" i="20"/>
  <c r="G200" i="20"/>
  <c r="G202" i="20" s="1"/>
  <c r="M300" i="20"/>
  <c r="M302" i="20"/>
  <c r="F25" i="168"/>
  <c r="F30" i="168" s="1"/>
  <c r="D214" i="20"/>
  <c r="H22" i="168"/>
  <c r="H27" i="180"/>
  <c r="F101" i="180"/>
  <c r="F106" i="180" s="1"/>
  <c r="H102" i="180"/>
  <c r="H71" i="183"/>
  <c r="E298" i="20"/>
  <c r="E318" i="20" s="1"/>
  <c r="I200" i="20"/>
  <c r="H200" i="20"/>
  <c r="H201" i="20"/>
  <c r="I201" i="20"/>
  <c r="G15" i="189"/>
  <c r="G18" i="188"/>
  <c r="G54" i="186"/>
  <c r="G64" i="185"/>
  <c r="F33" i="184"/>
  <c r="F38" i="184" s="1"/>
  <c r="G38" i="184"/>
  <c r="G63" i="182"/>
  <c r="G68" i="182" s="1"/>
  <c r="G65" i="181"/>
  <c r="G101" i="180"/>
  <c r="G213" i="179"/>
  <c r="H69" i="178"/>
  <c r="H64" i="178"/>
  <c r="G181" i="177"/>
  <c r="G126" i="176"/>
  <c r="G50" i="175"/>
  <c r="H36" i="174"/>
  <c r="G106" i="173"/>
  <c r="H339" i="172"/>
  <c r="G221" i="171"/>
  <c r="G229" i="170"/>
  <c r="F410" i="169"/>
  <c r="F415" i="169" s="1"/>
  <c r="G415" i="169"/>
  <c r="H415" i="169" s="1"/>
  <c r="G26" i="168"/>
  <c r="E214" i="20" s="1"/>
  <c r="E258" i="20" s="1"/>
  <c r="G24" i="167"/>
  <c r="G36" i="166"/>
  <c r="H139" i="165"/>
  <c r="G144" i="165"/>
  <c r="H144" i="165" s="1"/>
  <c r="H564" i="163"/>
  <c r="G563" i="163"/>
  <c r="E564" i="163"/>
  <c r="H102" i="7"/>
  <c r="H101" i="7"/>
  <c r="H91" i="7"/>
  <c r="H90" i="7"/>
  <c r="H85" i="7"/>
  <c r="H84" i="7"/>
  <c r="H37" i="7"/>
  <c r="H36" i="7"/>
  <c r="H87" i="7"/>
  <c r="H86" i="7"/>
  <c r="F41" i="7"/>
  <c r="F32" i="7"/>
  <c r="F22" i="7"/>
  <c r="F19" i="7"/>
  <c r="F16" i="7"/>
  <c r="H38" i="7"/>
  <c r="H39" i="7"/>
  <c r="G266" i="7"/>
  <c r="E74" i="20" s="1"/>
  <c r="F266" i="7"/>
  <c r="H99" i="7"/>
  <c r="H82" i="7"/>
  <c r="H67" i="7"/>
  <c r="G61" i="7"/>
  <c r="F54" i="7"/>
  <c r="G50" i="7"/>
  <c r="F50" i="7"/>
  <c r="H43" i="7"/>
  <c r="H42" i="7"/>
  <c r="G32" i="7"/>
  <c r="H34" i="7"/>
  <c r="H11" i="7"/>
  <c r="H10" i="7"/>
  <c r="H14" i="7"/>
  <c r="G132" i="7"/>
  <c r="F132" i="7"/>
  <c r="E132" i="7"/>
  <c r="H131" i="7"/>
  <c r="H130" i="7"/>
  <c r="H118" i="7"/>
  <c r="H116" i="7"/>
  <c r="H115" i="7"/>
  <c r="C318" i="20" l="1"/>
  <c r="C320" i="20" s="1"/>
  <c r="D320" i="20"/>
  <c r="F278" i="20"/>
  <c r="F319" i="20" s="1"/>
  <c r="E319" i="20"/>
  <c r="E320" i="20" s="1"/>
  <c r="E563" i="163"/>
  <c r="E568" i="163" s="1"/>
  <c r="C151" i="20"/>
  <c r="E229" i="170"/>
  <c r="E234" i="170" s="1"/>
  <c r="C225" i="20"/>
  <c r="G20" i="189"/>
  <c r="H20" i="189" s="1"/>
  <c r="H15" i="189"/>
  <c r="G23" i="188"/>
  <c r="H23" i="188" s="1"/>
  <c r="H18" i="188"/>
  <c r="G59" i="186"/>
  <c r="H59" i="186" s="1"/>
  <c r="H54" i="186"/>
  <c r="G69" i="185"/>
  <c r="H69" i="185" s="1"/>
  <c r="H64" i="185"/>
  <c r="H38" i="184"/>
  <c r="H33" i="184"/>
  <c r="G75" i="183"/>
  <c r="H75" i="183" s="1"/>
  <c r="H70" i="183"/>
  <c r="G70" i="181"/>
  <c r="H70" i="181" s="1"/>
  <c r="H65" i="181"/>
  <c r="G106" i="180"/>
  <c r="H106" i="180" s="1"/>
  <c r="H101" i="180"/>
  <c r="G218" i="179"/>
  <c r="H218" i="179" s="1"/>
  <c r="H213" i="179"/>
  <c r="H181" i="177"/>
  <c r="G186" i="177"/>
  <c r="H186" i="177" s="1"/>
  <c r="H126" i="176"/>
  <c r="G125" i="176"/>
  <c r="H50" i="175"/>
  <c r="G55" i="175"/>
  <c r="H55" i="175" s="1"/>
  <c r="H106" i="173"/>
  <c r="G111" i="173"/>
  <c r="H111" i="173" s="1"/>
  <c r="G226" i="171"/>
  <c r="H226" i="171" s="1"/>
  <c r="H221" i="171"/>
  <c r="H229" i="170"/>
  <c r="G234" i="170"/>
  <c r="H234" i="170" s="1"/>
  <c r="H410" i="169"/>
  <c r="H26" i="168"/>
  <c r="G25" i="168"/>
  <c r="H24" i="167"/>
  <c r="G23" i="167"/>
  <c r="H36" i="166"/>
  <c r="G41" i="166"/>
  <c r="H41" i="166" s="1"/>
  <c r="G568" i="163"/>
  <c r="H568" i="163" s="1"/>
  <c r="H563" i="163"/>
  <c r="G184" i="7"/>
  <c r="F184" i="7"/>
  <c r="H191" i="7"/>
  <c r="H190" i="7"/>
  <c r="H188" i="7"/>
  <c r="H187" i="7"/>
  <c r="H186" i="7"/>
  <c r="H185" i="7"/>
  <c r="E151" i="7"/>
  <c r="F143" i="7"/>
  <c r="E143" i="7"/>
  <c r="G151" i="7"/>
  <c r="F151" i="7"/>
  <c r="G167" i="7"/>
  <c r="F167" i="7"/>
  <c r="H179" i="7"/>
  <c r="H169" i="7"/>
  <c r="H166" i="7"/>
  <c r="G278" i="7"/>
  <c r="F278" i="7"/>
  <c r="H125" i="176" l="1"/>
  <c r="G130" i="176"/>
  <c r="H130" i="176" s="1"/>
  <c r="H25" i="168"/>
  <c r="G30" i="168"/>
  <c r="H30" i="168" s="1"/>
  <c r="H23" i="167"/>
  <c r="G28" i="167"/>
  <c r="H28" i="167" s="1"/>
  <c r="F272" i="7"/>
  <c r="G272" i="7"/>
  <c r="E195" i="7"/>
  <c r="I167" i="7"/>
  <c r="J167" i="7"/>
  <c r="G218" i="7"/>
  <c r="F218" i="7"/>
  <c r="H225" i="7"/>
  <c r="H217" i="7"/>
  <c r="H216" i="7"/>
  <c r="G284" i="7"/>
  <c r="F284" i="7"/>
  <c r="H259" i="7"/>
  <c r="H258" i="7"/>
  <c r="G245" i="7"/>
  <c r="F245" i="7"/>
  <c r="G255" i="7"/>
  <c r="F255" i="7"/>
  <c r="H251" i="7"/>
  <c r="H249" i="7"/>
  <c r="F260" i="7" l="1"/>
  <c r="H255" i="7"/>
  <c r="G260" i="7"/>
  <c r="G64" i="15"/>
  <c r="F64" i="15"/>
  <c r="H63" i="15"/>
  <c r="H62" i="15"/>
  <c r="H59" i="15"/>
  <c r="H29" i="15"/>
  <c r="H28" i="15"/>
  <c r="G13" i="15" l="1"/>
  <c r="F13" i="15"/>
  <c r="M148" i="15"/>
  <c r="L148" i="15"/>
  <c r="K148" i="15"/>
  <c r="M149" i="15"/>
  <c r="L149" i="15"/>
  <c r="K149" i="15"/>
  <c r="G161" i="15"/>
  <c r="F161" i="15"/>
  <c r="E161" i="15"/>
  <c r="G91" i="15"/>
  <c r="F91" i="15"/>
  <c r="E91" i="15"/>
  <c r="H93" i="15"/>
  <c r="G75" i="15"/>
  <c r="F75" i="15"/>
  <c r="E75" i="15"/>
  <c r="H77" i="15"/>
  <c r="H78" i="15" l="1"/>
  <c r="G137" i="15"/>
  <c r="F137" i="15"/>
  <c r="E137" i="15"/>
  <c r="G132" i="15"/>
  <c r="F132" i="15"/>
  <c r="G72" i="15"/>
  <c r="F72" i="15"/>
  <c r="H63" i="55" l="1"/>
  <c r="H62" i="55"/>
  <c r="F153" i="55"/>
  <c r="F335" i="55" s="1"/>
  <c r="G153" i="55"/>
  <c r="H146" i="55"/>
  <c r="H145" i="55"/>
  <c r="H144" i="55"/>
  <c r="H143" i="55"/>
  <c r="E124" i="55"/>
  <c r="K153" i="55" s="1"/>
  <c r="H114" i="55"/>
  <c r="H113" i="55"/>
  <c r="H112" i="55"/>
  <c r="H111" i="55"/>
  <c r="H104" i="55"/>
  <c r="H95" i="55"/>
  <c r="H94" i="55"/>
  <c r="G80" i="55"/>
  <c r="F80" i="55"/>
  <c r="G76" i="55"/>
  <c r="F76" i="55"/>
  <c r="H68" i="55"/>
  <c r="G39" i="55"/>
  <c r="F39" i="55"/>
  <c r="H40" i="55"/>
  <c r="F29" i="55"/>
  <c r="G29" i="55"/>
  <c r="G15" i="55"/>
  <c r="F15" i="55"/>
  <c r="H16" i="55"/>
  <c r="G296" i="55" l="1"/>
  <c r="F296" i="55"/>
  <c r="F188" i="55"/>
  <c r="F197" i="55" s="1"/>
  <c r="G342" i="55"/>
  <c r="F342" i="55"/>
  <c r="G343" i="55"/>
  <c r="F343" i="55"/>
  <c r="H299" i="55"/>
  <c r="H298" i="55"/>
  <c r="G278" i="55"/>
  <c r="F278" i="55"/>
  <c r="E278" i="55"/>
  <c r="H281" i="55"/>
  <c r="H280" i="55"/>
  <c r="G235" i="55"/>
  <c r="F235" i="55"/>
  <c r="F238" i="55" s="1"/>
  <c r="E235" i="55"/>
  <c r="H236" i="55"/>
  <c r="G175" i="55"/>
  <c r="F175" i="55"/>
  <c r="E175" i="55"/>
  <c r="H177" i="55"/>
  <c r="H176" i="55"/>
  <c r="G291" i="55"/>
  <c r="F291" i="55"/>
  <c r="G229" i="55"/>
  <c r="F229" i="55"/>
  <c r="H233" i="55"/>
  <c r="G209" i="55"/>
  <c r="F209" i="55"/>
  <c r="E209" i="55"/>
  <c r="H196" i="55"/>
  <c r="H195" i="55"/>
  <c r="G188" i="55"/>
  <c r="G197" i="55" s="1"/>
  <c r="E188" i="55"/>
  <c r="H193" i="55"/>
  <c r="H192" i="55"/>
  <c r="G163" i="55"/>
  <c r="G174" i="55" s="1"/>
  <c r="F163" i="55"/>
  <c r="F174" i="55" s="1"/>
  <c r="E163" i="55"/>
  <c r="H173" i="55"/>
  <c r="H172" i="55"/>
  <c r="H343" i="55" l="1"/>
  <c r="G13" i="12"/>
  <c r="F13" i="12"/>
  <c r="G117" i="12"/>
  <c r="F117" i="12"/>
  <c r="G22" i="12"/>
  <c r="F22" i="12"/>
  <c r="E22" i="12"/>
  <c r="G16" i="12"/>
  <c r="G29" i="12" s="1"/>
  <c r="G115" i="12" s="1"/>
  <c r="F16" i="12"/>
  <c r="F29" i="12" s="1"/>
  <c r="F115" i="12" s="1"/>
  <c r="E16" i="12"/>
  <c r="E29" i="12" s="1"/>
  <c r="H14" i="12"/>
  <c r="E46" i="12"/>
  <c r="H45" i="12"/>
  <c r="H44" i="12"/>
  <c r="H43" i="12"/>
  <c r="H42" i="12"/>
  <c r="G37" i="12"/>
  <c r="G46" i="12" s="1"/>
  <c r="F37" i="12"/>
  <c r="F46" i="12" s="1"/>
  <c r="F93" i="12"/>
  <c r="F98" i="12" s="1"/>
  <c r="G124" i="12"/>
  <c r="M119" i="12" s="1"/>
  <c r="F124" i="12"/>
  <c r="L119" i="12" s="1"/>
  <c r="E124" i="12"/>
  <c r="G123" i="12"/>
  <c r="F123" i="12"/>
  <c r="E123" i="12"/>
  <c r="G99" i="12"/>
  <c r="F99" i="12"/>
  <c r="F73" i="12"/>
  <c r="E99" i="12"/>
  <c r="G106" i="12"/>
  <c r="F106" i="12"/>
  <c r="H103" i="12"/>
  <c r="H102" i="12"/>
  <c r="H101" i="12"/>
  <c r="H100" i="12"/>
  <c r="G78" i="12"/>
  <c r="G82" i="12" s="1"/>
  <c r="F78" i="12"/>
  <c r="F82" i="12" s="1"/>
  <c r="E78" i="12"/>
  <c r="E82" i="12" s="1"/>
  <c r="G73" i="12"/>
  <c r="E73" i="12"/>
  <c r="H76" i="12"/>
  <c r="H81" i="12"/>
  <c r="H80" i="12"/>
  <c r="H75" i="12"/>
  <c r="H74" i="12"/>
  <c r="G77" i="12"/>
  <c r="F77" i="12"/>
  <c r="F84" i="12" s="1"/>
  <c r="E77" i="12"/>
  <c r="G93" i="12"/>
  <c r="G98" i="12" s="1"/>
  <c r="G121" i="12" s="1"/>
  <c r="E93" i="12"/>
  <c r="H97" i="12"/>
  <c r="G89" i="13"/>
  <c r="G624" i="13" s="1"/>
  <c r="F89" i="13"/>
  <c r="F624" i="13" s="1"/>
  <c r="H85" i="13"/>
  <c r="H88" i="13"/>
  <c r="H87" i="13"/>
  <c r="H86" i="13"/>
  <c r="G61" i="13"/>
  <c r="F61" i="13"/>
  <c r="G57" i="13"/>
  <c r="F57" i="13"/>
  <c r="G54" i="13"/>
  <c r="F54" i="13"/>
  <c r="H55" i="13"/>
  <c r="G51" i="13"/>
  <c r="F51" i="13"/>
  <c r="H41" i="13"/>
  <c r="F26" i="13"/>
  <c r="F20" i="13"/>
  <c r="G26" i="13"/>
  <c r="H29" i="13"/>
  <c r="G20" i="13"/>
  <c r="H24" i="13"/>
  <c r="H18" i="13"/>
  <c r="H17" i="13"/>
  <c r="G631" i="13"/>
  <c r="F631" i="13"/>
  <c r="F273" i="13"/>
  <c r="G257" i="13"/>
  <c r="F257" i="13"/>
  <c r="H260" i="13"/>
  <c r="F263" i="13"/>
  <c r="F291" i="13"/>
  <c r="F278" i="13"/>
  <c r="F226" i="13"/>
  <c r="G625" i="13"/>
  <c r="F625" i="13"/>
  <c r="K624" i="13" s="1"/>
  <c r="G281" i="13"/>
  <c r="F281" i="13"/>
  <c r="E281" i="13"/>
  <c r="H280" i="13"/>
  <c r="H279" i="13"/>
  <c r="H281" i="13" s="1"/>
  <c r="K619" i="13"/>
  <c r="H605" i="13"/>
  <c r="H509" i="13"/>
  <c r="H465" i="13"/>
  <c r="G465" i="13"/>
  <c r="F465" i="13"/>
  <c r="E465" i="13"/>
  <c r="G122" i="13"/>
  <c r="F122" i="13"/>
  <c r="E122" i="13"/>
  <c r="H124" i="13"/>
  <c r="H538" i="13"/>
  <c r="H537" i="13"/>
  <c r="G532" i="13"/>
  <c r="G539" i="13" s="1"/>
  <c r="F532" i="13"/>
  <c r="F539" i="13" s="1"/>
  <c r="E532" i="13"/>
  <c r="L118" i="12" l="1"/>
  <c r="M118" i="12"/>
  <c r="L120" i="12"/>
  <c r="M120" i="12"/>
  <c r="F122" i="12"/>
  <c r="F121" i="12"/>
  <c r="F120" i="12" s="1"/>
  <c r="F108" i="12"/>
  <c r="E84" i="12"/>
  <c r="G84" i="12"/>
  <c r="G108" i="12"/>
  <c r="G122" i="12"/>
  <c r="G120" i="12" s="1"/>
  <c r="H84" i="12"/>
  <c r="H77" i="12"/>
  <c r="H82" i="12"/>
  <c r="H73" i="12"/>
  <c r="H96" i="12"/>
  <c r="H624" i="13"/>
  <c r="H89" i="13"/>
  <c r="H480" i="13"/>
  <c r="H479" i="13"/>
  <c r="E365" i="13"/>
  <c r="H277" i="13"/>
  <c r="H276" i="13"/>
  <c r="G226" i="13"/>
  <c r="H229" i="13"/>
  <c r="I332" i="20" l="1"/>
  <c r="I388" i="20" s="1"/>
  <c r="J13" i="31" s="1"/>
  <c r="H332" i="20"/>
  <c r="H388" i="20" s="1"/>
  <c r="I13" i="31" s="1"/>
  <c r="G332" i="20"/>
  <c r="G64" i="20"/>
  <c r="G388" i="20" l="1"/>
  <c r="H13" i="31" s="1"/>
  <c r="G337" i="20"/>
  <c r="E17" i="20"/>
  <c r="D17" i="20"/>
  <c r="C17" i="20"/>
  <c r="E16" i="20"/>
  <c r="D16" i="20"/>
  <c r="C16" i="20"/>
  <c r="E15" i="20"/>
  <c r="D15" i="20"/>
  <c r="C15" i="20"/>
  <c r="E14" i="20"/>
  <c r="D14" i="20"/>
  <c r="C14" i="20"/>
  <c r="F78" i="52"/>
  <c r="E78" i="52"/>
  <c r="F77" i="52"/>
  <c r="F53" i="52"/>
  <c r="F85" i="52"/>
  <c r="E77" i="52"/>
  <c r="E10" i="20"/>
  <c r="D10" i="20"/>
  <c r="C10" i="20"/>
  <c r="E9" i="20"/>
  <c r="D9" i="20"/>
  <c r="C9" i="20"/>
  <c r="D8" i="20"/>
  <c r="C8" i="20"/>
  <c r="M177" i="24" l="1"/>
  <c r="L177" i="24"/>
  <c r="M180" i="24"/>
  <c r="K177" i="24"/>
  <c r="E116" i="24"/>
  <c r="G17" i="24"/>
  <c r="F17" i="24"/>
  <c r="E17" i="24"/>
  <c r="L83" i="24"/>
  <c r="G74" i="24"/>
  <c r="F74" i="24"/>
  <c r="E74" i="24"/>
  <c r="H53" i="24"/>
  <c r="H52" i="24"/>
  <c r="K180" i="24"/>
  <c r="M175" i="24"/>
  <c r="L175" i="24"/>
  <c r="L179" i="24" s="1"/>
  <c r="K175" i="24"/>
  <c r="N82" i="24"/>
  <c r="M82" i="24"/>
  <c r="H99" i="24"/>
  <c r="H98" i="24"/>
  <c r="K179" i="24"/>
  <c r="H176" i="24"/>
  <c r="G172" i="24"/>
  <c r="F172" i="24"/>
  <c r="G168" i="24"/>
  <c r="F168" i="24"/>
  <c r="E168" i="24"/>
  <c r="H167" i="24"/>
  <c r="H166" i="24"/>
  <c r="H163" i="24"/>
  <c r="H160" i="24"/>
  <c r="H156" i="24"/>
  <c r="H159" i="24"/>
  <c r="G158" i="24"/>
  <c r="F158" i="24"/>
  <c r="G154" i="24"/>
  <c r="F154" i="24"/>
  <c r="E154" i="24"/>
  <c r="H151" i="24"/>
  <c r="H150" i="24"/>
  <c r="G142" i="24"/>
  <c r="F142" i="24"/>
  <c r="E142" i="24"/>
  <c r="G129" i="24"/>
  <c r="F129" i="24"/>
  <c r="E129" i="24"/>
  <c r="H128" i="24"/>
  <c r="H127" i="24"/>
  <c r="H126" i="24"/>
  <c r="H125" i="24"/>
  <c r="H124" i="24"/>
  <c r="H123" i="24"/>
  <c r="G120" i="24"/>
  <c r="F120" i="24"/>
  <c r="E120" i="24"/>
  <c r="H122" i="24"/>
  <c r="G116" i="24"/>
  <c r="F116" i="24"/>
  <c r="H118" i="24"/>
  <c r="H117" i="24"/>
  <c r="H112" i="24"/>
  <c r="G106" i="24"/>
  <c r="F106" i="24"/>
  <c r="E106" i="24"/>
  <c r="H105" i="24"/>
  <c r="H104" i="24"/>
  <c r="H103" i="24"/>
  <c r="H102" i="24"/>
  <c r="H101" i="24"/>
  <c r="G100" i="24"/>
  <c r="F100" i="24"/>
  <c r="E100" i="24"/>
  <c r="G66" i="24"/>
  <c r="F66" i="24"/>
  <c r="G61" i="24"/>
  <c r="F61" i="24"/>
  <c r="E61" i="24"/>
  <c r="H63" i="24"/>
  <c r="G58" i="24"/>
  <c r="F58" i="24"/>
  <c r="H59" i="24"/>
  <c r="H56" i="24"/>
  <c r="H55" i="24"/>
  <c r="G49" i="24"/>
  <c r="F49" i="24"/>
  <c r="E44" i="24"/>
  <c r="H40" i="24"/>
  <c r="H39" i="24"/>
  <c r="H38" i="24"/>
  <c r="H37" i="24"/>
  <c r="H34" i="24"/>
  <c r="G36" i="24"/>
  <c r="F36" i="24"/>
  <c r="E36" i="24"/>
  <c r="G33" i="24"/>
  <c r="F33" i="24"/>
  <c r="E33" i="24"/>
  <c r="G30" i="24"/>
  <c r="F30" i="24"/>
  <c r="E30" i="24"/>
  <c r="G27" i="24"/>
  <c r="F27" i="24"/>
  <c r="H28" i="24"/>
  <c r="G24" i="24"/>
  <c r="F24" i="24"/>
  <c r="E24" i="24"/>
  <c r="E83" i="24" s="1"/>
  <c r="H21" i="24"/>
  <c r="H20" i="24"/>
  <c r="H19" i="24"/>
  <c r="G14" i="24"/>
  <c r="F14" i="24"/>
  <c r="H15" i="24"/>
  <c r="G91" i="24"/>
  <c r="F91" i="24"/>
  <c r="E91" i="24"/>
  <c r="G11" i="24"/>
  <c r="F11" i="24"/>
  <c r="L45" i="10"/>
  <c r="L44" i="10"/>
  <c r="N45" i="10"/>
  <c r="M45" i="10"/>
  <c r="N44" i="10"/>
  <c r="M44" i="10"/>
  <c r="H158" i="24" l="1"/>
  <c r="H120" i="24"/>
  <c r="H100" i="24"/>
  <c r="H36" i="24"/>
  <c r="F11" i="23"/>
  <c r="E11" i="23"/>
  <c r="G23" i="51"/>
  <c r="F23" i="51"/>
  <c r="G22" i="51"/>
  <c r="F22" i="51"/>
  <c r="G18" i="51"/>
  <c r="F18" i="51"/>
  <c r="G15" i="97"/>
  <c r="F15" i="97"/>
  <c r="E15" i="97"/>
  <c r="G126" i="8"/>
  <c r="F126" i="8"/>
  <c r="F127" i="8"/>
  <c r="G120" i="8"/>
  <c r="F120" i="8"/>
  <c r="E120" i="8"/>
  <c r="H113" i="8"/>
  <c r="H112" i="8"/>
  <c r="H111" i="8"/>
  <c r="H106" i="8"/>
  <c r="H105" i="8"/>
  <c r="L92" i="8"/>
  <c r="K92" i="8"/>
  <c r="J92" i="8"/>
  <c r="L69" i="8"/>
  <c r="G92" i="8" s="1"/>
  <c r="K69" i="8"/>
  <c r="F92" i="8" s="1"/>
  <c r="J69" i="8"/>
  <c r="E92" i="8" s="1"/>
  <c r="H70" i="8"/>
  <c r="H69" i="8"/>
  <c r="H68" i="8"/>
  <c r="H67" i="8"/>
  <c r="H62" i="8"/>
  <c r="H59" i="8"/>
  <c r="H58" i="8"/>
  <c r="H57" i="8"/>
  <c r="H56" i="8"/>
  <c r="H55" i="8"/>
  <c r="H54" i="8"/>
  <c r="H46" i="8"/>
  <c r="H45" i="8"/>
  <c r="H39" i="8"/>
  <c r="H38" i="8"/>
  <c r="H37" i="8"/>
  <c r="H35" i="8"/>
  <c r="H36" i="8"/>
  <c r="H34" i="8"/>
  <c r="H20" i="8"/>
  <c r="H19" i="8"/>
  <c r="H11" i="8" l="1"/>
  <c r="F135" i="9"/>
  <c r="K72" i="9"/>
  <c r="G129" i="9"/>
  <c r="F129" i="9"/>
  <c r="E129" i="9"/>
  <c r="J103" i="9"/>
  <c r="L72" i="9"/>
  <c r="J72" i="9"/>
  <c r="E104" i="9" s="1"/>
  <c r="H103" i="9"/>
  <c r="H101" i="9"/>
  <c r="F97" i="54"/>
  <c r="H100" i="9"/>
  <c r="H99" i="9"/>
  <c r="G92" i="9"/>
  <c r="F92" i="9"/>
  <c r="H98" i="9"/>
  <c r="H97" i="9"/>
  <c r="H96" i="9"/>
  <c r="H95" i="9"/>
  <c r="H94" i="9"/>
  <c r="H91" i="9"/>
  <c r="H90" i="9"/>
  <c r="H89" i="9"/>
  <c r="G88" i="9"/>
  <c r="L103" i="9" s="1"/>
  <c r="F88" i="9"/>
  <c r="K103" i="9" s="1"/>
  <c r="H71" i="9"/>
  <c r="H67" i="9"/>
  <c r="H64" i="9"/>
  <c r="H62" i="9"/>
  <c r="H61" i="9"/>
  <c r="H58" i="9"/>
  <c r="H57" i="9"/>
  <c r="H55" i="9"/>
  <c r="H54" i="9"/>
  <c r="H45" i="9"/>
  <c r="H42" i="9"/>
  <c r="H41" i="9"/>
  <c r="H40" i="9"/>
  <c r="H39" i="9"/>
  <c r="H38" i="9"/>
  <c r="H37" i="9"/>
  <c r="H36" i="9"/>
  <c r="H35" i="9"/>
  <c r="H34" i="9"/>
  <c r="H29" i="9"/>
  <c r="H28" i="9"/>
  <c r="H27" i="9"/>
  <c r="H25" i="9"/>
  <c r="H24" i="9"/>
  <c r="H23" i="9"/>
  <c r="H22" i="9"/>
  <c r="H15" i="9"/>
  <c r="H14" i="9"/>
  <c r="F104" i="9" l="1"/>
  <c r="G104" i="9"/>
  <c r="H88" i="9"/>
  <c r="F40" i="10"/>
  <c r="F61" i="10"/>
  <c r="F55" i="10"/>
  <c r="F60" i="10" s="1"/>
  <c r="E55" i="10"/>
  <c r="G55" i="10"/>
  <c r="G60" i="10" s="1"/>
  <c r="H53" i="10"/>
  <c r="H55" i="10" l="1"/>
  <c r="H54" i="10"/>
  <c r="G28" i="10" l="1"/>
  <c r="F28" i="10"/>
  <c r="E28" i="10"/>
  <c r="H30" i="10"/>
  <c r="H29" i="10"/>
  <c r="H27" i="10"/>
  <c r="H28" i="10"/>
  <c r="H22" i="10"/>
  <c r="G17" i="10"/>
  <c r="F17" i="10"/>
  <c r="E17" i="10"/>
  <c r="G31" i="11"/>
  <c r="F31" i="11"/>
  <c r="H32" i="11"/>
  <c r="H33" i="11"/>
  <c r="H34" i="11"/>
  <c r="H30" i="11"/>
  <c r="G48" i="5"/>
  <c r="G40" i="5"/>
  <c r="F40" i="5"/>
  <c r="H46" i="5"/>
  <c r="H45" i="5"/>
  <c r="H44" i="5"/>
  <c r="H39" i="5"/>
  <c r="H38" i="5"/>
  <c r="G33" i="5"/>
  <c r="F33" i="5"/>
  <c r="F48" i="5" s="1"/>
  <c r="H37" i="5"/>
  <c r="H36" i="5"/>
  <c r="H35" i="5"/>
  <c r="E23" i="5"/>
  <c r="G16" i="5"/>
  <c r="F16" i="5"/>
  <c r="H18" i="5"/>
  <c r="G12" i="5"/>
  <c r="F12" i="5"/>
  <c r="H15" i="5"/>
  <c r="K117" i="54"/>
  <c r="F134" i="54"/>
  <c r="F141" i="54"/>
  <c r="G141" i="54"/>
  <c r="G134" i="54"/>
  <c r="E134" i="54"/>
  <c r="H133" i="54"/>
  <c r="H131" i="54"/>
  <c r="H130" i="54"/>
  <c r="H128" i="54"/>
  <c r="H127" i="54"/>
  <c r="J117" i="54"/>
  <c r="E118" i="54" s="1"/>
  <c r="G97" i="54"/>
  <c r="H106" i="54"/>
  <c r="H105" i="54"/>
  <c r="H104" i="54"/>
  <c r="H103" i="54"/>
  <c r="H102" i="54"/>
  <c r="G91" i="54"/>
  <c r="F91" i="54"/>
  <c r="H94" i="54"/>
  <c r="G84" i="54"/>
  <c r="F84" i="54"/>
  <c r="H87" i="54"/>
  <c r="G80" i="54"/>
  <c r="F80" i="54"/>
  <c r="G74" i="54"/>
  <c r="F74" i="54"/>
  <c r="H78" i="54"/>
  <c r="H76" i="54"/>
  <c r="H75" i="54"/>
  <c r="G62" i="54"/>
  <c r="F62" i="54"/>
  <c r="H68" i="54"/>
  <c r="H67" i="54"/>
  <c r="H65" i="54"/>
  <c r="G54" i="54"/>
  <c r="F54" i="54"/>
  <c r="G43" i="54"/>
  <c r="F43" i="54"/>
  <c r="H46" i="54"/>
  <c r="G35" i="54"/>
  <c r="F35" i="54"/>
  <c r="H41" i="54"/>
  <c r="G16" i="54"/>
  <c r="F16" i="54"/>
  <c r="E16" i="54"/>
  <c r="H39" i="54"/>
  <c r="G23" i="54"/>
  <c r="F23" i="54"/>
  <c r="H32" i="54"/>
  <c r="H31" i="54"/>
  <c r="H29" i="54"/>
  <c r="H21" i="54"/>
  <c r="H19" i="54"/>
  <c r="G193" i="162"/>
  <c r="F193" i="162"/>
  <c r="G125" i="162"/>
  <c r="F125" i="162"/>
  <c r="K69" i="54" l="1"/>
  <c r="F118" i="54" s="1"/>
  <c r="F139" i="54" s="1"/>
  <c r="L69" i="54"/>
  <c r="L134" i="162"/>
  <c r="K134" i="162"/>
  <c r="J162" i="162"/>
  <c r="G186" i="162"/>
  <c r="F186" i="162"/>
  <c r="H185" i="162"/>
  <c r="H184" i="162"/>
  <c r="H159" i="162" l="1"/>
  <c r="E186" i="162"/>
  <c r="H161" i="162"/>
  <c r="H146" i="162"/>
  <c r="H145" i="162"/>
  <c r="H144" i="162"/>
  <c r="H142" i="162"/>
  <c r="H134" i="162"/>
  <c r="H132" i="162"/>
  <c r="H131" i="162"/>
  <c r="H127" i="162"/>
  <c r="G120" i="162"/>
  <c r="F120" i="162"/>
  <c r="H124" i="162"/>
  <c r="H179" i="162"/>
  <c r="H178" i="162"/>
  <c r="H175" i="162"/>
  <c r="H174" i="162"/>
  <c r="G117" i="162"/>
  <c r="F117" i="162"/>
  <c r="H171" i="162"/>
  <c r="H116" i="162"/>
  <c r="H115" i="162"/>
  <c r="H173" i="162"/>
  <c r="H111" i="162"/>
  <c r="H110" i="162"/>
  <c r="G106" i="162"/>
  <c r="F106" i="162"/>
  <c r="H108" i="162"/>
  <c r="H107" i="162"/>
  <c r="H105" i="162"/>
  <c r="G101" i="162"/>
  <c r="F101" i="162"/>
  <c r="H103" i="162"/>
  <c r="H102" i="162"/>
  <c r="G97" i="162"/>
  <c r="F97" i="162"/>
  <c r="E97" i="162"/>
  <c r="H100" i="162"/>
  <c r="G92" i="162"/>
  <c r="F92" i="162"/>
  <c r="E92" i="162"/>
  <c r="J134" i="162" s="1"/>
  <c r="H95" i="162"/>
  <c r="H94" i="162"/>
  <c r="H93" i="162"/>
  <c r="H85" i="162"/>
  <c r="H84" i="162"/>
  <c r="H83" i="162"/>
  <c r="H172" i="162"/>
  <c r="H76" i="162"/>
  <c r="H65" i="162"/>
  <c r="H64" i="162"/>
  <c r="G59" i="162"/>
  <c r="F59" i="162"/>
  <c r="H58" i="162"/>
  <c r="H57" i="162"/>
  <c r="H56" i="162"/>
  <c r="H55" i="162"/>
  <c r="G52" i="162"/>
  <c r="F52" i="162"/>
  <c r="H53" i="162"/>
  <c r="H51" i="162"/>
  <c r="H50" i="162"/>
  <c r="F46" i="162"/>
  <c r="G46" i="162"/>
  <c r="G38" i="162"/>
  <c r="F38" i="162"/>
  <c r="E38" i="162"/>
  <c r="H41" i="162"/>
  <c r="H40" i="162"/>
  <c r="G34" i="162"/>
  <c r="F34" i="162"/>
  <c r="E34" i="162"/>
  <c r="G28" i="162" l="1"/>
  <c r="F28" i="162"/>
  <c r="H29" i="162"/>
  <c r="H33" i="162"/>
  <c r="H32" i="162"/>
  <c r="G25" i="162"/>
  <c r="F25" i="162"/>
  <c r="H27" i="162"/>
  <c r="G22" i="162"/>
  <c r="F22" i="162"/>
  <c r="H23" i="162"/>
  <c r="G19" i="162"/>
  <c r="F19" i="162"/>
  <c r="H21" i="162"/>
  <c r="G14" i="162"/>
  <c r="L66" i="162" s="1"/>
  <c r="F14" i="162"/>
  <c r="K66" i="162" s="1"/>
  <c r="E14" i="162"/>
  <c r="J66" i="162" s="1"/>
  <c r="E163" i="162" s="1"/>
  <c r="E198" i="162" s="1"/>
  <c r="H16" i="162"/>
  <c r="H10" i="162"/>
  <c r="H11" i="162"/>
  <c r="H12" i="162"/>
  <c r="H13" i="162"/>
  <c r="H14" i="162"/>
  <c r="H15" i="162"/>
  <c r="H17" i="162"/>
  <c r="H18" i="162"/>
  <c r="H19" i="162"/>
  <c r="H20" i="162"/>
  <c r="H22" i="162"/>
  <c r="H24" i="162"/>
  <c r="H25" i="162"/>
  <c r="H26" i="162"/>
  <c r="H28" i="162"/>
  <c r="H30" i="162"/>
  <c r="H31" i="162"/>
  <c r="H34" i="162"/>
  <c r="H35" i="162"/>
  <c r="H36" i="162"/>
  <c r="H37" i="162"/>
  <c r="H38" i="162"/>
  <c r="H42" i="162"/>
  <c r="H43" i="162"/>
  <c r="H44" i="162"/>
  <c r="H45" i="162"/>
  <c r="H46" i="162"/>
  <c r="H48" i="162"/>
  <c r="H49" i="162"/>
  <c r="H52" i="162"/>
  <c r="H54" i="162"/>
  <c r="H59" i="162"/>
  <c r="H60" i="162"/>
  <c r="H61" i="162"/>
  <c r="H62" i="162"/>
  <c r="H63" i="162"/>
  <c r="H73" i="162"/>
  <c r="H74" i="162"/>
  <c r="H77" i="162"/>
  <c r="H78" i="162"/>
  <c r="H79" i="162"/>
  <c r="H80" i="162"/>
  <c r="H81" i="162"/>
  <c r="H82" i="162"/>
  <c r="H86" i="162"/>
  <c r="H87" i="162"/>
  <c r="H88" i="162"/>
  <c r="H89" i="162"/>
  <c r="H90" i="162"/>
  <c r="H91" i="162"/>
  <c r="H92" i="162"/>
  <c r="H96" i="162"/>
  <c r="H97" i="162"/>
  <c r="H98" i="162"/>
  <c r="H99" i="162"/>
  <c r="H101" i="162"/>
  <c r="H104" i="162"/>
  <c r="H106" i="162"/>
  <c r="H109" i="162"/>
  <c r="H117" i="162"/>
  <c r="H118" i="162"/>
  <c r="H119" i="162"/>
  <c r="H120" i="162"/>
  <c r="H121" i="162"/>
  <c r="H122" i="162"/>
  <c r="H123" i="162"/>
  <c r="H125" i="162"/>
  <c r="H126" i="162"/>
  <c r="H128" i="162"/>
  <c r="H129" i="162"/>
  <c r="H147" i="162"/>
  <c r="H148" i="162"/>
  <c r="H149" i="162"/>
  <c r="H150" i="162"/>
  <c r="H151" i="162"/>
  <c r="F154" i="162"/>
  <c r="K162" i="162" s="1"/>
  <c r="G154" i="162"/>
  <c r="L162" i="162" s="1"/>
  <c r="H154" i="162"/>
  <c r="H156" i="162"/>
  <c r="H157" i="162"/>
  <c r="H158" i="162"/>
  <c r="H162" i="162"/>
  <c r="H176" i="162"/>
  <c r="H177" i="162"/>
  <c r="H180" i="162"/>
  <c r="H181" i="162"/>
  <c r="H182" i="162"/>
  <c r="H183" i="162"/>
  <c r="H186" i="162"/>
  <c r="E191" i="162"/>
  <c r="E192" i="162"/>
  <c r="F192" i="162"/>
  <c r="G192" i="162"/>
  <c r="H192" i="162"/>
  <c r="H193" i="162"/>
  <c r="F163" i="162" l="1"/>
  <c r="F198" i="162" s="1"/>
  <c r="G163" i="162"/>
  <c r="E190" i="162"/>
  <c r="H163" i="162" l="1"/>
  <c r="G198" i="162"/>
  <c r="H198" i="162" s="1"/>
  <c r="F191" i="162"/>
  <c r="F190" i="162" s="1"/>
  <c r="G191" i="162"/>
  <c r="G78" i="52"/>
  <c r="G82" i="52"/>
  <c r="F82" i="52"/>
  <c r="G79" i="52"/>
  <c r="F79" i="52"/>
  <c r="H52" i="52"/>
  <c r="H50" i="52"/>
  <c r="H49" i="52"/>
  <c r="H48" i="52"/>
  <c r="H47" i="52"/>
  <c r="H46" i="52"/>
  <c r="H36" i="52"/>
  <c r="H37" i="52"/>
  <c r="H38" i="52"/>
  <c r="H39" i="52"/>
  <c r="H40" i="52"/>
  <c r="H41" i="52"/>
  <c r="G35" i="52"/>
  <c r="H31" i="52"/>
  <c r="H32" i="52"/>
  <c r="G30" i="52"/>
  <c r="G77" i="52" l="1"/>
  <c r="E8" i="20"/>
  <c r="G190" i="162"/>
  <c r="H190" i="162" s="1"/>
  <c r="H191" i="162"/>
  <c r="E82" i="52"/>
  <c r="E79" i="52"/>
  <c r="F72" i="52"/>
  <c r="F35" i="52"/>
  <c r="F30" i="52"/>
  <c r="H33" i="52"/>
  <c r="E42" i="52" l="1"/>
  <c r="E53" i="52" s="1"/>
  <c r="F382" i="20" l="1"/>
  <c r="H381" i="20"/>
  <c r="I381" i="20"/>
  <c r="G381" i="20"/>
  <c r="G126" i="20" l="1"/>
  <c r="H126" i="20"/>
  <c r="I126" i="20"/>
  <c r="G125" i="20"/>
  <c r="G394" i="20" s="1"/>
  <c r="H125" i="20"/>
  <c r="I125" i="20"/>
  <c r="G65" i="20"/>
  <c r="G66" i="20" s="1"/>
  <c r="H65" i="20"/>
  <c r="I65" i="20"/>
  <c r="H64" i="20"/>
  <c r="I64" i="20"/>
  <c r="G367" i="20"/>
  <c r="H367" i="20"/>
  <c r="I367" i="20"/>
  <c r="H26" i="31" l="1"/>
  <c r="I66" i="20"/>
  <c r="H127" i="20"/>
  <c r="G127" i="20"/>
  <c r="I127" i="20"/>
  <c r="H66" i="20"/>
  <c r="G368" i="20" l="1"/>
  <c r="G54" i="7"/>
  <c r="E54" i="7"/>
  <c r="E106" i="7" s="1"/>
  <c r="E264" i="7" s="1"/>
  <c r="G77" i="7"/>
  <c r="K106" i="7" s="1"/>
  <c r="F77" i="7"/>
  <c r="J106" i="7" s="1"/>
  <c r="H80" i="7"/>
  <c r="F61" i="7"/>
  <c r="H61" i="7" s="1"/>
  <c r="H60" i="7"/>
  <c r="H59" i="7"/>
  <c r="H57" i="7"/>
  <c r="G47" i="7"/>
  <c r="F47" i="7"/>
  <c r="H46" i="7"/>
  <c r="H45" i="7"/>
  <c r="H23" i="7"/>
  <c r="H20" i="7"/>
  <c r="H17" i="7"/>
  <c r="G265" i="7"/>
  <c r="E73" i="20" s="1"/>
  <c r="F265" i="7"/>
  <c r="E265" i="7"/>
  <c r="C73" i="20" s="1"/>
  <c r="D80" i="20"/>
  <c r="H192" i="7"/>
  <c r="H189" i="7"/>
  <c r="G204" i="7"/>
  <c r="G209" i="7" s="1"/>
  <c r="F204" i="7"/>
  <c r="F209" i="7" s="1"/>
  <c r="H208" i="7"/>
  <c r="H182" i="7"/>
  <c r="H178" i="7"/>
  <c r="H176" i="7"/>
  <c r="H174" i="7"/>
  <c r="H172" i="7"/>
  <c r="H159" i="7"/>
  <c r="G143" i="7"/>
  <c r="G195" i="7" s="1"/>
  <c r="D84" i="20"/>
  <c r="G234" i="7"/>
  <c r="F234" i="7"/>
  <c r="H237" i="7"/>
  <c r="G228" i="7"/>
  <c r="F228" i="7"/>
  <c r="H223" i="7"/>
  <c r="H222" i="7"/>
  <c r="E89" i="20"/>
  <c r="D89" i="20"/>
  <c r="G155" i="15"/>
  <c r="E135" i="20" s="1"/>
  <c r="F155" i="15"/>
  <c r="D135" i="20" s="1"/>
  <c r="E155" i="15"/>
  <c r="C135" i="20" s="1"/>
  <c r="G154" i="15"/>
  <c r="F154" i="15"/>
  <c r="D134" i="20" s="1"/>
  <c r="H41" i="15"/>
  <c r="H39" i="15"/>
  <c r="G36" i="15"/>
  <c r="F36" i="15"/>
  <c r="E36" i="15"/>
  <c r="H33" i="15"/>
  <c r="H34" i="15"/>
  <c r="H31" i="15"/>
  <c r="H35" i="15"/>
  <c r="H61" i="15"/>
  <c r="H60" i="15"/>
  <c r="G10" i="15"/>
  <c r="G51" i="15" s="1"/>
  <c r="F10" i="15"/>
  <c r="E10" i="15"/>
  <c r="E51" i="15" s="1"/>
  <c r="E140" i="20"/>
  <c r="G94" i="15"/>
  <c r="F94" i="15"/>
  <c r="F79" i="15"/>
  <c r="H76" i="15"/>
  <c r="F136" i="15"/>
  <c r="E132" i="15"/>
  <c r="E136" i="15" s="1"/>
  <c r="G116" i="15"/>
  <c r="G123" i="15" s="1"/>
  <c r="G125" i="15" s="1"/>
  <c r="F116" i="15"/>
  <c r="E116" i="15"/>
  <c r="E123" i="15" s="1"/>
  <c r="E125" i="15" s="1"/>
  <c r="G103" i="15"/>
  <c r="G109" i="15" s="1"/>
  <c r="F103" i="15"/>
  <c r="F109" i="15" s="1"/>
  <c r="F110" i="15" s="1"/>
  <c r="G88" i="15"/>
  <c r="G90" i="15" s="1"/>
  <c r="F88" i="15"/>
  <c r="F90" i="15" s="1"/>
  <c r="E335" i="55"/>
  <c r="C116" i="20" s="1"/>
  <c r="G309" i="55"/>
  <c r="G314" i="55" s="1"/>
  <c r="F309" i="55"/>
  <c r="F314" i="55" s="1"/>
  <c r="E309" i="55"/>
  <c r="E314" i="55" s="1"/>
  <c r="H313" i="55"/>
  <c r="H311" i="55"/>
  <c r="E291" i="55"/>
  <c r="E295" i="55" s="1"/>
  <c r="G272" i="55"/>
  <c r="G277" i="55" s="1"/>
  <c r="F272" i="55"/>
  <c r="F277" i="55" s="1"/>
  <c r="E272" i="55"/>
  <c r="E277" i="55" s="1"/>
  <c r="H211" i="55"/>
  <c r="G335" i="55"/>
  <c r="H335" i="55" s="1"/>
  <c r="D116" i="20"/>
  <c r="G119" i="55"/>
  <c r="K122" i="55" s="1"/>
  <c r="F119" i="55"/>
  <c r="J122" i="55" s="1"/>
  <c r="H151" i="55"/>
  <c r="H152" i="55"/>
  <c r="H148" i="55"/>
  <c r="H147" i="55"/>
  <c r="H107" i="55"/>
  <c r="E327" i="55"/>
  <c r="E330" i="55" s="1"/>
  <c r="H100" i="55"/>
  <c r="H93" i="55"/>
  <c r="H53" i="55"/>
  <c r="G44" i="55"/>
  <c r="F44" i="55"/>
  <c r="H45" i="55"/>
  <c r="H43" i="55"/>
  <c r="G32" i="55"/>
  <c r="K67" i="55" s="1"/>
  <c r="F32" i="55"/>
  <c r="J67" i="55" s="1"/>
  <c r="H36" i="55"/>
  <c r="H26" i="55"/>
  <c r="H25" i="55"/>
  <c r="H21" i="55"/>
  <c r="H20" i="55"/>
  <c r="H19" i="55"/>
  <c r="E116" i="12"/>
  <c r="C105" i="20"/>
  <c r="H41" i="12"/>
  <c r="H40" i="12"/>
  <c r="E117" i="12"/>
  <c r="G116" i="12"/>
  <c r="H28" i="12"/>
  <c r="E115" i="12"/>
  <c r="H15" i="12"/>
  <c r="H13" i="12"/>
  <c r="H38" i="12"/>
  <c r="K146" i="20"/>
  <c r="K52" i="20"/>
  <c r="K329" i="20"/>
  <c r="M63" i="20"/>
  <c r="M333" i="20" s="1"/>
  <c r="M147" i="20"/>
  <c r="K147" i="20"/>
  <c r="M146" i="20"/>
  <c r="L146" i="20"/>
  <c r="M145" i="20"/>
  <c r="L145" i="20"/>
  <c r="L63" i="20"/>
  <c r="M122" i="20"/>
  <c r="K122" i="20"/>
  <c r="K124" i="20" s="1"/>
  <c r="M119" i="20"/>
  <c r="L119" i="20"/>
  <c r="I303" i="20"/>
  <c r="F298" i="20"/>
  <c r="I287" i="20"/>
  <c r="H287" i="20"/>
  <c r="G287" i="20"/>
  <c r="I281" i="20"/>
  <c r="H281" i="20"/>
  <c r="G281" i="20"/>
  <c r="I276" i="20"/>
  <c r="H276" i="20"/>
  <c r="H303" i="20"/>
  <c r="G303" i="20"/>
  <c r="G297" i="20"/>
  <c r="H292" i="20"/>
  <c r="G292" i="20"/>
  <c r="G276" i="20"/>
  <c r="I271" i="20"/>
  <c r="H271" i="20"/>
  <c r="G271" i="20"/>
  <c r="I355" i="20"/>
  <c r="H355" i="20"/>
  <c r="G355" i="20"/>
  <c r="I354" i="20"/>
  <c r="H354" i="20"/>
  <c r="G354" i="20"/>
  <c r="G253" i="20"/>
  <c r="H253" i="20"/>
  <c r="I253" i="20"/>
  <c r="I248" i="20"/>
  <c r="H248" i="20"/>
  <c r="G248" i="20"/>
  <c r="I243" i="20"/>
  <c r="G243" i="20"/>
  <c r="I238" i="20"/>
  <c r="H238" i="20"/>
  <c r="G238" i="20"/>
  <c r="I224" i="20"/>
  <c r="H224" i="20"/>
  <c r="G224" i="20"/>
  <c r="I218" i="20"/>
  <c r="H218" i="20"/>
  <c r="I213" i="20"/>
  <c r="H213" i="20"/>
  <c r="I208" i="20"/>
  <c r="H208" i="20"/>
  <c r="I195" i="20"/>
  <c r="H195" i="20"/>
  <c r="M54" i="20"/>
  <c r="M53" i="20"/>
  <c r="M52" i="20"/>
  <c r="M330" i="20" s="1"/>
  <c r="M51" i="20"/>
  <c r="M329" i="20" s="1"/>
  <c r="I190" i="20"/>
  <c r="H190" i="20"/>
  <c r="G190" i="20"/>
  <c r="I185" i="20"/>
  <c r="H185" i="20"/>
  <c r="G185" i="20"/>
  <c r="I158" i="20"/>
  <c r="H158" i="20"/>
  <c r="G158" i="20"/>
  <c r="E158" i="20"/>
  <c r="D158" i="20"/>
  <c r="C158" i="20"/>
  <c r="I154" i="20"/>
  <c r="E154" i="20"/>
  <c r="D154" i="20"/>
  <c r="C154" i="20"/>
  <c r="I202" i="20"/>
  <c r="D149" i="20"/>
  <c r="C149" i="20"/>
  <c r="L624" i="13"/>
  <c r="H52" i="13"/>
  <c r="G44" i="13"/>
  <c r="F44" i="13"/>
  <c r="H49" i="13"/>
  <c r="E44" i="13"/>
  <c r="H48" i="13"/>
  <c r="F31" i="13"/>
  <c r="H22" i="13"/>
  <c r="G13" i="13"/>
  <c r="F13" i="13"/>
  <c r="F76" i="13" s="1"/>
  <c r="E13" i="13"/>
  <c r="H14" i="13"/>
  <c r="H569" i="13"/>
  <c r="G542" i="13"/>
  <c r="F542" i="13"/>
  <c r="E542" i="13"/>
  <c r="H541" i="13"/>
  <c r="H540" i="13"/>
  <c r="H542" i="13"/>
  <c r="G484" i="13"/>
  <c r="F484" i="13"/>
  <c r="E484" i="13"/>
  <c r="H483" i="13"/>
  <c r="H482" i="13"/>
  <c r="H484" i="13"/>
  <c r="G326" i="13"/>
  <c r="F326" i="13"/>
  <c r="E326" i="13"/>
  <c r="H325" i="13"/>
  <c r="H324" i="13"/>
  <c r="H326" i="13"/>
  <c r="G249" i="13"/>
  <c r="F249" i="13"/>
  <c r="E249" i="13"/>
  <c r="H248" i="13"/>
  <c r="H247" i="13"/>
  <c r="H249" i="13"/>
  <c r="G187" i="13"/>
  <c r="F187" i="13"/>
  <c r="E187" i="13"/>
  <c r="H186" i="13"/>
  <c r="H185" i="13"/>
  <c r="H187" i="13"/>
  <c r="G142" i="13"/>
  <c r="F142" i="13"/>
  <c r="E142" i="13"/>
  <c r="H141" i="13"/>
  <c r="H140" i="13"/>
  <c r="H142" i="13"/>
  <c r="G598" i="13"/>
  <c r="F598" i="13"/>
  <c r="E598" i="13"/>
  <c r="H602" i="13"/>
  <c r="G581" i="13"/>
  <c r="F581" i="13"/>
  <c r="E581" i="13"/>
  <c r="G565" i="13"/>
  <c r="F565" i="13"/>
  <c r="E565" i="13"/>
  <c r="G551" i="13"/>
  <c r="F551" i="13"/>
  <c r="E551" i="13"/>
  <c r="H536" i="13"/>
  <c r="H535" i="13"/>
  <c r="G520" i="13"/>
  <c r="F520" i="13"/>
  <c r="E520" i="13"/>
  <c r="G503" i="13"/>
  <c r="F503" i="13"/>
  <c r="E503" i="13"/>
  <c r="G476" i="13"/>
  <c r="G481" i="13" s="1"/>
  <c r="F476" i="13"/>
  <c r="F481" i="13" s="1"/>
  <c r="E476" i="13"/>
  <c r="G459" i="13"/>
  <c r="F459" i="13"/>
  <c r="E459" i="13"/>
  <c r="G442" i="13"/>
  <c r="F442" i="13"/>
  <c r="E442" i="13"/>
  <c r="G425" i="13"/>
  <c r="F425" i="13"/>
  <c r="E425" i="13"/>
  <c r="G409" i="13"/>
  <c r="F409" i="13"/>
  <c r="E409" i="13"/>
  <c r="G396" i="13"/>
  <c r="F396" i="13"/>
  <c r="E396" i="13"/>
  <c r="G380" i="13"/>
  <c r="F380" i="13"/>
  <c r="E380" i="13"/>
  <c r="G365" i="13"/>
  <c r="F365" i="13"/>
  <c r="G351" i="13"/>
  <c r="F351" i="13"/>
  <c r="E351" i="13"/>
  <c r="G337" i="13"/>
  <c r="F337" i="13"/>
  <c r="E337" i="13"/>
  <c r="G320" i="13"/>
  <c r="F320" i="13"/>
  <c r="E320" i="13"/>
  <c r="G306" i="13"/>
  <c r="F306" i="13"/>
  <c r="E306" i="13"/>
  <c r="G291" i="13"/>
  <c r="E291" i="13"/>
  <c r="G273" i="13"/>
  <c r="G278" i="13" s="1"/>
  <c r="G283" i="13" s="1"/>
  <c r="F283" i="13"/>
  <c r="E273" i="13"/>
  <c r="H262" i="13"/>
  <c r="H261" i="13"/>
  <c r="G263" i="13"/>
  <c r="F265" i="13"/>
  <c r="E257" i="13"/>
  <c r="G243" i="13"/>
  <c r="F243" i="13"/>
  <c r="E243" i="13"/>
  <c r="G230" i="13"/>
  <c r="F230" i="13"/>
  <c r="E226" i="13"/>
  <c r="G211" i="13"/>
  <c r="F211" i="13"/>
  <c r="E211" i="13"/>
  <c r="G196" i="13"/>
  <c r="F196" i="13"/>
  <c r="E196" i="13"/>
  <c r="G181" i="13"/>
  <c r="F181" i="13"/>
  <c r="E181" i="13"/>
  <c r="G165" i="13"/>
  <c r="F165" i="13"/>
  <c r="E165" i="13"/>
  <c r="G152" i="13"/>
  <c r="F152" i="13"/>
  <c r="E152" i="13"/>
  <c r="G136" i="13"/>
  <c r="F136" i="13"/>
  <c r="E136" i="13"/>
  <c r="G118" i="13"/>
  <c r="F118" i="13"/>
  <c r="E118" i="13"/>
  <c r="G102" i="13"/>
  <c r="F102" i="13"/>
  <c r="E102" i="13"/>
  <c r="M179" i="24"/>
  <c r="H174" i="24"/>
  <c r="H157" i="24"/>
  <c r="H149" i="24"/>
  <c r="H148" i="24"/>
  <c r="G147" i="24"/>
  <c r="F147" i="24"/>
  <c r="E147" i="24"/>
  <c r="H146" i="24"/>
  <c r="H135" i="24"/>
  <c r="H134" i="24"/>
  <c r="H131" i="24"/>
  <c r="H119" i="24"/>
  <c r="G110" i="24"/>
  <c r="F110" i="24"/>
  <c r="E110" i="24"/>
  <c r="H113" i="24"/>
  <c r="H109" i="24"/>
  <c r="H108" i="24"/>
  <c r="G95" i="24"/>
  <c r="G179" i="24" s="1"/>
  <c r="F95" i="24"/>
  <c r="H97" i="24"/>
  <c r="H76" i="24"/>
  <c r="H68" i="24"/>
  <c r="H60" i="24"/>
  <c r="H51" i="24"/>
  <c r="H48" i="24"/>
  <c r="G44" i="24"/>
  <c r="F44" i="24"/>
  <c r="H35" i="24"/>
  <c r="H32" i="24"/>
  <c r="H26" i="24"/>
  <c r="H23" i="24"/>
  <c r="H22" i="24"/>
  <c r="H16" i="24"/>
  <c r="H14" i="24"/>
  <c r="F183" i="24"/>
  <c r="H13" i="24"/>
  <c r="F22" i="97"/>
  <c r="F26" i="97" s="1"/>
  <c r="H16" i="97"/>
  <c r="H33" i="8"/>
  <c r="H32" i="8"/>
  <c r="H119" i="8"/>
  <c r="H118" i="8"/>
  <c r="F125" i="8"/>
  <c r="H87" i="8"/>
  <c r="H86" i="8"/>
  <c r="H85" i="8"/>
  <c r="H84" i="8"/>
  <c r="H79" i="8"/>
  <c r="H78" i="8"/>
  <c r="H77" i="8"/>
  <c r="H117" i="8"/>
  <c r="H116" i="8"/>
  <c r="H110" i="8"/>
  <c r="H109" i="8"/>
  <c r="H108" i="8"/>
  <c r="H44" i="8"/>
  <c r="H43" i="8"/>
  <c r="H42" i="8"/>
  <c r="H41" i="8"/>
  <c r="H31" i="8"/>
  <c r="F133" i="9"/>
  <c r="H92" i="9"/>
  <c r="H87" i="9"/>
  <c r="H86" i="9"/>
  <c r="H85" i="9"/>
  <c r="H84" i="9"/>
  <c r="H83" i="9"/>
  <c r="H82" i="9"/>
  <c r="H81" i="9"/>
  <c r="H76" i="9"/>
  <c r="H69" i="9"/>
  <c r="H68" i="9"/>
  <c r="H56" i="9"/>
  <c r="H121" i="9"/>
  <c r="H120" i="9"/>
  <c r="H119" i="9"/>
  <c r="H118" i="9"/>
  <c r="H33" i="9"/>
  <c r="H32" i="9"/>
  <c r="G61" i="10"/>
  <c r="E40" i="10"/>
  <c r="G36" i="10"/>
  <c r="G46" i="10" s="1"/>
  <c r="F36" i="10"/>
  <c r="F46" i="10" s="1"/>
  <c r="E36" i="10"/>
  <c r="E46" i="10"/>
  <c r="E64" i="10" s="1"/>
  <c r="H20" i="10"/>
  <c r="H12" i="10"/>
  <c r="G18" i="11"/>
  <c r="F18" i="11"/>
  <c r="H17" i="5"/>
  <c r="G23" i="5"/>
  <c r="F23" i="5"/>
  <c r="H13" i="5"/>
  <c r="I13" i="20"/>
  <c r="H86" i="54"/>
  <c r="H85" i="54"/>
  <c r="E62" i="54"/>
  <c r="H42" i="52"/>
  <c r="E43" i="54"/>
  <c r="E35" i="54"/>
  <c r="H30" i="54"/>
  <c r="H28" i="54"/>
  <c r="H27" i="54"/>
  <c r="H25" i="54"/>
  <c r="I7" i="20"/>
  <c r="H7" i="20"/>
  <c r="G7" i="20"/>
  <c r="G72" i="52"/>
  <c r="H69" i="52"/>
  <c r="G85" i="52"/>
  <c r="H51" i="13"/>
  <c r="H53" i="13"/>
  <c r="H30" i="7"/>
  <c r="H21" i="7"/>
  <c r="H18" i="7"/>
  <c r="H16" i="7"/>
  <c r="H107" i="8"/>
  <c r="H17" i="8"/>
  <c r="H16" i="8"/>
  <c r="H128" i="9"/>
  <c r="H78" i="9"/>
  <c r="H52" i="9"/>
  <c r="H47" i="9"/>
  <c r="H48" i="9"/>
  <c r="H46" i="9"/>
  <c r="H43" i="9"/>
  <c r="H23" i="10"/>
  <c r="H21" i="10"/>
  <c r="H19" i="10"/>
  <c r="H18" i="10"/>
  <c r="H17" i="11"/>
  <c r="H16" i="11"/>
  <c r="H15" i="11"/>
  <c r="H14" i="11"/>
  <c r="H11" i="11"/>
  <c r="H33" i="5"/>
  <c r="H12" i="5"/>
  <c r="H11" i="5"/>
  <c r="H132" i="54"/>
  <c r="H49" i="54"/>
  <c r="H45" i="52"/>
  <c r="H44" i="52"/>
  <c r="H26" i="52"/>
  <c r="H27" i="52"/>
  <c r="H28" i="52"/>
  <c r="H30" i="52"/>
  <c r="H34" i="52"/>
  <c r="H35" i="52"/>
  <c r="H25" i="52"/>
  <c r="H23" i="52"/>
  <c r="H22" i="52"/>
  <c r="H21" i="52"/>
  <c r="H20" i="52"/>
  <c r="H19" i="52"/>
  <c r="H18" i="52"/>
  <c r="H17" i="52"/>
  <c r="H16" i="52"/>
  <c r="H15" i="52"/>
  <c r="H14" i="52"/>
  <c r="H13" i="52"/>
  <c r="H12" i="52"/>
  <c r="H11" i="52"/>
  <c r="D334" i="20"/>
  <c r="E334" i="20"/>
  <c r="D101" i="20"/>
  <c r="D141" i="20"/>
  <c r="E101" i="20"/>
  <c r="E141" i="20"/>
  <c r="D11" i="20"/>
  <c r="D27" i="20"/>
  <c r="D32" i="20"/>
  <c r="D33" i="20"/>
  <c r="D37" i="20"/>
  <c r="D38" i="20"/>
  <c r="D41" i="20"/>
  <c r="D43" i="20"/>
  <c r="D48" i="20"/>
  <c r="D49" i="20"/>
  <c r="D74" i="20"/>
  <c r="D75" i="20"/>
  <c r="D83" i="20"/>
  <c r="D85" i="20"/>
  <c r="D88" i="20"/>
  <c r="D90" i="20"/>
  <c r="D94" i="20"/>
  <c r="D96" i="20"/>
  <c r="D107" i="20"/>
  <c r="D117" i="20"/>
  <c r="D118" i="20"/>
  <c r="D136" i="20"/>
  <c r="E11" i="20"/>
  <c r="E27" i="20"/>
  <c r="E32" i="20"/>
  <c r="E33" i="20"/>
  <c r="E37" i="20"/>
  <c r="E38" i="20"/>
  <c r="E41" i="20"/>
  <c r="E43" i="20"/>
  <c r="E48" i="20"/>
  <c r="E49" i="20"/>
  <c r="E75" i="20"/>
  <c r="E83" i="20"/>
  <c r="E85" i="20"/>
  <c r="E88" i="20"/>
  <c r="E90" i="20"/>
  <c r="E94" i="20"/>
  <c r="E96" i="20"/>
  <c r="E107" i="20"/>
  <c r="E117" i="20"/>
  <c r="E118" i="20"/>
  <c r="E136" i="20"/>
  <c r="C79" i="20"/>
  <c r="C80" i="20"/>
  <c r="C100" i="20"/>
  <c r="C101" i="20"/>
  <c r="C111" i="20"/>
  <c r="C112" i="20"/>
  <c r="C122" i="20"/>
  <c r="C123" i="20"/>
  <c r="C141" i="20"/>
  <c r="C334" i="20"/>
  <c r="C11" i="20"/>
  <c r="C21" i="20"/>
  <c r="C22" i="20"/>
  <c r="C27" i="20"/>
  <c r="C28" i="20"/>
  <c r="C32" i="20"/>
  <c r="C33" i="20"/>
  <c r="C37" i="20"/>
  <c r="C38" i="20"/>
  <c r="C41" i="20"/>
  <c r="C42" i="20"/>
  <c r="C43" i="20"/>
  <c r="C48" i="20"/>
  <c r="C49" i="20"/>
  <c r="C53" i="20"/>
  <c r="C54" i="20"/>
  <c r="C74" i="20"/>
  <c r="C75" i="20"/>
  <c r="C83" i="20"/>
  <c r="C84" i="20"/>
  <c r="C85" i="20"/>
  <c r="C88" i="20"/>
  <c r="C89" i="20"/>
  <c r="C90" i="20"/>
  <c r="C94" i="20"/>
  <c r="C95" i="20"/>
  <c r="C96" i="20"/>
  <c r="C106" i="20"/>
  <c r="C107" i="20"/>
  <c r="C117" i="20"/>
  <c r="C118" i="20"/>
  <c r="C136" i="20"/>
  <c r="C147" i="20"/>
  <c r="C148" i="20"/>
  <c r="L51" i="20"/>
  <c r="L52" i="20"/>
  <c r="L54" i="20"/>
  <c r="L332" i="20" s="1"/>
  <c r="K53" i="20"/>
  <c r="K54" i="20"/>
  <c r="H329" i="20"/>
  <c r="H266" i="20"/>
  <c r="H243" i="20"/>
  <c r="H335" i="20"/>
  <c r="H154" i="20"/>
  <c r="H144" i="20"/>
  <c r="H132" i="20"/>
  <c r="H114" i="20"/>
  <c r="H119" i="20"/>
  <c r="H103" i="20"/>
  <c r="H108" i="20"/>
  <c r="H92" i="20"/>
  <c r="H97" i="20"/>
  <c r="H386" i="20" s="1"/>
  <c r="I11" i="31" s="1"/>
  <c r="H71" i="20"/>
  <c r="H81" i="20"/>
  <c r="H86" i="20"/>
  <c r="H50" i="20"/>
  <c r="H45" i="20"/>
  <c r="H39" i="20"/>
  <c r="H34" i="20"/>
  <c r="H29" i="20"/>
  <c r="H24" i="20"/>
  <c r="H18" i="20"/>
  <c r="H13" i="20"/>
  <c r="I39" i="20"/>
  <c r="I50" i="20"/>
  <c r="I45" i="20"/>
  <c r="I34" i="20"/>
  <c r="I29" i="20"/>
  <c r="I24" i="20"/>
  <c r="I18" i="20"/>
  <c r="I329" i="20"/>
  <c r="I335" i="20"/>
  <c r="I144" i="20"/>
  <c r="I132" i="20"/>
  <c r="I137" i="20"/>
  <c r="I114" i="20"/>
  <c r="I119" i="20"/>
  <c r="I103" i="20"/>
  <c r="I108" i="20"/>
  <c r="I92" i="20"/>
  <c r="I97" i="20"/>
  <c r="I71" i="20"/>
  <c r="I76" i="20"/>
  <c r="I386" i="20" s="1"/>
  <c r="J11" i="31" s="1"/>
  <c r="I81" i="20"/>
  <c r="I86" i="20"/>
  <c r="G335" i="20"/>
  <c r="G218" i="20"/>
  <c r="G213" i="20"/>
  <c r="G208" i="20"/>
  <c r="G195" i="20"/>
  <c r="G154" i="20"/>
  <c r="G144" i="20"/>
  <c r="G137" i="20"/>
  <c r="G114" i="20"/>
  <c r="G119" i="20"/>
  <c r="G103" i="20"/>
  <c r="G108" i="20"/>
  <c r="G92" i="20"/>
  <c r="G97" i="20"/>
  <c r="G71" i="20"/>
  <c r="G76" i="20"/>
  <c r="G386" i="20" s="1"/>
  <c r="H11" i="31" s="1"/>
  <c r="G81" i="20"/>
  <c r="G86" i="20"/>
  <c r="G50" i="20"/>
  <c r="G45" i="20"/>
  <c r="G39" i="20"/>
  <c r="G34" i="20"/>
  <c r="G29" i="20"/>
  <c r="G24" i="20"/>
  <c r="G18" i="20"/>
  <c r="G13" i="20"/>
  <c r="K57" i="20"/>
  <c r="K58" i="20"/>
  <c r="K59" i="20"/>
  <c r="K62" i="20"/>
  <c r="F147" i="15"/>
  <c r="F149" i="15" s="1"/>
  <c r="E103" i="15"/>
  <c r="E109" i="15" s="1"/>
  <c r="E110" i="15" s="1"/>
  <c r="E88" i="15"/>
  <c r="E90" i="15" s="1"/>
  <c r="E72" i="15"/>
  <c r="E74" i="15" s="1"/>
  <c r="E147" i="15"/>
  <c r="E149" i="15" s="1"/>
  <c r="H149" i="15"/>
  <c r="G149" i="15"/>
  <c r="H330" i="55"/>
  <c r="G330" i="55"/>
  <c r="F330" i="55"/>
  <c r="E340" i="13"/>
  <c r="E323" i="13"/>
  <c r="E328" i="13"/>
  <c r="E309" i="13"/>
  <c r="E296" i="13"/>
  <c r="E278" i="13"/>
  <c r="E283" i="13" s="1"/>
  <c r="E263" i="13"/>
  <c r="E246" i="13"/>
  <c r="E251" i="13"/>
  <c r="E230" i="13"/>
  <c r="E214" i="13"/>
  <c r="E199" i="13"/>
  <c r="E184" i="13"/>
  <c r="E189" i="13"/>
  <c r="E168" i="13"/>
  <c r="E155" i="13"/>
  <c r="E139" i="13"/>
  <c r="E144" i="13"/>
  <c r="E121" i="13"/>
  <c r="E105" i="13"/>
  <c r="E603" i="13"/>
  <c r="E584" i="13"/>
  <c r="E568" i="13"/>
  <c r="E554" i="13"/>
  <c r="E539" i="13"/>
  <c r="E544" i="13"/>
  <c r="E523" i="13"/>
  <c r="E525" i="13" s="1"/>
  <c r="E506" i="13"/>
  <c r="E481" i="13"/>
  <c r="E486" i="13"/>
  <c r="E462" i="13"/>
  <c r="E467" i="13"/>
  <c r="E445" i="13"/>
  <c r="E428" i="13"/>
  <c r="E412" i="13"/>
  <c r="E399" i="13"/>
  <c r="E383" i="13"/>
  <c r="E368" i="13"/>
  <c r="E370" i="13" s="1"/>
  <c r="E354" i="13"/>
  <c r="E619" i="13"/>
  <c r="J619" i="13" s="1"/>
  <c r="L619" i="13"/>
  <c r="H619" i="13"/>
  <c r="G619" i="13"/>
  <c r="F619" i="13"/>
  <c r="E35" i="13"/>
  <c r="G143" i="54"/>
  <c r="F143" i="54"/>
  <c r="D23" i="20"/>
  <c r="E143" i="54"/>
  <c r="C23" i="20"/>
  <c r="D12" i="20"/>
  <c r="C12" i="20"/>
  <c r="G31" i="13"/>
  <c r="E95" i="20"/>
  <c r="G140" i="54"/>
  <c r="E20" i="20"/>
  <c r="G340" i="13"/>
  <c r="G323" i="13"/>
  <c r="G328" i="13"/>
  <c r="G309" i="13"/>
  <c r="G296" i="13"/>
  <c r="G246" i="13"/>
  <c r="G251" i="13"/>
  <c r="G214" i="13"/>
  <c r="G199" i="13"/>
  <c r="G184" i="13"/>
  <c r="G189" i="13"/>
  <c r="G168" i="13"/>
  <c r="G155" i="13"/>
  <c r="G139" i="13"/>
  <c r="G144" i="13"/>
  <c r="G121" i="13"/>
  <c r="G105" i="13"/>
  <c r="G603" i="13"/>
  <c r="G584" i="13"/>
  <c r="G568" i="13"/>
  <c r="G554" i="13"/>
  <c r="G544" i="13"/>
  <c r="G523" i="13"/>
  <c r="G525" i="13" s="1"/>
  <c r="G506" i="13"/>
  <c r="G486" i="13"/>
  <c r="G462" i="13"/>
  <c r="G467" i="13"/>
  <c r="G445" i="13"/>
  <c r="G428" i="13"/>
  <c r="G412" i="13"/>
  <c r="G399" i="13"/>
  <c r="G383" i="13"/>
  <c r="G368" i="13"/>
  <c r="G370" i="13" s="1"/>
  <c r="G354" i="13"/>
  <c r="E100" i="20"/>
  <c r="G431" i="13"/>
  <c r="G448" i="13"/>
  <c r="G510" i="13"/>
  <c r="G557" i="13"/>
  <c r="G587" i="13"/>
  <c r="G607" i="13"/>
  <c r="G386" i="13"/>
  <c r="G415" i="13"/>
  <c r="G571" i="13"/>
  <c r="G171" i="13"/>
  <c r="G202" i="13"/>
  <c r="G217" i="13"/>
  <c r="G233" i="13"/>
  <c r="G312" i="13"/>
  <c r="G108" i="13"/>
  <c r="G125" i="13"/>
  <c r="G214" i="55"/>
  <c r="G234" i="55"/>
  <c r="G249" i="55"/>
  <c r="G253" i="55" s="1"/>
  <c r="G295" i="55"/>
  <c r="E122" i="20"/>
  <c r="G317" i="55"/>
  <c r="G300" i="55"/>
  <c r="G282" i="55"/>
  <c r="G238" i="55"/>
  <c r="G217" i="55"/>
  <c r="G200" i="55"/>
  <c r="G179" i="55"/>
  <c r="G181" i="55" s="1"/>
  <c r="E123" i="20"/>
  <c r="G74" i="15"/>
  <c r="F340" i="13"/>
  <c r="F323" i="13"/>
  <c r="F328" i="13"/>
  <c r="F309" i="13"/>
  <c r="F296" i="13"/>
  <c r="F246" i="13"/>
  <c r="F251" i="13"/>
  <c r="F214" i="13"/>
  <c r="F199" i="13"/>
  <c r="F184" i="13"/>
  <c r="F189" i="13"/>
  <c r="F168" i="13"/>
  <c r="F155" i="13"/>
  <c r="F139" i="13"/>
  <c r="F144" i="13"/>
  <c r="F121" i="13"/>
  <c r="F105" i="13"/>
  <c r="F603" i="13"/>
  <c r="F584" i="13"/>
  <c r="F568" i="13"/>
  <c r="F554" i="13"/>
  <c r="F544" i="13"/>
  <c r="F523" i="13"/>
  <c r="F525" i="13" s="1"/>
  <c r="F506" i="13"/>
  <c r="F486" i="13"/>
  <c r="F462" i="13"/>
  <c r="F467" i="13"/>
  <c r="F445" i="13"/>
  <c r="F428" i="13"/>
  <c r="F412" i="13"/>
  <c r="F399" i="13"/>
  <c r="F383" i="13"/>
  <c r="F368" i="13"/>
  <c r="F370" i="13" s="1"/>
  <c r="F354" i="13"/>
  <c r="D100" i="20"/>
  <c r="F431" i="13"/>
  <c r="F448" i="13"/>
  <c r="F510" i="13"/>
  <c r="F557" i="13"/>
  <c r="F587" i="13"/>
  <c r="F607" i="13"/>
  <c r="F386" i="13"/>
  <c r="F415" i="13"/>
  <c r="F571" i="13"/>
  <c r="F171" i="13"/>
  <c r="F202" i="13"/>
  <c r="F217" i="13"/>
  <c r="F233" i="13"/>
  <c r="F312" i="13"/>
  <c r="F108" i="13"/>
  <c r="F125" i="13"/>
  <c r="F214" i="55"/>
  <c r="F234" i="55"/>
  <c r="F240" i="55" s="1"/>
  <c r="F249" i="55"/>
  <c r="F253" i="55" s="1"/>
  <c r="F255" i="55" s="1"/>
  <c r="F295" i="55"/>
  <c r="D122" i="20"/>
  <c r="F317" i="55"/>
  <c r="F300" i="55"/>
  <c r="F282" i="55"/>
  <c r="F217" i="55"/>
  <c r="F200" i="55"/>
  <c r="F202" i="55" s="1"/>
  <c r="F179" i="55"/>
  <c r="F181" i="55" s="1"/>
  <c r="D123" i="20"/>
  <c r="F74" i="15"/>
  <c r="F139" i="15"/>
  <c r="E431" i="13"/>
  <c r="E448" i="13"/>
  <c r="E510" i="13"/>
  <c r="E557" i="13"/>
  <c r="E587" i="13"/>
  <c r="E607" i="13"/>
  <c r="E386" i="13"/>
  <c r="E415" i="13"/>
  <c r="E571" i="13"/>
  <c r="E171" i="13"/>
  <c r="E202" i="13"/>
  <c r="E217" i="13"/>
  <c r="E233" i="13"/>
  <c r="E312" i="13"/>
  <c r="E108" i="13"/>
  <c r="E125" i="13"/>
  <c r="E174" i="55"/>
  <c r="E197" i="55"/>
  <c r="E214" i="55"/>
  <c r="E229" i="55"/>
  <c r="E234" i="55" s="1"/>
  <c r="E249" i="55"/>
  <c r="E253" i="55" s="1"/>
  <c r="E255" i="55" s="1"/>
  <c r="E317" i="55"/>
  <c r="E300" i="55"/>
  <c r="E282" i="55"/>
  <c r="E238" i="55"/>
  <c r="E217" i="55"/>
  <c r="E200" i="55"/>
  <c r="E179" i="55"/>
  <c r="E94" i="15"/>
  <c r="E79" i="15"/>
  <c r="E139" i="15"/>
  <c r="C140" i="20"/>
  <c r="F35" i="13"/>
  <c r="D95" i="20"/>
  <c r="D21" i="20"/>
  <c r="F21" i="20" s="1"/>
  <c r="F140" i="54"/>
  <c r="D20" i="20"/>
  <c r="E64" i="15"/>
  <c r="E154" i="15" s="1"/>
  <c r="C134" i="20" s="1"/>
  <c r="E140" i="54"/>
  <c r="C20" i="20"/>
  <c r="H10" i="30"/>
  <c r="F13" i="30"/>
  <c r="H13" i="30"/>
  <c r="H18" i="30"/>
  <c r="F21" i="30"/>
  <c r="F33" i="30"/>
  <c r="H33" i="30"/>
  <c r="E39" i="30"/>
  <c r="F39" i="30"/>
  <c r="G39" i="30"/>
  <c r="H39" i="30"/>
  <c r="F9" i="29"/>
  <c r="H9" i="29"/>
  <c r="F12" i="29"/>
  <c r="H12" i="29"/>
  <c r="H16" i="29"/>
  <c r="H22" i="29"/>
  <c r="F23" i="29"/>
  <c r="H23" i="29"/>
  <c r="F26" i="29"/>
  <c r="H26" i="29"/>
  <c r="H33" i="29"/>
  <c r="F36" i="29"/>
  <c r="H36" i="29"/>
  <c r="F39" i="29"/>
  <c r="H39" i="29"/>
  <c r="F57" i="29"/>
  <c r="E65" i="29"/>
  <c r="F65" i="29"/>
  <c r="G65" i="29"/>
  <c r="H65" i="29"/>
  <c r="H9" i="97"/>
  <c r="H10" i="97"/>
  <c r="H12" i="97"/>
  <c r="H13" i="97"/>
  <c r="H14" i="97"/>
  <c r="H15" i="97"/>
  <c r="H17" i="97"/>
  <c r="H18" i="97"/>
  <c r="H19" i="97"/>
  <c r="H20" i="97"/>
  <c r="E22" i="97"/>
  <c r="E26" i="97"/>
  <c r="C333" i="20"/>
  <c r="E18" i="51"/>
  <c r="E22" i="51"/>
  <c r="C330" i="20"/>
  <c r="C338" i="20" s="1"/>
  <c r="D330" i="20"/>
  <c r="E330" i="20"/>
  <c r="H22" i="51"/>
  <c r="E23" i="51"/>
  <c r="C331" i="20"/>
  <c r="H11" i="49"/>
  <c r="H12" i="49"/>
  <c r="H13" i="49"/>
  <c r="H14" i="49"/>
  <c r="H15" i="49"/>
  <c r="H16" i="49"/>
  <c r="H17" i="49"/>
  <c r="H18" i="49"/>
  <c r="H19" i="49"/>
  <c r="H20" i="49"/>
  <c r="H21" i="49"/>
  <c r="H22" i="49"/>
  <c r="H23" i="49"/>
  <c r="E25" i="49"/>
  <c r="F25" i="49"/>
  <c r="G25" i="49"/>
  <c r="H25" i="49"/>
  <c r="G26" i="49"/>
  <c r="E27" i="49"/>
  <c r="F27" i="49"/>
  <c r="G27" i="49"/>
  <c r="H27" i="49"/>
  <c r="E30" i="49"/>
  <c r="E29" i="49"/>
  <c r="E34" i="49"/>
  <c r="F30" i="49"/>
  <c r="F29" i="49"/>
  <c r="F34" i="49"/>
  <c r="G30" i="49"/>
  <c r="G29" i="49"/>
  <c r="H30" i="49"/>
  <c r="E32" i="49"/>
  <c r="F32" i="49"/>
  <c r="G32" i="49"/>
  <c r="E11" i="115"/>
  <c r="F11" i="115"/>
  <c r="E14" i="115"/>
  <c r="E13" i="115"/>
  <c r="E18" i="115"/>
  <c r="F14" i="115"/>
  <c r="F13" i="115"/>
  <c r="F18" i="115"/>
  <c r="G14" i="115"/>
  <c r="G13" i="115"/>
  <c r="G18" i="115"/>
  <c r="E13" i="114"/>
  <c r="F13" i="114"/>
  <c r="G13" i="114"/>
  <c r="E16" i="114"/>
  <c r="E15" i="114"/>
  <c r="E20" i="114"/>
  <c r="F16" i="114"/>
  <c r="F15" i="114"/>
  <c r="F20" i="114"/>
  <c r="G16" i="114"/>
  <c r="G15" i="114"/>
  <c r="G20" i="114"/>
  <c r="E18" i="114"/>
  <c r="F18" i="114"/>
  <c r="G18" i="114"/>
  <c r="E11" i="113"/>
  <c r="F11" i="113"/>
  <c r="G11" i="113"/>
  <c r="G12" i="113"/>
  <c r="E13" i="113"/>
  <c r="F13" i="113"/>
  <c r="G13" i="113"/>
  <c r="E23" i="113"/>
  <c r="E20" i="113"/>
  <c r="E25" i="113"/>
  <c r="F23" i="113"/>
  <c r="F20" i="113"/>
  <c r="F25" i="113"/>
  <c r="G23" i="113"/>
  <c r="G20" i="113"/>
  <c r="G25" i="113"/>
  <c r="E10" i="112"/>
  <c r="F10" i="112"/>
  <c r="G10" i="112"/>
  <c r="E14" i="112"/>
  <c r="E13" i="112"/>
  <c r="E18" i="112"/>
  <c r="F14" i="112"/>
  <c r="F13" i="112"/>
  <c r="F18" i="112"/>
  <c r="G14" i="112"/>
  <c r="G13" i="112"/>
  <c r="G18" i="112"/>
  <c r="H18" i="112"/>
  <c r="E11" i="111"/>
  <c r="F11" i="111"/>
  <c r="G11" i="111"/>
  <c r="E15" i="111"/>
  <c r="E14" i="111"/>
  <c r="E19" i="111"/>
  <c r="F15" i="111"/>
  <c r="F14" i="111"/>
  <c r="F19" i="111"/>
  <c r="G15" i="111"/>
  <c r="G14" i="111"/>
  <c r="G19" i="111"/>
  <c r="E11" i="109"/>
  <c r="F11" i="109"/>
  <c r="G11" i="109"/>
  <c r="E15" i="109"/>
  <c r="E14" i="109"/>
  <c r="E19" i="109"/>
  <c r="F15" i="109"/>
  <c r="F14" i="109"/>
  <c r="F19" i="109"/>
  <c r="G15" i="109"/>
  <c r="G14" i="109"/>
  <c r="G19" i="109"/>
  <c r="E11" i="108"/>
  <c r="F11" i="108"/>
  <c r="G11" i="108"/>
  <c r="E12" i="108"/>
  <c r="F12" i="108"/>
  <c r="G12" i="108"/>
  <c r="E13" i="108"/>
  <c r="F13" i="108"/>
  <c r="G13" i="108"/>
  <c r="E17" i="108"/>
  <c r="E16" i="108"/>
  <c r="E21" i="108"/>
  <c r="F17" i="108"/>
  <c r="F16" i="108"/>
  <c r="F21" i="108"/>
  <c r="G17" i="108"/>
  <c r="G16" i="108"/>
  <c r="G21" i="108"/>
  <c r="E19" i="108"/>
  <c r="F19" i="108"/>
  <c r="G19" i="108"/>
  <c r="E11" i="107"/>
  <c r="F11" i="107"/>
  <c r="G11" i="107"/>
  <c r="E15" i="107"/>
  <c r="E14" i="107"/>
  <c r="E19" i="107"/>
  <c r="F15" i="107"/>
  <c r="F14" i="107"/>
  <c r="F19" i="107"/>
  <c r="G15" i="107"/>
  <c r="G14" i="107"/>
  <c r="G19" i="107"/>
  <c r="G14" i="21"/>
  <c r="H14" i="21"/>
  <c r="I20" i="21"/>
  <c r="G21" i="21"/>
  <c r="H21" i="21"/>
  <c r="I21" i="21"/>
  <c r="I27" i="21"/>
  <c r="I28" i="21"/>
  <c r="G29" i="21"/>
  <c r="H29" i="21"/>
  <c r="I29" i="21"/>
  <c r="I31" i="21"/>
  <c r="I32" i="21"/>
  <c r="F33" i="21"/>
  <c r="G33" i="21"/>
  <c r="H33" i="21"/>
  <c r="I33" i="21"/>
  <c r="I40" i="21"/>
  <c r="F41" i="21"/>
  <c r="G41" i="21"/>
  <c r="H41" i="21"/>
  <c r="I41" i="21"/>
  <c r="I47" i="21"/>
  <c r="F48" i="21"/>
  <c r="G48" i="21"/>
  <c r="H48" i="21"/>
  <c r="I48" i="21"/>
  <c r="I54" i="21"/>
  <c r="I55" i="21"/>
  <c r="F56" i="21"/>
  <c r="G56" i="21"/>
  <c r="H56" i="21"/>
  <c r="I56" i="21"/>
  <c r="I62" i="21"/>
  <c r="F63" i="21"/>
  <c r="G63" i="21"/>
  <c r="H63" i="21"/>
  <c r="I63" i="21"/>
  <c r="I71" i="21"/>
  <c r="F72" i="21"/>
  <c r="G72" i="21"/>
  <c r="H72" i="21"/>
  <c r="I72" i="21"/>
  <c r="I78" i="21"/>
  <c r="F79" i="21"/>
  <c r="G79" i="21"/>
  <c r="H79" i="21"/>
  <c r="I79" i="21"/>
  <c r="I85" i="21"/>
  <c r="F86" i="21"/>
  <c r="G86" i="21"/>
  <c r="H86" i="21"/>
  <c r="I86" i="21"/>
  <c r="I92" i="21"/>
  <c r="I93" i="21"/>
  <c r="F94" i="21"/>
  <c r="G94" i="21"/>
  <c r="H94" i="21"/>
  <c r="I94" i="21"/>
  <c r="I100" i="21"/>
  <c r="F101" i="21"/>
  <c r="G101" i="21"/>
  <c r="H101" i="21"/>
  <c r="I101" i="21"/>
  <c r="I107" i="21"/>
  <c r="F108" i="21"/>
  <c r="G108" i="21"/>
  <c r="H108" i="21"/>
  <c r="I108" i="21"/>
  <c r="I114" i="21"/>
  <c r="F115" i="21"/>
  <c r="G115" i="21"/>
  <c r="H115" i="21"/>
  <c r="I115" i="21"/>
  <c r="I121" i="21"/>
  <c r="F122" i="21"/>
  <c r="G122" i="21"/>
  <c r="H122" i="21"/>
  <c r="I122" i="21"/>
  <c r="L122" i="21"/>
  <c r="M122" i="21"/>
  <c r="I128" i="21"/>
  <c r="F129" i="21"/>
  <c r="G129" i="21"/>
  <c r="H129" i="21"/>
  <c r="I129" i="21"/>
  <c r="I138" i="21"/>
  <c r="F139" i="21"/>
  <c r="G139" i="21"/>
  <c r="H139" i="21"/>
  <c r="I139" i="21"/>
  <c r="I145" i="21"/>
  <c r="F146" i="21"/>
  <c r="G146" i="21"/>
  <c r="H146" i="21"/>
  <c r="I146" i="21"/>
  <c r="I152" i="21"/>
  <c r="F153" i="21"/>
  <c r="G153" i="21"/>
  <c r="H153" i="21"/>
  <c r="I153" i="21"/>
  <c r="I159" i="21"/>
  <c r="G160" i="21"/>
  <c r="H160" i="21"/>
  <c r="I160" i="21"/>
  <c r="I161" i="21"/>
  <c r="I162" i="21"/>
  <c r="F163" i="21"/>
  <c r="G163" i="21"/>
  <c r="H163" i="21"/>
  <c r="I163" i="21"/>
  <c r="I169" i="21"/>
  <c r="F170" i="21"/>
  <c r="G170" i="21"/>
  <c r="H170" i="21"/>
  <c r="I170" i="21"/>
  <c r="I176" i="21"/>
  <c r="F177" i="21"/>
  <c r="G177" i="21"/>
  <c r="H177" i="21"/>
  <c r="I177" i="21"/>
  <c r="I183" i="21"/>
  <c r="F184" i="21"/>
  <c r="G184" i="21"/>
  <c r="H184" i="21"/>
  <c r="I184" i="21"/>
  <c r="I190" i="21"/>
  <c r="F191" i="21"/>
  <c r="G191" i="21"/>
  <c r="H191" i="21"/>
  <c r="I191" i="21"/>
  <c r="I197" i="21"/>
  <c r="F198" i="21"/>
  <c r="G198" i="21"/>
  <c r="H198" i="21"/>
  <c r="I198" i="21"/>
  <c r="I204" i="21"/>
  <c r="F205" i="21"/>
  <c r="G205" i="21"/>
  <c r="H205" i="21"/>
  <c r="I205" i="21"/>
  <c r="I211" i="21"/>
  <c r="F212" i="21"/>
  <c r="G212" i="21"/>
  <c r="H212" i="21"/>
  <c r="I212" i="21"/>
  <c r="I218" i="21"/>
  <c r="F219" i="21"/>
  <c r="G219" i="21"/>
  <c r="H219" i="21"/>
  <c r="I219" i="21"/>
  <c r="I225" i="21"/>
  <c r="I226" i="21"/>
  <c r="G227" i="21"/>
  <c r="H227" i="21"/>
  <c r="I227" i="21"/>
  <c r="I228" i="21"/>
  <c r="I229" i="21"/>
  <c r="F230" i="21"/>
  <c r="G230" i="21"/>
  <c r="H230" i="21"/>
  <c r="I230" i="21"/>
  <c r="I236" i="21"/>
  <c r="F237" i="21"/>
  <c r="G237" i="21"/>
  <c r="H237" i="21"/>
  <c r="I237" i="21"/>
  <c r="I243" i="21"/>
  <c r="F244" i="21"/>
  <c r="G244" i="21"/>
  <c r="H244" i="21"/>
  <c r="I244" i="21"/>
  <c r="I250" i="21"/>
  <c r="F251" i="21"/>
  <c r="G251" i="21"/>
  <c r="H251" i="21"/>
  <c r="I251" i="21"/>
  <c r="I257" i="21"/>
  <c r="G258" i="21"/>
  <c r="H258" i="21"/>
  <c r="I258" i="21"/>
  <c r="I259" i="21"/>
  <c r="I260" i="21"/>
  <c r="F261" i="21"/>
  <c r="G261" i="21"/>
  <c r="H261" i="21"/>
  <c r="I261" i="21"/>
  <c r="L261" i="21"/>
  <c r="M261" i="21"/>
  <c r="I271" i="21"/>
  <c r="F272" i="21"/>
  <c r="G272" i="21"/>
  <c r="H272" i="21"/>
  <c r="I272" i="21"/>
  <c r="I278" i="21"/>
  <c r="F279" i="21"/>
  <c r="G279" i="21"/>
  <c r="H279" i="21"/>
  <c r="I279" i="21"/>
  <c r="I285" i="21"/>
  <c r="F286" i="21"/>
  <c r="G286" i="21"/>
  <c r="H286" i="21"/>
  <c r="I286" i="21"/>
  <c r="I293" i="21"/>
  <c r="F294" i="21"/>
  <c r="G294" i="21"/>
  <c r="H294" i="21"/>
  <c r="I294" i="21"/>
  <c r="I300" i="21"/>
  <c r="F301" i="21"/>
  <c r="G301" i="21"/>
  <c r="H301" i="21"/>
  <c r="I301" i="21"/>
  <c r="I307" i="21"/>
  <c r="F308" i="21"/>
  <c r="G308" i="21"/>
  <c r="H308" i="21"/>
  <c r="I308" i="21"/>
  <c r="I314" i="21"/>
  <c r="F315" i="21"/>
  <c r="G315" i="21"/>
  <c r="H315" i="21"/>
  <c r="I315" i="21"/>
  <c r="I321" i="21"/>
  <c r="F322" i="21"/>
  <c r="G322" i="21"/>
  <c r="H322" i="21"/>
  <c r="I322" i="21"/>
  <c r="I328" i="21"/>
  <c r="F329" i="21"/>
  <c r="G329" i="21"/>
  <c r="H329" i="21"/>
  <c r="I329" i="21"/>
  <c r="I338" i="21"/>
  <c r="F339" i="21"/>
  <c r="G339" i="21"/>
  <c r="H339" i="21"/>
  <c r="I339" i="21"/>
  <c r="I345" i="21"/>
  <c r="F346" i="21"/>
  <c r="G346" i="21"/>
  <c r="H346" i="21"/>
  <c r="I346" i="21"/>
  <c r="I353" i="21"/>
  <c r="F354" i="21"/>
  <c r="G354" i="21"/>
  <c r="H354" i="21"/>
  <c r="I354" i="21"/>
  <c r="I360" i="21"/>
  <c r="F361" i="21"/>
  <c r="G361" i="21"/>
  <c r="H361" i="21"/>
  <c r="I361" i="21"/>
  <c r="I367" i="21"/>
  <c r="I368" i="21"/>
  <c r="G369" i="21"/>
  <c r="H369" i="21"/>
  <c r="I369" i="21"/>
  <c r="I370" i="21"/>
  <c r="F371" i="21"/>
  <c r="G371" i="21"/>
  <c r="H371" i="21"/>
  <c r="I371" i="21"/>
  <c r="I377" i="21"/>
  <c r="I378" i="21"/>
  <c r="F379" i="21"/>
  <c r="G379" i="21"/>
  <c r="H379" i="21"/>
  <c r="I379" i="21"/>
  <c r="I385" i="21"/>
  <c r="I386" i="21"/>
  <c r="F387" i="21"/>
  <c r="G387" i="21"/>
  <c r="H387" i="21"/>
  <c r="I387" i="21"/>
  <c r="I393" i="21"/>
  <c r="F394" i="21"/>
  <c r="G394" i="21"/>
  <c r="H394" i="21"/>
  <c r="I394" i="21"/>
  <c r="I405" i="21"/>
  <c r="F406" i="21"/>
  <c r="G406" i="21"/>
  <c r="H406" i="21"/>
  <c r="I406" i="21"/>
  <c r="I412" i="21"/>
  <c r="F413" i="21"/>
  <c r="G413" i="21"/>
  <c r="L412" i="21"/>
  <c r="L413" i="21"/>
  <c r="L1229" i="21"/>
  <c r="H413" i="21"/>
  <c r="M412" i="21"/>
  <c r="M413" i="21"/>
  <c r="M1229" i="21"/>
  <c r="I413" i="21"/>
  <c r="K413" i="21"/>
  <c r="I419" i="21"/>
  <c r="F420" i="21"/>
  <c r="G420" i="21"/>
  <c r="H420" i="21"/>
  <c r="I420" i="21"/>
  <c r="I426" i="21"/>
  <c r="F427" i="21"/>
  <c r="G427" i="21"/>
  <c r="H427" i="21"/>
  <c r="I427" i="21"/>
  <c r="I433" i="21"/>
  <c r="F434" i="21"/>
  <c r="G434" i="21"/>
  <c r="H434" i="21"/>
  <c r="I434" i="21"/>
  <c r="I440" i="21"/>
  <c r="F441" i="21"/>
  <c r="G441" i="21"/>
  <c r="H441" i="21"/>
  <c r="I441" i="21"/>
  <c r="I447" i="21"/>
  <c r="F448" i="21"/>
  <c r="G448" i="21"/>
  <c r="H448" i="21"/>
  <c r="I448" i="21"/>
  <c r="I454" i="21"/>
  <c r="F455" i="21"/>
  <c r="G455" i="21"/>
  <c r="H455" i="21"/>
  <c r="I455" i="21"/>
  <c r="I461" i="21"/>
  <c r="F462" i="21"/>
  <c r="G462" i="21"/>
  <c r="H462" i="21"/>
  <c r="I462" i="21"/>
  <c r="I472" i="21"/>
  <c r="F473" i="21"/>
  <c r="G473" i="21"/>
  <c r="H473" i="21"/>
  <c r="I473" i="21"/>
  <c r="I474" i="21"/>
  <c r="I475" i="21"/>
  <c r="F476" i="21"/>
  <c r="G476" i="21"/>
  <c r="H476" i="21"/>
  <c r="I476" i="21"/>
  <c r="I482" i="21"/>
  <c r="F483" i="21"/>
  <c r="G483" i="21"/>
  <c r="H483" i="21"/>
  <c r="I483" i="21"/>
  <c r="I489" i="21"/>
  <c r="F490" i="21"/>
  <c r="G490" i="21"/>
  <c r="H490" i="21"/>
  <c r="I490" i="21"/>
  <c r="I496" i="21"/>
  <c r="F497" i="21"/>
  <c r="G497" i="21"/>
  <c r="H497" i="21"/>
  <c r="I497" i="21"/>
  <c r="I503" i="21"/>
  <c r="F504" i="21"/>
  <c r="G504" i="21"/>
  <c r="H504" i="21"/>
  <c r="I504" i="21"/>
  <c r="I510" i="21"/>
  <c r="F511" i="21"/>
  <c r="G511" i="21"/>
  <c r="H511" i="21"/>
  <c r="I511" i="21"/>
  <c r="I517" i="21"/>
  <c r="F518" i="21"/>
  <c r="G518" i="21"/>
  <c r="H518" i="21"/>
  <c r="I518" i="21"/>
  <c r="I524" i="21"/>
  <c r="F525" i="21"/>
  <c r="G525" i="21"/>
  <c r="H525" i="21"/>
  <c r="I525" i="21"/>
  <c r="I531" i="21"/>
  <c r="F532" i="21"/>
  <c r="G532" i="21"/>
  <c r="H532" i="21"/>
  <c r="I532" i="21"/>
  <c r="I538" i="21"/>
  <c r="F539" i="21"/>
  <c r="G539" i="21"/>
  <c r="H539" i="21"/>
  <c r="I539" i="21"/>
  <c r="I545" i="21"/>
  <c r="F546" i="21"/>
  <c r="G546" i="21"/>
  <c r="H546" i="21"/>
  <c r="I546" i="21"/>
  <c r="I552" i="21"/>
  <c r="F553" i="21"/>
  <c r="G553" i="21"/>
  <c r="H553" i="21"/>
  <c r="I553" i="21"/>
  <c r="I559" i="21"/>
  <c r="F560" i="21"/>
  <c r="G560" i="21"/>
  <c r="H560" i="21"/>
  <c r="I560" i="21"/>
  <c r="I566" i="21"/>
  <c r="F567" i="21"/>
  <c r="G567" i="21"/>
  <c r="H567" i="21"/>
  <c r="I567" i="21"/>
  <c r="I573" i="21"/>
  <c r="F574" i="21"/>
  <c r="G574" i="21"/>
  <c r="H574" i="21"/>
  <c r="I574" i="21"/>
  <c r="I580" i="21"/>
  <c r="F581" i="21"/>
  <c r="G581" i="21"/>
  <c r="H581" i="21"/>
  <c r="I581" i="21"/>
  <c r="I587" i="21"/>
  <c r="I588" i="21"/>
  <c r="F589" i="21"/>
  <c r="G589" i="21"/>
  <c r="H589" i="21"/>
  <c r="I589" i="21"/>
  <c r="I595" i="21"/>
  <c r="F596" i="21"/>
  <c r="G596" i="21"/>
  <c r="H596" i="21"/>
  <c r="I596" i="21"/>
  <c r="I605" i="21"/>
  <c r="F606" i="21"/>
  <c r="G606" i="21"/>
  <c r="H606" i="21"/>
  <c r="I606" i="21"/>
  <c r="I612" i="21"/>
  <c r="F613" i="21"/>
  <c r="G613" i="21"/>
  <c r="H613" i="21"/>
  <c r="I613" i="21"/>
  <c r="I619" i="21"/>
  <c r="F620" i="21"/>
  <c r="G620" i="21"/>
  <c r="H620" i="21"/>
  <c r="I620" i="21"/>
  <c r="I626" i="21"/>
  <c r="F627" i="21"/>
  <c r="G627" i="21"/>
  <c r="H627" i="21"/>
  <c r="I627" i="21"/>
  <c r="I633" i="21"/>
  <c r="F634" i="21"/>
  <c r="G634" i="21"/>
  <c r="H634" i="21"/>
  <c r="I634" i="21"/>
  <c r="I640" i="21"/>
  <c r="F641" i="21"/>
  <c r="K640" i="21"/>
  <c r="K1231" i="21"/>
  <c r="K1234" i="21"/>
  <c r="F1224" i="21"/>
  <c r="G641" i="21"/>
  <c r="L640" i="21"/>
  <c r="L1231" i="21"/>
  <c r="H641" i="21"/>
  <c r="M640" i="21"/>
  <c r="M1231" i="21"/>
  <c r="I641" i="21"/>
  <c r="I647" i="21"/>
  <c r="F648" i="21"/>
  <c r="G648" i="21"/>
  <c r="H648" i="21"/>
  <c r="I648" i="21"/>
  <c r="I654" i="21"/>
  <c r="F655" i="21"/>
  <c r="G655" i="21"/>
  <c r="H655" i="21"/>
  <c r="I655" i="21"/>
  <c r="F662" i="21"/>
  <c r="G662" i="21"/>
  <c r="H662" i="21"/>
  <c r="I663" i="21"/>
  <c r="F664" i="21"/>
  <c r="G664" i="21"/>
  <c r="H664" i="21"/>
  <c r="I664" i="21"/>
  <c r="I672" i="21"/>
  <c r="G673" i="21"/>
  <c r="H673" i="21"/>
  <c r="I673" i="21"/>
  <c r="I675" i="21"/>
  <c r="I676" i="21"/>
  <c r="F678" i="21"/>
  <c r="G678" i="21"/>
  <c r="H678" i="21"/>
  <c r="I678" i="21"/>
  <c r="I684" i="21"/>
  <c r="F685" i="21"/>
  <c r="G685" i="21"/>
  <c r="H685" i="21"/>
  <c r="I685" i="21"/>
  <c r="I691" i="21"/>
  <c r="F692" i="21"/>
  <c r="G692" i="21"/>
  <c r="H692" i="21"/>
  <c r="I692" i="21"/>
  <c r="I698" i="21"/>
  <c r="F699" i="21"/>
  <c r="G699" i="21"/>
  <c r="H699" i="21"/>
  <c r="I699" i="21"/>
  <c r="I705" i="21"/>
  <c r="F706" i="21"/>
  <c r="G706" i="21"/>
  <c r="H706" i="21"/>
  <c r="I706" i="21"/>
  <c r="I712" i="21"/>
  <c r="F713" i="21"/>
  <c r="G713" i="21"/>
  <c r="H713" i="21"/>
  <c r="I713" i="21"/>
  <c r="I719" i="21"/>
  <c r="F720" i="21"/>
  <c r="G720" i="21"/>
  <c r="H720" i="21"/>
  <c r="I720" i="21"/>
  <c r="I726" i="21"/>
  <c r="F727" i="21"/>
  <c r="G727" i="21"/>
  <c r="H727" i="21"/>
  <c r="I727" i="21"/>
  <c r="I733" i="21"/>
  <c r="F734" i="21"/>
  <c r="G734" i="21"/>
  <c r="H734" i="21"/>
  <c r="I734" i="21"/>
  <c r="I738" i="21"/>
  <c r="F739" i="21"/>
  <c r="G739" i="21"/>
  <c r="H739" i="21"/>
  <c r="I739" i="21"/>
  <c r="I745" i="21"/>
  <c r="G746" i="21"/>
  <c r="H746" i="21"/>
  <c r="I746" i="21"/>
  <c r="I747" i="21"/>
  <c r="F748" i="21"/>
  <c r="G748" i="21"/>
  <c r="H748" i="21"/>
  <c r="I748" i="21"/>
  <c r="I754" i="21"/>
  <c r="I755" i="21"/>
  <c r="F756" i="21"/>
  <c r="G756" i="21"/>
  <c r="H756" i="21"/>
  <c r="I756" i="21"/>
  <c r="I762" i="21"/>
  <c r="I763" i="21"/>
  <c r="F764" i="21"/>
  <c r="G764" i="21"/>
  <c r="H764" i="21"/>
  <c r="I764" i="21"/>
  <c r="K764" i="21"/>
  <c r="L764" i="21"/>
  <c r="M764" i="21"/>
  <c r="I770" i="21"/>
  <c r="I771" i="21"/>
  <c r="F772" i="21"/>
  <c r="G772" i="21"/>
  <c r="H772" i="21"/>
  <c r="I772" i="21"/>
  <c r="I778" i="21"/>
  <c r="F779" i="21"/>
  <c r="G779" i="21"/>
  <c r="H779" i="21"/>
  <c r="I779" i="21"/>
  <c r="F786" i="21"/>
  <c r="G786" i="21"/>
  <c r="H786" i="21"/>
  <c r="I792" i="21"/>
  <c r="F793" i="21"/>
  <c r="G793" i="21"/>
  <c r="H793" i="21"/>
  <c r="I793" i="21"/>
  <c r="I799" i="21"/>
  <c r="F800" i="21"/>
  <c r="G800" i="21"/>
  <c r="H800" i="21"/>
  <c r="I800" i="21"/>
  <c r="I804" i="21"/>
  <c r="F805" i="21"/>
  <c r="G805" i="21"/>
  <c r="H805" i="21"/>
  <c r="I805" i="21"/>
  <c r="I811" i="21"/>
  <c r="F812" i="21"/>
  <c r="G812" i="21"/>
  <c r="H812" i="21"/>
  <c r="I812" i="21"/>
  <c r="I818" i="21"/>
  <c r="I819" i="21"/>
  <c r="F820" i="21"/>
  <c r="G820" i="21"/>
  <c r="H820" i="21"/>
  <c r="I820" i="21"/>
  <c r="I826" i="21"/>
  <c r="F827" i="21"/>
  <c r="G827" i="21"/>
  <c r="H827" i="21"/>
  <c r="I827" i="21"/>
  <c r="I834" i="21"/>
  <c r="F835" i="21"/>
  <c r="G835" i="21"/>
  <c r="H835" i="21"/>
  <c r="I835" i="21"/>
  <c r="I842" i="21"/>
  <c r="F843" i="21"/>
  <c r="G843" i="21"/>
  <c r="H843" i="21"/>
  <c r="F850" i="21"/>
  <c r="G850" i="21"/>
  <c r="H850" i="21"/>
  <c r="I856" i="21"/>
  <c r="F857" i="21"/>
  <c r="G857" i="21"/>
  <c r="H857" i="21"/>
  <c r="I857" i="21"/>
  <c r="I863" i="21"/>
  <c r="F864" i="21"/>
  <c r="G864" i="21"/>
  <c r="H864" i="21"/>
  <c r="I864" i="21"/>
  <c r="I871" i="21"/>
  <c r="F872" i="21"/>
  <c r="G872" i="21"/>
  <c r="H872" i="21"/>
  <c r="I872" i="21"/>
  <c r="I878" i="21"/>
  <c r="I879" i="21"/>
  <c r="F880" i="21"/>
  <c r="G880" i="21"/>
  <c r="H880" i="21"/>
  <c r="I880" i="21"/>
  <c r="I886" i="21"/>
  <c r="I887" i="21"/>
  <c r="F888" i="21"/>
  <c r="G888" i="21"/>
  <c r="H888" i="21"/>
  <c r="I888" i="21"/>
  <c r="I895" i="21"/>
  <c r="F896" i="21"/>
  <c r="G896" i="21"/>
  <c r="H896" i="21"/>
  <c r="I896" i="21"/>
  <c r="I902" i="21"/>
  <c r="F903" i="21"/>
  <c r="G903" i="21"/>
  <c r="H903" i="21"/>
  <c r="I903" i="21"/>
  <c r="I904" i="21"/>
  <c r="I905" i="21"/>
  <c r="I906" i="21"/>
  <c r="F907" i="21"/>
  <c r="G907" i="21"/>
  <c r="H907" i="21"/>
  <c r="I907" i="21"/>
  <c r="I913" i="21"/>
  <c r="F914" i="21"/>
  <c r="G914" i="21"/>
  <c r="H914" i="21"/>
  <c r="I914" i="21"/>
  <c r="I920" i="21"/>
  <c r="F921" i="21"/>
  <c r="G921" i="21"/>
  <c r="H921" i="21"/>
  <c r="I921" i="21"/>
  <c r="I927" i="21"/>
  <c r="F928" i="21"/>
  <c r="G928" i="21"/>
  <c r="H928" i="21"/>
  <c r="I928" i="21"/>
  <c r="I938" i="21"/>
  <c r="F939" i="21"/>
  <c r="G939" i="21"/>
  <c r="H939" i="21"/>
  <c r="I939" i="21"/>
  <c r="I945" i="21"/>
  <c r="F946" i="21"/>
  <c r="G946" i="21"/>
  <c r="H946" i="21"/>
  <c r="I946" i="21"/>
  <c r="I952" i="21"/>
  <c r="F953" i="21"/>
  <c r="G953" i="21"/>
  <c r="H953" i="21"/>
  <c r="I953" i="21"/>
  <c r="I959" i="21"/>
  <c r="F960" i="21"/>
  <c r="G960" i="21"/>
  <c r="H960" i="21"/>
  <c r="I960" i="21"/>
  <c r="I966" i="21"/>
  <c r="F967" i="21"/>
  <c r="G967" i="21"/>
  <c r="H967" i="21"/>
  <c r="I967" i="21"/>
  <c r="I973" i="21"/>
  <c r="F974" i="21"/>
  <c r="G974" i="21"/>
  <c r="H974" i="21"/>
  <c r="I974" i="21"/>
  <c r="I980" i="21"/>
  <c r="F981" i="21"/>
  <c r="G981" i="21"/>
  <c r="H981" i="21"/>
  <c r="I981" i="21"/>
  <c r="I987" i="21"/>
  <c r="G988" i="21"/>
  <c r="H988" i="21"/>
  <c r="I988" i="21"/>
  <c r="I989" i="21"/>
  <c r="F990" i="21"/>
  <c r="G990" i="21"/>
  <c r="H990" i="21"/>
  <c r="I990" i="21"/>
  <c r="I996" i="21"/>
  <c r="F997" i="21"/>
  <c r="G997" i="21"/>
  <c r="H997" i="21"/>
  <c r="I997" i="21"/>
  <c r="I1005" i="21"/>
  <c r="F1006" i="21"/>
  <c r="G1006" i="21"/>
  <c r="H1006" i="21"/>
  <c r="I1006" i="21"/>
  <c r="I1012" i="21"/>
  <c r="F1013" i="21"/>
  <c r="G1013" i="21"/>
  <c r="H1013" i="21"/>
  <c r="I1013" i="21"/>
  <c r="I1019" i="21"/>
  <c r="F1020" i="21"/>
  <c r="G1020" i="21"/>
  <c r="H1020" i="21"/>
  <c r="I1020" i="21"/>
  <c r="I1026" i="21"/>
  <c r="F1027" i="21"/>
  <c r="G1027" i="21"/>
  <c r="H1027" i="21"/>
  <c r="I1027" i="21"/>
  <c r="K1027" i="21"/>
  <c r="L1027" i="21"/>
  <c r="M1027" i="21"/>
  <c r="I1033" i="21"/>
  <c r="F1034" i="21"/>
  <c r="G1034" i="21"/>
  <c r="H1034" i="21"/>
  <c r="I1034" i="21"/>
  <c r="I1040" i="21"/>
  <c r="F1041" i="21"/>
  <c r="G1041" i="21"/>
  <c r="H1041" i="21"/>
  <c r="I1041" i="21"/>
  <c r="I1047" i="21"/>
  <c r="I1048" i="21"/>
  <c r="G1049" i="21"/>
  <c r="H1049" i="21"/>
  <c r="I1049" i="21"/>
  <c r="I1050" i="21"/>
  <c r="I1051" i="21"/>
  <c r="I1052" i="21"/>
  <c r="I1053" i="21"/>
  <c r="F1054" i="21"/>
  <c r="G1054" i="21"/>
  <c r="H1054" i="21"/>
  <c r="I1054" i="21"/>
  <c r="I1060" i="21"/>
  <c r="F1061" i="21"/>
  <c r="G1061" i="21"/>
  <c r="H1061" i="21"/>
  <c r="I1061" i="21"/>
  <c r="I1072" i="21"/>
  <c r="F1073" i="21"/>
  <c r="G1073" i="21"/>
  <c r="H1073" i="21"/>
  <c r="I1073" i="21"/>
  <c r="I1079" i="21"/>
  <c r="F1080" i="21"/>
  <c r="G1080" i="21"/>
  <c r="H1080" i="21"/>
  <c r="I1080" i="21"/>
  <c r="I1086" i="21"/>
  <c r="F1087" i="21"/>
  <c r="G1087" i="21"/>
  <c r="H1087" i="21"/>
  <c r="I1087" i="21"/>
  <c r="I1093" i="21"/>
  <c r="F1094" i="21"/>
  <c r="G1094" i="21"/>
  <c r="H1094" i="21"/>
  <c r="I1094" i="21"/>
  <c r="I1100" i="21"/>
  <c r="F1101" i="21"/>
  <c r="G1101" i="21"/>
  <c r="H1101" i="21"/>
  <c r="I1101" i="21"/>
  <c r="I1107" i="21"/>
  <c r="F1108" i="21"/>
  <c r="G1108" i="21"/>
  <c r="H1108" i="21"/>
  <c r="I1108" i="21"/>
  <c r="I1114" i="21"/>
  <c r="F1115" i="21"/>
  <c r="G1115" i="21"/>
  <c r="H1115" i="21"/>
  <c r="I1115" i="21"/>
  <c r="I1121" i="21"/>
  <c r="F1122" i="21"/>
  <c r="G1122" i="21"/>
  <c r="H1122" i="21"/>
  <c r="I1122" i="21"/>
  <c r="I1128" i="21"/>
  <c r="F1129" i="21"/>
  <c r="G1129" i="21"/>
  <c r="H1129" i="21"/>
  <c r="I1129" i="21"/>
  <c r="I1139" i="21"/>
  <c r="F1140" i="21"/>
  <c r="G1140" i="21"/>
  <c r="H1140" i="21"/>
  <c r="I1140" i="21"/>
  <c r="I1146" i="21"/>
  <c r="F1147" i="21"/>
  <c r="G1147" i="21"/>
  <c r="H1147" i="21"/>
  <c r="I1147" i="21"/>
  <c r="I1153" i="21"/>
  <c r="F1154" i="21"/>
  <c r="G1154" i="21"/>
  <c r="H1154" i="21"/>
  <c r="I1154" i="21"/>
  <c r="I1160" i="21"/>
  <c r="F1161" i="21"/>
  <c r="G1161" i="21"/>
  <c r="H1161" i="21"/>
  <c r="I1161" i="21"/>
  <c r="I1167" i="21"/>
  <c r="F1168" i="21"/>
  <c r="G1168" i="21"/>
  <c r="H1168" i="21"/>
  <c r="I1168" i="21"/>
  <c r="I1174" i="21"/>
  <c r="F1175" i="21"/>
  <c r="G1175" i="21"/>
  <c r="H1175" i="21"/>
  <c r="I1175" i="21"/>
  <c r="I1181" i="21"/>
  <c r="F1182" i="21"/>
  <c r="G1182" i="21"/>
  <c r="H1182" i="21"/>
  <c r="I1182" i="21"/>
  <c r="I1188" i="21"/>
  <c r="F1189" i="21"/>
  <c r="G1189" i="21"/>
  <c r="H1189" i="21"/>
  <c r="I1189" i="21"/>
  <c r="I1195" i="21"/>
  <c r="F1196" i="21"/>
  <c r="G1196" i="21"/>
  <c r="H1196" i="21"/>
  <c r="I1196" i="21"/>
  <c r="I1206" i="21"/>
  <c r="F1207" i="21"/>
  <c r="G1207" i="21"/>
  <c r="H1207" i="21"/>
  <c r="I1207" i="21"/>
  <c r="I1213" i="21"/>
  <c r="F1214" i="21"/>
  <c r="G1214" i="21"/>
  <c r="H1214" i="21"/>
  <c r="I1214" i="21"/>
  <c r="K1214" i="21"/>
  <c r="L1214" i="21"/>
  <c r="M1214" i="21"/>
  <c r="I1220" i="21"/>
  <c r="F1221" i="21"/>
  <c r="G1221" i="21"/>
  <c r="H1221" i="21"/>
  <c r="I1221" i="21"/>
  <c r="K1221" i="21"/>
  <c r="L1221" i="21"/>
  <c r="M1221" i="21"/>
  <c r="K1228" i="21"/>
  <c r="L1228" i="21"/>
  <c r="M1228" i="21"/>
  <c r="K1229" i="21"/>
  <c r="K1230" i="21"/>
  <c r="L1230" i="21"/>
  <c r="M1230" i="21"/>
  <c r="K1232" i="21"/>
  <c r="L1232" i="21"/>
  <c r="M1232" i="21"/>
  <c r="K1233" i="21"/>
  <c r="L1233" i="21"/>
  <c r="M1233" i="21"/>
  <c r="H11" i="24"/>
  <c r="H12" i="24"/>
  <c r="H17" i="24"/>
  <c r="H18" i="24"/>
  <c r="H24" i="24"/>
  <c r="H27" i="24"/>
  <c r="H29" i="24"/>
  <c r="H30" i="24"/>
  <c r="H31" i="24"/>
  <c r="H33" i="24"/>
  <c r="H47" i="24"/>
  <c r="H49" i="24"/>
  <c r="H50" i="24"/>
  <c r="H54" i="24"/>
  <c r="H58" i="24"/>
  <c r="H61" i="24"/>
  <c r="H64" i="24"/>
  <c r="H65" i="24"/>
  <c r="H66" i="24"/>
  <c r="H67" i="24"/>
  <c r="H74" i="24"/>
  <c r="H75" i="24"/>
  <c r="H79" i="24"/>
  <c r="H80" i="24"/>
  <c r="H81" i="24"/>
  <c r="H91" i="24"/>
  <c r="H92" i="24"/>
  <c r="H93" i="24"/>
  <c r="H94" i="24"/>
  <c r="H95" i="24"/>
  <c r="H96" i="24"/>
  <c r="H106" i="24"/>
  <c r="H107" i="24"/>
  <c r="H110" i="24"/>
  <c r="H111" i="24"/>
  <c r="H114" i="24"/>
  <c r="H115" i="24"/>
  <c r="H116" i="24"/>
  <c r="H142" i="24"/>
  <c r="H143" i="24"/>
  <c r="H144" i="24"/>
  <c r="H145" i="24"/>
  <c r="H152" i="24"/>
  <c r="H153" i="24"/>
  <c r="H154" i="24"/>
  <c r="H155" i="24"/>
  <c r="H161" i="24"/>
  <c r="H164" i="24"/>
  <c r="H165" i="24"/>
  <c r="H168" i="24"/>
  <c r="H169" i="24"/>
  <c r="H170" i="24"/>
  <c r="H171" i="24"/>
  <c r="H172" i="24"/>
  <c r="H173" i="24"/>
  <c r="H175" i="24"/>
  <c r="E183" i="24"/>
  <c r="C145" i="20" s="1"/>
  <c r="D147" i="20"/>
  <c r="E147" i="20"/>
  <c r="D148" i="20"/>
  <c r="E148" i="20"/>
  <c r="E11" i="26"/>
  <c r="F11" i="26"/>
  <c r="G11" i="26"/>
  <c r="E15" i="26"/>
  <c r="C143" i="20"/>
  <c r="F15" i="26"/>
  <c r="D143" i="20"/>
  <c r="G15" i="26"/>
  <c r="E143" i="20"/>
  <c r="H10" i="23"/>
  <c r="H11" i="23"/>
  <c r="E15" i="23"/>
  <c r="C142" i="20"/>
  <c r="F15" i="23"/>
  <c r="D142" i="20"/>
  <c r="G15" i="23"/>
  <c r="E142" i="20"/>
  <c r="H15" i="23"/>
  <c r="H11" i="15"/>
  <c r="H12" i="15"/>
  <c r="H14" i="15"/>
  <c r="H15" i="15"/>
  <c r="H16" i="15"/>
  <c r="H17" i="15"/>
  <c r="H18" i="15"/>
  <c r="H19" i="15"/>
  <c r="H20" i="15"/>
  <c r="H21" i="15"/>
  <c r="H22" i="15"/>
  <c r="H23" i="15"/>
  <c r="H24" i="15"/>
  <c r="H25" i="15"/>
  <c r="H26" i="15"/>
  <c r="H27" i="15"/>
  <c r="H30" i="15"/>
  <c r="H37" i="15"/>
  <c r="H38" i="15"/>
  <c r="H42" i="15"/>
  <c r="H43" i="15"/>
  <c r="H44" i="15"/>
  <c r="H45" i="15"/>
  <c r="H46" i="15"/>
  <c r="H47" i="15"/>
  <c r="H48" i="15"/>
  <c r="H49" i="15"/>
  <c r="H58" i="15"/>
  <c r="H73" i="15"/>
  <c r="H89" i="15"/>
  <c r="H92" i="15"/>
  <c r="H104" i="15"/>
  <c r="H105" i="15"/>
  <c r="H106" i="15"/>
  <c r="H107" i="15"/>
  <c r="H117" i="15"/>
  <c r="H118" i="15"/>
  <c r="H119" i="15"/>
  <c r="H120" i="15"/>
  <c r="H122" i="15"/>
  <c r="H133" i="15"/>
  <c r="H134" i="15"/>
  <c r="H135" i="15"/>
  <c r="H138" i="15"/>
  <c r="H10" i="55"/>
  <c r="H11" i="55"/>
  <c r="H12" i="55"/>
  <c r="H13" i="55"/>
  <c r="H14" i="55"/>
  <c r="H15" i="55"/>
  <c r="H17" i="55"/>
  <c r="H18" i="55"/>
  <c r="H22" i="55"/>
  <c r="H23" i="55"/>
  <c r="H24" i="55"/>
  <c r="H27" i="55"/>
  <c r="H28" i="55"/>
  <c r="H29" i="55"/>
  <c r="H30" i="55"/>
  <c r="H31" i="55"/>
  <c r="H33" i="55"/>
  <c r="H34" i="55"/>
  <c r="H35" i="55"/>
  <c r="H37" i="55"/>
  <c r="H38" i="55"/>
  <c r="H39" i="55"/>
  <c r="H41" i="55"/>
  <c r="H42" i="55"/>
  <c r="H47" i="55"/>
  <c r="H48" i="55"/>
  <c r="H49" i="55"/>
  <c r="H50" i="55"/>
  <c r="H51" i="55"/>
  <c r="H52" i="55"/>
  <c r="H54" i="55"/>
  <c r="H55" i="55"/>
  <c r="H56" i="55"/>
  <c r="H57" i="55"/>
  <c r="H58" i="55"/>
  <c r="H59" i="55"/>
  <c r="H60" i="55"/>
  <c r="H61" i="55"/>
  <c r="H64" i="55"/>
  <c r="H65" i="55"/>
  <c r="H67" i="55"/>
  <c r="H75" i="55"/>
  <c r="H76" i="55"/>
  <c r="H77" i="55"/>
  <c r="H78" i="55"/>
  <c r="H79" i="55"/>
  <c r="H80" i="55"/>
  <c r="H81" i="55"/>
  <c r="H82" i="55"/>
  <c r="H83" i="55"/>
  <c r="H84" i="55"/>
  <c r="H85" i="55"/>
  <c r="H86" i="55"/>
  <c r="H87" i="55"/>
  <c r="H88" i="55"/>
  <c r="H89" i="55"/>
  <c r="H90" i="55"/>
  <c r="H91" i="55"/>
  <c r="H92" i="55"/>
  <c r="H96" i="55"/>
  <c r="H97" i="55"/>
  <c r="H98" i="55"/>
  <c r="H99" i="55"/>
  <c r="H101" i="55"/>
  <c r="H102" i="55"/>
  <c r="H103" i="55"/>
  <c r="H105" i="55"/>
  <c r="H106" i="55"/>
  <c r="H108" i="55"/>
  <c r="H109" i="55"/>
  <c r="H110" i="55"/>
  <c r="H115" i="55"/>
  <c r="H117" i="55"/>
  <c r="H118" i="55"/>
  <c r="H120" i="55"/>
  <c r="H121" i="55"/>
  <c r="H122" i="55"/>
  <c r="H123" i="55"/>
  <c r="H149" i="55"/>
  <c r="H150" i="55"/>
  <c r="H153" i="55"/>
  <c r="H163" i="55"/>
  <c r="H164" i="55"/>
  <c r="H165" i="55"/>
  <c r="H166" i="55"/>
  <c r="H167" i="55"/>
  <c r="H168" i="55"/>
  <c r="H169" i="55"/>
  <c r="H170" i="55"/>
  <c r="H171" i="55"/>
  <c r="H174" i="55"/>
  <c r="H175" i="55"/>
  <c r="H178" i="55"/>
  <c r="H188" i="55"/>
  <c r="H189" i="55"/>
  <c r="H190" i="55"/>
  <c r="H191" i="55"/>
  <c r="H194" i="55"/>
  <c r="H197" i="55"/>
  <c r="H198" i="55"/>
  <c r="H199" i="55"/>
  <c r="H209" i="55"/>
  <c r="H210" i="55"/>
  <c r="H212" i="55"/>
  <c r="H213" i="55"/>
  <c r="H215" i="55"/>
  <c r="H216" i="55"/>
  <c r="H229" i="55"/>
  <c r="H230" i="55"/>
  <c r="H231" i="55"/>
  <c r="H232" i="55"/>
  <c r="H235" i="55"/>
  <c r="H237" i="55"/>
  <c r="H250" i="55"/>
  <c r="H251" i="55"/>
  <c r="H252" i="55"/>
  <c r="H273" i="55"/>
  <c r="H274" i="55"/>
  <c r="H275" i="55"/>
  <c r="H276" i="55"/>
  <c r="H278" i="55"/>
  <c r="H279" i="55"/>
  <c r="H291" i="55"/>
  <c r="H292" i="55"/>
  <c r="H293" i="55"/>
  <c r="H294" i="55"/>
  <c r="H296" i="55"/>
  <c r="H297" i="55"/>
  <c r="H310" i="55"/>
  <c r="H312" i="55"/>
  <c r="H315" i="55"/>
  <c r="H316" i="55"/>
  <c r="H342" i="55"/>
  <c r="K342" i="55"/>
  <c r="L342" i="55"/>
  <c r="H16" i="12"/>
  <c r="H17" i="12"/>
  <c r="H18" i="12"/>
  <c r="H20" i="12"/>
  <c r="H21" i="12"/>
  <c r="H22" i="12"/>
  <c r="H23" i="12"/>
  <c r="H24" i="12"/>
  <c r="H26" i="12"/>
  <c r="H27" i="12"/>
  <c r="H37" i="12"/>
  <c r="H39" i="12"/>
  <c r="H93" i="12"/>
  <c r="H94" i="12"/>
  <c r="H95" i="12"/>
  <c r="E98" i="12"/>
  <c r="H98" i="12"/>
  <c r="H99" i="12"/>
  <c r="H104" i="12"/>
  <c r="H105" i="12"/>
  <c r="E106" i="12"/>
  <c r="E122" i="12" s="1"/>
  <c r="C110" i="20"/>
  <c r="H106" i="12"/>
  <c r="H108" i="12"/>
  <c r="E105" i="20"/>
  <c r="D106" i="20"/>
  <c r="E106" i="20"/>
  <c r="H117" i="12"/>
  <c r="D111" i="20"/>
  <c r="E111" i="20"/>
  <c r="H123" i="12"/>
  <c r="D112" i="20"/>
  <c r="E112" i="20"/>
  <c r="H124" i="12"/>
  <c r="H12" i="13"/>
  <c r="H13" i="13"/>
  <c r="H15" i="13"/>
  <c r="H16" i="13"/>
  <c r="H20" i="13"/>
  <c r="H23" i="13"/>
  <c r="H26" i="13"/>
  <c r="H27" i="13"/>
  <c r="H28" i="13"/>
  <c r="H31" i="13"/>
  <c r="H32" i="13"/>
  <c r="H33" i="13"/>
  <c r="H40" i="13"/>
  <c r="H43" i="13"/>
  <c r="H44" i="13"/>
  <c r="H45" i="13"/>
  <c r="H54" i="13"/>
  <c r="H56" i="13"/>
  <c r="H57" i="13"/>
  <c r="H59" i="13"/>
  <c r="H60" i="13"/>
  <c r="H61" i="13"/>
  <c r="H62" i="13"/>
  <c r="H63" i="13"/>
  <c r="H64" i="13"/>
  <c r="H65" i="13"/>
  <c r="H66" i="13"/>
  <c r="H67" i="13"/>
  <c r="H73" i="13"/>
  <c r="H102" i="13"/>
  <c r="H103" i="13"/>
  <c r="H104" i="13"/>
  <c r="H105" i="13"/>
  <c r="H106" i="13"/>
  <c r="H107" i="13"/>
  <c r="H108" i="13"/>
  <c r="E110" i="13"/>
  <c r="F110" i="13"/>
  <c r="G110" i="13"/>
  <c r="H110" i="13"/>
  <c r="H118" i="13"/>
  <c r="H119" i="13"/>
  <c r="H120" i="13"/>
  <c r="H121" i="13"/>
  <c r="H122" i="13"/>
  <c r="H123" i="13"/>
  <c r="H125" i="13"/>
  <c r="E127" i="13"/>
  <c r="F127" i="13"/>
  <c r="G127" i="13"/>
  <c r="H127" i="13"/>
  <c r="H136" i="13"/>
  <c r="H137" i="13"/>
  <c r="H138" i="13"/>
  <c r="H139" i="13"/>
  <c r="H144" i="13"/>
  <c r="H152" i="13"/>
  <c r="H153" i="13"/>
  <c r="H154" i="13"/>
  <c r="H155" i="13"/>
  <c r="E157" i="13"/>
  <c r="F157" i="13"/>
  <c r="G157" i="13"/>
  <c r="H157" i="13"/>
  <c r="H165" i="13"/>
  <c r="H166" i="13"/>
  <c r="H167" i="13"/>
  <c r="H169" i="13"/>
  <c r="H170" i="13"/>
  <c r="H171" i="13"/>
  <c r="E173" i="13"/>
  <c r="F173" i="13"/>
  <c r="G173" i="13"/>
  <c r="H173" i="13"/>
  <c r="H181" i="13"/>
  <c r="H182" i="13"/>
  <c r="H183" i="13"/>
  <c r="H184" i="13"/>
  <c r="H196" i="13"/>
  <c r="H197" i="13"/>
  <c r="H198" i="13"/>
  <c r="H199" i="13"/>
  <c r="H200" i="13"/>
  <c r="H201" i="13"/>
  <c r="H202" i="13"/>
  <c r="E204" i="13"/>
  <c r="F204" i="13"/>
  <c r="G204" i="13"/>
  <c r="H204" i="13"/>
  <c r="H211" i="13"/>
  <c r="H212" i="13"/>
  <c r="H213" i="13"/>
  <c r="H214" i="13"/>
  <c r="H215" i="13"/>
  <c r="H216" i="13"/>
  <c r="H217" i="13"/>
  <c r="E219" i="13"/>
  <c r="F219" i="13"/>
  <c r="G219" i="13"/>
  <c r="H219" i="13"/>
  <c r="H226" i="13"/>
  <c r="H227" i="13"/>
  <c r="H228" i="13"/>
  <c r="H231" i="13"/>
  <c r="H232" i="13"/>
  <c r="H233" i="13"/>
  <c r="E235" i="13"/>
  <c r="H243" i="13"/>
  <c r="H244" i="13"/>
  <c r="H245" i="13"/>
  <c r="H246" i="13"/>
  <c r="H257" i="13"/>
  <c r="H258" i="13"/>
  <c r="H259" i="13"/>
  <c r="E265" i="13"/>
  <c r="H273" i="13"/>
  <c r="H274" i="13"/>
  <c r="H275" i="13"/>
  <c r="H278" i="13"/>
  <c r="H283" i="13"/>
  <c r="H291" i="13"/>
  <c r="H292" i="13"/>
  <c r="H293" i="13"/>
  <c r="H294" i="13"/>
  <c r="H296" i="13"/>
  <c r="E298" i="13"/>
  <c r="F298" i="13"/>
  <c r="G298" i="13"/>
  <c r="H298" i="13"/>
  <c r="H306" i="13"/>
  <c r="H307" i="13"/>
  <c r="H308" i="13"/>
  <c r="H309" i="13"/>
  <c r="H310" i="13"/>
  <c r="H311" i="13"/>
  <c r="H312" i="13"/>
  <c r="E314" i="13"/>
  <c r="F314" i="13"/>
  <c r="G314" i="13"/>
  <c r="H314" i="13"/>
  <c r="H320" i="13"/>
  <c r="H321" i="13"/>
  <c r="H322" i="13"/>
  <c r="H323" i="13"/>
  <c r="H337" i="13"/>
  <c r="H338" i="13"/>
  <c r="H339" i="13"/>
  <c r="H340" i="13"/>
  <c r="H351" i="13"/>
  <c r="H352" i="13"/>
  <c r="H353" i="13"/>
  <c r="H354" i="13"/>
  <c r="E356" i="13"/>
  <c r="F356" i="13"/>
  <c r="G356" i="13"/>
  <c r="H356" i="13"/>
  <c r="H365" i="13"/>
  <c r="H366" i="13"/>
  <c r="H367" i="13"/>
  <c r="H368" i="13"/>
  <c r="H370" i="13"/>
  <c r="H380" i="13"/>
  <c r="H381" i="13"/>
  <c r="H382" i="13"/>
  <c r="H383" i="13"/>
  <c r="H384" i="13"/>
  <c r="H385" i="13"/>
  <c r="H386" i="13"/>
  <c r="E388" i="13"/>
  <c r="F388" i="13"/>
  <c r="G388" i="13"/>
  <c r="H388" i="13"/>
  <c r="H396" i="13"/>
  <c r="H397" i="13"/>
  <c r="H398" i="13"/>
  <c r="H399" i="13"/>
  <c r="E401" i="13"/>
  <c r="F401" i="13"/>
  <c r="G401" i="13"/>
  <c r="H401" i="13"/>
  <c r="H409" i="13"/>
  <c r="H410" i="13"/>
  <c r="H411" i="13"/>
  <c r="H412" i="13"/>
  <c r="H413" i="13"/>
  <c r="H414" i="13"/>
  <c r="H415" i="13"/>
  <c r="E417" i="13"/>
  <c r="F417" i="13"/>
  <c r="G417" i="13"/>
  <c r="H417" i="13"/>
  <c r="H425" i="13"/>
  <c r="H426" i="13"/>
  <c r="H427" i="13"/>
  <c r="H428" i="13"/>
  <c r="H429" i="13"/>
  <c r="H430" i="13"/>
  <c r="H431" i="13"/>
  <c r="E433" i="13"/>
  <c r="F433" i="13"/>
  <c r="G433" i="13"/>
  <c r="H433" i="13"/>
  <c r="H442" i="13"/>
  <c r="H443" i="13"/>
  <c r="H444" i="13"/>
  <c r="H445" i="13"/>
  <c r="H448" i="13"/>
  <c r="E450" i="13"/>
  <c r="F450" i="13"/>
  <c r="G450" i="13"/>
  <c r="H450" i="13"/>
  <c r="H459" i="13"/>
  <c r="H460" i="13"/>
  <c r="H461" i="13"/>
  <c r="H462" i="13"/>
  <c r="H476" i="13"/>
  <c r="H477" i="13"/>
  <c r="H478" i="13"/>
  <c r="H481" i="13"/>
  <c r="H503" i="13"/>
  <c r="H504" i="13"/>
  <c r="H505" i="13"/>
  <c r="H506" i="13"/>
  <c r="H507" i="13"/>
  <c r="H508" i="13"/>
  <c r="H510" i="13"/>
  <c r="E512" i="13"/>
  <c r="F512" i="13"/>
  <c r="G512" i="13"/>
  <c r="H512" i="13"/>
  <c r="H520" i="13"/>
  <c r="H521" i="13"/>
  <c r="H522" i="13"/>
  <c r="H523" i="13"/>
  <c r="H525" i="13"/>
  <c r="H533" i="13"/>
  <c r="H534" i="13"/>
  <c r="H539" i="13"/>
  <c r="H551" i="13"/>
  <c r="H552" i="13"/>
  <c r="H553" i="13"/>
  <c r="H554" i="13"/>
  <c r="H555" i="13"/>
  <c r="H556" i="13"/>
  <c r="H557" i="13"/>
  <c r="E559" i="13"/>
  <c r="F559" i="13"/>
  <c r="G559" i="13"/>
  <c r="H559" i="13"/>
  <c r="H565" i="13"/>
  <c r="H566" i="13"/>
  <c r="H567" i="13"/>
  <c r="H568" i="13"/>
  <c r="H570" i="13"/>
  <c r="H571" i="13"/>
  <c r="E573" i="13"/>
  <c r="F573" i="13"/>
  <c r="G573" i="13"/>
  <c r="H573" i="13"/>
  <c r="H581" i="13"/>
  <c r="H582" i="13"/>
  <c r="H583" i="13"/>
  <c r="H584" i="13"/>
  <c r="H585" i="13"/>
  <c r="H587" i="13"/>
  <c r="E589" i="13"/>
  <c r="F589" i="13"/>
  <c r="G589" i="13"/>
  <c r="H589" i="13"/>
  <c r="H598" i="13"/>
  <c r="H599" i="13"/>
  <c r="H600" i="13"/>
  <c r="H601" i="13"/>
  <c r="H603" i="13"/>
  <c r="H604" i="13"/>
  <c r="H606" i="13"/>
  <c r="H607" i="13"/>
  <c r="E609" i="13"/>
  <c r="F609" i="13"/>
  <c r="G609" i="13"/>
  <c r="H609" i="13"/>
  <c r="H625" i="13"/>
  <c r="S629" i="13"/>
  <c r="H631" i="13"/>
  <c r="H22" i="7"/>
  <c r="H24" i="7"/>
  <c r="H25" i="7"/>
  <c r="H28" i="7"/>
  <c r="H29" i="7"/>
  <c r="H33" i="7"/>
  <c r="H35" i="7"/>
  <c r="H41" i="7"/>
  <c r="H44" i="7"/>
  <c r="H48" i="7"/>
  <c r="H49" i="7"/>
  <c r="H51" i="7"/>
  <c r="H52" i="7"/>
  <c r="H53" i="7"/>
  <c r="H55" i="7"/>
  <c r="H56" i="7"/>
  <c r="H58" i="7"/>
  <c r="H62" i="7"/>
  <c r="H63" i="7"/>
  <c r="H64" i="7"/>
  <c r="H65" i="7"/>
  <c r="H66" i="7"/>
  <c r="H68" i="7"/>
  <c r="H75" i="7"/>
  <c r="H76" i="7"/>
  <c r="H78" i="7"/>
  <c r="H79" i="7"/>
  <c r="H81" i="7"/>
  <c r="H83" i="7"/>
  <c r="H88" i="7"/>
  <c r="H89" i="7"/>
  <c r="H92" i="7"/>
  <c r="H93" i="7"/>
  <c r="H94" i="7"/>
  <c r="H95" i="7"/>
  <c r="H96" i="7"/>
  <c r="H97" i="7"/>
  <c r="H100" i="7"/>
  <c r="H103" i="7"/>
  <c r="H105" i="7"/>
  <c r="H117" i="7"/>
  <c r="H119" i="7"/>
  <c r="H120" i="7"/>
  <c r="H123" i="7"/>
  <c r="H124" i="7"/>
  <c r="H125" i="7"/>
  <c r="H126" i="7"/>
  <c r="H127" i="7"/>
  <c r="H128" i="7"/>
  <c r="H129" i="7"/>
  <c r="H152" i="7"/>
  <c r="H153" i="7"/>
  <c r="H154" i="7"/>
  <c r="H155" i="7"/>
  <c r="H156" i="7"/>
  <c r="H157" i="7"/>
  <c r="H158" i="7"/>
  <c r="H160" i="7"/>
  <c r="H161" i="7"/>
  <c r="H162" i="7"/>
  <c r="H163" i="7"/>
  <c r="H164" i="7"/>
  <c r="H165" i="7"/>
  <c r="H168" i="7"/>
  <c r="H171" i="7"/>
  <c r="H177" i="7"/>
  <c r="H180" i="7"/>
  <c r="H181" i="7"/>
  <c r="H183" i="7"/>
  <c r="H193" i="7"/>
  <c r="H194" i="7"/>
  <c r="H205" i="7"/>
  <c r="H206" i="7"/>
  <c r="H207" i="7"/>
  <c r="E209" i="7"/>
  <c r="E271" i="7" s="1"/>
  <c r="C78" i="20" s="1"/>
  <c r="H220" i="7"/>
  <c r="H221" i="7"/>
  <c r="H226" i="7"/>
  <c r="H227" i="7"/>
  <c r="H230" i="7"/>
  <c r="H231" i="7"/>
  <c r="H232" i="7"/>
  <c r="H233" i="7"/>
  <c r="H236" i="7"/>
  <c r="H246" i="7"/>
  <c r="H248" i="7"/>
  <c r="H250" i="7"/>
  <c r="H254" i="7"/>
  <c r="H257" i="7"/>
  <c r="E80" i="20"/>
  <c r="E276" i="7"/>
  <c r="C82" i="20" s="1"/>
  <c r="E84" i="20"/>
  <c r="E282" i="7"/>
  <c r="C87" i="20" s="1"/>
  <c r="H12" i="8"/>
  <c r="H13" i="8"/>
  <c r="H14" i="8"/>
  <c r="H15" i="8"/>
  <c r="H18" i="8"/>
  <c r="H21" i="8"/>
  <c r="H22" i="8"/>
  <c r="H23" i="8"/>
  <c r="H24" i="8"/>
  <c r="H25" i="8"/>
  <c r="H26" i="8"/>
  <c r="H27" i="8"/>
  <c r="H28" i="8"/>
  <c r="H29" i="8"/>
  <c r="H30" i="8"/>
  <c r="H40" i="8"/>
  <c r="H47" i="8"/>
  <c r="H48" i="8"/>
  <c r="H49" i="8"/>
  <c r="H50" i="8"/>
  <c r="H51" i="8"/>
  <c r="H52" i="8"/>
  <c r="H53" i="8"/>
  <c r="H60" i="8"/>
  <c r="H61" i="8"/>
  <c r="H63" i="8"/>
  <c r="H65" i="8"/>
  <c r="H66" i="8"/>
  <c r="H75" i="8"/>
  <c r="H76" i="8"/>
  <c r="H80" i="8"/>
  <c r="H81" i="8"/>
  <c r="H82" i="8"/>
  <c r="H83" i="8"/>
  <c r="H88" i="8"/>
  <c r="H89" i="8"/>
  <c r="H90" i="8"/>
  <c r="H91" i="8"/>
  <c r="H100" i="8"/>
  <c r="H101" i="8"/>
  <c r="H103" i="8"/>
  <c r="H104" i="8"/>
  <c r="H114" i="8"/>
  <c r="H115" i="8"/>
  <c r="H120" i="8"/>
  <c r="E124" i="8"/>
  <c r="C51" i="20"/>
  <c r="E125" i="8"/>
  <c r="C52" i="20"/>
  <c r="D53" i="20"/>
  <c r="E53" i="20"/>
  <c r="H126" i="8"/>
  <c r="D54" i="20"/>
  <c r="G127" i="8"/>
  <c r="E54" i="20"/>
  <c r="H127" i="8"/>
  <c r="E130" i="8"/>
  <c r="H9" i="27"/>
  <c r="H12" i="27"/>
  <c r="H19" i="27"/>
  <c r="H22" i="27"/>
  <c r="H27" i="27"/>
  <c r="H29" i="27"/>
  <c r="H30" i="27"/>
  <c r="H35" i="27"/>
  <c r="H38" i="27"/>
  <c r="F40" i="27"/>
  <c r="G40" i="27"/>
  <c r="H40" i="27"/>
  <c r="F41" i="27"/>
  <c r="G41" i="27"/>
  <c r="H41" i="27"/>
  <c r="F42" i="27"/>
  <c r="G42" i="27"/>
  <c r="H42" i="27"/>
  <c r="F47" i="27"/>
  <c r="G47" i="27"/>
  <c r="H47" i="27"/>
  <c r="I11" i="25"/>
  <c r="F13" i="25"/>
  <c r="G13" i="25"/>
  <c r="H13" i="25"/>
  <c r="I13" i="25"/>
  <c r="I14" i="25"/>
  <c r="I15" i="25"/>
  <c r="F16" i="25"/>
  <c r="G16" i="25"/>
  <c r="H16" i="25"/>
  <c r="F17" i="25"/>
  <c r="G17" i="25"/>
  <c r="H17" i="25"/>
  <c r="I17" i="25"/>
  <c r="F24" i="25"/>
  <c r="G24" i="25"/>
  <c r="H24" i="25"/>
  <c r="I24" i="25"/>
  <c r="F25" i="25"/>
  <c r="G25" i="25"/>
  <c r="H25" i="25"/>
  <c r="I25" i="25"/>
  <c r="I31" i="25"/>
  <c r="F32" i="25"/>
  <c r="G32" i="25"/>
  <c r="H32" i="25"/>
  <c r="I32" i="25"/>
  <c r="F33" i="25"/>
  <c r="G33" i="25"/>
  <c r="H33" i="25"/>
  <c r="I33" i="25"/>
  <c r="F38" i="25"/>
  <c r="F37" i="25"/>
  <c r="G38" i="25"/>
  <c r="G37" i="25"/>
  <c r="H38" i="25"/>
  <c r="H37" i="25"/>
  <c r="I37" i="25"/>
  <c r="I38" i="25"/>
  <c r="F39" i="25"/>
  <c r="G39" i="25"/>
  <c r="H39" i="25"/>
  <c r="I39" i="25"/>
  <c r="F44" i="25"/>
  <c r="G44" i="25"/>
  <c r="H44" i="25"/>
  <c r="I44" i="25"/>
  <c r="H10" i="9"/>
  <c r="H11" i="9"/>
  <c r="H12" i="9"/>
  <c r="H13" i="9"/>
  <c r="H16" i="9"/>
  <c r="H17" i="9"/>
  <c r="H18" i="9"/>
  <c r="H19" i="9"/>
  <c r="H20" i="9"/>
  <c r="H21" i="9"/>
  <c r="H26" i="9"/>
  <c r="H30" i="9"/>
  <c r="H31" i="9"/>
  <c r="H44" i="9"/>
  <c r="H49" i="9"/>
  <c r="H50" i="9"/>
  <c r="H51" i="9"/>
  <c r="H53" i="9"/>
  <c r="H59" i="9"/>
  <c r="H60" i="9"/>
  <c r="H63" i="9"/>
  <c r="H65" i="9"/>
  <c r="H66" i="9"/>
  <c r="H70" i="9"/>
  <c r="H72" i="9"/>
  <c r="H77" i="9"/>
  <c r="H80" i="9"/>
  <c r="H110" i="9"/>
  <c r="H111" i="9"/>
  <c r="H112" i="9"/>
  <c r="H113" i="9"/>
  <c r="H114" i="9"/>
  <c r="H115" i="9"/>
  <c r="H116" i="9"/>
  <c r="H117" i="9"/>
  <c r="H122" i="9"/>
  <c r="H123" i="9"/>
  <c r="H124" i="9"/>
  <c r="H125" i="9"/>
  <c r="H126" i="9"/>
  <c r="H127" i="9"/>
  <c r="E134" i="9"/>
  <c r="C47" i="20" s="1"/>
  <c r="G134" i="9"/>
  <c r="H13" i="10"/>
  <c r="H17" i="10"/>
  <c r="H24" i="10"/>
  <c r="H25" i="10"/>
  <c r="H26" i="10"/>
  <c r="H31" i="10"/>
  <c r="H34" i="10"/>
  <c r="H35" i="10"/>
  <c r="D42" i="20"/>
  <c r="H10" i="11"/>
  <c r="H12" i="11"/>
  <c r="E18" i="11"/>
  <c r="H18" i="11"/>
  <c r="H29" i="11"/>
  <c r="H31" i="11"/>
  <c r="E35" i="11"/>
  <c r="F35" i="11"/>
  <c r="G35" i="11"/>
  <c r="H35" i="11"/>
  <c r="E39" i="11"/>
  <c r="C35" i="20"/>
  <c r="F39" i="11"/>
  <c r="D35" i="20"/>
  <c r="G39" i="11"/>
  <c r="E40" i="11"/>
  <c r="C36" i="20"/>
  <c r="F40" i="11"/>
  <c r="D36" i="20"/>
  <c r="G40" i="11"/>
  <c r="E45" i="11"/>
  <c r="F45" i="11"/>
  <c r="G45" i="11"/>
  <c r="H45" i="11"/>
  <c r="H10" i="4"/>
  <c r="H11" i="4"/>
  <c r="E12" i="4"/>
  <c r="F12" i="4"/>
  <c r="G12" i="4"/>
  <c r="H12" i="4"/>
  <c r="E16" i="4"/>
  <c r="C30" i="20"/>
  <c r="F16" i="4"/>
  <c r="D30" i="20"/>
  <c r="G16" i="4"/>
  <c r="E30" i="20"/>
  <c r="H16" i="4"/>
  <c r="E17" i="4"/>
  <c r="C31" i="20"/>
  <c r="F17" i="4"/>
  <c r="D31" i="20"/>
  <c r="G17" i="4"/>
  <c r="E31" i="20"/>
  <c r="E23" i="4"/>
  <c r="F23" i="4"/>
  <c r="G23" i="4"/>
  <c r="H23" i="4"/>
  <c r="H10" i="5"/>
  <c r="H14" i="5"/>
  <c r="H16" i="5"/>
  <c r="H19" i="5"/>
  <c r="H22" i="5"/>
  <c r="H34" i="5"/>
  <c r="H40" i="5"/>
  <c r="H41" i="5"/>
  <c r="H42" i="5"/>
  <c r="H43" i="5"/>
  <c r="H47" i="5"/>
  <c r="E48" i="5"/>
  <c r="E57" i="5" s="1"/>
  <c r="E51" i="5"/>
  <c r="C25" i="20"/>
  <c r="G51" i="5"/>
  <c r="E52" i="5"/>
  <c r="C26" i="20"/>
  <c r="F54" i="5"/>
  <c r="D28" i="20"/>
  <c r="G54" i="5"/>
  <c r="H17" i="54"/>
  <c r="H18" i="54"/>
  <c r="H20" i="54"/>
  <c r="H24" i="54"/>
  <c r="H34" i="54"/>
  <c r="H37" i="54"/>
  <c r="H38" i="54"/>
  <c r="H40" i="54"/>
  <c r="H44" i="54"/>
  <c r="H45" i="54"/>
  <c r="H47" i="54"/>
  <c r="H50" i="54"/>
  <c r="H51" i="54"/>
  <c r="H52" i="54"/>
  <c r="H53" i="54"/>
  <c r="H54" i="54"/>
  <c r="H55" i="54"/>
  <c r="H56" i="54"/>
  <c r="H58" i="54"/>
  <c r="H59" i="54"/>
  <c r="H60" i="54"/>
  <c r="H61" i="54"/>
  <c r="H62" i="54"/>
  <c r="H63" i="54"/>
  <c r="H64" i="54"/>
  <c r="H69" i="54"/>
  <c r="H73" i="54"/>
  <c r="H74" i="54"/>
  <c r="H80" i="54"/>
  <c r="H81" i="54"/>
  <c r="H82" i="54"/>
  <c r="H83" i="54"/>
  <c r="H84" i="54"/>
  <c r="H89" i="54"/>
  <c r="H90" i="54"/>
  <c r="H91" i="54"/>
  <c r="H92" i="54"/>
  <c r="H93" i="54"/>
  <c r="H96" i="54"/>
  <c r="H97" i="54"/>
  <c r="H98" i="54"/>
  <c r="H99" i="54"/>
  <c r="H100" i="54"/>
  <c r="H107" i="54"/>
  <c r="H108" i="54"/>
  <c r="H110" i="54"/>
  <c r="H112" i="54"/>
  <c r="H113" i="54"/>
  <c r="H114" i="54"/>
  <c r="H115" i="54"/>
  <c r="H117" i="54"/>
  <c r="H126" i="54"/>
  <c r="H129" i="54"/>
  <c r="H134" i="54"/>
  <c r="H140" i="54"/>
  <c r="H10" i="52"/>
  <c r="H43" i="52"/>
  <c r="E85" i="52"/>
  <c r="H68" i="52"/>
  <c r="H72" i="52"/>
  <c r="F15" i="20"/>
  <c r="C164" i="20"/>
  <c r="D164" i="20"/>
  <c r="E164" i="20"/>
  <c r="C168" i="20"/>
  <c r="D168" i="20"/>
  <c r="E168" i="20"/>
  <c r="C172" i="20"/>
  <c r="D172" i="20"/>
  <c r="E172" i="20"/>
  <c r="G174" i="20"/>
  <c r="H174" i="20"/>
  <c r="C176" i="20"/>
  <c r="D176" i="20"/>
  <c r="E176" i="20"/>
  <c r="G178" i="20"/>
  <c r="H178" i="20"/>
  <c r="I178" i="20"/>
  <c r="C180" i="20"/>
  <c r="D180" i="20"/>
  <c r="E180" i="20"/>
  <c r="C347" i="20"/>
  <c r="D347" i="20"/>
  <c r="E347" i="20"/>
  <c r="C351" i="20"/>
  <c r="D351" i="20"/>
  <c r="E351" i="20"/>
  <c r="M1234" i="21"/>
  <c r="H1224" i="21"/>
  <c r="L1234" i="21"/>
  <c r="G1224" i="21"/>
  <c r="H175" i="20"/>
  <c r="H177" i="20"/>
  <c r="G175" i="20"/>
  <c r="G177" i="20"/>
  <c r="H29" i="49"/>
  <c r="G34" i="49"/>
  <c r="H34" i="49"/>
  <c r="C13" i="20"/>
  <c r="H54" i="5"/>
  <c r="E28" i="20"/>
  <c r="E25" i="20"/>
  <c r="E50" i="5"/>
  <c r="G15" i="4"/>
  <c r="F15" i="4"/>
  <c r="E15" i="4"/>
  <c r="H40" i="11"/>
  <c r="E36" i="20"/>
  <c r="H39" i="11"/>
  <c r="E35" i="20"/>
  <c r="G38" i="11"/>
  <c r="F38" i="11"/>
  <c r="E38" i="11"/>
  <c r="H61" i="10"/>
  <c r="E42" i="20"/>
  <c r="E47" i="20"/>
  <c r="G125" i="8"/>
  <c r="E123" i="8"/>
  <c r="E21" i="51"/>
  <c r="E25" i="51"/>
  <c r="D335" i="20"/>
  <c r="C335" i="20"/>
  <c r="E25" i="97"/>
  <c r="E29" i="97"/>
  <c r="H16" i="54"/>
  <c r="H532" i="13"/>
  <c r="H168" i="13"/>
  <c r="H35" i="54"/>
  <c r="H23" i="54"/>
  <c r="H43" i="54"/>
  <c r="H82" i="52"/>
  <c r="H143" i="54"/>
  <c r="H141" i="54"/>
  <c r="H53" i="52"/>
  <c r="E23" i="20"/>
  <c r="F16" i="20"/>
  <c r="E12" i="20"/>
  <c r="E335" i="20"/>
  <c r="E345" i="20"/>
  <c r="E348" i="20" s="1"/>
  <c r="I174" i="20"/>
  <c r="D104" i="20"/>
  <c r="D109" i="20"/>
  <c r="E109" i="20"/>
  <c r="H121" i="12"/>
  <c r="E52" i="20"/>
  <c r="H38" i="11"/>
  <c r="H15" i="4"/>
  <c r="D13" i="20"/>
  <c r="I175" i="20"/>
  <c r="I177" i="20"/>
  <c r="I1224" i="21"/>
  <c r="D345" i="20"/>
  <c r="D348" i="20" s="1"/>
  <c r="E13" i="20"/>
  <c r="F14" i="20"/>
  <c r="H83" i="24"/>
  <c r="G183" i="24"/>
  <c r="E145" i="20" s="1"/>
  <c r="H263" i="13"/>
  <c r="G265" i="13"/>
  <c r="H265" i="13"/>
  <c r="F235" i="13"/>
  <c r="H230" i="13"/>
  <c r="G235" i="13"/>
  <c r="H235" i="13"/>
  <c r="H467" i="13"/>
  <c r="E342" i="13"/>
  <c r="F342" i="13"/>
  <c r="G342" i="13"/>
  <c r="H342" i="13"/>
  <c r="H486" i="13"/>
  <c r="H544" i="13"/>
  <c r="H251" i="13"/>
  <c r="H328" i="13"/>
  <c r="H189" i="13"/>
  <c r="H29" i="12"/>
  <c r="E104" i="20"/>
  <c r="G114" i="12"/>
  <c r="H115" i="12"/>
  <c r="E110" i="20"/>
  <c r="H122" i="12"/>
  <c r="D110" i="20"/>
  <c r="F116" i="12"/>
  <c r="H46" i="12"/>
  <c r="C104" i="20"/>
  <c r="E114" i="12"/>
  <c r="H120" i="12"/>
  <c r="G127" i="12"/>
  <c r="D105" i="20"/>
  <c r="H116" i="12"/>
  <c r="F114" i="12"/>
  <c r="F127" i="12"/>
  <c r="H127" i="12"/>
  <c r="H114" i="12"/>
  <c r="E334" i="55"/>
  <c r="H368" i="20" l="1"/>
  <c r="H389" i="20"/>
  <c r="I14" i="31" s="1"/>
  <c r="H337" i="20"/>
  <c r="C339" i="20"/>
  <c r="C340" i="20" s="1"/>
  <c r="G385" i="20"/>
  <c r="H10" i="31" s="1"/>
  <c r="I385" i="20"/>
  <c r="J10" i="31" s="1"/>
  <c r="I368" i="20"/>
  <c r="I389" i="20"/>
  <c r="J14" i="31" s="1"/>
  <c r="I337" i="20"/>
  <c r="H385" i="20"/>
  <c r="I10" i="31" s="1"/>
  <c r="H147" i="24"/>
  <c r="F179" i="24"/>
  <c r="K149" i="20"/>
  <c r="E179" i="24"/>
  <c r="J64" i="15"/>
  <c r="F59" i="10"/>
  <c r="F58" i="10" s="1"/>
  <c r="F64" i="10"/>
  <c r="E59" i="10"/>
  <c r="G64" i="10"/>
  <c r="G59" i="10"/>
  <c r="G58" i="10" s="1"/>
  <c r="K56" i="20"/>
  <c r="I63" i="20"/>
  <c r="L329" i="20"/>
  <c r="K55" i="20"/>
  <c r="G63" i="20"/>
  <c r="H63" i="20"/>
  <c r="M64" i="20"/>
  <c r="D342" i="20"/>
  <c r="M149" i="20"/>
  <c r="K64" i="20"/>
  <c r="F158" i="20"/>
  <c r="E342" i="20"/>
  <c r="M124" i="20"/>
  <c r="I356" i="20"/>
  <c r="G356" i="20"/>
  <c r="C346" i="20"/>
  <c r="C332" i="20"/>
  <c r="H356" i="20"/>
  <c r="C59" i="20"/>
  <c r="K60" i="20"/>
  <c r="K61" i="20"/>
  <c r="L149" i="20"/>
  <c r="F20" i="20"/>
  <c r="G131" i="20"/>
  <c r="F105" i="20"/>
  <c r="E103" i="20"/>
  <c r="F42" i="20"/>
  <c r="F106" i="20"/>
  <c r="F330" i="20"/>
  <c r="I91" i="20"/>
  <c r="I113" i="20"/>
  <c r="G102" i="20"/>
  <c r="I70" i="20"/>
  <c r="H91" i="20"/>
  <c r="G91" i="20"/>
  <c r="H102" i="20"/>
  <c r="H131" i="20"/>
  <c r="F23" i="20"/>
  <c r="C24" i="20"/>
  <c r="C34" i="20"/>
  <c r="I102" i="20"/>
  <c r="I131" i="20"/>
  <c r="F95" i="20"/>
  <c r="G70" i="20"/>
  <c r="H70" i="20"/>
  <c r="H113" i="20"/>
  <c r="E108" i="20"/>
  <c r="D29" i="20"/>
  <c r="F112" i="20"/>
  <c r="F104" i="20"/>
  <c r="F35" i="20"/>
  <c r="C342" i="20"/>
  <c r="M331" i="20"/>
  <c r="D58" i="20"/>
  <c r="K331" i="20"/>
  <c r="E29" i="20"/>
  <c r="C29" i="20"/>
  <c r="D34" i="20"/>
  <c r="F53" i="20"/>
  <c r="C50" i="20"/>
  <c r="F100" i="20"/>
  <c r="D381" i="20"/>
  <c r="L124" i="20"/>
  <c r="M332" i="20"/>
  <c r="L331" i="20"/>
  <c r="C58" i="20"/>
  <c r="C7" i="20"/>
  <c r="L64" i="20"/>
  <c r="C57" i="20"/>
  <c r="G365" i="20"/>
  <c r="D103" i="20"/>
  <c r="E381" i="20"/>
  <c r="C329" i="20"/>
  <c r="C337" i="20" s="1"/>
  <c r="I365" i="20"/>
  <c r="H365" i="20"/>
  <c r="F142" i="20"/>
  <c r="E58" i="20"/>
  <c r="D57" i="20"/>
  <c r="C103" i="20"/>
  <c r="F13" i="20"/>
  <c r="F109" i="20"/>
  <c r="F54" i="20"/>
  <c r="D108" i="20"/>
  <c r="E34" i="20"/>
  <c r="C56" i="20"/>
  <c r="F12" i="20"/>
  <c r="E57" i="20"/>
  <c r="F36" i="20"/>
  <c r="D59" i="20"/>
  <c r="F110" i="20"/>
  <c r="E59" i="20"/>
  <c r="E350" i="20" s="1"/>
  <c r="H202" i="20"/>
  <c r="E297" i="20"/>
  <c r="C303" i="20"/>
  <c r="E303" i="20"/>
  <c r="E276" i="20"/>
  <c r="C287" i="20"/>
  <c r="F277" i="20"/>
  <c r="D297" i="20"/>
  <c r="D303" i="20"/>
  <c r="D276" i="20"/>
  <c r="C292" i="20"/>
  <c r="D287" i="20"/>
  <c r="E287" i="20"/>
  <c r="F288" i="20"/>
  <c r="F267" i="20"/>
  <c r="F254" i="20"/>
  <c r="I297" i="20"/>
  <c r="C276" i="20"/>
  <c r="G266" i="20"/>
  <c r="E266" i="20"/>
  <c r="E271" i="20"/>
  <c r="I292" i="20"/>
  <c r="C297" i="20"/>
  <c r="H297" i="20"/>
  <c r="F245" i="20"/>
  <c r="E292" i="20"/>
  <c r="D266" i="20"/>
  <c r="D271" i="20"/>
  <c r="D292" i="20"/>
  <c r="F272" i="20"/>
  <c r="C271" i="20"/>
  <c r="D253" i="20"/>
  <c r="C238" i="20"/>
  <c r="D248" i="20"/>
  <c r="C266" i="20"/>
  <c r="F255" i="20"/>
  <c r="C248" i="20"/>
  <c r="I266" i="20"/>
  <c r="D238" i="20"/>
  <c r="E243" i="20"/>
  <c r="F249" i="20"/>
  <c r="E248" i="20"/>
  <c r="C253" i="20"/>
  <c r="E238" i="20"/>
  <c r="C243" i="20"/>
  <c r="D243" i="20"/>
  <c r="E253" i="20"/>
  <c r="F250" i="20"/>
  <c r="F244" i="20"/>
  <c r="C208" i="20"/>
  <c r="F239" i="20"/>
  <c r="E208" i="20"/>
  <c r="F226" i="20"/>
  <c r="D185" i="20"/>
  <c r="D195" i="20"/>
  <c r="D208" i="20"/>
  <c r="I229" i="20"/>
  <c r="F187" i="20"/>
  <c r="F220" i="20"/>
  <c r="C195" i="20"/>
  <c r="D213" i="20"/>
  <c r="E213" i="20"/>
  <c r="F219" i="20"/>
  <c r="F214" i="20"/>
  <c r="C213" i="20"/>
  <c r="C218" i="20"/>
  <c r="D218" i="20"/>
  <c r="E218" i="20"/>
  <c r="F209" i="20"/>
  <c r="F196" i="20"/>
  <c r="C190" i="20"/>
  <c r="E195" i="20"/>
  <c r="D190" i="20"/>
  <c r="E190" i="20"/>
  <c r="F191" i="20"/>
  <c r="K333" i="20"/>
  <c r="K342" i="20" s="1"/>
  <c r="C185" i="20"/>
  <c r="C345" i="20"/>
  <c r="F152" i="20"/>
  <c r="E382" i="20"/>
  <c r="F186" i="20"/>
  <c r="E185" i="20"/>
  <c r="I149" i="20"/>
  <c r="G149" i="20"/>
  <c r="G199" i="20" s="1"/>
  <c r="F151" i="20"/>
  <c r="E149" i="20"/>
  <c r="F149" i="20" s="1"/>
  <c r="H149" i="20"/>
  <c r="L333" i="20"/>
  <c r="L342" i="20" s="1"/>
  <c r="H342" i="20" s="1"/>
  <c r="G382" i="20"/>
  <c r="G383" i="20" s="1"/>
  <c r="H382" i="20"/>
  <c r="H383" i="20" s="1"/>
  <c r="I382" i="20"/>
  <c r="I383" i="20" s="1"/>
  <c r="K332" i="20"/>
  <c r="G113" i="20"/>
  <c r="J75" i="7"/>
  <c r="K75" i="7"/>
  <c r="G106" i="7" s="1"/>
  <c r="G264" i="7" s="1"/>
  <c r="F106" i="7"/>
  <c r="F264" i="7" s="1"/>
  <c r="K167" i="7"/>
  <c r="L209" i="7"/>
  <c r="H54" i="7"/>
  <c r="H32" i="7"/>
  <c r="G238" i="7"/>
  <c r="F238" i="7"/>
  <c r="F276" i="7" s="1"/>
  <c r="F275" i="7" s="1"/>
  <c r="H218" i="7"/>
  <c r="H19" i="7"/>
  <c r="H228" i="7"/>
  <c r="H50" i="7"/>
  <c r="D79" i="20"/>
  <c r="F271" i="7"/>
  <c r="H47" i="7"/>
  <c r="E270" i="7"/>
  <c r="C77" i="20" s="1"/>
  <c r="C76" i="20" s="1"/>
  <c r="H151" i="7"/>
  <c r="C81" i="20"/>
  <c r="G282" i="7"/>
  <c r="H77" i="7"/>
  <c r="E281" i="7"/>
  <c r="F84" i="20"/>
  <c r="F282" i="7"/>
  <c r="D87" i="20" s="1"/>
  <c r="D86" i="20" s="1"/>
  <c r="H278" i="7"/>
  <c r="H234" i="7"/>
  <c r="H167" i="7"/>
  <c r="H245" i="7"/>
  <c r="E275" i="7"/>
  <c r="F89" i="20"/>
  <c r="H132" i="7"/>
  <c r="C86" i="20"/>
  <c r="H265" i="7"/>
  <c r="H284" i="7"/>
  <c r="H204" i="7"/>
  <c r="K209" i="7"/>
  <c r="G271" i="7"/>
  <c r="H209" i="7"/>
  <c r="H184" i="7"/>
  <c r="D73" i="20"/>
  <c r="F73" i="20" s="1"/>
  <c r="F51" i="15"/>
  <c r="H36" i="15"/>
  <c r="K161" i="15"/>
  <c r="E141" i="15"/>
  <c r="H295" i="55"/>
  <c r="E116" i="20"/>
  <c r="G219" i="55"/>
  <c r="E219" i="55"/>
  <c r="H214" i="55"/>
  <c r="G284" i="55"/>
  <c r="E333" i="55"/>
  <c r="H317" i="55"/>
  <c r="H44" i="55"/>
  <c r="E181" i="55"/>
  <c r="H277" i="55"/>
  <c r="F219" i="55"/>
  <c r="H200" i="55"/>
  <c r="H300" i="55"/>
  <c r="G302" i="55"/>
  <c r="H234" i="55"/>
  <c r="E319" i="55"/>
  <c r="G202" i="55"/>
  <c r="H202" i="55" s="1"/>
  <c r="G240" i="55"/>
  <c r="H240" i="55" s="1"/>
  <c r="E302" i="55"/>
  <c r="F319" i="55"/>
  <c r="C115" i="20"/>
  <c r="C114" i="20" s="1"/>
  <c r="E202" i="55"/>
  <c r="H217" i="55"/>
  <c r="H181" i="55"/>
  <c r="H282" i="55"/>
  <c r="G319" i="55"/>
  <c r="E284" i="55"/>
  <c r="F284" i="55"/>
  <c r="F116" i="20"/>
  <c r="H272" i="55"/>
  <c r="E240" i="55"/>
  <c r="H309" i="55"/>
  <c r="H314" i="55"/>
  <c r="F122" i="20"/>
  <c r="H253" i="55"/>
  <c r="H249" i="55"/>
  <c r="F302" i="55"/>
  <c r="G255" i="55"/>
  <c r="H255" i="55" s="1"/>
  <c r="H179" i="55"/>
  <c r="H119" i="55"/>
  <c r="H32" i="55"/>
  <c r="H238" i="55"/>
  <c r="F97" i="15"/>
  <c r="E97" i="15"/>
  <c r="H132" i="15"/>
  <c r="D140" i="20"/>
  <c r="F140" i="20" s="1"/>
  <c r="E81" i="15"/>
  <c r="F81" i="15"/>
  <c r="G136" i="15"/>
  <c r="G159" i="15" s="1"/>
  <c r="H137" i="15"/>
  <c r="H161" i="15"/>
  <c r="F135" i="20"/>
  <c r="H116" i="15"/>
  <c r="H75" i="15"/>
  <c r="H91" i="15"/>
  <c r="K64" i="15"/>
  <c r="H155" i="15"/>
  <c r="L161" i="15"/>
  <c r="H64" i="15"/>
  <c r="H10" i="15"/>
  <c r="G79" i="15"/>
  <c r="H79" i="15" s="1"/>
  <c r="H13" i="15"/>
  <c r="G153" i="15"/>
  <c r="G97" i="15"/>
  <c r="H90" i="15"/>
  <c r="F141" i="15"/>
  <c r="F160" i="15"/>
  <c r="D139" i="20" s="1"/>
  <c r="H94" i="15"/>
  <c r="E160" i="15"/>
  <c r="C139" i="20" s="1"/>
  <c r="G110" i="15"/>
  <c r="H110" i="15" s="1"/>
  <c r="H109" i="15"/>
  <c r="E159" i="15"/>
  <c r="E134" i="20"/>
  <c r="H154" i="15"/>
  <c r="H103" i="15"/>
  <c r="F123" i="15"/>
  <c r="F159" i="15" s="1"/>
  <c r="D138" i="20" s="1"/>
  <c r="G139" i="15"/>
  <c r="H139" i="15" s="1"/>
  <c r="H88" i="15"/>
  <c r="H74" i="15"/>
  <c r="H72" i="15"/>
  <c r="F124" i="55"/>
  <c r="G124" i="55"/>
  <c r="E341" i="55"/>
  <c r="C121" i="20" s="1"/>
  <c r="E340" i="55"/>
  <c r="F341" i="55"/>
  <c r="D121" i="20" s="1"/>
  <c r="F340" i="55"/>
  <c r="G341" i="55"/>
  <c r="G340" i="55"/>
  <c r="E121" i="12"/>
  <c r="E108" i="12"/>
  <c r="E76" i="13"/>
  <c r="E623" i="13" s="1"/>
  <c r="G76" i="13"/>
  <c r="K341" i="13"/>
  <c r="K604" i="13"/>
  <c r="K603" i="13"/>
  <c r="K340" i="13"/>
  <c r="L341" i="13"/>
  <c r="L603" i="13"/>
  <c r="L340" i="13"/>
  <c r="J341" i="13"/>
  <c r="J604" i="13"/>
  <c r="L604" i="13"/>
  <c r="J603" i="13"/>
  <c r="J340" i="13"/>
  <c r="J607" i="13" s="1"/>
  <c r="J608" i="13"/>
  <c r="E630" i="13" s="1"/>
  <c r="C99" i="20" s="1"/>
  <c r="K608" i="13"/>
  <c r="L608" i="13"/>
  <c r="G630" i="13" s="1"/>
  <c r="K607" i="13"/>
  <c r="L607" i="13"/>
  <c r="L609" i="13" s="1"/>
  <c r="I364" i="20"/>
  <c r="G364" i="20"/>
  <c r="H364" i="20"/>
  <c r="E184" i="24"/>
  <c r="E189" i="24"/>
  <c r="G184" i="24"/>
  <c r="H179" i="24"/>
  <c r="G189" i="24"/>
  <c r="D145" i="20"/>
  <c r="H183" i="24"/>
  <c r="E331" i="20"/>
  <c r="E346" i="20" s="1"/>
  <c r="H23" i="51"/>
  <c r="G21" i="51"/>
  <c r="D331" i="20"/>
  <c r="D329" i="20" s="1"/>
  <c r="F21" i="51"/>
  <c r="F25" i="51" s="1"/>
  <c r="C354" i="20"/>
  <c r="C355" i="20"/>
  <c r="H18" i="51"/>
  <c r="E355" i="20"/>
  <c r="G22" i="97"/>
  <c r="H22" i="97" s="1"/>
  <c r="D333" i="20"/>
  <c r="D338" i="20" s="1"/>
  <c r="F25" i="97"/>
  <c r="F29" i="97" s="1"/>
  <c r="H129" i="9"/>
  <c r="F134" i="9"/>
  <c r="F132" i="9" s="1"/>
  <c r="F137" i="9"/>
  <c r="E133" i="9"/>
  <c r="E137" i="9"/>
  <c r="D46" i="20"/>
  <c r="H104" i="9"/>
  <c r="G133" i="9"/>
  <c r="G137" i="9"/>
  <c r="H46" i="10"/>
  <c r="H64" i="10"/>
  <c r="F52" i="5"/>
  <c r="D26" i="20" s="1"/>
  <c r="G57" i="5"/>
  <c r="G52" i="5"/>
  <c r="H48" i="5"/>
  <c r="F57" i="5"/>
  <c r="H57" i="5" s="1"/>
  <c r="H23" i="5"/>
  <c r="F51" i="5"/>
  <c r="J69" i="54"/>
  <c r="F145" i="54"/>
  <c r="E139" i="54"/>
  <c r="E145" i="54"/>
  <c r="D7" i="20"/>
  <c r="H79" i="52"/>
  <c r="H77" i="52"/>
  <c r="H85" i="52"/>
  <c r="F234" i="20"/>
  <c r="C233" i="20"/>
  <c r="D233" i="20"/>
  <c r="G233" i="20"/>
  <c r="D376" i="20"/>
  <c r="I233" i="20"/>
  <c r="E233" i="20"/>
  <c r="H233" i="20"/>
  <c r="H258" i="20"/>
  <c r="H394" i="20" s="1"/>
  <c r="K330" i="20"/>
  <c r="E376" i="20"/>
  <c r="M342" i="20"/>
  <c r="I342" i="20" s="1"/>
  <c r="G373" i="20"/>
  <c r="L330" i="20"/>
  <c r="L336" i="20" s="1"/>
  <c r="C376" i="20"/>
  <c r="D229" i="20"/>
  <c r="H229" i="20"/>
  <c r="G229" i="20"/>
  <c r="I258" i="20"/>
  <c r="F230" i="20"/>
  <c r="C229" i="20"/>
  <c r="E224" i="20"/>
  <c r="F225" i="20"/>
  <c r="D224" i="20"/>
  <c r="C224" i="20"/>
  <c r="C258" i="20"/>
  <c r="F623" i="13"/>
  <c r="F622" i="13" s="1"/>
  <c r="D93" i="20"/>
  <c r="D92" i="20" s="1"/>
  <c r="G623" i="13"/>
  <c r="G622" i="13" s="1"/>
  <c r="H76" i="13"/>
  <c r="C72" i="20"/>
  <c r="E263" i="7"/>
  <c r="F124" i="8"/>
  <c r="F130" i="8"/>
  <c r="H92" i="8"/>
  <c r="G130" i="8"/>
  <c r="H130" i="8" s="1"/>
  <c r="G124" i="8"/>
  <c r="D52" i="20"/>
  <c r="H125" i="8"/>
  <c r="D258" i="20"/>
  <c r="F231" i="20"/>
  <c r="E229" i="20"/>
  <c r="C259" i="20"/>
  <c r="E259" i="20"/>
  <c r="G259" i="20"/>
  <c r="H259" i="20"/>
  <c r="H395" i="20" s="1"/>
  <c r="I27" i="31" s="1"/>
  <c r="I259" i="20"/>
  <c r="I395" i="20" s="1"/>
  <c r="J27" i="31" s="1"/>
  <c r="C65" i="20"/>
  <c r="C370" i="20"/>
  <c r="D370" i="20"/>
  <c r="E370" i="20"/>
  <c r="G376" i="20"/>
  <c r="G370" i="20"/>
  <c r="H376" i="20"/>
  <c r="H370" i="20"/>
  <c r="I376" i="20"/>
  <c r="I370" i="20"/>
  <c r="G26" i="97"/>
  <c r="F282" i="20"/>
  <c r="E281" i="20"/>
  <c r="D281" i="20"/>
  <c r="C281" i="20"/>
  <c r="G260" i="20" l="1"/>
  <c r="G395" i="20"/>
  <c r="I373" i="20"/>
  <c r="I394" i="20"/>
  <c r="I26" i="31"/>
  <c r="I28" i="31" s="1"/>
  <c r="H396" i="20"/>
  <c r="H391" i="20"/>
  <c r="I16" i="31" s="1"/>
  <c r="H397" i="20"/>
  <c r="I29" i="31" s="1"/>
  <c r="E339" i="20"/>
  <c r="I391" i="20"/>
  <c r="J16" i="31" s="1"/>
  <c r="I397" i="20"/>
  <c r="J29" i="31" s="1"/>
  <c r="C391" i="20"/>
  <c r="C16" i="31" s="1"/>
  <c r="C397" i="20"/>
  <c r="C29" i="31" s="1"/>
  <c r="E391" i="20"/>
  <c r="E16" i="31" s="1"/>
  <c r="E397" i="20"/>
  <c r="E29" i="31" s="1"/>
  <c r="D391" i="20"/>
  <c r="D16" i="31" s="1"/>
  <c r="D397" i="20"/>
  <c r="D29" i="31" s="1"/>
  <c r="D339" i="20"/>
  <c r="D340" i="20" s="1"/>
  <c r="H137" i="9"/>
  <c r="I317" i="20"/>
  <c r="F318" i="20"/>
  <c r="F320" i="20" s="1"/>
  <c r="H387" i="20"/>
  <c r="E317" i="20"/>
  <c r="G387" i="20"/>
  <c r="I387" i="20"/>
  <c r="D317" i="20"/>
  <c r="C317" i="20"/>
  <c r="H317" i="20"/>
  <c r="G317" i="20"/>
  <c r="D368" i="20"/>
  <c r="D389" i="20"/>
  <c r="D387" i="20"/>
  <c r="D12" i="31" s="1"/>
  <c r="C387" i="20"/>
  <c r="C12" i="31" s="1"/>
  <c r="E387" i="20"/>
  <c r="E12" i="31" s="1"/>
  <c r="C368" i="20"/>
  <c r="C389" i="20"/>
  <c r="C367" i="20"/>
  <c r="C388" i="20"/>
  <c r="C13" i="31" s="1"/>
  <c r="F189" i="24"/>
  <c r="H189" i="24" s="1"/>
  <c r="F184" i="24"/>
  <c r="L196" i="20"/>
  <c r="K196" i="20"/>
  <c r="C40" i="20"/>
  <c r="C39" i="20" s="1"/>
  <c r="E58" i="10"/>
  <c r="G257" i="20"/>
  <c r="H199" i="20"/>
  <c r="I199" i="20"/>
  <c r="I124" i="20"/>
  <c r="H124" i="20"/>
  <c r="G124" i="20"/>
  <c r="I257" i="20"/>
  <c r="C71" i="20"/>
  <c r="C70" i="20" s="1"/>
  <c r="D257" i="20"/>
  <c r="G342" i="20"/>
  <c r="K344" i="20"/>
  <c r="F134" i="20"/>
  <c r="H257" i="20"/>
  <c r="C257" i="20"/>
  <c r="C348" i="20"/>
  <c r="M336" i="20"/>
  <c r="D355" i="20"/>
  <c r="K335" i="20"/>
  <c r="F381" i="20"/>
  <c r="F383" i="20" s="1"/>
  <c r="M335" i="20"/>
  <c r="E102" i="20"/>
  <c r="M196" i="20"/>
  <c r="F108" i="20"/>
  <c r="F103" i="20"/>
  <c r="F271" i="20"/>
  <c r="F34" i="20"/>
  <c r="D102" i="20"/>
  <c r="C349" i="20"/>
  <c r="E383" i="20"/>
  <c r="F243" i="20"/>
  <c r="F297" i="20"/>
  <c r="H373" i="20"/>
  <c r="C126" i="20"/>
  <c r="F287" i="20"/>
  <c r="F253" i="20"/>
  <c r="F276" i="20"/>
  <c r="F266" i="20"/>
  <c r="F238" i="20"/>
  <c r="F233" i="20"/>
  <c r="F248" i="20"/>
  <c r="I366" i="20"/>
  <c r="I369" i="20" s="1"/>
  <c r="I371" i="20" s="1"/>
  <c r="F185" i="20"/>
  <c r="F208" i="20"/>
  <c r="F195" i="20"/>
  <c r="F213" i="20"/>
  <c r="F218" i="20"/>
  <c r="F190" i="20"/>
  <c r="F342" i="20"/>
  <c r="L344" i="20"/>
  <c r="H366" i="20"/>
  <c r="H369" i="20" s="1"/>
  <c r="H371" i="20" s="1"/>
  <c r="D82" i="20"/>
  <c r="D81" i="20" s="1"/>
  <c r="H238" i="7"/>
  <c r="K286" i="7"/>
  <c r="E269" i="7"/>
  <c r="E288" i="7" s="1"/>
  <c r="J209" i="7"/>
  <c r="G276" i="7"/>
  <c r="E82" i="20" s="1"/>
  <c r="H260" i="7"/>
  <c r="F281" i="7"/>
  <c r="E79" i="20"/>
  <c r="F79" i="20" s="1"/>
  <c r="H272" i="7"/>
  <c r="L286" i="7"/>
  <c r="G270" i="7"/>
  <c r="E87" i="20"/>
  <c r="E86" i="20" s="1"/>
  <c r="F86" i="20" s="1"/>
  <c r="G281" i="7"/>
  <c r="E78" i="20"/>
  <c r="F78" i="20" s="1"/>
  <c r="H271" i="7"/>
  <c r="H195" i="7"/>
  <c r="F158" i="15"/>
  <c r="H284" i="55"/>
  <c r="H219" i="55"/>
  <c r="H302" i="55"/>
  <c r="H319" i="55"/>
  <c r="F153" i="15"/>
  <c r="F152" i="15" s="1"/>
  <c r="H136" i="15"/>
  <c r="G81" i="15"/>
  <c r="H81" i="15" s="1"/>
  <c r="H97" i="15"/>
  <c r="G141" i="15"/>
  <c r="H141" i="15" s="1"/>
  <c r="H51" i="15"/>
  <c r="L64" i="15"/>
  <c r="E153" i="15"/>
  <c r="C133" i="20" s="1"/>
  <c r="H123" i="15"/>
  <c r="F125" i="15"/>
  <c r="H125" i="15" s="1"/>
  <c r="G160" i="15"/>
  <c r="G158" i="15" s="1"/>
  <c r="E133" i="20"/>
  <c r="G152" i="15"/>
  <c r="C138" i="20"/>
  <c r="E158" i="15"/>
  <c r="E138" i="20"/>
  <c r="E200" i="20" s="1"/>
  <c r="L153" i="55"/>
  <c r="F334" i="55"/>
  <c r="M153" i="55"/>
  <c r="G334" i="55"/>
  <c r="G333" i="55" s="1"/>
  <c r="H124" i="55"/>
  <c r="E120" i="20"/>
  <c r="G339" i="55"/>
  <c r="E121" i="20"/>
  <c r="F121" i="20" s="1"/>
  <c r="H341" i="55"/>
  <c r="D120" i="20"/>
  <c r="F339" i="55"/>
  <c r="H340" i="55"/>
  <c r="C120" i="20"/>
  <c r="C119" i="20" s="1"/>
  <c r="C113" i="20" s="1"/>
  <c r="E339" i="55"/>
  <c r="E347" i="55" s="1"/>
  <c r="E120" i="12"/>
  <c r="E127" i="12" s="1"/>
  <c r="C109" i="20"/>
  <c r="C108" i="20" s="1"/>
  <c r="C102" i="20" s="1"/>
  <c r="E622" i="13"/>
  <c r="C93" i="20"/>
  <c r="C92" i="20" s="1"/>
  <c r="J609" i="13"/>
  <c r="F630" i="13"/>
  <c r="D99" i="20" s="1"/>
  <c r="D126" i="20" s="1"/>
  <c r="K609" i="13"/>
  <c r="E99" i="20"/>
  <c r="H630" i="13"/>
  <c r="E629" i="13"/>
  <c r="J620" i="13"/>
  <c r="G629" i="13"/>
  <c r="L620" i="13"/>
  <c r="F629" i="13"/>
  <c r="K620" i="13"/>
  <c r="E146" i="20"/>
  <c r="E144" i="20" s="1"/>
  <c r="H184" i="24"/>
  <c r="G181" i="24"/>
  <c r="C146" i="20"/>
  <c r="C201" i="20" s="1"/>
  <c r="C395" i="20" s="1"/>
  <c r="C27" i="31" s="1"/>
  <c r="E181" i="24"/>
  <c r="F145" i="20"/>
  <c r="C356" i="20"/>
  <c r="H21" i="51"/>
  <c r="G25" i="51"/>
  <c r="H25" i="51" s="1"/>
  <c r="F331" i="20"/>
  <c r="F339" i="20" s="1"/>
  <c r="E329" i="20"/>
  <c r="D354" i="20"/>
  <c r="D332" i="20"/>
  <c r="D337" i="20" s="1"/>
  <c r="E46" i="20"/>
  <c r="H133" i="9"/>
  <c r="G132" i="9"/>
  <c r="H132" i="9" s="1"/>
  <c r="C46" i="20"/>
  <c r="E132" i="9"/>
  <c r="D47" i="20"/>
  <c r="D45" i="20" s="1"/>
  <c r="H134" i="9"/>
  <c r="H59" i="10"/>
  <c r="E40" i="20"/>
  <c r="D40" i="20"/>
  <c r="D39" i="20" s="1"/>
  <c r="G50" i="5"/>
  <c r="H52" i="5"/>
  <c r="E26" i="20"/>
  <c r="F50" i="5"/>
  <c r="H50" i="5" s="1"/>
  <c r="D25" i="20"/>
  <c r="H51" i="5"/>
  <c r="C19" i="20"/>
  <c r="E138" i="54"/>
  <c r="D19" i="20"/>
  <c r="D18" i="20" s="1"/>
  <c r="F138" i="54"/>
  <c r="F8" i="20"/>
  <c r="H78" i="52"/>
  <c r="F9" i="20"/>
  <c r="E7" i="20"/>
  <c r="E56" i="20"/>
  <c r="M344" i="20"/>
  <c r="F258" i="20"/>
  <c r="D346" i="20"/>
  <c r="F29" i="31"/>
  <c r="E366" i="20"/>
  <c r="D259" i="20"/>
  <c r="D260" i="20" s="1"/>
  <c r="F235" i="20"/>
  <c r="F259" i="20" s="1"/>
  <c r="K303" i="20"/>
  <c r="M303" i="20"/>
  <c r="G366" i="20"/>
  <c r="G369" i="20" s="1"/>
  <c r="G371" i="20" s="1"/>
  <c r="C260" i="20"/>
  <c r="K334" i="20"/>
  <c r="K343" i="20" s="1"/>
  <c r="K336" i="20"/>
  <c r="L303" i="20"/>
  <c r="M334" i="20"/>
  <c r="M343" i="20" s="1"/>
  <c r="I260" i="20"/>
  <c r="I374" i="20"/>
  <c r="H260" i="20"/>
  <c r="H374" i="20"/>
  <c r="G374" i="20"/>
  <c r="G375" i="20" s="1"/>
  <c r="G377" i="20" s="1"/>
  <c r="F224" i="20"/>
  <c r="E93" i="20"/>
  <c r="H623" i="13"/>
  <c r="H106" i="7"/>
  <c r="D72" i="20"/>
  <c r="F263" i="7"/>
  <c r="F52" i="20"/>
  <c r="E51" i="20"/>
  <c r="G123" i="8"/>
  <c r="H124" i="8"/>
  <c r="D51" i="20"/>
  <c r="F123" i="8"/>
  <c r="E260" i="20"/>
  <c r="F229" i="20"/>
  <c r="E257" i="20"/>
  <c r="D366" i="20"/>
  <c r="C366" i="20"/>
  <c r="E333" i="20"/>
  <c r="G25" i="97"/>
  <c r="H26" i="97"/>
  <c r="F281" i="20"/>
  <c r="I375" i="20" l="1"/>
  <c r="I377" i="20" s="1"/>
  <c r="F16" i="31"/>
  <c r="I30" i="31"/>
  <c r="E354" i="20"/>
  <c r="E356" i="20" s="1"/>
  <c r="E338" i="20"/>
  <c r="E340" i="20" s="1"/>
  <c r="I390" i="20"/>
  <c r="I392" i="20" s="1"/>
  <c r="J12" i="31"/>
  <c r="J15" i="31" s="1"/>
  <c r="J17" i="31" s="1"/>
  <c r="E389" i="20"/>
  <c r="E14" i="31" s="1"/>
  <c r="C137" i="20"/>
  <c r="C200" i="20"/>
  <c r="F391" i="20"/>
  <c r="F397" i="20"/>
  <c r="G391" i="20"/>
  <c r="G397" i="20"/>
  <c r="H29" i="31" s="1"/>
  <c r="G390" i="20"/>
  <c r="H12" i="31"/>
  <c r="H15" i="31" s="1"/>
  <c r="H390" i="20"/>
  <c r="H392" i="20" s="1"/>
  <c r="I12" i="31"/>
  <c r="I15" i="31" s="1"/>
  <c r="I17" i="31" s="1"/>
  <c r="H398" i="20"/>
  <c r="J26" i="31"/>
  <c r="J28" i="31" s="1"/>
  <c r="J30" i="31" s="1"/>
  <c r="I396" i="20"/>
  <c r="I398" i="20" s="1"/>
  <c r="H27" i="31"/>
  <c r="H28" i="31" s="1"/>
  <c r="H30" i="31" s="1"/>
  <c r="G396" i="20"/>
  <c r="F317" i="20"/>
  <c r="G336" i="20"/>
  <c r="G343" i="20" s="1"/>
  <c r="G353" i="20" s="1"/>
  <c r="C64" i="20"/>
  <c r="F387" i="20"/>
  <c r="F7" i="20"/>
  <c r="D367" i="20"/>
  <c r="D388" i="20"/>
  <c r="D13" i="31" s="1"/>
  <c r="D146" i="20"/>
  <c r="F146" i="20" s="1"/>
  <c r="F181" i="24"/>
  <c r="H181" i="24" s="1"/>
  <c r="H336" i="20"/>
  <c r="H343" i="20" s="1"/>
  <c r="H357" i="20" s="1"/>
  <c r="I336" i="20"/>
  <c r="I343" i="20" s="1"/>
  <c r="I357" i="20" s="1"/>
  <c r="K353" i="20"/>
  <c r="K358" i="20" s="1"/>
  <c r="C202" i="20"/>
  <c r="C45" i="20"/>
  <c r="C55" i="20"/>
  <c r="C60" i="20" s="1"/>
  <c r="D55" i="20"/>
  <c r="D356" i="20"/>
  <c r="F260" i="20"/>
  <c r="M353" i="20"/>
  <c r="M358" i="20" s="1"/>
  <c r="F102" i="20"/>
  <c r="C66" i="20"/>
  <c r="H375" i="20"/>
  <c r="H377" i="20" s="1"/>
  <c r="D56" i="20"/>
  <c r="D349" i="20"/>
  <c r="H276" i="7"/>
  <c r="G275" i="7"/>
  <c r="H275" i="7" s="1"/>
  <c r="H281" i="7"/>
  <c r="G269" i="7"/>
  <c r="H270" i="7"/>
  <c r="E77" i="20"/>
  <c r="D77" i="20"/>
  <c r="D76" i="20" s="1"/>
  <c r="F269" i="7"/>
  <c r="K287" i="7" s="1"/>
  <c r="F82" i="20"/>
  <c r="E81" i="20"/>
  <c r="F81" i="20" s="1"/>
  <c r="D133" i="20"/>
  <c r="D200" i="20" s="1"/>
  <c r="H153" i="15"/>
  <c r="E152" i="15"/>
  <c r="E165" i="15" s="1"/>
  <c r="F165" i="15"/>
  <c r="H159" i="15"/>
  <c r="H152" i="15"/>
  <c r="G165" i="15"/>
  <c r="E132" i="20"/>
  <c r="C132" i="20"/>
  <c r="E139" i="20"/>
  <c r="H160" i="15"/>
  <c r="F138" i="20"/>
  <c r="D137" i="20"/>
  <c r="D115" i="20"/>
  <c r="D114" i="20" s="1"/>
  <c r="F333" i="55"/>
  <c r="F347" i="55" s="1"/>
  <c r="E115" i="20"/>
  <c r="G347" i="55"/>
  <c r="H334" i="55"/>
  <c r="H333" i="55" s="1"/>
  <c r="E119" i="20"/>
  <c r="H339" i="55"/>
  <c r="F120" i="20"/>
  <c r="D119" i="20"/>
  <c r="F99" i="20"/>
  <c r="E126" i="20"/>
  <c r="D98" i="20"/>
  <c r="D97" i="20" s="1"/>
  <c r="F628" i="13"/>
  <c r="F634" i="13" s="1"/>
  <c r="E98" i="20"/>
  <c r="G628" i="13"/>
  <c r="H628" i="13" s="1"/>
  <c r="H629" i="13"/>
  <c r="C98" i="20"/>
  <c r="C125" i="20" s="1"/>
  <c r="E628" i="13"/>
  <c r="E634" i="13" s="1"/>
  <c r="C144" i="20"/>
  <c r="E368" i="20"/>
  <c r="F14" i="31" s="1"/>
  <c r="F329" i="20"/>
  <c r="F47" i="20"/>
  <c r="D65" i="20"/>
  <c r="F46" i="20"/>
  <c r="E45" i="20"/>
  <c r="H58" i="10"/>
  <c r="E39" i="20"/>
  <c r="F39" i="20" s="1"/>
  <c r="F40" i="20"/>
  <c r="F26" i="20"/>
  <c r="E24" i="20"/>
  <c r="E65" i="20"/>
  <c r="D24" i="20"/>
  <c r="F25" i="20"/>
  <c r="C18" i="20"/>
  <c r="L335" i="20"/>
  <c r="L334" i="20"/>
  <c r="L343" i="20" s="1"/>
  <c r="L353" i="20" s="1"/>
  <c r="L358" i="20" s="1"/>
  <c r="H622" i="13"/>
  <c r="G634" i="13"/>
  <c r="H634" i="13" s="1"/>
  <c r="E92" i="20"/>
  <c r="F93" i="20"/>
  <c r="K285" i="7"/>
  <c r="F288" i="7"/>
  <c r="D71" i="20"/>
  <c r="H264" i="7"/>
  <c r="E72" i="20"/>
  <c r="G263" i="7"/>
  <c r="D50" i="20"/>
  <c r="D64" i="20"/>
  <c r="H123" i="8"/>
  <c r="E50" i="20"/>
  <c r="F51" i="20"/>
  <c r="G29" i="97"/>
  <c r="H29" i="97" s="1"/>
  <c r="H25" i="97"/>
  <c r="E332" i="20"/>
  <c r="E337" i="20" s="1"/>
  <c r="F333" i="20"/>
  <c r="F338" i="20" s="1"/>
  <c r="F340" i="20" s="1"/>
  <c r="G398" i="20" l="1"/>
  <c r="D394" i="20"/>
  <c r="D26" i="31" s="1"/>
  <c r="D386" i="20"/>
  <c r="D11" i="31" s="1"/>
  <c r="C394" i="20"/>
  <c r="C396" i="20" s="1"/>
  <c r="C398" i="20" s="1"/>
  <c r="F389" i="20"/>
  <c r="G392" i="20"/>
  <c r="H16" i="31"/>
  <c r="H17" i="31" s="1"/>
  <c r="C385" i="20"/>
  <c r="F45" i="20"/>
  <c r="E367" i="20"/>
  <c r="E388" i="20"/>
  <c r="E13" i="31" s="1"/>
  <c r="C63" i="20"/>
  <c r="D144" i="20"/>
  <c r="D201" i="20"/>
  <c r="D374" i="20" s="1"/>
  <c r="C62" i="20"/>
  <c r="F50" i="20"/>
  <c r="F139" i="20"/>
  <c r="E201" i="20"/>
  <c r="E202" i="20" s="1"/>
  <c r="F133" i="20"/>
  <c r="D132" i="20"/>
  <c r="C131" i="20"/>
  <c r="C199" i="20" s="1"/>
  <c r="F24" i="20"/>
  <c r="D60" i="20"/>
  <c r="F65" i="20"/>
  <c r="L287" i="7"/>
  <c r="H269" i="7"/>
  <c r="K284" i="7"/>
  <c r="F77" i="20"/>
  <c r="E76" i="20"/>
  <c r="D70" i="20"/>
  <c r="D125" i="20"/>
  <c r="D127" i="20" s="1"/>
  <c r="H158" i="15"/>
  <c r="H165" i="15"/>
  <c r="C364" i="20"/>
  <c r="E137" i="20"/>
  <c r="E131" i="20" s="1"/>
  <c r="E199" i="20" s="1"/>
  <c r="C374" i="20"/>
  <c r="H347" i="55"/>
  <c r="E114" i="20"/>
  <c r="F114" i="20" s="1"/>
  <c r="F115" i="20"/>
  <c r="F119" i="20"/>
  <c r="D113" i="20"/>
  <c r="C97" i="20"/>
  <c r="C386" i="20" s="1"/>
  <c r="C11" i="31" s="1"/>
  <c r="E97" i="20"/>
  <c r="E91" i="20" s="1"/>
  <c r="F98" i="20"/>
  <c r="D365" i="20"/>
  <c r="D91" i="20"/>
  <c r="F92" i="20"/>
  <c r="H263" i="7"/>
  <c r="L285" i="7"/>
  <c r="G288" i="7"/>
  <c r="E71" i="20"/>
  <c r="F72" i="20"/>
  <c r="E125" i="20"/>
  <c r="E127" i="20" s="1"/>
  <c r="D66" i="20"/>
  <c r="D62" i="20"/>
  <c r="D63" i="20"/>
  <c r="F12" i="31"/>
  <c r="F332" i="20"/>
  <c r="F388" i="20" s="1"/>
  <c r="E349" i="20"/>
  <c r="H118" i="54"/>
  <c r="G139" i="54"/>
  <c r="H139" i="54" s="1"/>
  <c r="E18" i="20"/>
  <c r="E385" i="20" s="1"/>
  <c r="E10" i="31" s="1"/>
  <c r="C26" i="31" l="1"/>
  <c r="C28" i="31" s="1"/>
  <c r="C30" i="31" s="1"/>
  <c r="F13" i="31"/>
  <c r="C390" i="20"/>
  <c r="F76" i="20"/>
  <c r="F386" i="20" s="1"/>
  <c r="E386" i="20"/>
  <c r="E11" i="31" s="1"/>
  <c r="E15" i="31" s="1"/>
  <c r="E17" i="31" s="1"/>
  <c r="F337" i="20"/>
  <c r="C10" i="31"/>
  <c r="C15" i="31" s="1"/>
  <c r="C17" i="31" s="1"/>
  <c r="D395" i="20"/>
  <c r="F144" i="20"/>
  <c r="D385" i="20"/>
  <c r="D10" i="31" s="1"/>
  <c r="D15" i="31" s="1"/>
  <c r="D17" i="31" s="1"/>
  <c r="E395" i="20"/>
  <c r="E27" i="31" s="1"/>
  <c r="E63" i="20"/>
  <c r="F200" i="20"/>
  <c r="F91" i="20"/>
  <c r="D364" i="20"/>
  <c r="D131" i="20"/>
  <c r="D390" i="20" s="1"/>
  <c r="D392" i="20" s="1"/>
  <c r="F132" i="20"/>
  <c r="F201" i="20"/>
  <c r="F395" i="20" s="1"/>
  <c r="D202" i="20"/>
  <c r="H288" i="7"/>
  <c r="L284" i="7"/>
  <c r="D373" i="20"/>
  <c r="D124" i="20"/>
  <c r="E374" i="20"/>
  <c r="F137" i="20"/>
  <c r="E113" i="20"/>
  <c r="F113" i="20" s="1"/>
  <c r="F97" i="20"/>
  <c r="E365" i="20"/>
  <c r="C373" i="20"/>
  <c r="C127" i="20"/>
  <c r="C91" i="20"/>
  <c r="C392" i="20" s="1"/>
  <c r="C365" i="20"/>
  <c r="F71" i="20"/>
  <c r="E70" i="20"/>
  <c r="E390" i="20" s="1"/>
  <c r="E392" i="20" s="1"/>
  <c r="F19" i="20"/>
  <c r="F64" i="20" s="1"/>
  <c r="F66" i="20" s="1"/>
  <c r="E64" i="20"/>
  <c r="E394" i="20" s="1"/>
  <c r="F18" i="20"/>
  <c r="E364" i="20"/>
  <c r="E55" i="20"/>
  <c r="E60" i="20" s="1"/>
  <c r="E62" i="20"/>
  <c r="G138" i="54"/>
  <c r="H138" i="54" s="1"/>
  <c r="G145" i="54"/>
  <c r="H145" i="54" s="1"/>
  <c r="F11" i="31" l="1"/>
  <c r="F385" i="20"/>
  <c r="D27" i="31"/>
  <c r="D28" i="31" s="1"/>
  <c r="D30" i="31" s="1"/>
  <c r="D396" i="20"/>
  <c r="D398" i="20" s="1"/>
  <c r="F394" i="20"/>
  <c r="F396" i="20" s="1"/>
  <c r="F398" i="20" s="1"/>
  <c r="E396" i="20"/>
  <c r="E398" i="20" s="1"/>
  <c r="E26" i="31"/>
  <c r="E28" i="31" s="1"/>
  <c r="E30" i="31" s="1"/>
  <c r="F202" i="20"/>
  <c r="D199" i="20"/>
  <c r="D336" i="20" s="1"/>
  <c r="D343" i="20" s="1"/>
  <c r="C124" i="20"/>
  <c r="C336" i="20" s="1"/>
  <c r="C343" i="20" s="1"/>
  <c r="D369" i="20"/>
  <c r="D371" i="20" s="1"/>
  <c r="F131" i="20"/>
  <c r="D375" i="20"/>
  <c r="D377" i="20" s="1"/>
  <c r="C369" i="20"/>
  <c r="C371" i="20" s="1"/>
  <c r="C375" i="20"/>
  <c r="C377" i="20" s="1"/>
  <c r="E124" i="20"/>
  <c r="E336" i="20" s="1"/>
  <c r="F70" i="20"/>
  <c r="E66" i="20"/>
  <c r="E373" i="20"/>
  <c r="E369" i="20"/>
  <c r="E371" i="20" s="1"/>
  <c r="F390" i="20" l="1"/>
  <c r="F392" i="20" s="1"/>
  <c r="F27" i="31"/>
  <c r="F199" i="20"/>
  <c r="E343" i="20"/>
  <c r="F343" i="20" s="1"/>
  <c r="F336" i="20"/>
  <c r="E375" i="20"/>
  <c r="E377" i="20" s="1"/>
  <c r="F10" i="31"/>
  <c r="F26" i="31" l="1"/>
  <c r="F17" i="31"/>
  <c r="F15" i="31"/>
  <c r="F30" i="31" l="1"/>
  <c r="F28" i="31"/>
</calcChain>
</file>

<file path=xl/comments1.xml><?xml version="1.0" encoding="utf-8"?>
<comments xmlns="http://schemas.openxmlformats.org/spreadsheetml/2006/main">
  <authors>
    <author>Ing. Alice Hradilová</author>
  </authors>
  <commentList>
    <comment ref="E26" authorId="0">
      <text>
        <r>
          <rPr>
            <sz val="8"/>
            <color indexed="81"/>
            <rFont val="Tahoma"/>
            <family val="2"/>
            <charset val="238"/>
          </rPr>
          <t xml:space="preserve">běžné výdaje z fin - konsolidace ORJ 07
</t>
        </r>
      </text>
    </comment>
  </commentList>
</comments>
</file>

<file path=xl/sharedStrings.xml><?xml version="1.0" encoding="utf-8"?>
<sst xmlns="http://schemas.openxmlformats.org/spreadsheetml/2006/main" count="18135" uniqueCount="1958">
  <si>
    <t>Dotace na SŠ a škol.zařízení</t>
  </si>
  <si>
    <t>Asistenti pedagogů v SŠ a církevních spec.šk.</t>
  </si>
  <si>
    <t>Dotace pro soukromé školy</t>
  </si>
  <si>
    <t>Středisko sociální prevence Olomouc celkem</t>
  </si>
  <si>
    <t>Domov "Na Zámku" Nezamyslice</t>
  </si>
  <si>
    <t>Domov pro seniory Tovačov</t>
  </si>
  <si>
    <t>Domov "Na Zámku" Nezamyslice celkem</t>
  </si>
  <si>
    <t>Domov pro seniory Tovačov celkem</t>
  </si>
  <si>
    <t>Domov ADAM Dřevohostice</t>
  </si>
  <si>
    <t>Domov ADAM Dřevohostice celkem</t>
  </si>
  <si>
    <t>Domov Na Zámečku Rokytnice</t>
  </si>
  <si>
    <t>Domov Na Zámečku Rokytnice  celkem</t>
  </si>
  <si>
    <t>Domov důchodců Šumperk</t>
  </si>
  <si>
    <t>Domov důchodců Šumperk celkem</t>
  </si>
  <si>
    <t>Domov důchodců Libina</t>
  </si>
  <si>
    <t>Domov důchodců Libina celkem</t>
  </si>
  <si>
    <t>Domov důchodců Štíty</t>
  </si>
  <si>
    <t>Domov důchodců Štíty celkem</t>
  </si>
  <si>
    <t>ZZS OK, p.o. - Zateplení budov v Olomouci, Hněvotínská ul.</t>
  </si>
  <si>
    <t>ZZS OK, p.o. - Zateplení budov  Šumperk</t>
  </si>
  <si>
    <t>SMN a.s. - o.z. Nem. PV-  Dispoziční úpravy 6. NP polikliniky</t>
  </si>
  <si>
    <t>SMN a.s. - o.z. Nem. PV - Parkoviště v areálu nemocnice</t>
  </si>
  <si>
    <t>00000024</t>
  </si>
  <si>
    <t>Provozní příspěvky zřízeným PO - rezerva</t>
  </si>
  <si>
    <t>Příspěvky na mezinár.výměnné pobyty</t>
  </si>
  <si>
    <t>nájemné PO</t>
  </si>
  <si>
    <t>MŠMT - přímé nákl.na vzdělání</t>
  </si>
  <si>
    <t>00000601</t>
  </si>
  <si>
    <t>00000602</t>
  </si>
  <si>
    <t>00000604</t>
  </si>
  <si>
    <t>přísp.na úhr.prokaz.ztr.dopr.-drážní dopr.</t>
  </si>
  <si>
    <t>Střední škola stavební HORSTAV, U Hradiska 4, Olomouc</t>
  </si>
  <si>
    <t>Rezerva hejtmana pro krizové řízení</t>
  </si>
  <si>
    <t>III/4436, III/4435, I/35 Olomouc - okružní křižovatka</t>
  </si>
  <si>
    <t>OA, Mohelnice - odloučené pracoviště Olomoucká 41 - Vzduchotechnika ve školní kuchyni</t>
  </si>
  <si>
    <t>Střední škola sociální péče a služeb, Zábřeh - Kotelna</t>
  </si>
  <si>
    <t>Základní škola a Dětský domov Zábřeh- Rekonstrukce kuchyně na dětském domově</t>
  </si>
  <si>
    <t>DD a Školní jídelna, Olomouc, U Sportovní haly 1a - Oprava pokojů a bytových jader</t>
  </si>
  <si>
    <t>ROP - Regionální dopravní infrastruktura - Silnice II. a III. třídy</t>
  </si>
  <si>
    <t xml:space="preserve">VILA DORIS ŠUMPERK - Podpora sociální integrace v Olomouckém kraji celkem </t>
  </si>
  <si>
    <t>ORJ - 48</t>
  </si>
  <si>
    <t>číslo účtu: 2441512/0800</t>
  </si>
  <si>
    <t xml:space="preserve">vedoucí odboru strategického rozvoje kraje </t>
  </si>
  <si>
    <t xml:space="preserve">Ing. Michaela Pruknerová </t>
  </si>
  <si>
    <t>BIS RTD Podpora veřejného financování výzkumu a technologického rozvoje v regionech celkem</t>
  </si>
  <si>
    <t>číslo účtu: 2309562/0800</t>
  </si>
  <si>
    <t>Neinv.transf.obecně prospěšným spol.</t>
  </si>
  <si>
    <t>Neinv.transfery veř.rozp.ústř.úrovně</t>
  </si>
  <si>
    <t xml:space="preserve">99) Fond na podporu výstavby a obnovy vodohospodářské infrastruktury na území Olomouckého kraje </t>
  </si>
  <si>
    <t xml:space="preserve">199) Fond sociálních potřeb Olomouckého kraje </t>
  </si>
  <si>
    <t xml:space="preserve">Odbor strategického rozvoje kraje celkem </t>
  </si>
  <si>
    <t>SOŠ a SOU stroj. a stavební, Dukelská 1240, Jeseník</t>
  </si>
  <si>
    <t>Střední lesnická škola, Jurikova 588, Hranice</t>
  </si>
  <si>
    <t>Obchodní akademie, Tř. Spojenců 11, Olomouc</t>
  </si>
  <si>
    <t>Střední škola, Základní škola a Mateřská škola, Hanácká 3, Šumperk</t>
  </si>
  <si>
    <r>
      <t>•</t>
    </r>
    <r>
      <rPr>
        <sz val="11"/>
        <rFont val="Arial"/>
        <family val="2"/>
        <charset val="238"/>
      </rPr>
      <t xml:space="preserve"> Běžné výdaje</t>
    </r>
  </si>
  <si>
    <r>
      <t xml:space="preserve">• </t>
    </r>
    <r>
      <rPr>
        <sz val="11"/>
        <rFont val="Arial"/>
        <family val="2"/>
        <charset val="238"/>
      </rPr>
      <t>Kapitálové výdaje</t>
    </r>
  </si>
  <si>
    <t>* Konsolidace je očištění údajů o rozpočtu a skutečnosti o interní přesuny peněžních prostředků uvnitř organizace mezi jednotlivými účty.</t>
  </si>
  <si>
    <t>ORG 100070</t>
  </si>
  <si>
    <t>ORG - 1703</t>
  </si>
  <si>
    <t>ORG - 1704</t>
  </si>
  <si>
    <t>8=7/6</t>
  </si>
  <si>
    <t>podpora romských žáků stř.škol</t>
  </si>
  <si>
    <t>Základní škola a Dětský domov,  Sušilova 40, Zábřeh</t>
  </si>
  <si>
    <t>a) dle oblastí výdajů</t>
  </si>
  <si>
    <t xml:space="preserve">Výdaje Olomouckého kraje celkem  </t>
  </si>
  <si>
    <t xml:space="preserve">b) dle druhu výdajů </t>
  </si>
  <si>
    <t>5 = 4 / 3</t>
  </si>
  <si>
    <t>00000408</t>
  </si>
  <si>
    <t>Strategie integrace příslušníků romských komunit</t>
  </si>
  <si>
    <t>Ostat.neinv.transfery nezisk.a pod.org.</t>
  </si>
  <si>
    <t>Inv.transfery občanským sdružením</t>
  </si>
  <si>
    <t>provozní příspěvky zřízeným PO</t>
  </si>
  <si>
    <t>Sociální služby pro seniory Olomouc</t>
  </si>
  <si>
    <t>Sociální služby pro seniory Olomouc celkem</t>
  </si>
  <si>
    <t>kofinancování evrop.vzděláv.programů</t>
  </si>
  <si>
    <t>příspěvek na provoz-mzdové náklady</t>
  </si>
  <si>
    <t>SMN a.s. - o.z. Nem. Šternberk-Rekonstrukce výtahu - pavilon SVLS</t>
  </si>
  <si>
    <t>SMN a.s. - o.z. Nem. Šternberk- Stavební úprava observačního boxu - dětské odd.</t>
  </si>
  <si>
    <t>Střední odborná škola, Šumperk, Zemědělská 3- Výměna výtahu</t>
  </si>
  <si>
    <t xml:space="preserve">SOŠ železniční, stavební a památkové péče a SOU, Šumperk - Výměna oken </t>
  </si>
  <si>
    <t>SOŠ železniční, stavební a památkové péče a SOU, Šumperk - odloučené pracoviště Hanácká , Šumperk - Výměna oken</t>
  </si>
  <si>
    <t>Realizace energeticky úsporných opatření - SOŠ a SOU Jeseník</t>
  </si>
  <si>
    <t>ORG 100461</t>
  </si>
  <si>
    <t>Realizace energeticky úsporných opatření - SPŠ strojnická Olomouc</t>
  </si>
  <si>
    <t>ORG 100462</t>
  </si>
  <si>
    <t>Realizace energeticky úsporných opatření - Obchodní akademie Přerov</t>
  </si>
  <si>
    <t>ORG 100463</t>
  </si>
  <si>
    <t>Realizace energeticky úsporných opatření - SŠ technická Přerov</t>
  </si>
  <si>
    <t>ORG 100464</t>
  </si>
  <si>
    <t>Realizace energeticky úsporných opatření - Gymnázium Jeseník</t>
  </si>
  <si>
    <t>ORG 100465</t>
  </si>
  <si>
    <t>Základní škola, Fučíkova 312, Jeseník</t>
  </si>
  <si>
    <t>ORJ - 14</t>
  </si>
  <si>
    <t>SOU zemědělské, Palackého 338, Loštice</t>
  </si>
  <si>
    <t>ORG 1540</t>
  </si>
  <si>
    <t>Investiční transfery nefininačním podnikatelským subjektům - právnickým osobám</t>
  </si>
  <si>
    <t>Jeseník</t>
  </si>
  <si>
    <t>Základní škola a Mateřská škola, Malá Dlážka 4, Přerov</t>
  </si>
  <si>
    <t>ORG 100473</t>
  </si>
  <si>
    <t>Realizace energeticky úsporných opatření - VOŠ a SŠ automobilní Zábřeh</t>
  </si>
  <si>
    <t>ORG 100510</t>
  </si>
  <si>
    <t>Realizace energeticky úsporných opatření - VOŠ a SPŠE - Olomouc</t>
  </si>
  <si>
    <t>ORG 100511</t>
  </si>
  <si>
    <t>Realizace energeticky úsporných opatření - Gymnázium, Olomouc, Čajkovského 9</t>
  </si>
  <si>
    <t>ORG 100512</t>
  </si>
  <si>
    <t>Realizace energeticky úsporných opatření - SŠ Švehlova Prostějov</t>
  </si>
  <si>
    <t>ORG 100513</t>
  </si>
  <si>
    <t>ORG 100545</t>
  </si>
  <si>
    <t>Realizace energeticky úsporných opatření - SŠ zemědělská Olomouc budova školy</t>
  </si>
  <si>
    <t>ORG 100546</t>
  </si>
  <si>
    <t>Realizace energeticky úsporných opatření - SŠ zemědělská Olomouc domov mládeže</t>
  </si>
  <si>
    <t>ORG 100547</t>
  </si>
  <si>
    <t>Realizace energeticky úsporných opatření - VOŠ a SŠ automobilní Zábřeh - domov mládeže</t>
  </si>
  <si>
    <t>ORG 100548</t>
  </si>
  <si>
    <t>Realizace energeticky úsporných opatření - ZŠ a MŠ logopedická Olomouc</t>
  </si>
  <si>
    <t>ORG 100549</t>
  </si>
  <si>
    <t>Realizace energeticky úsporných opatření - Gymnázium Jeseník - budova nižšího gymnázia</t>
  </si>
  <si>
    <t>ORG 100552</t>
  </si>
  <si>
    <t>Domov "Na Zámku" (Nezamyslice) - rekonstrukce venkovních komunikací</t>
  </si>
  <si>
    <t>Výdaje celkem (po konsolidaci)</t>
  </si>
  <si>
    <t>Komentář:</t>
  </si>
  <si>
    <t>Dětský domov a Školní jídelna, Přerov - Stavební úpravy patra internátu</t>
  </si>
  <si>
    <t>SOŠ železniční, stavební a památkové péče a SOU, Šumperk -Stavební úpravy budovy "zámeček"</t>
  </si>
  <si>
    <t>SŠ technická a obchodní, Olomouc - Elektroinstalace v budově školy.</t>
  </si>
  <si>
    <t>Základní škola Šternberk - Sociální zařízení</t>
  </si>
  <si>
    <t>Centrum vzdělávání na SPŠ strojnické Olomouc</t>
  </si>
  <si>
    <t>ORG 100573</t>
  </si>
  <si>
    <t>Dílny pro praktickou výuku (SOŠ a SOU, Uničov, Moravské nám. 681)</t>
  </si>
  <si>
    <t>ORG 100574</t>
  </si>
  <si>
    <t>Rekonstrukce dílen Střední školy železniční a stavební, Šumperk, Bulharská 8</t>
  </si>
  <si>
    <t>ORG 100575</t>
  </si>
  <si>
    <t>splátky</t>
  </si>
  <si>
    <t>DDM Olomouc - Zabezpečení statiky objektu mikropiloty</t>
  </si>
  <si>
    <t>SŠ technická a obchodní, Olomouc -Výměna dlažby</t>
  </si>
  <si>
    <t>ZŠ a MŠ Hranice, Nová 1820 - Multifunkční sportovní hřiště</t>
  </si>
  <si>
    <t>DDM Vila Tereza, Nádražní  530, Uničov</t>
  </si>
  <si>
    <t>DDM MAGNET, Spartakiádní 8, Mohelnice</t>
  </si>
  <si>
    <t xml:space="preserve">Výdaje Olomouckého kraje                                (po konsolidaci)                </t>
  </si>
  <si>
    <t>8b) SROP - individuální projekty</t>
  </si>
  <si>
    <t>ORJ - 30</t>
  </si>
  <si>
    <t>RZ 691/04 - přesun z ORJ 07, § 6172, pol. 5163</t>
  </si>
  <si>
    <t>ORG 3001000003 - Internetizace knihoven v Olomouckém kraji</t>
  </si>
  <si>
    <t>Ostatní nákup dlouhodob.nehm.maj.</t>
  </si>
  <si>
    <t>RZ 731/04 - přesun z ORJ 30, § 3314, pol. 6125</t>
  </si>
  <si>
    <t>Investiční  výdaje celkem</t>
  </si>
  <si>
    <t>Střední škola technická, 1.máje 2, Mohelnice</t>
  </si>
  <si>
    <t>Sigmundova střední škola strojírenská, J.Sigmunda 242, Lutín</t>
  </si>
  <si>
    <t>Provozní výdaje odboru celkem</t>
  </si>
  <si>
    <t>Služby tel. a radiokomunikací</t>
  </si>
  <si>
    <t>Fond sociálních potřeb</t>
  </si>
  <si>
    <t>Fond na podporu výstavby a obnovy vodohospodářské infrastruktury na území Olomouckého kraje</t>
  </si>
  <si>
    <t xml:space="preserve">Výdaje celkem  </t>
  </si>
  <si>
    <t>OU a praktická škola, Vodní 27, Mohelnice</t>
  </si>
  <si>
    <t>Střední škola sociální péče a služeb, 8. května 2, Zábřeh</t>
  </si>
  <si>
    <t>OU a PrŠ, Lipová-Lázně 270</t>
  </si>
  <si>
    <t>ZUŠ Miloslava Stibora - výtvarný obor, Pionýrská 4, Olomouc</t>
  </si>
  <si>
    <t>ZUŠ, Litovelská 190, Uničov</t>
  </si>
  <si>
    <t>ZUŠ, Na Příhonech 425, Konice</t>
  </si>
  <si>
    <t>ZUŠ Bedřicha Kozánka, Tř. 17. listopadu 2, Přerov</t>
  </si>
  <si>
    <t>ZUŠ Karla Ditterse, Kostelní, Vidnava</t>
  </si>
  <si>
    <t>Pprovozní příspěvky zřízeným PO</t>
  </si>
  <si>
    <t>00000252</t>
  </si>
  <si>
    <t>Lékařská služba první pomoci</t>
  </si>
  <si>
    <t>00000256</t>
  </si>
  <si>
    <t>Lékařská služba první pomoci-zubní LSPP</t>
  </si>
  <si>
    <t>00000253</t>
  </si>
  <si>
    <t>Provoz záchytné stanice</t>
  </si>
  <si>
    <t>00000254</t>
  </si>
  <si>
    <t>Financování protidrogové prevence</t>
  </si>
  <si>
    <t>00000255</t>
  </si>
  <si>
    <t>Program Zdraví 21</t>
  </si>
  <si>
    <t xml:space="preserve">MFČR - likvidace nepouž.léčiv </t>
  </si>
  <si>
    <t>Drobný hmotný dlouhodobý majetek</t>
  </si>
  <si>
    <t>Operační program Olomouckého kraje celkem</t>
  </si>
  <si>
    <t>Správa silnic Olomouckého kraje</t>
  </si>
  <si>
    <t>Příspěvková organizace</t>
  </si>
  <si>
    <t>Soukromá SOŠ s.r.o., Dukelská 1240, Jeseník</t>
  </si>
  <si>
    <t>Soukromá ZUŠ taneční  s.r.o., Jiráskova 762, Jeseník</t>
  </si>
  <si>
    <t>v tis. Kč</t>
  </si>
  <si>
    <t>§</t>
  </si>
  <si>
    <t>pol.</t>
  </si>
  <si>
    <t>název položky</t>
  </si>
  <si>
    <t>schválený rozp.</t>
  </si>
  <si>
    <t>ORJ - 04</t>
  </si>
  <si>
    <t>ORJ - 05</t>
  </si>
  <si>
    <t>ORJ - 06</t>
  </si>
  <si>
    <t xml:space="preserve">Nákup materiálu </t>
  </si>
  <si>
    <t>Nájemné</t>
  </si>
  <si>
    <t>00000301</t>
  </si>
  <si>
    <t>dárkový pas</t>
  </si>
  <si>
    <t>Služby zpracování dat</t>
  </si>
  <si>
    <t xml:space="preserve">Programové vybavení </t>
  </si>
  <si>
    <t>Výpočetní technika</t>
  </si>
  <si>
    <t>SOŠ a SOU zemědělské, Horní Heřmanice 47, Bernartice</t>
  </si>
  <si>
    <t>Obchodní akademie, Olomoucká 82, Mohelnice</t>
  </si>
  <si>
    <t>SZdrŠ, Vápenice 3, Prostějov</t>
  </si>
  <si>
    <t>SZdrŠ, Studentská 1095, Hranice</t>
  </si>
  <si>
    <t>SZdrŠ, Kladská 2, Šumperk</t>
  </si>
  <si>
    <t>vedoucí odboru dopravy a silničního hospodářství</t>
  </si>
  <si>
    <t>Soukromé školy celkem - provozní výdaje</t>
  </si>
  <si>
    <t>00000012</t>
  </si>
  <si>
    <t>00000010</t>
  </si>
  <si>
    <t>00000013</t>
  </si>
  <si>
    <t>Příspěvkové organizace celkem - provozní výdaje</t>
  </si>
  <si>
    <t>DD Šumperk - rekonstrukce koupelen klientů - zvýšení kvality poskytovaných služeb</t>
  </si>
  <si>
    <t>Investiční transfery vysokým školám</t>
  </si>
  <si>
    <t>ORG 1037</t>
  </si>
  <si>
    <t>ORG 1131</t>
  </si>
  <si>
    <t>Gymnázium Jana Blahoslava a Střední pedagogická škola Přerov</t>
  </si>
  <si>
    <t>ORG 1133</t>
  </si>
  <si>
    <t>Obchodní akademie Olomouc</t>
  </si>
  <si>
    <t>ORG 1150</t>
  </si>
  <si>
    <t>Rekonstrukce budovy v areálu staré nemocnice v Prostějově</t>
  </si>
  <si>
    <t>ORG 100071</t>
  </si>
  <si>
    <t>ZZS OK - vozové terminály</t>
  </si>
  <si>
    <t>MV-neinv.transfery krajům</t>
  </si>
  <si>
    <t>ORJ - 07</t>
  </si>
  <si>
    <t>ZUŠ A.Dvořáka, Havlíčkova 643, Lipník</t>
  </si>
  <si>
    <t>významné projekty</t>
  </si>
  <si>
    <t xml:space="preserve">Výdaje odboru životního prostředí a zemědělství </t>
  </si>
  <si>
    <t>Výdaje odboru školství, mládeže a tělovýchovy</t>
  </si>
  <si>
    <t xml:space="preserve">Soukromé školy </t>
  </si>
  <si>
    <t>DDM, Tř. 17. listopadu 47, Olomouc</t>
  </si>
  <si>
    <t xml:space="preserve">Odbor správní a legislativní celkem </t>
  </si>
  <si>
    <t>Platy zaměstnanců v pracovním poměru</t>
  </si>
  <si>
    <t>RZ 807/05 - přesun na ORJ 199, § 6172, pol. 5164,5139</t>
  </si>
  <si>
    <t xml:space="preserve"> -účelové neinvestiční dotace</t>
  </si>
  <si>
    <t>SMN a.s. - o.z. Nem. PV - Stavební úpravy k CT</t>
  </si>
  <si>
    <t>00000209</t>
  </si>
  <si>
    <t>Podpora kultury a památkové péče</t>
  </si>
  <si>
    <t>Neinv.transfery nefin.podn.subj.-PO</t>
  </si>
  <si>
    <t>00000204</t>
  </si>
  <si>
    <t>vedoucí odboru strategického rozvoje kraje</t>
  </si>
  <si>
    <t>Ing. Stanislav Losert</t>
  </si>
  <si>
    <t>vedoucí odboru školství, mládeže a tělovýchovy</t>
  </si>
  <si>
    <t>00014005</t>
  </si>
  <si>
    <t>program sociální prev.a prev.kriminality</t>
  </si>
  <si>
    <t>SMN a.s. - o.z. Nem. PR- Rekonstrukce 2 ks výtahů (LDN, Chirurgie)</t>
  </si>
  <si>
    <t>SMN a.s. - o.z. Nem. Šternberk - Výměna oken včetně žaluzií - pavilon SVLS</t>
  </si>
  <si>
    <t>Gymnázium J.Blahoslava a SŠ pedagogická, Denisova 3, Přerov</t>
  </si>
  <si>
    <t>Neinvestiční transfery občanským sdružením</t>
  </si>
  <si>
    <t>Neinvestiční transfery krajům</t>
  </si>
  <si>
    <t>Neinv.transfery nefin.podnikatelským subjektům-PO</t>
  </si>
  <si>
    <t>00035015</t>
  </si>
  <si>
    <t xml:space="preserve">MZ - Specializační vzdělávání zdravotnických pracovníků </t>
  </si>
  <si>
    <t>Odbor správní a legislativní</t>
  </si>
  <si>
    <t>Odbor ekonomický</t>
  </si>
  <si>
    <t>Odbor strategického rozvoje kraje</t>
  </si>
  <si>
    <t>ORG 8007</t>
  </si>
  <si>
    <t>Prostějov</t>
  </si>
  <si>
    <t>ORG 8163</t>
  </si>
  <si>
    <t>Bílá Lhota</t>
  </si>
  <si>
    <t>ORG 8302</t>
  </si>
  <si>
    <t>Potštát</t>
  </si>
  <si>
    <t>ORG 8465</t>
  </si>
  <si>
    <t>SPŠ a OA, Uničov - Kotelna</t>
  </si>
  <si>
    <t>ORG 100221</t>
  </si>
  <si>
    <t>ORG 100347</t>
  </si>
  <si>
    <t xml:space="preserve">Neinvestiční příspěvek zřízeným PO </t>
  </si>
  <si>
    <t>Pov.pojistné na sociální zabezpečení</t>
  </si>
  <si>
    <t>Povinné poj.na veřejné zdrav.pojištění</t>
  </si>
  <si>
    <t>Knihy, účební pomůcky a tisk</t>
  </si>
  <si>
    <t>63) GG - Podpora nabídky dalšího vzdělávání Olomouckého kraje</t>
  </si>
  <si>
    <t>ORJ - 63</t>
  </si>
  <si>
    <t>číslo účtu: 3656742/0800</t>
  </si>
  <si>
    <t>Provozní výdaje  celkem</t>
  </si>
  <si>
    <t>Investiční výdaje celkem</t>
  </si>
  <si>
    <t>Provozní výdaje celkem</t>
  </si>
  <si>
    <t>účelové dotace celkem</t>
  </si>
  <si>
    <t>00000009</t>
  </si>
  <si>
    <t>Investiční transfery obcím</t>
  </si>
  <si>
    <t>00000001</t>
  </si>
  <si>
    <t>Ostatní výdaje</t>
  </si>
  <si>
    <t>ORG 100096</t>
  </si>
  <si>
    <t>ORG 100097</t>
  </si>
  <si>
    <t>ORG 100082</t>
  </si>
  <si>
    <t>Vincentinum-poskytovatel soc.služeb Šternberk</t>
  </si>
  <si>
    <t>Vincentinum-poskytovatel soc.služeb Šternberk celkem</t>
  </si>
  <si>
    <t>Střední odborná škola, s.r.o.,  Řepčínská 239/101, Olomouc</t>
  </si>
  <si>
    <t>Středisko sociální prevence Olomouc</t>
  </si>
  <si>
    <t>ZŠ a MŠ, Náměstí 150, Město Libavá</t>
  </si>
  <si>
    <t>Švehlova SŠ, nám.Spojenců 17, Prostějov</t>
  </si>
  <si>
    <t>RZ 712/05 - přesun na ORJ 199, § 6172, pol. 5499</t>
  </si>
  <si>
    <t>RZ 712/05 - přesun z ORJ 199, § 6172, pol. 5169</t>
  </si>
  <si>
    <t>RZ 301/05 - přesun na ORJ 199, § 6172, pol. 5169, 5901</t>
  </si>
  <si>
    <t>RZ 712/05 - přesun na ORJ 199, § 6172, pol. 5137,5175</t>
  </si>
  <si>
    <t>Výdaje odboru zdravotnictví</t>
  </si>
  <si>
    <t xml:space="preserve"> -provozní výdaje</t>
  </si>
  <si>
    <t xml:space="preserve"> -investiční  výdaje</t>
  </si>
  <si>
    <t>Příspěvky příspěvkovým organizacím</t>
  </si>
  <si>
    <t xml:space="preserve">18) Fond na podporu výstavby a obnovy vodohospodářské </t>
  </si>
  <si>
    <t>P - centrum, Lafayettova 9, Olomouc</t>
  </si>
  <si>
    <t>ORG 2237</t>
  </si>
  <si>
    <t>Platby zaměstnanců v pracovním poměru</t>
  </si>
  <si>
    <t>Nákup materiálu jinde nezařazeného</t>
  </si>
  <si>
    <t>Kvalitnější vzdělávání řemeslníků na SŠP - nadstavba učebnového pavilonu</t>
  </si>
  <si>
    <t>Marketingové aktivity Olomouckého kraje</t>
  </si>
  <si>
    <t>RZ 301/05 - přesun z ORJ 199, § 6113, pol. 5499</t>
  </si>
  <si>
    <t>MDČR - Příspěvek na ztrátu dopravce z provozu veřejné osobní drážní dopravy</t>
  </si>
  <si>
    <t>Vypořádání staveb po jejich dokončení z minul. Let - výkupy pozemků a jiné</t>
  </si>
  <si>
    <t>II/367 Bedihošť - Kojetín</t>
  </si>
  <si>
    <t>III/4335 III/43325 Měrovice nad Hanou - průtah, 3. etapa</t>
  </si>
  <si>
    <t>III/37745 Otaslavice, most ev.č. 37745-2</t>
  </si>
  <si>
    <t>III/44311 Dolany, most ev.č.44311-2</t>
  </si>
  <si>
    <t>Silnice III/4537 Vlčice – Bernartice, oprava povodňových škod</t>
  </si>
  <si>
    <t>Silnice III/4539 Skorošice – Kobylá, oprava povodňových škod</t>
  </si>
  <si>
    <t>SMN a.s. - o.z. Nemocnice Prostějov - 2 ks výtah - poliklinika, SVLS</t>
  </si>
  <si>
    <t>výstavba heliportu Jeseník - ZZS OK</t>
  </si>
  <si>
    <t>Drobný hm.dlouhodob.majetek</t>
  </si>
  <si>
    <t>Nemocnice Přerov - stravovací provoz</t>
  </si>
  <si>
    <t>OLÚ Moravský Beroun, p.o.- Evakuační schodiště Pavilonu 1</t>
  </si>
  <si>
    <t>SZPD Olomouc, p.o.- výměna oken a zateplení budovy Kojeneckého ústavu, U Dětského domova 269, Olomouc</t>
  </si>
  <si>
    <t>OLÚ Moravský Beroun, p.o.- Kanalizační přípojka Pavilonu 1</t>
  </si>
  <si>
    <t>RZ 385/05 - přesun na ORJ 99, § 2399, pol. 5909</t>
  </si>
  <si>
    <t>RZ 386/05 - přesun na ORJ 99, § 2321, pol. 6341</t>
  </si>
  <si>
    <t>RZ 873/05 - přesun na ORJ 99, § 2399, pol. 5909</t>
  </si>
  <si>
    <t>Domov důchodců Kobylá nad Vidnavkou</t>
  </si>
  <si>
    <t>Domov důchodců Kobylá nad Vidnavkou celkem</t>
  </si>
  <si>
    <t>Obchodní akademie, Palackého 18, Prostějov</t>
  </si>
  <si>
    <t>Nákup materiálu j. n.</t>
  </si>
  <si>
    <t>Realizované kurzové ztráty</t>
  </si>
  <si>
    <t>Elektrická energie</t>
  </si>
  <si>
    <t>Pohonné hmoty a maziva</t>
  </si>
  <si>
    <t>Služby pošt</t>
  </si>
  <si>
    <t>Investiční dotace obcím</t>
  </si>
  <si>
    <t>číslo účtu: 43-6947590207/0100</t>
  </si>
  <si>
    <t>Podpora rozvoje Olomouckého kraje 2010 - 2012</t>
  </si>
  <si>
    <t>ORG 100551</t>
  </si>
  <si>
    <t>Služby, školení a vzdělávání</t>
  </si>
  <si>
    <t>00014004</t>
  </si>
  <si>
    <t>00006001</t>
  </si>
  <si>
    <t>00004001</t>
  </si>
  <si>
    <t>GG - 1.3. Další vzdělávání pracovníků škol a školských zařízení v Olomouckém kraji</t>
  </si>
  <si>
    <t>ORJ - 59</t>
  </si>
  <si>
    <t>číslo účtu: 3344722/0800</t>
  </si>
  <si>
    <t>Projekty v rámci ROP</t>
  </si>
  <si>
    <t>60) Zajištění dostupnosti vybraných sociálních služeb v Olomouckém kraji</t>
  </si>
  <si>
    <t>ORJ - 60</t>
  </si>
  <si>
    <t>číslo účtu: 3353952/0800</t>
  </si>
  <si>
    <t xml:space="preserve">Domov důchodců a penzion Chválkovice - Stavební úpravy pro zřízení domova pro seniory </t>
  </si>
  <si>
    <t>Sociální služby pro seniory Olomouc - Stavební úpravy bytových jáder</t>
  </si>
  <si>
    <t>ORG - 1700</t>
  </si>
  <si>
    <t>ORG - 1701</t>
  </si>
  <si>
    <t>ORG - 1702</t>
  </si>
  <si>
    <t>ZŠ a MŠ při Sanatoriu EDEL, Lázeňská 491, Zlaté Hory</t>
  </si>
  <si>
    <t>Základní škola, Olomoucká 76, Šternberk</t>
  </si>
  <si>
    <t>Základní škola, Šternberská 35, Uničov</t>
  </si>
  <si>
    <t>Významné projekty</t>
  </si>
  <si>
    <t>Střední škola polytechnická, Rooseveltova 79, Olomouc</t>
  </si>
  <si>
    <t>Střední škola polygrafická,  Střední Novosadská 55, Olomouc</t>
  </si>
  <si>
    <t>SOU obchodu a služeb, Štursova 14, Olomouc</t>
  </si>
  <si>
    <t>Střední škola technická a obchodní, Kosinova 4, Olomouc</t>
  </si>
  <si>
    <t>SOU stavební, Fanderlíkova 25, Prostějov</t>
  </si>
  <si>
    <t>Střední škola řezbářská, Nádražní 146, Tovačov</t>
  </si>
  <si>
    <t>00000110</t>
  </si>
  <si>
    <t>Stipendijní řád Olomouckého kraje</t>
  </si>
  <si>
    <t>00000105</t>
  </si>
  <si>
    <t>Neinv.transfery občans.sdruž.</t>
  </si>
  <si>
    <t xml:space="preserve">Neinv.transfery nefin.podnik.subj.-PO </t>
  </si>
  <si>
    <t>Soukromá ZŠ Acorn´s &amp; John´s school, s.r.o.,  U Bečvy 2, Přerov</t>
  </si>
  <si>
    <t>SMN a.s. - o.z. Nemocnice Prostějov - Fasáda polikliniky</t>
  </si>
  <si>
    <t>SMN a.s. - o.z. Nemocnice Přerov - Studie centralizace laboratoří</t>
  </si>
  <si>
    <t>pověřená vedením odboru životního prostředí a zemědělství</t>
  </si>
  <si>
    <t>Gymnázium, Horní náměstí 5, Šternberk</t>
  </si>
  <si>
    <t>Gymnázium, Gymnazijní 257, Uničov</t>
  </si>
  <si>
    <t>Gymnázium J. Wolkera, Kollárova 3, Prostějov</t>
  </si>
  <si>
    <t>Gymnázium Jakuba Škody, Komenského 29, Přerov</t>
  </si>
  <si>
    <t>SPŠS, Tř. 17. listopadu 49, Olomouc</t>
  </si>
  <si>
    <t>SZeŠ Olomouc, U Hradiska 4, Olomouc</t>
  </si>
  <si>
    <t>Převody FKSP a SF obcí a krajů</t>
  </si>
  <si>
    <t>SOU obchodní, nám. E.Husserla 1, Prostějov</t>
  </si>
  <si>
    <t>Mgr. Lenka Doleželová</t>
  </si>
  <si>
    <t>vedoucí odboru majetkového a právního</t>
  </si>
  <si>
    <t>Mgr. Hana Kamasová</t>
  </si>
  <si>
    <t>Mgr. Marie Mazánková</t>
  </si>
  <si>
    <t>Nájemné PO</t>
  </si>
  <si>
    <t>00034053</t>
  </si>
  <si>
    <t>00034070</t>
  </si>
  <si>
    <t>vedoucí odboru investic a evropských programů</t>
  </si>
  <si>
    <t>Ing. Miroslav Kubín</t>
  </si>
  <si>
    <t>ORG 100087</t>
  </si>
  <si>
    <t>RZ 873/05 - přesun z ORJ 99, § 2399, pol. 6341</t>
  </si>
  <si>
    <t>Fond na podporu výstavby a obnovy vodohospodářské infrastruktury  celkem</t>
  </si>
  <si>
    <t>Výdaje odboru kultury a památkové péče</t>
  </si>
  <si>
    <t>00000016</t>
  </si>
  <si>
    <t>číslo účtu: 2246872/0800</t>
  </si>
  <si>
    <t>46) SROP 3.3 - Partnerství pro rozvoj kraje - 2. část</t>
  </si>
  <si>
    <t>Soukromé školy</t>
  </si>
  <si>
    <t>ORJ - 08</t>
  </si>
  <si>
    <t>ORG 100327</t>
  </si>
  <si>
    <t>ORG 100331</t>
  </si>
  <si>
    <t>Regionální letiště Přerov-převod na OMP</t>
  </si>
  <si>
    <t>Přestavba křižovatky před železničním přejezdem u obce Smržice</t>
  </si>
  <si>
    <t>Střední škola technická, Kouřilkova 8, Přerov</t>
  </si>
  <si>
    <t>Rekapitulace celkových výdajů Olomouckého kraje, které zahrnují výdaje jednotlivých odborů včetně příspěvků zřízeným příspěvkovým organizacím, výdaje na finacování evropských programů a  výdaje fondů.</t>
  </si>
  <si>
    <t>DDM, Komenského  719/6, Litovel</t>
  </si>
  <si>
    <t>Odbor školství, mládeže a tělovýchovy</t>
  </si>
  <si>
    <t>Odbor sociálních věcí</t>
  </si>
  <si>
    <t>Odbor dopravy a silničního hospodářství</t>
  </si>
  <si>
    <t>Odbor kultury a památkové péče</t>
  </si>
  <si>
    <t>Odbor zdravotnictví</t>
  </si>
  <si>
    <t>vedoucí kanceláře hejtmana</t>
  </si>
  <si>
    <t>Ing. Luděk Niče</t>
  </si>
  <si>
    <t>Správce:</t>
  </si>
  <si>
    <t>vedoucí kanceláře ředitele</t>
  </si>
  <si>
    <t>Enviromentální vzdělávání, výchova a osvěta</t>
  </si>
  <si>
    <t>00000114</t>
  </si>
  <si>
    <t>Odbor Krajský živnostenský úřad</t>
  </si>
  <si>
    <t>Útvar interního auditu</t>
  </si>
  <si>
    <t>16) Útvar interního auditu</t>
  </si>
  <si>
    <t>ORJ - 16</t>
  </si>
  <si>
    <t>Ostatní neinvestiční transfery ob.</t>
  </si>
  <si>
    <t>17) Sociální fond</t>
  </si>
  <si>
    <t>UZ</t>
  </si>
  <si>
    <t>MŠMT-program sociální prev.a prev.kriminality</t>
  </si>
  <si>
    <t>(Dotace pro SŠ ve správě ÚSC)</t>
  </si>
  <si>
    <t>MŠMT - dotace na SŠ a škol.zařízení, 1.čtvrtl..</t>
  </si>
  <si>
    <t>00033215</t>
  </si>
  <si>
    <t>MŠMT - dotace na SŠ a škol.zařízení, 1.čtvrtl.</t>
  </si>
  <si>
    <t>Teplá voda</t>
  </si>
  <si>
    <t>Domov pro seniory  Radkova Lhota</t>
  </si>
  <si>
    <t>Domov Větrný mlýn Skalička</t>
  </si>
  <si>
    <t>Domov Větrný mlýn Skalička celkem</t>
  </si>
  <si>
    <t>Základní škola, Masarykova 357, Moravský Beroun</t>
  </si>
  <si>
    <t xml:space="preserve">1)  Zastupitelé                         </t>
  </si>
  <si>
    <t>ORJ - 01</t>
  </si>
  <si>
    <t>Ostatní osobní výdaje</t>
  </si>
  <si>
    <t>posíleno:</t>
  </si>
  <si>
    <t xml:space="preserve">15) Odbor Krajský živnostenský úřad </t>
  </si>
  <si>
    <t>ORJ - 15</t>
  </si>
  <si>
    <t>vedoucí odboru Krajský živnostenský úřad</t>
  </si>
  <si>
    <t>Bc. Ing. František Pivoda</t>
  </si>
  <si>
    <t xml:space="preserve">Odbor Krajský živnostenský úřad </t>
  </si>
  <si>
    <t>48) BIS RTD Podpora veřejného financování výzkumu a technologického rozvoje v regionech   (6. frame programme)</t>
  </si>
  <si>
    <t>Slovanské gymnázium, Tř.J. z Poděbrad 13, Olomouc</t>
  </si>
  <si>
    <t xml:space="preserve">Odbor informačních technologií celkem </t>
  </si>
  <si>
    <t>vedoucí odboru</t>
  </si>
  <si>
    <t>Ing. Josef Veselský</t>
  </si>
  <si>
    <t>Hotelová škola V.Priessnitze, Dukelská 680, Jeseník</t>
  </si>
  <si>
    <t>Středisko pečovatelské služby Jeseník celkem</t>
  </si>
  <si>
    <t>příspěvky na mezinár.výměnné pobyty</t>
  </si>
  <si>
    <t>Domov důchodců Červenka</t>
  </si>
  <si>
    <t>Domov důchodců Červenka celkem</t>
  </si>
  <si>
    <t>Domov důchodců Hrubá Voda</t>
  </si>
  <si>
    <t>SPŠ stavební, Komenského sady 257, Lipník n.B.</t>
  </si>
  <si>
    <t xml:space="preserve">Odbor dopravy a silničního hospodářství celkem </t>
  </si>
  <si>
    <t>13) Odbor kultury a památkové péče</t>
  </si>
  <si>
    <t>ORJ - 13</t>
  </si>
  <si>
    <t>ORG - 1649</t>
  </si>
  <si>
    <t>ORG - 1650</t>
  </si>
  <si>
    <t>Domov Paprsek Olšany</t>
  </si>
  <si>
    <t>Domov Paprsek Olšany celkem</t>
  </si>
  <si>
    <t>ORG - 1651</t>
  </si>
  <si>
    <t>ORG - 1652</t>
  </si>
  <si>
    <t>ORG - 1653</t>
  </si>
  <si>
    <t>ORG - 1654</t>
  </si>
  <si>
    <t>ORG - 1655</t>
  </si>
  <si>
    <t>ORG - 1656</t>
  </si>
  <si>
    <t>ORG - 1657</t>
  </si>
  <si>
    <t>ORG - 1658</t>
  </si>
  <si>
    <t>Domov Alfreda Skeneho Pavlovice u Přerova</t>
  </si>
  <si>
    <t>okresní a krajské kolo soutěží</t>
  </si>
  <si>
    <t>Střední škola, B.Dvorského 17, Svatý Kopeček</t>
  </si>
  <si>
    <t>6=5/4</t>
  </si>
  <si>
    <t>56) GG - 1.1. Zvyšování kvality ve vzdělávání v Olomouckém kraji</t>
  </si>
  <si>
    <t>ORJ - 56</t>
  </si>
  <si>
    <t>číslo účtu: 43-2020510277/0100</t>
  </si>
  <si>
    <t>Rezervy kapitálových výdajů</t>
  </si>
  <si>
    <t>vedoucí odboru informačních technologií</t>
  </si>
  <si>
    <t>60995206</t>
  </si>
  <si>
    <t>FM EHP/Norsko-fin.mechanismus EHP/Norsko-NIV</t>
  </si>
  <si>
    <t xml:space="preserve">DD Kobylá nad Vidnávkou - oprava 1 výtahu </t>
  </si>
  <si>
    <t xml:space="preserve">Domov důchodců Javorník  - Stravovací provoz </t>
  </si>
  <si>
    <t>Domov důchodců Kobylá -Kotelna - B1</t>
  </si>
  <si>
    <t>ÚSP pro mládež Jeseník -Střecha</t>
  </si>
  <si>
    <t xml:space="preserve">ÚSP pro mládež Jeseník -Zasklení oblouků v přízemí budovy </t>
  </si>
  <si>
    <t>ÚSP pro mládež Jeseník - Nákladní výtah</t>
  </si>
  <si>
    <t>Domov důchodců Červenka -Sociální zařízení na pokojích uživatelů</t>
  </si>
  <si>
    <t>Obchodní akademie, Olomouc, tř. Spojenců 11 - Výměna oken</t>
  </si>
  <si>
    <t>00000212</t>
  </si>
  <si>
    <t>Podpora kulturních aktivit v Olomouckém kraji</t>
  </si>
  <si>
    <t>Neinvest.transfery občan.sdruž.</t>
  </si>
  <si>
    <t>47) OP RLZ - 3.1.: Vzdělávání učitelů v přípravě a řízení projektů SF EU na středních školách v Olomouckém kraji</t>
  </si>
  <si>
    <t>Domov seniorů POHODA Chválkovice</t>
  </si>
  <si>
    <t>ORG - 1638</t>
  </si>
  <si>
    <t>ORG - 1639</t>
  </si>
  <si>
    <t>Půjčka z EIB-projekt evropské fondy</t>
  </si>
  <si>
    <t>Ost.neinv.výdaje j.n.</t>
  </si>
  <si>
    <t>00000025</t>
  </si>
  <si>
    <t>Mateřská škola Sluníčko Olomouc, o.p.s., Blahoslavova 2, Olomouc</t>
  </si>
  <si>
    <t>Usnesením rady UR/5/7/2009 ze dne 22.1.2009 byly finanční prostředky schváleného rozpočtu na rok 2009 pro Odbor ekonomický-oddělení přípravy a realizace investic (ORJ 77)  převedeny na nově vzniklý Odbor investic a evropských programů (ORJ 17).</t>
  </si>
  <si>
    <t>ZŠ a MŠ při lázních Vel.Losiny, Lázeňská 240, Velké Losiny</t>
  </si>
  <si>
    <t>Základní škola a Mateřská škola, Masarykova 4, Mohelnice</t>
  </si>
  <si>
    <t>Zapojení prostředků z FV</t>
  </si>
  <si>
    <t xml:space="preserve">vedoucí odboru  správního a legislativního </t>
  </si>
  <si>
    <t>Neinv.transfery nefin.podnik.subj. - PO</t>
  </si>
  <si>
    <t>00000200</t>
  </si>
  <si>
    <t>Gymnázium, Šternberk, Horní náměstí 5-Oprava sociálního zařízení</t>
  </si>
  <si>
    <t xml:space="preserve">Střední odborná škola, Olomouc, Na Vlčinci 3- Oprava sociálního zařízení </t>
  </si>
  <si>
    <t>Gymnázium J. Wolkera, PV - rekonstrukce prostor pro činnost školního klubu</t>
  </si>
  <si>
    <t>Střední škola technická a obchodní Kosinova Olomouc - fasáda</t>
  </si>
  <si>
    <t>41) GS - 4.2.2 Podpora regionální a místní infrastruktury cestovního ruchu</t>
  </si>
  <si>
    <t xml:space="preserve"> v Olomouckém kraji</t>
  </si>
  <si>
    <t>Střední zdravotnická škola, Šumperk, Kladská 2 -domov mládeže, ul. ČSA 1, Šumperk - Oprava podlahy  v knihovně domova mládeže</t>
  </si>
  <si>
    <t xml:space="preserve">SPŠ elektrotechnická, Mohelnice -Oprava oken </t>
  </si>
  <si>
    <t>vedoucí odboru školství, mládežě a tělovýchovy</t>
  </si>
  <si>
    <t>Mgr. Miroslav Gajdůšek, MBA</t>
  </si>
  <si>
    <t>Výdaje celkem</t>
  </si>
  <si>
    <t xml:space="preserve"> -konsolidace</t>
  </si>
  <si>
    <t>Gymnázium Jeseník, Komenského 281 - rekonstrukce střechy tělocvičny</t>
  </si>
  <si>
    <t>ZŠ Jeseník, Fučíkova 312 - oprava kanalizace bud. Rudná 383</t>
  </si>
  <si>
    <t>RZ 151/05 - zapojení zůstatku fin.prostředků k 31.12.2004 Fondu na podporu výstavby a obnovy vodohosp.infr.</t>
  </si>
  <si>
    <t>RZ 507/05 - přesun z ORJ 99, § 2321, pol. 6341</t>
  </si>
  <si>
    <t>RZ 149/05 - přesun z ORJ 99, § 2399, pol. 6341</t>
  </si>
  <si>
    <t>GS - 4.2.2 Podpora regionální a místní infrastruktury cestovního ruchu v Olomouckém kraji celkem</t>
  </si>
  <si>
    <t>GG - Podpora nabídky dalšího vzdělávání v Olomouckém kraji</t>
  </si>
  <si>
    <t>SPŠ, Havlíčkova 2, Přerov</t>
  </si>
  <si>
    <t>Domov důchodců Prostějov</t>
  </si>
  <si>
    <t>Domov důchodců Prostějov celkem</t>
  </si>
  <si>
    <t>Domov důchodců Jesenec</t>
  </si>
  <si>
    <t>Odborný léčebný ústav neurologicko-geriatrický v Moravský Beroun celkem</t>
  </si>
  <si>
    <t>Dětské centrum Pavučinka Šumperk celkem</t>
  </si>
  <si>
    <t>Zdravotnická záchranná služba OK  celkem</t>
  </si>
  <si>
    <t>Sdružená zařízení pro péči o dítě Olomouc celkem</t>
  </si>
  <si>
    <t>Archeologické centrum Olomouc celkem</t>
  </si>
  <si>
    <t>Výdaje odboru majetkového a právního</t>
  </si>
  <si>
    <t>SPŠ a OA Uničov, Školní 164, Uničov</t>
  </si>
  <si>
    <t>Jazyková škola s právem státní jazykové zkoušky, Pöttingova 2, Olomouc</t>
  </si>
  <si>
    <t>Výdaje Kanceláře  ředitele</t>
  </si>
  <si>
    <t>Výdaje Kanceláře hejtmana</t>
  </si>
  <si>
    <t>Výdaje Zastupitelů</t>
  </si>
  <si>
    <t>Výdaje odboru správního a legislativního</t>
  </si>
  <si>
    <t>Ostatní platby za provedenou práci j.n.</t>
  </si>
  <si>
    <t>Nákup ostatních paliv a energie</t>
  </si>
  <si>
    <t>00000113</t>
  </si>
  <si>
    <t>ZŠ pro žáky se spec.poruchami učení a MŠ log. Schola-Viva o.p.s., Erbenova 16, Šumperk</t>
  </si>
  <si>
    <t>ZŠ a SŠ Poměnka, o.p.s., Šumavská 13, Šumperk</t>
  </si>
  <si>
    <t>Domov pro seniory Radkova Lhota celkem</t>
  </si>
  <si>
    <t>Střední odborná škola, s.r.o., Stromořadí 420, Uničov</t>
  </si>
  <si>
    <t>program sociální prevence a prev.kriminality</t>
  </si>
  <si>
    <t>Silnice III/44419 Újezd u Uničova - průtah</t>
  </si>
  <si>
    <t>Silnice III/44921 Loučany - průtah</t>
  </si>
  <si>
    <t>ORG 100123</t>
  </si>
  <si>
    <t>Domov Větrný mlýn Skalička - revitalizace zámeckého parku</t>
  </si>
  <si>
    <t>ORG 100325</t>
  </si>
  <si>
    <t>CSS Prostějov - rekonstrukce pavilonu - zřízení residenčního zařízení pro chronický nemocné Alzeheimerovou chorobou</t>
  </si>
  <si>
    <t>ORG 100326</t>
  </si>
  <si>
    <t xml:space="preserve">Sociální služby pro seniory Olomouc - nadstavba stávající budovy </t>
  </si>
  <si>
    <t>Revitalizace zámeckého parku s přilehlými plochami v Nových Zámcích</t>
  </si>
  <si>
    <t>ORG 100336</t>
  </si>
  <si>
    <t>Domov důchodců POHODA Chválkovice - Rekonstrukce budovy A</t>
  </si>
  <si>
    <t>ORG 100416</t>
  </si>
  <si>
    <t>ORG 100441</t>
  </si>
  <si>
    <t>Realizace energeticky úsporných opatření - Domov důchodců Hrubá Voda</t>
  </si>
  <si>
    <t>ORG 100460</t>
  </si>
  <si>
    <t>Realizace energeticky úsporných opatření - Sociální služby pro seniory Olomouc - ubytovací část</t>
  </si>
  <si>
    <t>ORG 100470</t>
  </si>
  <si>
    <t>Realizace energeticky úsporných opatření - Domov důchodců Šumperk</t>
  </si>
  <si>
    <t>ORG 100494</t>
  </si>
  <si>
    <t>Realizace energeticky úsporných opatření - Domov důchodců Hrubá Voda - budova žen</t>
  </si>
  <si>
    <t>ORG 100496</t>
  </si>
  <si>
    <t>Realizace energeticky úsporných opatření - Penzion pro důchodce Loštice</t>
  </si>
  <si>
    <t>ORG 100497</t>
  </si>
  <si>
    <t>Rekonstrukce zahrady v Domově důchodců Červenka</t>
  </si>
  <si>
    <t>ORG 100530</t>
  </si>
  <si>
    <t>II/150 Vícov - obchvat obce</t>
  </si>
  <si>
    <t>II/434, II/437 Lipník nad Bečvou - okružní křižovatka</t>
  </si>
  <si>
    <t>II/446, III/44613 Štěpánov - úprava křižovatky</t>
  </si>
  <si>
    <t>Základní škola, DD a Školní jídelna, Palackého 938, Litovel</t>
  </si>
  <si>
    <t>SPŠ elektrotechnická, gen.Svobody 2, Mohelnice</t>
  </si>
  <si>
    <t>Střední odborná škola, Zemědělská 3, Šumperk</t>
  </si>
  <si>
    <t>SOŠ a SOU, gen. Krátkého 30, Šumperk</t>
  </si>
  <si>
    <t>Obecní školy - provozní výdaje</t>
  </si>
  <si>
    <t>Obecní školy celkem</t>
  </si>
  <si>
    <t xml:space="preserve"> </t>
  </si>
  <si>
    <t>8a) Operační program Olomouckého kraje</t>
  </si>
  <si>
    <t>ORJ - 88XX</t>
  </si>
  <si>
    <t>Ing. Michaela Pruknerová</t>
  </si>
  <si>
    <t>MFČR - Účelová dotace krajům - TBC</t>
  </si>
  <si>
    <t>ZŠ a MŠ při lázních Bludov, Lázeňská 573, Bludov</t>
  </si>
  <si>
    <t xml:space="preserve">VOŠ a SŠ automobilní, U Dráhy 6, Zábřeh </t>
  </si>
  <si>
    <t>OA a Jazyková škola s právem st.jazyk.zkoušky, Bartošova 24, Přerov</t>
  </si>
  <si>
    <t>Domov "Na Zámku" Nezamyslice - rekonstrukce podlahy hl. budovy</t>
  </si>
  <si>
    <t>Domov důchodců a penzion Chválkovice - modernizace areálu</t>
  </si>
  <si>
    <t>Vlastivědné muzeum v Olomouci - Letní reflektář Klášterní Hradisko</t>
  </si>
  <si>
    <t>00098861</t>
  </si>
  <si>
    <t>MF - Výkupy pozemků pod krajskými komunikacemi</t>
  </si>
  <si>
    <t>Neinv.transfery regionálním radám</t>
  </si>
  <si>
    <t>EIB</t>
  </si>
  <si>
    <t>SOŠ a SOU, Moravské nám. 681, Uničov</t>
  </si>
  <si>
    <t>Muzeum Komenského v Přerově celkem</t>
  </si>
  <si>
    <t>Sdružená zařízení pro péči o dítě Olomouc</t>
  </si>
  <si>
    <t>Dětské centrum Pavučinka Šumperk</t>
  </si>
  <si>
    <t>Soukromá SOŠ,s.r.o.,  Jaselská 832, Hranice</t>
  </si>
  <si>
    <t>VOŠ živnostenská, s.r.o., Palackého 19, Přerov</t>
  </si>
  <si>
    <t>TRIVIS - střední škola veřejnoprávní, s.r.o., Havlíčkova 24/2920, Prostějov</t>
  </si>
  <si>
    <t>Střední škola stavební a podnikatelská, s.r.o., Štěpánovská 23, Olomouc-Chomoutov</t>
  </si>
  <si>
    <t>OLÚ Moravský Beroun - Pavilon po nemocné Alzheimerovou chorobou</t>
  </si>
  <si>
    <t>ORG 100332</t>
  </si>
  <si>
    <t>Realizace energeticky úsporných opatření - Nemocnice Přerov - chirurgie</t>
  </si>
  <si>
    <t>ORG 100560</t>
  </si>
  <si>
    <t>ORG 100660</t>
  </si>
  <si>
    <t>Značení kulturních a turistických cílů v Olomouckém kraji II</t>
  </si>
  <si>
    <t>ORG 100102</t>
  </si>
  <si>
    <t>ORG 100531</t>
  </si>
  <si>
    <t>Krajské operační a informační středisko (KOPIS)</t>
  </si>
  <si>
    <t>ORG 100475</t>
  </si>
  <si>
    <t>Projektové a procesní řízení na Krajském úřadě Olomouckého kraje</t>
  </si>
  <si>
    <t>Velký Týnec - průtah II. etapa</t>
  </si>
  <si>
    <t>Výdaje z finančního vypořádání minulých let mezi regionální radou a kraji, obcemi a dobrovolnými svazky obcí</t>
  </si>
  <si>
    <t>Ostatní neinvestiční výdaje jinde nezařezené</t>
  </si>
  <si>
    <t>Nákup materiálu jinde nezařazený</t>
  </si>
  <si>
    <t>Investiční transfery nefinačním podnikatelským subjektům - právnickým osobám</t>
  </si>
  <si>
    <t xml:space="preserve">Investiční transfery církvím a náboženským společnostem </t>
  </si>
  <si>
    <t>Zapojení prostředků z finančního vypořádání</t>
  </si>
  <si>
    <t>ORG 1104</t>
  </si>
  <si>
    <t>ORG 1109</t>
  </si>
  <si>
    <t>Gymnázium. Svatopluka Čecha 683, Kojetín</t>
  </si>
  <si>
    <t>ORG 1110</t>
  </si>
  <si>
    <t>ORG 1130</t>
  </si>
  <si>
    <t>ORG 1132</t>
  </si>
  <si>
    <t>VOŠ a SPŠ, Gen. Krátkého 1, Šumperk</t>
  </si>
  <si>
    <t>ORG 1135</t>
  </si>
  <si>
    <t>ORG 1152</t>
  </si>
  <si>
    <t>Střední zdravotnická škola, Vápenice 3, Prostějov</t>
  </si>
  <si>
    <t>ORG 1161</t>
  </si>
  <si>
    <t>Střední škola technická, Kouřílkova 8, Přerov</t>
  </si>
  <si>
    <t>ORG 1173</t>
  </si>
  <si>
    <t>ORG 1204</t>
  </si>
  <si>
    <t>Střední škola polygrafická, Střední Novosadská 55, Olomouc</t>
  </si>
  <si>
    <t>ORG 1205</t>
  </si>
  <si>
    <t>Společný regionální operační program celkem</t>
  </si>
  <si>
    <t xml:space="preserve">vedoucí odboru životního prostředí a zemědělství </t>
  </si>
  <si>
    <t xml:space="preserve">Ing. Josef Veselský </t>
  </si>
  <si>
    <t xml:space="preserve">Mgr. Lenka Doleželová </t>
  </si>
  <si>
    <t>00000020</t>
  </si>
  <si>
    <t>00000804</t>
  </si>
  <si>
    <t>00000019</t>
  </si>
  <si>
    <t>Ostatní nein.transfery neziskovým</t>
  </si>
  <si>
    <t>a podobným organizacím</t>
  </si>
  <si>
    <t>00000006</t>
  </si>
  <si>
    <t>00013307</t>
  </si>
  <si>
    <t xml:space="preserve">MPSV - na výplatu st.přísp.pro zřiz.zařízení pro děti vyž.okamžitou pomoc </t>
  </si>
  <si>
    <t>Základní škola a Dětský domov, Lidická 86, Prostějov</t>
  </si>
  <si>
    <t xml:space="preserve">Neinv.transfery obecně prospěš.spol. </t>
  </si>
  <si>
    <t>MŠMT - Vybav.škol pomůckami kompenz.a rehab.char.</t>
  </si>
  <si>
    <t>Domov Alfreda Skeneho Pavlovice u Přerova celkem</t>
  </si>
  <si>
    <t>ORG - 1659</t>
  </si>
  <si>
    <t>ORG - 1660</t>
  </si>
  <si>
    <t>Centrum Dominika Kokory</t>
  </si>
  <si>
    <t>ORG - 1661</t>
  </si>
  <si>
    <t>Centrum Dominika Kokory celkem</t>
  </si>
  <si>
    <t>ORG - 1662</t>
  </si>
  <si>
    <t>ORG - 1663</t>
  </si>
  <si>
    <t>investice</t>
  </si>
  <si>
    <t>dotace</t>
  </si>
  <si>
    <t>provozní příspěvky zřízeným PO- rezerva</t>
  </si>
  <si>
    <t xml:space="preserve">32) Společný regionální operační program </t>
  </si>
  <si>
    <t xml:space="preserve">Výdaje odboru ekonomického </t>
  </si>
  <si>
    <t xml:space="preserve">Výdaje odboru ekonomického - odd.přípravy a realizace investic </t>
  </si>
  <si>
    <t>Stavební akce celkem</t>
  </si>
  <si>
    <t xml:space="preserve">Výdaje odboru strategického rozvoje kraje </t>
  </si>
  <si>
    <t>SMN a.s. - o.z. Nem. PV- Stavební úpravy laboratoří</t>
  </si>
  <si>
    <t>SMN a.s. - o.z. Nem. PV-Stavební úpravy dětského oddělení</t>
  </si>
  <si>
    <t>SMN a.s. - o.z. Nem. PV- Výměna oken v budově polikliniky - II. etapa</t>
  </si>
  <si>
    <t>Stavební akce</t>
  </si>
  <si>
    <t>Věcné dary</t>
  </si>
  <si>
    <t>Nákup kolků</t>
  </si>
  <si>
    <t>Platby daní a poplatků</t>
  </si>
  <si>
    <t>Nespecifikované rezervy</t>
  </si>
  <si>
    <t>Budovy, haly a stavby</t>
  </si>
  <si>
    <t>Stroje, přístroje a zařízení</t>
  </si>
  <si>
    <t xml:space="preserve">Zastupitelé celkem </t>
  </si>
  <si>
    <t>ORJ - 02</t>
  </si>
  <si>
    <t>Prádlo, oděv a obuv</t>
  </si>
  <si>
    <t>Knihy, učební pomůcky a tisk</t>
  </si>
  <si>
    <t>Konzultační, poradenské a právní služby</t>
  </si>
  <si>
    <t>Neinv.transfery občanským sdružením</t>
  </si>
  <si>
    <t>Neinvest.transfery nefin.podnik.subj.-FO</t>
  </si>
  <si>
    <t>00000550</t>
  </si>
  <si>
    <t>Přísp.na hosp.v lesích na území OK</t>
  </si>
  <si>
    <t>Neinvest.transfery nefin.podnik.subj.-PO</t>
  </si>
  <si>
    <t>00000552</t>
  </si>
  <si>
    <t>Přísp.obcím OK na řešení mimoř.událostí</t>
  </si>
  <si>
    <t>00098278</t>
  </si>
  <si>
    <t>MFČR - úhrada škod způs.kormoránem velkým</t>
  </si>
  <si>
    <t>Neinvestiční transfery vysokým školám</t>
  </si>
  <si>
    <t>Investiční transfery zřízeným PO</t>
  </si>
  <si>
    <t>ORJ 8835 celkem</t>
  </si>
  <si>
    <t>Ing. Zuzana Ochmanová</t>
  </si>
  <si>
    <t>Příspěvkové organizace</t>
  </si>
  <si>
    <t>ORG</t>
  </si>
  <si>
    <t>Nákup materiálu j.n.</t>
  </si>
  <si>
    <t>Příspěvkové organizace - provozní výdaje</t>
  </si>
  <si>
    <t>Soukromé školy - provozní výdaje</t>
  </si>
  <si>
    <t>Příspěvkové organizace - investiční výdaje</t>
  </si>
  <si>
    <t>Příspěvkové organizace celkem - investiční výdaje</t>
  </si>
  <si>
    <t>Rekapitulace</t>
  </si>
  <si>
    <t>Odbor (kancelář)</t>
  </si>
  <si>
    <t>schválený rozpočet</t>
  </si>
  <si>
    <t>upravený rozpočet</t>
  </si>
  <si>
    <t>ORJ</t>
  </si>
  <si>
    <t>Zastupitelé</t>
  </si>
  <si>
    <t xml:space="preserve"> - provozní výdaje</t>
  </si>
  <si>
    <t xml:space="preserve"> - investiční výdaje</t>
  </si>
  <si>
    <t>Kancelář hejtmana</t>
  </si>
  <si>
    <t>17) Odbor investic a evropských programů</t>
  </si>
  <si>
    <t>Příspěvky divadlům a filharmoniím</t>
  </si>
  <si>
    <t>Neinvestiční dotace pro knihovny</t>
  </si>
  <si>
    <t>Gymnázium, Masarykovo nám. 8, Šumperk</t>
  </si>
  <si>
    <t>provoz</t>
  </si>
  <si>
    <t xml:space="preserve"> - účelové neinvestiční dotace</t>
  </si>
  <si>
    <t xml:space="preserve"> - účelové investiční dotace</t>
  </si>
  <si>
    <t>odbor</t>
  </si>
  <si>
    <t>příspěvkové organizace</t>
  </si>
  <si>
    <t>soukromé školy</t>
  </si>
  <si>
    <t>obecní školy</t>
  </si>
  <si>
    <t>ZUŠ, Jungmannova  740, Litovel</t>
  </si>
  <si>
    <t>MZV - Projekty krajů v rozvojových zemích</t>
  </si>
  <si>
    <t>Náhrady mezd v době nemoci</t>
  </si>
  <si>
    <t>Ostatní neinvestiční výdaje j.n.</t>
  </si>
  <si>
    <t>Vincentinum Šternberk - Úprava venkovních prostor pro imobilní uživatele</t>
  </si>
  <si>
    <t>Vincentinum - poskytovatel soc. služeb Šternberk - Chlazený sklad nebezpečného odpadu</t>
  </si>
  <si>
    <t>Nákupy ostatních služeb</t>
  </si>
  <si>
    <t>ÚSP Nové Zámky - Střecha a římsy</t>
  </si>
  <si>
    <t>Domov důchodců Šumperk - Chlazený sklad nebezpečného odpadu</t>
  </si>
  <si>
    <t>Domov důchodců Šumperk - Stavební úpravy balkonů</t>
  </si>
  <si>
    <t xml:space="preserve">      infrastruktury na území Olomouckého kraje</t>
  </si>
  <si>
    <t>ORJ  - 99</t>
  </si>
  <si>
    <t>RZ 386/05 - přesun z ORJ 99, § 2399, pol. 6341</t>
  </si>
  <si>
    <t>RZ 507/05 - přesun na ORJ 99, § 2399, pol. 6341</t>
  </si>
  <si>
    <t>Penzion pro důchodce Loštice</t>
  </si>
  <si>
    <t>Penzion pro důchodce Loštice celkem</t>
  </si>
  <si>
    <t>Ost.neinv.transfery veř.rozp.úz.úrovně</t>
  </si>
  <si>
    <t>00000027</t>
  </si>
  <si>
    <t>Středisko volného času ATLAS a BIOS, Žižkova 12, Přerov</t>
  </si>
  <si>
    <t>MF - volby do zastupitelstev v obcích</t>
  </si>
  <si>
    <t>Investiční a neinvestiční akce v obl.dopravy</t>
  </si>
  <si>
    <t>odkup pozemku</t>
  </si>
  <si>
    <t>Pohoštění</t>
  </si>
  <si>
    <t>RZ 301/05 - přesun z ORJ 199, 03, § 6172, pol. 5499, § 6172, pol. 5177</t>
  </si>
  <si>
    <t>Konzultační, porad.a právní služby</t>
  </si>
  <si>
    <t>00000410</t>
  </si>
  <si>
    <t>Akční plán realizace prev.kriminality na území OK</t>
  </si>
  <si>
    <t>00000411</t>
  </si>
  <si>
    <t>00000412</t>
  </si>
  <si>
    <t>Střednědobý plán rozvoje soc.služeb OK</t>
  </si>
  <si>
    <t>Neinv.transfery nefin.pod.subj.-FO</t>
  </si>
  <si>
    <t>číslo účtu: 1701992/0800</t>
  </si>
  <si>
    <t xml:space="preserve">celkem </t>
  </si>
  <si>
    <t>inv.</t>
  </si>
  <si>
    <t>neinv.dot.</t>
  </si>
  <si>
    <t>DD a ŠJ, U Sportovní haly 1a, Olomouc</t>
  </si>
  <si>
    <t>DD a ŠJ, Vrchlického 369, Konice</t>
  </si>
  <si>
    <t>DD a ŠJ, Balkán 333, Plumlov</t>
  </si>
  <si>
    <t>DD a ŠJ, Purgešova 4, Hranice</t>
  </si>
  <si>
    <t>Spec.školy pro zrakově postižené Litovel - Areál Hejčín</t>
  </si>
  <si>
    <t>Dětský domov Konice - rekonstrukce domova</t>
  </si>
  <si>
    <t>SPŠ Přerov, Havlíčkova - výstavba tělocvičny</t>
  </si>
  <si>
    <t>OA Přerov - rekonstrukce hyg.zařízení</t>
  </si>
  <si>
    <t xml:space="preserve">Speciální školy Prostějov, Tetín - rek.vývařovny internátu </t>
  </si>
  <si>
    <t>DD a SŠ zemědělská Olomouc - stavební úpravy a opravy</t>
  </si>
  <si>
    <t>Obchodní akademie, Olomouc - Zateplení uliční a dvorní fasády</t>
  </si>
  <si>
    <t>konsolidace-kontr.součet</t>
  </si>
  <si>
    <t xml:space="preserve">Neinv.transfery obecně prospěšným  společnostem </t>
  </si>
  <si>
    <t>Inv.transfery obecně prospěš.spol.</t>
  </si>
  <si>
    <t>fin.příspěvek v obl.sportu</t>
  </si>
  <si>
    <t>Účel.neinvest.transfery nepodnik. FO</t>
  </si>
  <si>
    <t>Inv.transfery obč.sdružením</t>
  </si>
  <si>
    <t>odpisy</t>
  </si>
  <si>
    <t>00033015</t>
  </si>
  <si>
    <t>32133019</t>
  </si>
  <si>
    <t>32533019</t>
  </si>
  <si>
    <t>Vědecká knihovna v Olomouci -Přístupový chodník a parkovací místa na ul. Bezručova</t>
  </si>
  <si>
    <t>Vlastivědné muzeum v Olomouci -Topný systém v budově sídla VMO</t>
  </si>
  <si>
    <t>Vlastivědné muzeum Jesenicka - Stálá expozice čarodějnických procesů</t>
  </si>
  <si>
    <t xml:space="preserve">Vlastivědné muzeum Jesenicka - Stálá expozice Z historie Jesenicka </t>
  </si>
  <si>
    <t>Brána poznání otevřena - údržba majetku</t>
  </si>
  <si>
    <t xml:space="preserve">Ostatní inv.transfery nezisk.a pod.org. </t>
  </si>
  <si>
    <t>Velký Kosíř - Rozhledna</t>
  </si>
  <si>
    <t xml:space="preserve">Loučany - Náměšť na Hané - rekonstrukce silnice </t>
  </si>
  <si>
    <t xml:space="preserve">Odbor ekonomický - oddělení přípravy a realizace investic celkem </t>
  </si>
  <si>
    <t xml:space="preserve">UZ </t>
  </si>
  <si>
    <t>hustota a specifika</t>
  </si>
  <si>
    <t>projekt PILOT G/GP</t>
  </si>
  <si>
    <t>Příspěvek na provoz PO-mzdové náklady</t>
  </si>
  <si>
    <t>9) Odbor životního prostředí a zemědělství</t>
  </si>
  <si>
    <t>ORJ - 09</t>
  </si>
  <si>
    <t>10) Odbor školství, mládeže a tělovýchovy</t>
  </si>
  <si>
    <t>ORJ - 10</t>
  </si>
  <si>
    <t>Investiční a neinvestiční akce v obl.školství</t>
  </si>
  <si>
    <t>ORJ 8832-Podpora sportovních volnočasových aktivit</t>
  </si>
  <si>
    <t>ORJ 8832 celkem</t>
  </si>
  <si>
    <t>ORJ 8803 celkem</t>
  </si>
  <si>
    <t>ORJ - 199</t>
  </si>
  <si>
    <t>SROP - individuální projekty</t>
  </si>
  <si>
    <t>Ostatní neinv.transfery ob.</t>
  </si>
  <si>
    <t>Domov důchodců Hrubá Voda celkem</t>
  </si>
  <si>
    <t>Vlastivědné muzeum Jesenicka</t>
  </si>
  <si>
    <t>Gymnázium, Svat.Čecha 683, Kojetín</t>
  </si>
  <si>
    <t>00000407</t>
  </si>
  <si>
    <t>Dotační program prevence kriminality</t>
  </si>
  <si>
    <t>a příspěvek na st.pol.zam.</t>
  </si>
  <si>
    <t>00000551</t>
  </si>
  <si>
    <t>Fond na podporu výst.a obn.vodohosp.infr.</t>
  </si>
  <si>
    <t>Ostatní neinv.výdaje j.n.</t>
  </si>
  <si>
    <t>Výdaje na dopravní územní obslužnnost</t>
  </si>
  <si>
    <t>8 = 7/ 6</t>
  </si>
  <si>
    <t>Výdaje na dopravní územní obslužnost</t>
  </si>
  <si>
    <t>Neinvestičbní transfery nefin.podnik.subj.-PO</t>
  </si>
  <si>
    <t>Investiční transfery nefin.podnik.subj.-FO</t>
  </si>
  <si>
    <t>odbor celkem</t>
  </si>
  <si>
    <t>celkem 30-199</t>
  </si>
  <si>
    <t>kontrolní součet</t>
  </si>
  <si>
    <t>RZ 187/05 - přesun z ORJ 99, § 2399, pol. 6341</t>
  </si>
  <si>
    <t>RZ 385/05 - přesun z ORJ 99, § 2399, pol. 6341</t>
  </si>
  <si>
    <t>Obecní školy celkem - provozní výdaje</t>
  </si>
  <si>
    <t>Zdravotnická záchranná služba Olomouckého kraje</t>
  </si>
  <si>
    <t>MŠ a ZŠ při FN Olomouc, I.P.Pavlova 6, Olomouc</t>
  </si>
  <si>
    <t>Základní škola prof.Z.Matějčka, Svatoplukova 11, Olomouc-Řepčín</t>
  </si>
  <si>
    <t>Střední škola, ZŠ a MŠ, Komenského 10, Prostějov</t>
  </si>
  <si>
    <t>Základní škola speciální Jasněnka, o.p.s., Jiráskova 772, Uničov</t>
  </si>
  <si>
    <t>ZŠ a MŠ Sluničko, s.r.o.,  Loučská  237, Lipník nad Bečvou</t>
  </si>
  <si>
    <t>GG - 5.1. Řízení, kontrola, monitorování a hodnocení programu v Olomouckém kraji</t>
  </si>
  <si>
    <t>54) GG - 5.2. Informovanost a publicita programu v Olomouckém kraji</t>
  </si>
  <si>
    <t>ORJ - 54</t>
  </si>
  <si>
    <t>MÚK R 35 - Tovačov , stavební úpravy</t>
  </si>
  <si>
    <t>Zábřeh - okružní křižovatka</t>
  </si>
  <si>
    <t>III/44620 Náklo - průtah</t>
  </si>
  <si>
    <t>III/43621, III/43622 Velký Týnec, Čechovice - rekonstrukce silnic</t>
  </si>
  <si>
    <t>III/4436, III/44310 Tovéř - okružní křižovatka</t>
  </si>
  <si>
    <t>58) GG - 1.3. Další vzdělávání pracovníků škol a školských zařízení v Olomouckém kraji</t>
  </si>
  <si>
    <t>ORJ - 58</t>
  </si>
  <si>
    <t>číslo účtu: 43-2020400297/0100</t>
  </si>
  <si>
    <t>Vyšší odborná škola hotelnictví a turismu o.p.s.; Stromořadí 420, Uničov</t>
  </si>
  <si>
    <t>Ostatní</t>
  </si>
  <si>
    <t>Platby daní a poplatků stát.rozpočtu</t>
  </si>
  <si>
    <t>00000000</t>
  </si>
  <si>
    <t>00000011</t>
  </si>
  <si>
    <t>00000014</t>
  </si>
  <si>
    <t>DDM a zařízení pro DVPP Vila Doris, 17. listopadu 2, Šumperk</t>
  </si>
  <si>
    <t>Středomoravská nemocniční a.s. Olomouc</t>
  </si>
  <si>
    <t>Platby daní a poplatků SR</t>
  </si>
  <si>
    <t>GG - 1.2. Rovné příležitosti dětí a žáků, včetně dětí a žáků se speciálními vzdělávacími potřebami v Olomouckém kraji</t>
  </si>
  <si>
    <t>DD a ŠJ, Tyršova 772, Lipník</t>
  </si>
  <si>
    <t>číslo účtu: 35-1843380237/0100</t>
  </si>
  <si>
    <t>položka</t>
  </si>
  <si>
    <t>9=8/7</t>
  </si>
  <si>
    <t>Celkem</t>
  </si>
  <si>
    <t>Konsolidace</t>
  </si>
  <si>
    <t>Nákup materiálu</t>
  </si>
  <si>
    <t xml:space="preserve">Ostatní náklady </t>
  </si>
  <si>
    <t>Převody vlastním rozpočtovým účtům</t>
  </si>
  <si>
    <t xml:space="preserve">Ostatní neinvestiční výdaje </t>
  </si>
  <si>
    <t xml:space="preserve">Celkem výdaje po konsolidaci </t>
  </si>
  <si>
    <t xml:space="preserve">Výdaje celkem </t>
  </si>
  <si>
    <t>GS - 1.1. Podpora malého a středního podnikání ve vybraných regionech Olomouckého kraje celkem</t>
  </si>
  <si>
    <t>38) GS - 3.2 Podpora sociální integrace v Olomouckém kraji</t>
  </si>
  <si>
    <t>GS - 3.2 Podpora sociální integrace v Olomouckém kraji celkem</t>
  </si>
  <si>
    <t>RZ 301/05 - přesun na ORJ 199, § 6113, pol. 5169</t>
  </si>
  <si>
    <t>inv.dot</t>
  </si>
  <si>
    <t>kontr.součet</t>
  </si>
  <si>
    <t>Drobný hmotný a dlouhodobý majetek</t>
  </si>
  <si>
    <t>RZ 712/05 - přesun z ORJ 199, § 6172, pol. 5901</t>
  </si>
  <si>
    <t>Investiční a neinvestiční akce v obl.dopr.</t>
  </si>
  <si>
    <t>00000870</t>
  </si>
  <si>
    <t>Povinný podíl kraje (půjčka EIB)</t>
  </si>
  <si>
    <t>Nákup dlouhodob.hm.majetku j.n.</t>
  </si>
  <si>
    <t>Investiční a neinvestiční akce v obl.zdravotnictví</t>
  </si>
  <si>
    <t>Ostatní neinvestiční výdaje jinde nezařazené</t>
  </si>
  <si>
    <t>Vlastivědné muzeum v Olomouci - vybavení depozitářů Denisova ul. (po rekonstrukci budovy)</t>
  </si>
  <si>
    <t>Vlastivědné muzeum Jesenicka - rekonstrukce střešní krytiny na budově Vodní tvrze</t>
  </si>
  <si>
    <t>Archeologické centrum v Ol - rekonstrukce objektu U Hradiska 7/4 (včetně vnitřního vybavení)</t>
  </si>
  <si>
    <t xml:space="preserve">Vlastivědné muzeum Jesenicka - inženýrské sítě a fasáda </t>
  </si>
  <si>
    <t>Muzeum Komenského v Přerově - přístavba depozitáře</t>
  </si>
  <si>
    <t>Vlastivědné muzeum v Olomouci - revitalizace rybníka Bílá Lhota</t>
  </si>
  <si>
    <t>Vlastivědné muzeum Jesenicka - Zřízení prostor pro kavárnu, vinárna, galerie</t>
  </si>
  <si>
    <t>Vlastivědné muzeum v Olomouci - Úprava Václavkova sálu</t>
  </si>
  <si>
    <t>Soukromá výtvarná ZUŠ s.r.o., Alšova 243, Jeseník</t>
  </si>
  <si>
    <t>RZ 387/05 - přesun z ORJ 01, § 6113, pol.5321</t>
  </si>
  <si>
    <t>neinv.transfery na provoz škol-ZŠ Libavá</t>
  </si>
  <si>
    <t>přímé nákl.na vzdělání</t>
  </si>
  <si>
    <t xml:space="preserve">příspěvek na odpisy </t>
  </si>
  <si>
    <t>ZŠ a MŠ logopedická, Tř. Svornosti 37/900, Olomouc</t>
  </si>
  <si>
    <t>MŠ A a T, s.r.o.,  U Bečvy 2, Přerov</t>
  </si>
  <si>
    <t>Speciální  MŠ A a J, s.r.o.,  U Bečvy 2,  Přerov</t>
  </si>
  <si>
    <t xml:space="preserve">Nespecifikované rezervy </t>
  </si>
  <si>
    <t>Poskytnuté neinvestiční přísp.a náhrady</t>
  </si>
  <si>
    <t>00033457</t>
  </si>
  <si>
    <t>regionech Olomouckého kraje</t>
  </si>
  <si>
    <t>ORJ - 37</t>
  </si>
  <si>
    <t>číslo účtu: 1701482/0800</t>
  </si>
  <si>
    <t>ORJ - 38</t>
  </si>
  <si>
    <t>číslo účtu: 1701642/0800</t>
  </si>
  <si>
    <t>veřejné subjekty a neziskové organizace</t>
  </si>
  <si>
    <t>ORJ - 39</t>
  </si>
  <si>
    <t>30) Individuální projekty</t>
  </si>
  <si>
    <t>VILA DORIS ŠUMPERK - Podpora sociální integrace v Olomouckém kraji</t>
  </si>
  <si>
    <t>ORJ - 49</t>
  </si>
  <si>
    <t>Domov důchodců Hrubá Voda - Nákladní výtah na přepravu jídla</t>
  </si>
  <si>
    <t>Domov důchodců a penzion Chválkovice - Šatny zaměstnanců</t>
  </si>
  <si>
    <t>MF - Podpora koordinátorů romských poradců</t>
  </si>
  <si>
    <t>00000021</t>
  </si>
  <si>
    <t>Pojistné plnění KÚ</t>
  </si>
  <si>
    <t>55) GG - 5.3. Zvýšení absorpční kapacity subjektů v Olomouckém kraji</t>
  </si>
  <si>
    <t>ORJ - 55</t>
  </si>
  <si>
    <t>číslo účtu: 43-2020570237/0100</t>
  </si>
  <si>
    <t>GG - 5.3. Zvýšení absorpční kapacity subjektů v Olomouckém kraji</t>
  </si>
  <si>
    <t>Inv.transfery st.rozpočtu</t>
  </si>
  <si>
    <t>Zajištění dostupnosti vybraných sociálních služeb v Olomouckém kraji</t>
  </si>
  <si>
    <t>číslo účtu: 2702452/0800</t>
  </si>
  <si>
    <t>49) VILA DORIS ŠUMPERK - Podpora sociální integrace v Olomouckém kraji</t>
  </si>
  <si>
    <t>DD a Školní jídelna, Přerov, Sušilova 25 - Výměna oken</t>
  </si>
  <si>
    <t>Střední škola zemědělská, Přerov, Osmek 47-rekonstrukce budovy Kovárny, původně Výměna oken v tělocvičně</t>
  </si>
  <si>
    <t xml:space="preserve">Střední průmyslová škola, Přerov, Havlíčkova 2 - Výměna podlahové krytiny v učebnách  a kabinetech </t>
  </si>
  <si>
    <t xml:space="preserve">Švehlova SŠ, Prostějov - odloučené pracoviště Vrchlického 5 a Určická ul. 94, Prostějov - Oprava střechy </t>
  </si>
  <si>
    <t>BIS RTD Podpora veřejného financování výzkumu a technologického rozvoje v regionech</t>
  </si>
  <si>
    <t xml:space="preserve">5) Odbor správní a legislativní </t>
  </si>
  <si>
    <t>Sociální služby Šumperk</t>
  </si>
  <si>
    <t>Sociální služby Šumperk celkem</t>
  </si>
  <si>
    <t>Realizace energeticky úsporných opatření - SŠ zemědělská Přerov</t>
  </si>
  <si>
    <t>ORG 100469</t>
  </si>
  <si>
    <t>Realizace energeticky úsporných opatření - ZŠ a DD Zábřeh</t>
  </si>
  <si>
    <t>ORG 100471</t>
  </si>
  <si>
    <t>číslo účtu: 1701722/0800</t>
  </si>
  <si>
    <t>Neinvestiční transfery církvím a náboženským společnostem</t>
  </si>
  <si>
    <t xml:space="preserve">39) GS - Podpora regionálních a místních služeb cestovního ruchu - </t>
  </si>
  <si>
    <t>GS - Podpora regionálních a místních služeb cestovního ruchu - veřejné subjekty a neziskové organizace celkem</t>
  </si>
  <si>
    <t xml:space="preserve">37) GS - 1.1. Podpora malého a středního podnikání ve vybraných </t>
  </si>
  <si>
    <t>ostatní příspěvky</t>
  </si>
  <si>
    <t>00000210</t>
  </si>
  <si>
    <t>00000211</t>
  </si>
  <si>
    <t>Neinv.příspěvky zřízeným PO</t>
  </si>
  <si>
    <t>ORG - 1601</t>
  </si>
  <si>
    <t>ORG - 1602</t>
  </si>
  <si>
    <t>ORG - 1603</t>
  </si>
  <si>
    <t>ORG - 1604</t>
  </si>
  <si>
    <t>ORG - 1605</t>
  </si>
  <si>
    <t>ORG - 1606</t>
  </si>
  <si>
    <t>ORG - 1607</t>
  </si>
  <si>
    <t>ORG - 1608</t>
  </si>
  <si>
    <t xml:space="preserve">ÚSP pro mládež Olšany - Rekonstrukce stávající koupelny </t>
  </si>
  <si>
    <t>Domov důchodců Prostějov - Zvětšení dveřních otvorů</t>
  </si>
  <si>
    <t>Domov "Na Zámku" (Nezamyslice) - Koupelna</t>
  </si>
  <si>
    <t>Centrum sociálních služeb Prostějov - Vybavení pavilonu A2</t>
  </si>
  <si>
    <t>Ústav sociální péče Rokytnice - Dispoziční úpravy pokojů</t>
  </si>
  <si>
    <t>Přísp.obcím na podporu výstavby cyklostezek</t>
  </si>
  <si>
    <t>00027355</t>
  </si>
  <si>
    <t>Ost.neinv.transfery nezisk.a podob.org.</t>
  </si>
  <si>
    <t>38187501</t>
  </si>
  <si>
    <t>ROP RS Střední Morava - IV - SR</t>
  </si>
  <si>
    <t>38587505</t>
  </si>
  <si>
    <t>ROP RS Střední Morava - IV - EU</t>
  </si>
  <si>
    <t>Dary obyvatelstvu</t>
  </si>
  <si>
    <t>Nákup ostatních služeb</t>
  </si>
  <si>
    <t>Investiční výdaje</t>
  </si>
  <si>
    <t>vedoucí odboru ekonomického</t>
  </si>
  <si>
    <t>Ing. Jiří Juřena</t>
  </si>
  <si>
    <t>Pozemky</t>
  </si>
  <si>
    <t>vedoucí odboru kultury a památkové péče</t>
  </si>
  <si>
    <t>PhDr. Jindřich Garčic</t>
  </si>
  <si>
    <t>SOU, Komenského 677, Litovel</t>
  </si>
  <si>
    <t>Studená voda</t>
  </si>
  <si>
    <t xml:space="preserve">7) Odbor ekonomický </t>
  </si>
  <si>
    <t>Odbor životního prostředí a zemědělství</t>
  </si>
  <si>
    <t>Teplo</t>
  </si>
  <si>
    <t>Služby telekomunikací a radiokomunikací</t>
  </si>
  <si>
    <t>Archeologické centrum Olomouc</t>
  </si>
  <si>
    <t>Ostatní poskytované zálohy a jistiny</t>
  </si>
  <si>
    <t>ORG 1170</t>
  </si>
  <si>
    <t>ORG 1200</t>
  </si>
  <si>
    <t>ORG 1465</t>
  </si>
  <si>
    <t>00033122</t>
  </si>
  <si>
    <t>50) ROP - Regionální dopravní infrastruktura - Silnice II. a III. třídy</t>
  </si>
  <si>
    <t>ORJ - 50</t>
  </si>
  <si>
    <t>číslo účtu: 2955812/0800</t>
  </si>
  <si>
    <t>SPŠ oděvní, Prostějov - Stavební úpravy  školy</t>
  </si>
  <si>
    <t>Základní škola Jeseník - Sociální zařízení</t>
  </si>
  <si>
    <t>Gymnázium Jana Blahoslava a Střední pedagogická škola, Přerov - Změna školní jídelny na výdejnu</t>
  </si>
  <si>
    <t>SŠ, ZŠ a MŠ JISTOTA, o.p.s., Tetín 1, Prostějov</t>
  </si>
  <si>
    <t>Neinvestičbní transfery nefin.podnik.subj.-FO</t>
  </si>
  <si>
    <t>11) Odbor sociálních věcí</t>
  </si>
  <si>
    <t>Střední zemědělská škola, Osmek 47, Přerov</t>
  </si>
  <si>
    <t>Dětské centrum,  Struhlovsko 1424, Hranice</t>
  </si>
  <si>
    <t>upravený rozp.</t>
  </si>
  <si>
    <t>skutečnost</t>
  </si>
  <si>
    <t>%</t>
  </si>
  <si>
    <t>Provozní výdaje</t>
  </si>
  <si>
    <t xml:space="preserve">Odbor školství, mládeže a tělovýchovy celkem </t>
  </si>
  <si>
    <t>ORJ - 11</t>
  </si>
  <si>
    <t>spolupráce s francouzskými a vlámskými školami</t>
  </si>
  <si>
    <t>MKČR - veřejné informační služby knihoven</t>
  </si>
  <si>
    <t>MKČR - kulturní aktivity</t>
  </si>
  <si>
    <t>Investiční a neinvestiční akce v obl.kultury</t>
  </si>
  <si>
    <t>Investiční a neinvestiční akce v obl.sociální</t>
  </si>
  <si>
    <t>Ostatní příspěvky</t>
  </si>
  <si>
    <t>Služby peněžních ústavů</t>
  </si>
  <si>
    <t xml:space="preserve">Nájemné </t>
  </si>
  <si>
    <t>sníženo:</t>
  </si>
  <si>
    <t>Služby školení a vzdělávání</t>
  </si>
  <si>
    <t>Opravy a udržování</t>
  </si>
  <si>
    <t>Programové vybavení</t>
  </si>
  <si>
    <t>00098074</t>
  </si>
  <si>
    <t xml:space="preserve">GS - 3.3. Rozvoj kapacit dalšího profesního vzdělávání        </t>
  </si>
  <si>
    <t xml:space="preserve">Fond    </t>
  </si>
  <si>
    <t>DD a ŠJ , Sušilova 25,  Přerov</t>
  </si>
  <si>
    <t>DD a ŠJ, Černá Voda 1</t>
  </si>
  <si>
    <t>DD a ŠJ , Priessnitzova 406, Jeseník</t>
  </si>
  <si>
    <t>Ostatní povinné poj.placené zaměstnavat.</t>
  </si>
  <si>
    <t>celkem</t>
  </si>
  <si>
    <t>konsolidace</t>
  </si>
  <si>
    <t>Vědecká knihovna v Olomouci</t>
  </si>
  <si>
    <t>Vědecká knihovna v Olomouci celkem</t>
  </si>
  <si>
    <t>Vlastivědné muzeum v Olomouci</t>
  </si>
  <si>
    <t>Vlastivědné muzeum v Olomouci celkem</t>
  </si>
  <si>
    <t>Muzeum Prostějovska v Prostějově</t>
  </si>
  <si>
    <t>Muzeum Prostějovska v Prostějově celkem</t>
  </si>
  <si>
    <t>Lidová hvězdárna v Prostějově</t>
  </si>
  <si>
    <t>Lidová hvězdárna v Prostějově  celkem</t>
  </si>
  <si>
    <t>Muzeum Komenského v Přerově</t>
  </si>
  <si>
    <t>Vlastivědné muzeum v Šumperku</t>
  </si>
  <si>
    <t>Vlastivědné muzeum v Šumperku celkem</t>
  </si>
  <si>
    <t>ORJ - 17</t>
  </si>
  <si>
    <t>RZ 807/05 - přesun z ORJ 199, § 6172, pol. 5901</t>
  </si>
  <si>
    <t>RZ 197/05 - zapojení přebytku hospodaření za rok 2004</t>
  </si>
  <si>
    <t>Neinvestiční příspěvky zřízeným PO</t>
  </si>
  <si>
    <t>Správa silnic Olomouckého kraje celkem</t>
  </si>
  <si>
    <t>52) Implementace a péče o území soustavy Natura 2000 v Olomouckém kraji</t>
  </si>
  <si>
    <t>ORJ - 52</t>
  </si>
  <si>
    <t>číslo účtu: 3078612/0800</t>
  </si>
  <si>
    <t>Implementace a péče o území soustavy Natura 2000 v Olomouckém kraji</t>
  </si>
  <si>
    <t>Neinv.transf.obyv.nemající charakter daru</t>
  </si>
  <si>
    <t>Účelové neinv.transf.nepodnik.FO</t>
  </si>
  <si>
    <t>Ost.neinv.transfery veř.rozpočtům úz.úrovně</t>
  </si>
  <si>
    <t>fin.vypořádání s MŠMT za rok 2009</t>
  </si>
  <si>
    <t>Inv.transfery ostatním PO</t>
  </si>
  <si>
    <t>Inv.transfery nefin.podnik.subj.- PO</t>
  </si>
  <si>
    <t>00000115</t>
  </si>
  <si>
    <t>Stipendia pro žáky učebních oborů</t>
  </si>
  <si>
    <t>00033025</t>
  </si>
  <si>
    <t>MŠMT - program sociální prevence a prev.kriminality</t>
  </si>
  <si>
    <t>MŠMT - Projekty romské komunity</t>
  </si>
  <si>
    <t>MŠMT - Spolupráce s francouzskými, vlámskými a šp.školami</t>
  </si>
  <si>
    <t>MŠMT - Asistenti pedagogů pro děti, žáky a studenty se soc.znevýhodněním</t>
  </si>
  <si>
    <t>Neinv.dot.zřízeným PO</t>
  </si>
  <si>
    <t>32133123</t>
  </si>
  <si>
    <t>MŠMT - OPVK-oblast 1.4.EU peníze školám-EU</t>
  </si>
  <si>
    <t>32533123</t>
  </si>
  <si>
    <t>MŠMT - Individ.projekty ost.OP VK-EU</t>
  </si>
  <si>
    <t>MŠMT - Asistenti pedagogů v soukr.a církev.spec.školách</t>
  </si>
  <si>
    <t>MŠMT - progr.na podporu škol-vzdělávání dětí se sociokulturním znevýhodněním</t>
  </si>
  <si>
    <t>00033024</t>
  </si>
  <si>
    <t>Soukromé OU, s.r.o., Velký Újezd  321</t>
  </si>
  <si>
    <t>Střední škola automobilní, s.r.o., Vápenice 2977/9, Prostějov</t>
  </si>
  <si>
    <t>GG - 1.1. Zvyšování kvality ve vzdělávání v Olomouckém kraji</t>
  </si>
  <si>
    <t>57) GG - 1.2. Rovné příležitosti dětí a žáků, včetně dětí a žáků se speciálními vzdělávacími potřebami v Olomouckém kraji</t>
  </si>
  <si>
    <t>ORJ - 57</t>
  </si>
  <si>
    <t>číslo účtu: 43-2020470287/0100</t>
  </si>
  <si>
    <t xml:space="preserve"> GG - 1.2. Rovné příležitosti dětí a žáků, včetně dětí a žáků se speciálními vzdělávacími potřebami v Olomouckém kraji</t>
  </si>
  <si>
    <t>Mateřská škola, Blanická 16, Olomouc</t>
  </si>
  <si>
    <t>ORG 3006000002 - Společný nadregionální projekt pro podporu domác.cestovního ruchu</t>
  </si>
  <si>
    <t>RZ 659/04 - přesun z ORJ 08, § 2140, pol. 5169</t>
  </si>
  <si>
    <t>Úroky vlastní</t>
  </si>
  <si>
    <t>12) Odbor dopravy a silničního hospodářství</t>
  </si>
  <si>
    <t>ORJ - 12</t>
  </si>
  <si>
    <t xml:space="preserve">Neinvestiční příspěvky zřízeným PO </t>
  </si>
  <si>
    <t>Nájemné za půdu</t>
  </si>
  <si>
    <t>neinv.transfery na provoz škol</t>
  </si>
  <si>
    <t>Prostějov -  okružní křižovatka</t>
  </si>
  <si>
    <t xml:space="preserve">Olomouc, místní část Chomutov - průtah </t>
  </si>
  <si>
    <t>III/37349 Ptení - obchvat</t>
  </si>
  <si>
    <t>Velký Týnec - průtah, II. Etapa</t>
  </si>
  <si>
    <t>Dub - Tovačov, stavební úpravy (křižovatka s II/150 po křižovatku do Tovačova do II/433)</t>
  </si>
  <si>
    <t>Dub nad Moravou - hranice krajů OL/ZL silnice II/150 - Želátovice - Dřevohostice,</t>
  </si>
  <si>
    <t>Přerov - most u elektrárny event. Č. 04720-1</t>
  </si>
  <si>
    <t>GG - 5.2. Informovanost a publicita programu v Olomouckém kraji</t>
  </si>
  <si>
    <t>61) Zvýšení přeshraniční dostupnosti Otmuchów - Mikulovice</t>
  </si>
  <si>
    <t>ORJ - 61</t>
  </si>
  <si>
    <t>číslo účtu: 3456222/0800</t>
  </si>
  <si>
    <t>Zvýšení přeshraniční dostupnosti Otmuchów - Mikulovice</t>
  </si>
  <si>
    <t>62) Zvýšení přeshraniční dostupnosti Vidnava - Paczków</t>
  </si>
  <si>
    <t>ORJ - 62</t>
  </si>
  <si>
    <t>číslo účtu: 3456062/0800</t>
  </si>
  <si>
    <t>Zvýšení přeshraniční dostupnosti Vidnava - Paczków</t>
  </si>
  <si>
    <t>program "Fin.asistentů pedagoga pro děti,žáky a st.se soc.znevýhodněním"</t>
  </si>
  <si>
    <t>Soukromá SOŠ, s.r.o., Jaselská 832, Hranice</t>
  </si>
  <si>
    <t>ORG 1539</t>
  </si>
  <si>
    <t>ORG 1554</t>
  </si>
  <si>
    <t>ORG 3000</t>
  </si>
  <si>
    <t>Ostatní neinvestiční transfery neziskovým a podobným organizacím</t>
  </si>
  <si>
    <t>Brodek u Konice</t>
  </si>
  <si>
    <t>ORG 8106</t>
  </si>
  <si>
    <t>Dubicko</t>
  </si>
  <si>
    <t>ORG 8210</t>
  </si>
  <si>
    <t>Svazek obcí údolí Desné</t>
  </si>
  <si>
    <t>ORG 8278</t>
  </si>
  <si>
    <t>Ostatní neinvestiční transfery veřejným rozpočtům územní úrovně</t>
  </si>
  <si>
    <t>Ostatní investiční transfery neziskovým a podobným organizacím</t>
  </si>
  <si>
    <t>Ostatní investiční transfery veřejným rozpočtům územní úrovně</t>
  </si>
  <si>
    <t>Horka nad Moravou</t>
  </si>
  <si>
    <t>ORG 8327</t>
  </si>
  <si>
    <t>Statutární město Olomouc</t>
  </si>
  <si>
    <t>ORG 8357</t>
  </si>
  <si>
    <t>Velký Týnec</t>
  </si>
  <si>
    <t>ORG 8386</t>
  </si>
  <si>
    <t>Lobodice</t>
  </si>
  <si>
    <t>ORG 8446</t>
  </si>
  <si>
    <t>Soběchleby</t>
  </si>
  <si>
    <t>ORG 8480</t>
  </si>
  <si>
    <t>ORG 1014</t>
  </si>
  <si>
    <t>ORG 1035</t>
  </si>
  <si>
    <t>ORG 1040</t>
  </si>
  <si>
    <t>ORG 1041</t>
  </si>
  <si>
    <t>ORG 1127</t>
  </si>
  <si>
    <t>Gymnázium Jana Blahoslava a Střední pedagogická škola, Přerov</t>
  </si>
  <si>
    <t>Odborné učiliště a Praktická škola, Lipová - lázně</t>
  </si>
  <si>
    <t>Dům dětí a mládeže, tř. 17. listopadu 47, Olomouc</t>
  </si>
  <si>
    <t>ORG 1350</t>
  </si>
  <si>
    <t>Soukromá ZŠ Acorn´s a John´s school, s.r.o., U Bečvy 2, Přerov</t>
  </si>
  <si>
    <t>ORG 1516</t>
  </si>
  <si>
    <t>Neinvestiční transfery nefinančním podnikatelským subjektům -právnickým osobám</t>
  </si>
  <si>
    <t>Soukromá SOŠ, s.r.o.,Jaselská 832, Hranice</t>
  </si>
  <si>
    <t>Investiční transfery nefinannčím podnikatelským subjektům-právnickým osobám</t>
  </si>
  <si>
    <t>ORG 2220</t>
  </si>
  <si>
    <t>ORG 2256</t>
  </si>
  <si>
    <t>Uničov</t>
  </si>
  <si>
    <t>ORG 8383</t>
  </si>
  <si>
    <t>Statutární město Přerov</t>
  </si>
  <si>
    <t>ZŠ a MŠ, Malá Dlážka 4, Přerov</t>
  </si>
  <si>
    <t>SPŠ strojnická Olomouc, tř. 17. listopadu 49</t>
  </si>
  <si>
    <t>ORG 1151</t>
  </si>
  <si>
    <t>Střední odborná škola Litovel</t>
  </si>
  <si>
    <t>Střední odborná škola gastronomie a potravinářství, U Jatek 8, Jeseník</t>
  </si>
  <si>
    <t>ORG 1226</t>
  </si>
  <si>
    <t xml:space="preserve">Výdaje odboru strategického rozvoje kraje - operační program Olomouckého kraje </t>
  </si>
  <si>
    <t>Výdaje odboru dopravy a silničního hosp.</t>
  </si>
  <si>
    <t>00000017</t>
  </si>
  <si>
    <t>Neinv.transfery obecně prospěš.spol.</t>
  </si>
  <si>
    <t>00098297</t>
  </si>
  <si>
    <t>00098335</t>
  </si>
  <si>
    <t>MPSV - na výplatu st.přísp.pro zřiz.zařízení pro děti vyž.okamžitou pomoc</t>
  </si>
  <si>
    <t>ORJ 8803-Příprava projektů podnikatelů na čerpání prostř.ze SF EU</t>
  </si>
  <si>
    <t>ORJ 8835 - Příprava projektů NNO na čerpání prostř.ze SF EU</t>
  </si>
  <si>
    <t>Neinvestiční příspěvky zřízeným PO-rezerva</t>
  </si>
  <si>
    <t xml:space="preserve">Rezerva </t>
  </si>
  <si>
    <t>Odbory (kanceláře) Krajského úřadu Olomouckého kraje</t>
  </si>
  <si>
    <r>
      <t xml:space="preserve"> </t>
    </r>
    <r>
      <rPr>
        <b/>
        <sz val="11"/>
        <rFont val="Arial"/>
        <family val="2"/>
        <charset val="238"/>
      </rPr>
      <t>•</t>
    </r>
    <r>
      <rPr>
        <b/>
        <sz val="11"/>
        <rFont val="Arial"/>
        <family val="2"/>
        <charset val="238"/>
      </rPr>
      <t xml:space="preserve"> </t>
    </r>
  </si>
  <si>
    <t xml:space="preserve"> •</t>
  </si>
  <si>
    <t>00029517</t>
  </si>
  <si>
    <t>Půjčka z EIB-projekt modernizace silniční sítě</t>
  </si>
  <si>
    <t>00000813</t>
  </si>
  <si>
    <t>Půjčka z EIB - ROP</t>
  </si>
  <si>
    <t>Vratky veř.rozpočtům ústř.úr.tr.poskyt.v min.rozp.obd.</t>
  </si>
  <si>
    <t>Ostatní poskytnuté zálohy a jistiny</t>
  </si>
  <si>
    <t>Poskytnuté neinv. příspěvky a náhrady</t>
  </si>
  <si>
    <t>Program obnovy venkova</t>
  </si>
  <si>
    <t>6) Odbor informačních technologií</t>
  </si>
  <si>
    <t>Sociální služby Prostějov</t>
  </si>
  <si>
    <t>Příspěvky do zahraničí</t>
  </si>
  <si>
    <t>ORG 30106000000</t>
  </si>
  <si>
    <t>Ostatní neinvestiční transfery do zahraničí</t>
  </si>
  <si>
    <t>Neinvestiční transfery nefinančním podnikatelským subjektům - právnickým osobám</t>
  </si>
  <si>
    <t>Investiční transfery nefinančním podnikatelským subjektům - právnickým osobám</t>
  </si>
  <si>
    <t>ORG 1124</t>
  </si>
  <si>
    <t>ORG 1216</t>
  </si>
  <si>
    <t>ORG 3001</t>
  </si>
  <si>
    <t>Regionální agentura pro rozvoj Střední Moravy</t>
  </si>
  <si>
    <t>ORG 3028</t>
  </si>
  <si>
    <t>64) Operační program lidské zdroje a zaměstnanost</t>
  </si>
  <si>
    <t>ORJ - 64</t>
  </si>
  <si>
    <t>číslo účtu: 4167692/0800</t>
  </si>
  <si>
    <t>Střednědobý plán rozvoje sociálních služeb</t>
  </si>
  <si>
    <t>ORG 100493</t>
  </si>
  <si>
    <t xml:space="preserve">Pohoštění </t>
  </si>
  <si>
    <t>Zajištění integrace příslušníků romských komunit</t>
  </si>
  <si>
    <t>ORG 100580</t>
  </si>
  <si>
    <t>Vzdělání v eGON Centru Olomouckého kraje</t>
  </si>
  <si>
    <t>ORG 100350</t>
  </si>
  <si>
    <t>Operační program lidské zdroje a zaměstnanost</t>
  </si>
  <si>
    <t>65) Podpora rozvoje Olomouckého kraje 2010 - 2012</t>
  </si>
  <si>
    <t>ORJ - 65</t>
  </si>
  <si>
    <t xml:space="preserve">ÚSP pro mládež Olšany - Výměna technologie lůžkového výtahu </t>
  </si>
  <si>
    <t>Gymnázium, Zábřeh, náměstí Osvobození 20 - Výměna rozvodů topení</t>
  </si>
  <si>
    <t xml:space="preserve">SŠ, ZŠ a MŠ Šumperk, Hanácká 3 - Oprava zídky a vjezdu </t>
  </si>
  <si>
    <t>Odborné učiliště, Křenovice 8 - Půdní vestavba</t>
  </si>
  <si>
    <t xml:space="preserve">SŠ technická, Přerov - Střecha areálu Bří Hovůrkových </t>
  </si>
  <si>
    <t>Střední zdravotnická škola, Hranice - Plynová kotelna</t>
  </si>
  <si>
    <t>Vyšší odborná škola a SPŠ, Šumperk - Modernizace školní kuchyně</t>
  </si>
  <si>
    <t>Sociální služby pro seniory Olomouc - oprava výtahů (4 ks)</t>
  </si>
  <si>
    <t>Sociální služby Šumperk - přístavba výtahu</t>
  </si>
  <si>
    <t>Domov Na zámečku Rokytnice - oprava výtahu</t>
  </si>
  <si>
    <t>výměna oken - I. a II. Etapa, DD Prostějov</t>
  </si>
  <si>
    <t>Oprava výtahu DD Prostějov, Nerudova (1osobní + 1nákladní, 6 pater)</t>
  </si>
  <si>
    <t>DD Chválkovice - úpravy výtahů</t>
  </si>
  <si>
    <t>ZUŠ Miloslava Stibora, výtvarný obor, Olomouc -Statické zajištění budovy</t>
  </si>
  <si>
    <t>číslo účtu: 35-1843390267/0100</t>
  </si>
  <si>
    <t xml:space="preserve">42) GS - 3.3. Rozvoj kapacit dalšího profesního vzdělávání         </t>
  </si>
  <si>
    <t>GS - 3.3. Rozvoj kapacit dalšího profesního vzdělávání   celkem</t>
  </si>
  <si>
    <t xml:space="preserve">SMN a.s. o.z. Nemocnice Prostějov – přemístění onkologie </t>
  </si>
  <si>
    <t>Konice - novostavba stanice HZS - příspěvek Konice ve výši 40%</t>
  </si>
  <si>
    <t>III/44311 Dolany - průtah, most</t>
  </si>
  <si>
    <t>ORG 100114</t>
  </si>
  <si>
    <t>ORG 100132</t>
  </si>
  <si>
    <t>Cestování časem</t>
  </si>
  <si>
    <t>ORG 100101</t>
  </si>
  <si>
    <t>Rozvoj záchranných systémů</t>
  </si>
  <si>
    <t>ORG 100322</t>
  </si>
  <si>
    <t>ZUŠ I.Krejčího, Na Vozovce 32, Olomouc</t>
  </si>
  <si>
    <t>ZUŠ Žerotín, Kavaleristů 6, Olomouc</t>
  </si>
  <si>
    <t>ZUŠ, Potštát 36</t>
  </si>
  <si>
    <t>ZUŠ, Školní nám. 35, Hranice</t>
  </si>
  <si>
    <t>ZUŠ, Hanusíkova 197, Kojetín</t>
  </si>
  <si>
    <t>ZUŠ, nám. Svobody 15, Mohelnice</t>
  </si>
  <si>
    <t>ZUŠ, Žerotínova 11, Šumperk</t>
  </si>
  <si>
    <t>ZUŠ, Farní 9, Zábřeh na Moravě</t>
  </si>
  <si>
    <t>Gymnázium Olomouc - Hejčín - výstavba stravovacího pavilonu skuch.</t>
  </si>
  <si>
    <t>Gymnázium, Hranice - půdní vestavba</t>
  </si>
  <si>
    <t>SOU Litovel - rekonstrukce obv.pláště a výměna oken</t>
  </si>
  <si>
    <t>SOŠ a SOU zemědělské, Horní Heřmanice - rek.vytápění</t>
  </si>
  <si>
    <t>Provozní příspěvky zřízeným PO</t>
  </si>
  <si>
    <t>53) GG - 5.1. Řízení, kontrola, monitorování a hodnocení programu v Olomouckém kraji</t>
  </si>
  <si>
    <t>ORJ - 53</t>
  </si>
  <si>
    <t>číslo účtu: 35-1843450207/0100</t>
  </si>
  <si>
    <t>Rezerva pro příspěvkové organizace</t>
  </si>
  <si>
    <t>Neinvestiční rezerva pro PO</t>
  </si>
  <si>
    <t>pověřená vedením útvaru interního auditu</t>
  </si>
  <si>
    <t>Ing. Věra Štembírková</t>
  </si>
  <si>
    <t>EUO - Obchodní akademie Mohelnice</t>
  </si>
  <si>
    <t>ORG 100133</t>
  </si>
  <si>
    <t>EUO - SŠ polygrafická Olomouc</t>
  </si>
  <si>
    <t>ORG 100134</t>
  </si>
  <si>
    <t>Energetická úsporná opatření - Gymnázium Šumperk</t>
  </si>
  <si>
    <t>ORG 100135</t>
  </si>
  <si>
    <t xml:space="preserve">nájemné PO </t>
  </si>
  <si>
    <t>obl.školství</t>
  </si>
  <si>
    <t>obl.sociální</t>
  </si>
  <si>
    <t>obl.dopravy</t>
  </si>
  <si>
    <t>obl.zdravotnictví</t>
  </si>
  <si>
    <t>obl.kriz.řízení</t>
  </si>
  <si>
    <t>obl.kultury</t>
  </si>
  <si>
    <t>Prostějov - přeložka silnice II/366 od Tesca</t>
  </si>
  <si>
    <t>Gymnázium, Komenského 281, Jeseník</t>
  </si>
  <si>
    <t>SPŠE a VOŠ, Božetěchova 3, Olomouc</t>
  </si>
  <si>
    <t>Odstupné</t>
  </si>
  <si>
    <t>Ost.povinné poj.hrazené zaměstn.</t>
  </si>
  <si>
    <t>Neinvestiční příspěvky celkem</t>
  </si>
  <si>
    <t>Investiční příspěvky celkem</t>
  </si>
  <si>
    <t>II/366 Rekonstrukce silnice a most Kostelec na Hané</t>
  </si>
  <si>
    <t>Ohrozim obchvat</t>
  </si>
  <si>
    <t>Dub nad Moravou - hranice okresu PV - rekonstrukce silnice</t>
  </si>
  <si>
    <t>Kozlovice - obchvat</t>
  </si>
  <si>
    <t>Sušice - přeložka silnice</t>
  </si>
  <si>
    <t>Ostružná - obchvat, 1. a 2. etapa</t>
  </si>
  <si>
    <t>Protihluková opatření - Radslavice</t>
  </si>
  <si>
    <t>OA a Jazyková škola s právem st.jazyk.skoušky, Hlavní tř. 31, Šumperk</t>
  </si>
  <si>
    <t>SZdrŠ a VOŠ zdravotnická E.Pöttinga, Pöttingova 2, Olomouc</t>
  </si>
  <si>
    <t>příspěvek na provoz PO</t>
  </si>
  <si>
    <t>příspěvek na mezinárodní výměnné pobyty</t>
  </si>
  <si>
    <t>enviromentální vzdělávání, výchova a osvěta</t>
  </si>
  <si>
    <t>talent Olomouckého kraje</t>
  </si>
  <si>
    <t>Dotace na JSDH z rozpočtu kraje</t>
  </si>
  <si>
    <t>PPP Olomouckého kraje , U sportovní haly 1, Olomouc</t>
  </si>
  <si>
    <t>Základní škola, Sladovní 492, Kojetín</t>
  </si>
  <si>
    <t>Vratky veř.rozpočtům ústř.úrovně transferů poskyt.v min.rozpočt.obd.</t>
  </si>
  <si>
    <t>00000109</t>
  </si>
  <si>
    <t>00000023</t>
  </si>
  <si>
    <t>00033353</t>
  </si>
  <si>
    <t>00000022</t>
  </si>
  <si>
    <t>00007131</t>
  </si>
  <si>
    <t>00033160</t>
  </si>
  <si>
    <t>00033166</t>
  </si>
  <si>
    <t>MŠMT - okresní a krajské kolo soutěží</t>
  </si>
  <si>
    <t>00033192</t>
  </si>
  <si>
    <t>00033155</t>
  </si>
  <si>
    <t xml:space="preserve">Neinv.transfery občanským sdružením </t>
  </si>
  <si>
    <t>Ostatní neinv.transfery nezisk.a pod.org.</t>
  </si>
  <si>
    <t>Pojistné plnění PO</t>
  </si>
  <si>
    <t>ORG 3009000001 - Silnice II. Třídy č. 446 Nová Seninka</t>
  </si>
  <si>
    <t>RZ 660/04 - přesun z ORJ 08, § 3639, pol. 5166</t>
  </si>
  <si>
    <t>Individuální projekty</t>
  </si>
  <si>
    <t>Provozní  výdaje celkem</t>
  </si>
  <si>
    <t>Provozní výdaje individuálních projektů celkem</t>
  </si>
  <si>
    <t xml:space="preserve">Investiční výdaje individuálních projektů celkem </t>
  </si>
  <si>
    <t>Investiční transfery obecně prospěšným společnostem</t>
  </si>
  <si>
    <t>ORG 1108</t>
  </si>
  <si>
    <t>Střední škola sociální péče a služeb, Zábřeh</t>
  </si>
  <si>
    <t>ORG 1223</t>
  </si>
  <si>
    <t>ORG 1225</t>
  </si>
  <si>
    <t>ORG 8400</t>
  </si>
  <si>
    <t>Investiční transfery občanským sdružením</t>
  </si>
  <si>
    <t xml:space="preserve"> -účelové investiční dotace</t>
  </si>
  <si>
    <t xml:space="preserve"> -provozní příspěvek</t>
  </si>
  <si>
    <t xml:space="preserve"> -investiční  příspěvek</t>
  </si>
  <si>
    <t>Výdaje odboru sociálních věcí</t>
  </si>
  <si>
    <t xml:space="preserve">Nákup ostatních služeb </t>
  </si>
  <si>
    <t>Cestovné (tuzemské i zahraniční)</t>
  </si>
  <si>
    <t>Odborný léčebný ústav neurologicko-geriatrický v Moravském Berouně</t>
  </si>
  <si>
    <t xml:space="preserve">Odbor kultury a památkové péče celkem </t>
  </si>
  <si>
    <t xml:space="preserve">Odbor ekonomický celkem </t>
  </si>
  <si>
    <t>8) Odbor strategického rozvoje kraje</t>
  </si>
  <si>
    <t>Kancelář ředitele</t>
  </si>
  <si>
    <t>Odbor majetkový a právní</t>
  </si>
  <si>
    <t>ORG 100014</t>
  </si>
  <si>
    <t>ZZS OK - přístrojové vybavení vozidel</t>
  </si>
  <si>
    <t>ORG 100015</t>
  </si>
  <si>
    <t>Investiční transfery do zahraničí</t>
  </si>
  <si>
    <t>ZZS OK, p.o. - Čerpací stanice pro heliport Olomouc</t>
  </si>
  <si>
    <t>OLÚ Moravský Beroun, p.o.- Box pro zemřelé pacienty</t>
  </si>
  <si>
    <t>OLÚ Paseka - Centrální jídelna a rozšíření prádelny (změna názvu k 17. 12. 2009)</t>
  </si>
  <si>
    <t>ZUŠ Franze Schuberta, Nádražní 280, Zlaté Hory</t>
  </si>
  <si>
    <t>ZUŠ, Dvořákova 349, Moravský Beroun</t>
  </si>
  <si>
    <t>Neinv.transfery nefin.podn.subj.-FO</t>
  </si>
  <si>
    <t>Ostatní povinné pojistné placené zaměstnavatelem</t>
  </si>
  <si>
    <t>00033018</t>
  </si>
  <si>
    <t>Investiční transfery nefin.podnik.subj.-PO</t>
  </si>
  <si>
    <t xml:space="preserve">Inv.transfery obč.sdružením </t>
  </si>
  <si>
    <t xml:space="preserve">Investiční transfery zřízeným PO </t>
  </si>
  <si>
    <t>Neinvest.transfery nefin.podnik.subjektům-PO</t>
  </si>
  <si>
    <t>Neinv.transfery obecně prospěš.společnostem</t>
  </si>
  <si>
    <t>Investiční transfery zřízeným  PO</t>
  </si>
  <si>
    <t>Povinné pojistné na sociální zabezpečení a příspěvěk na státní politiku zaměstnanosti</t>
  </si>
  <si>
    <t>Povinné pojistné na veřejné zdravotní pojištění</t>
  </si>
  <si>
    <t>Individuální projekty (před podáním výzvy)</t>
  </si>
  <si>
    <t xml:space="preserve"> - konsolidace</t>
  </si>
  <si>
    <t>ORJ - 32</t>
  </si>
  <si>
    <t xml:space="preserve">Výdaje Olomouckého kraje celkem </t>
  </si>
  <si>
    <t>Ost.inv.transfery veř.rozp.úz.úrovně</t>
  </si>
  <si>
    <t>Odpisy</t>
  </si>
  <si>
    <t>00000886</t>
  </si>
  <si>
    <t>PO - přefinancování (půjčka EIB)</t>
  </si>
  <si>
    <t>Mgr. Jiří Šafránek</t>
  </si>
  <si>
    <t>14) Odbor zdravotnictví</t>
  </si>
  <si>
    <t xml:space="preserve">Odbor majetkový a právní celkem </t>
  </si>
  <si>
    <t xml:space="preserve">Odbor životního prostředí a zemědělství celkem </t>
  </si>
  <si>
    <t>3) Kancelář ředitele</t>
  </si>
  <si>
    <t xml:space="preserve">Kancelář ředitele celkem </t>
  </si>
  <si>
    <t>Výdaje Olomouckého kraje celkem                       (po konsolidaci)</t>
  </si>
  <si>
    <t>Sociální fond celkem</t>
  </si>
  <si>
    <t>Ústav sociální péče pro mládež Jeseník</t>
  </si>
  <si>
    <t>Ústav sociální péče pro mládež Jeseník celkem</t>
  </si>
  <si>
    <t>Středisko pečovatelské služby Jeseník</t>
  </si>
  <si>
    <t>Odbor ivestic a evropských programů</t>
  </si>
  <si>
    <t>ORG - 1636</t>
  </si>
  <si>
    <t>ORG - 1637</t>
  </si>
  <si>
    <t>Neinv.transfery obecně prospěšným  spol.</t>
  </si>
  <si>
    <t>Obnova kult.památek v OK</t>
  </si>
  <si>
    <t>Obnova staveb drobné arch.mistního významu v OK</t>
  </si>
  <si>
    <t>Neinv.transfery církvím a nábož.společnost.</t>
  </si>
  <si>
    <t>Neinvestiční transfery obcím</t>
  </si>
  <si>
    <t>00000002</t>
  </si>
  <si>
    <t>Přebytek hospodaření OK</t>
  </si>
  <si>
    <t>00000008</t>
  </si>
  <si>
    <t>00000508</t>
  </si>
  <si>
    <t>Zastupování zájmů OK v Bruselu</t>
  </si>
  <si>
    <t>SOŠ průmyslová a SOU strojírenské, Lidická 4, Prostějov</t>
  </si>
  <si>
    <t>Střední škola gastronomie a služeb, Šířava 7, Přerov</t>
  </si>
  <si>
    <t>Neinvestiční dotace zřízeným PO</t>
  </si>
  <si>
    <t>OPVK-oblast 1.4.EU peníze školám-EU</t>
  </si>
  <si>
    <t>projekty romské komunity</t>
  </si>
  <si>
    <t>Individ.projekty ost.OP VK-EU</t>
  </si>
  <si>
    <t>Střední průmyslová škola Hranice, Studentská 1384, Hranice</t>
  </si>
  <si>
    <t>individ.projekty ost.OP VK-EU</t>
  </si>
  <si>
    <t>stipendia pro žáky učebních oborů</t>
  </si>
  <si>
    <t>SŠ elektrotechnická,Tyršova 781, Lipník n/B.</t>
  </si>
  <si>
    <t>rezerva</t>
  </si>
  <si>
    <t>Česko Britská Mezinárodní škola a MŠ s.r.o., Rooseveltova 101,   Olomouc</t>
  </si>
  <si>
    <t>Vyb.škol pomůckami kompenzač.a rehab.char.</t>
  </si>
  <si>
    <t>Waldorfská ZŠ a MŠ Olomouc, s.r.o., Kosinova 876/3, Olomouc</t>
  </si>
  <si>
    <t>ORJ - 41</t>
  </si>
  <si>
    <t>ORJ - 42</t>
  </si>
  <si>
    <t>SROP 3.3 - Partnerství pro rozvoj kraje - 2. část</t>
  </si>
  <si>
    <t>ORG 4608000040</t>
  </si>
  <si>
    <t>ORJ - 46</t>
  </si>
  <si>
    <t>OP RLZ - 3.1.: Vzdělávání učitelů v přípravě a řízení projektů SF EU na středních školách v Olomouckém kraji</t>
  </si>
  <si>
    <t>ORJ - 47</t>
  </si>
  <si>
    <t>GS - 4.2.2 Podpora regionální a místní infrastruktury cestovního ruchu v Olomouckém kraji</t>
  </si>
  <si>
    <t>ORJ - 03</t>
  </si>
  <si>
    <t>Plyn</t>
  </si>
  <si>
    <t>v tis.Kč</t>
  </si>
  <si>
    <t>Poskytnuté neinv.příspěvky a náhrady</t>
  </si>
  <si>
    <t>Ostatní platy</t>
  </si>
  <si>
    <t>Ost.povinné pojistné placené zaměstn.</t>
  </si>
  <si>
    <t xml:space="preserve">Opravy a udržování </t>
  </si>
  <si>
    <t>Dopravní prostředky</t>
  </si>
  <si>
    <t>Centrum sociálních služeb Prostějov</t>
  </si>
  <si>
    <t xml:space="preserve">Centrum sociálních služeb Prostějov  celkem </t>
  </si>
  <si>
    <t>ORJ - 99</t>
  </si>
  <si>
    <t>Gymnázium, Zborovská 293, Hranice</t>
  </si>
  <si>
    <t>Neinv.transfery cizím PO</t>
  </si>
  <si>
    <t>Invest.transf.nefin.podn.subj.-PO</t>
  </si>
  <si>
    <t>MZeČR - Meliorace a hrazení bystřin v lesích podle § 35 odst. 1 a 3 lesního zákona (investice)</t>
  </si>
  <si>
    <t>MV - neinv.dot.obcím a krajům na projekty prevence kriminality</t>
  </si>
  <si>
    <t>Neinv.transfery církvím a nábož.společn.</t>
  </si>
  <si>
    <t>Strategie  integrace přísluš.romských komunit OK</t>
  </si>
  <si>
    <t>Nákup majetkových podílů</t>
  </si>
  <si>
    <t>Kofinancování evrop.vzděláv.programů</t>
  </si>
  <si>
    <t>MOČR - neinv.transfery na provoz škol</t>
  </si>
  <si>
    <t>00033008</t>
  </si>
  <si>
    <t>Odborný léčebný ústav Paseka</t>
  </si>
  <si>
    <t>Odborný léčebný ústav Paseka celkem</t>
  </si>
  <si>
    <t>Vlastivědné muzeum Jesenicka celkem</t>
  </si>
  <si>
    <t>Účastnické poplatky na konference</t>
  </si>
  <si>
    <t>Investiční  výdaje</t>
  </si>
  <si>
    <t>2) Kancelář hejtmana</t>
  </si>
  <si>
    <t xml:space="preserve">Kancelář hejtmana celkem </t>
  </si>
  <si>
    <t>4) Odbor majetkový a právní</t>
  </si>
  <si>
    <t>00000605</t>
  </si>
  <si>
    <t>OU  Křenovice 8, Kojetín</t>
  </si>
  <si>
    <t xml:space="preserve">Odbor zdravotnictví celkem </t>
  </si>
  <si>
    <t xml:space="preserve">Odbor sociálních věcí celkem </t>
  </si>
  <si>
    <t>ZŠ a MŠ při Priess.léčeb.lázních,a.s.,  Kalvodova 360, Jeseník</t>
  </si>
  <si>
    <t>VOŠ a SPŠ , gen. Krátkého 1, Šumperk</t>
  </si>
  <si>
    <t>Přísp.na úhr.prok.ztr.dopr.-veř.link.doprava</t>
  </si>
  <si>
    <t>Přísp.na úhr.prok.ztr.z poskyt.zlev.ŽJ-veř.link.dop.</t>
  </si>
  <si>
    <t>Provoz</t>
  </si>
  <si>
    <t>Příspěvek na odpisy</t>
  </si>
  <si>
    <t>Neinvestiční transfery nefininačním podnikatelským subjektům - právnickým osobám</t>
  </si>
  <si>
    <t>ORG 1102</t>
  </si>
  <si>
    <t>Neinvestiční transfery zřízeným příspěvkovým organizacím</t>
  </si>
  <si>
    <t>Gymnázium Olomouc - Hejčín</t>
  </si>
  <si>
    <t>ORG 1103</t>
  </si>
  <si>
    <t>ORG 1106</t>
  </si>
  <si>
    <t>Gymnázium Jeseník</t>
  </si>
  <si>
    <t>ORG 1113</t>
  </si>
  <si>
    <t>VOŠ a SPŠ elektrotechnická, Olomouc</t>
  </si>
  <si>
    <t>ORG 1120</t>
  </si>
  <si>
    <t>SPŠ strojnická, Olomouc</t>
  </si>
  <si>
    <t>ORG 1121</t>
  </si>
  <si>
    <t>SPŠ oděvní, Prostějov</t>
  </si>
  <si>
    <t>ORG 1125</t>
  </si>
  <si>
    <t>ORG 1153</t>
  </si>
  <si>
    <t>ORG 1160</t>
  </si>
  <si>
    <t>Investiční transfery zřízeným příspěvkovým organizacím</t>
  </si>
  <si>
    <t>Realizace energeticky úsporných opatření - Sigmundova střední škola strojírenská, Lutín - budova školy</t>
  </si>
  <si>
    <t>ORG 100553</t>
  </si>
  <si>
    <t>Realizace energeticky úsporných opatření - Sigmundova střední škola strojírenská, Lutín - domov mládeže</t>
  </si>
  <si>
    <t>ORG 100554</t>
  </si>
  <si>
    <t>Realizace energeticky úsporných opatření - Gymnázium Uničov</t>
  </si>
  <si>
    <t>ORG 100559</t>
  </si>
  <si>
    <t>Realizace energeticky úsporných opatření - VOŠ a SPŠ Šumperk - budova školy</t>
  </si>
  <si>
    <t>ORG 100561</t>
  </si>
  <si>
    <t>Realizace energeticky úsporných opatření - VOŠ a SPŠ Šumperk - domov mládeže</t>
  </si>
  <si>
    <t>ORG 100562</t>
  </si>
  <si>
    <t>Realizace energeticky úsporných opatření - VOŠ a SPŠ Šumperk - tělocvična</t>
  </si>
  <si>
    <t>ORG 100563</t>
  </si>
  <si>
    <t>Čechy pod Kosířem, využití areálu zámku a parku</t>
  </si>
  <si>
    <t>ORG 100025</t>
  </si>
  <si>
    <t>Čechy pod Kosířem, revitalizace parku</t>
  </si>
  <si>
    <t>ORG 100571</t>
  </si>
  <si>
    <t>ORG 100050</t>
  </si>
  <si>
    <t>Silnice III/4469 Bohuňovice - průtah</t>
  </si>
  <si>
    <t>ORG 100489</t>
  </si>
  <si>
    <t>Inv.transfery nefin.podn.subj.-PO</t>
  </si>
  <si>
    <t>Příspěvek na provoz-mzdové náklady</t>
  </si>
  <si>
    <t>Výdaje</t>
  </si>
  <si>
    <t>Evropské programy</t>
  </si>
  <si>
    <t>číslo účtu:1695262/0800</t>
  </si>
  <si>
    <t>Společný regionální operační program</t>
  </si>
  <si>
    <t>Povinné pojistné na sociální zabezpečení a příspěvek na státní politiku zaměstnanosti</t>
  </si>
  <si>
    <t xml:space="preserve">Povinné pojistné na veřejné zdravotní pojištění </t>
  </si>
  <si>
    <t>VOŠ a SPŠ elektrotechnická, Olomouc-školní tělocvična</t>
  </si>
  <si>
    <t>Slovanské gymnázium, Olomouc - rek.soc.zařízení</t>
  </si>
  <si>
    <t>Gymnázium J. Opletala, Opletalova 189, Litovel</t>
  </si>
  <si>
    <t>Gymnázium, Čajkovského 9, Olomouc</t>
  </si>
  <si>
    <t>Gymnázium, Tomkova 45, Olomouc-Hejčín</t>
  </si>
  <si>
    <t>RZ 149/05 - přesun na ORJ 99, § 2399, pol. 5909</t>
  </si>
  <si>
    <t>RZ 187/05 - přesun na ORJ 99, § 2399, pol. 5909</t>
  </si>
  <si>
    <t>ORG - 1631</t>
  </si>
  <si>
    <t>Domov pro seniory Javorník</t>
  </si>
  <si>
    <t>ORG - 1632</t>
  </si>
  <si>
    <t>Domov pro seniory Javorník celkem</t>
  </si>
  <si>
    <t>ORG - 1633</t>
  </si>
  <si>
    <t>ORG - 1634</t>
  </si>
  <si>
    <t>ORG - 1635</t>
  </si>
  <si>
    <t>59) Projekty v rámci ROP</t>
  </si>
  <si>
    <t>Ostaní neinvestiční výdaje jinde nezařazené</t>
  </si>
  <si>
    <t>Neinvestiční transfery obecně prospěšným společnostem</t>
  </si>
  <si>
    <t>Neinv.transfery šk.PO zřízeným státem, kraji a obcemi</t>
  </si>
  <si>
    <t>00000112</t>
  </si>
  <si>
    <t>Domov seniorů POHODA Chvalkovice celkem</t>
  </si>
  <si>
    <t>ORG - 1640</t>
  </si>
  <si>
    <t>Klíč-centrum sociálních služeb</t>
  </si>
  <si>
    <t>ORG - 1641</t>
  </si>
  <si>
    <t>Klíč-centrum sociálních služeb celkem</t>
  </si>
  <si>
    <t>ORG - 1642</t>
  </si>
  <si>
    <t>Nové Zámky - poskytovatel sociálních služeb</t>
  </si>
  <si>
    <t>Nové Zámky-poskytovatel sociálních služeb celkem</t>
  </si>
  <si>
    <t>ORG - 1645</t>
  </si>
  <si>
    <t>ORG - 1646</t>
  </si>
  <si>
    <t>ORG - 1647</t>
  </si>
  <si>
    <t>ORG - 1644</t>
  </si>
  <si>
    <t>ORG - 1648</t>
  </si>
  <si>
    <t>Útvar interního auditu celkem</t>
  </si>
  <si>
    <t>Konsolidace *</t>
  </si>
  <si>
    <t>* Konsolidace</t>
  </si>
  <si>
    <t>Konsolidace je očištění údajů  rozpočtu a skutečnosti o interní přesuny peněžních prostředků uvnitř organizace mezi jednotlivými účty.</t>
  </si>
  <si>
    <t>Domov důchodců Jesenec celkem</t>
  </si>
  <si>
    <t>Sociální služby Prostějov celkem</t>
  </si>
  <si>
    <t>Talent Olomouckého kraje</t>
  </si>
  <si>
    <t>MŠMT - rozvoj.progr.MŠMT pro děti-cizince ze 3.zemí</t>
  </si>
  <si>
    <t>PO, SŠ, Obec.šk.</t>
  </si>
  <si>
    <t>celkem odbor +PO,SŠ,OŠ</t>
  </si>
  <si>
    <t>Výdaje odboru informačních technologií</t>
  </si>
  <si>
    <t>Umělecká díla a předměty</t>
  </si>
  <si>
    <t>Neinvestiční transfery cizím PO</t>
  </si>
  <si>
    <t>49595002</t>
  </si>
  <si>
    <t>FS-A1.čištění, opr., obnova a rek.poškoz.infrastr.a veř.maj.-NIV</t>
  </si>
  <si>
    <t>00000510</t>
  </si>
  <si>
    <t>Komunikační,publik.a propagační činnost</t>
  </si>
  <si>
    <t>49595006</t>
  </si>
  <si>
    <t>FS-B1. dočasné ubytování (obyvatel, vojáků, apod.)–NIV</t>
  </si>
  <si>
    <t>49595008</t>
  </si>
  <si>
    <t xml:space="preserve">FS-B3. kompenzace (odpisové hodnoty) zničeného nebo poškozeného vybavení </t>
  </si>
  <si>
    <t>49595009</t>
  </si>
  <si>
    <t>FS-B4. dezinsekce, zejména kalamitního výskytu komárů – NIV</t>
  </si>
  <si>
    <t>49595010</t>
  </si>
  <si>
    <t>FS-B5. záchranné služby a služby sdružení dobrovolných hasičů-NIV</t>
  </si>
  <si>
    <t>49595012</t>
  </si>
  <si>
    <t xml:space="preserve">FS-C2. opravy a posílení/zpevnění staticky narušených nebo poškozených staveb-NIV </t>
  </si>
  <si>
    <t>49595013</t>
  </si>
  <si>
    <t>FS-C3. výdaje spojené s geologickými a diagnostickými průzkumy-NIV</t>
  </si>
  <si>
    <t>49595014</t>
  </si>
  <si>
    <t>FS-D1. výdaje spojené s čištěním veřejných prostranství a infrastruktury-NIV</t>
  </si>
  <si>
    <t>00000413</t>
  </si>
  <si>
    <t>Dobrovolnické možnosti podpory seniorů a sociálně vyloučených občanů v EU</t>
  </si>
  <si>
    <t>Neinvestiční půjčené prostředky obcím</t>
  </si>
  <si>
    <t>00000887</t>
  </si>
  <si>
    <t>Úvěr KB - čerpání a splátky</t>
  </si>
  <si>
    <t>00000050</t>
  </si>
  <si>
    <t>Rezerva OK-podíl OK na půjčce EIB</t>
  </si>
  <si>
    <t>Rezerva</t>
  </si>
  <si>
    <t>Cestovné</t>
  </si>
  <si>
    <t>00000553</t>
  </si>
  <si>
    <t>Program na podporu začínajících včelařů na území OK</t>
  </si>
  <si>
    <t>Neinv.transfery obecně prospěš.společ.</t>
  </si>
  <si>
    <t>00000888</t>
  </si>
  <si>
    <t>Úvěr KB (investice kraje-výdaje)</t>
  </si>
  <si>
    <t>KB</t>
  </si>
  <si>
    <t>EIB celkem</t>
  </si>
  <si>
    <t>KB celkem</t>
  </si>
  <si>
    <t>33113233</t>
  </si>
  <si>
    <t>MPSV - OP lidské zdroje a zaměstnanost-CZ</t>
  </si>
  <si>
    <t>33513233</t>
  </si>
  <si>
    <t>MPSV - OP lidské zdroje a zaměstnanost-EU</t>
  </si>
  <si>
    <t>Dům seniorů FRANTIŠEK  Náměšť na Hané</t>
  </si>
  <si>
    <t>Dům seniorů FRANTIŠEK  Náměšť na Hané celkem</t>
  </si>
  <si>
    <t>Duha - centrum sociálních služeb Vikýřovice</t>
  </si>
  <si>
    <t>Duha - centrum sociálních služeb Vikýřovice Celkem</t>
  </si>
  <si>
    <t>ORG 100670</t>
  </si>
  <si>
    <t>SMN a.s. - o.z. Nemocnice Přerov - modernizace pavilonu operačních oborů - I. etapa</t>
  </si>
  <si>
    <t>ORG 100669</t>
  </si>
  <si>
    <t>Přestavba dětského domova SZPD Olomouc na zařízení rodinného typu</t>
  </si>
  <si>
    <t>ORG 100667</t>
  </si>
  <si>
    <t>Realizace energeticky úsporných opatření - SMN a.s. - o.z. Nemocnice Šternberk -interna</t>
  </si>
  <si>
    <t>ORG 100666</t>
  </si>
  <si>
    <t>Realizace energeticky úsporných opatření - SMN a.s. - o.z. Nemocnice Šternberk -pavilon pro dlouhodobě nemocné</t>
  </si>
  <si>
    <t>ORG 100665</t>
  </si>
  <si>
    <t>Realizace energeticky úsporných opatření - SMN a.s. - o.z. Nemocnice Přerov - LDN</t>
  </si>
  <si>
    <t>ORG 100664</t>
  </si>
  <si>
    <t>Realizace energeticky úsporných opatření - SMN a.s. - o.z. Nemocnice Přerov-pavilon interních oborů</t>
  </si>
  <si>
    <t>ORG 100171</t>
  </si>
  <si>
    <t>II/366 Kostelec na Hané - průtah (IV. Etapa)</t>
  </si>
  <si>
    <t>ORG 100065</t>
  </si>
  <si>
    <t>Bedihošť - průtah, I. a II. etapa</t>
  </si>
  <si>
    <t>ORG 100060</t>
  </si>
  <si>
    <t>ORG 100027</t>
  </si>
  <si>
    <t>Čechy - Domaželice - obchvat</t>
  </si>
  <si>
    <t>ORG 100695</t>
  </si>
  <si>
    <t>Realizace energeticky úsporných opatření - Středisko sociální prevence Olomouc, budova Žilinská</t>
  </si>
  <si>
    <t>Neinvestiční dotace zřízeným příspěvkovým organizacím</t>
  </si>
  <si>
    <t>ORG 1101</t>
  </si>
  <si>
    <t>ORG 1518</t>
  </si>
  <si>
    <t>Základní škola a střední škola Pomněnka, o. p. s., Šumavská 13, Šumperk</t>
  </si>
  <si>
    <t>ORG 1517</t>
  </si>
  <si>
    <t>ZŠ pro žáky se specifickými poruchami učení a MŠ logopedická Schola – Viva o. p. s., Erbenova 16, Šumperk</t>
  </si>
  <si>
    <t>ORG 1222</t>
  </si>
  <si>
    <t>ORG 1038</t>
  </si>
  <si>
    <t>ORG 1123</t>
  </si>
  <si>
    <t>SŠ zemědělská, U Hradiska 4, Olomouc</t>
  </si>
  <si>
    <t>ORG 100324</t>
  </si>
  <si>
    <t>Domov Na zámečku Rokytnice - rekonstrukce zámeckého parku a jeho zpřístupnění veřejnosti</t>
  </si>
  <si>
    <t>ORG 100250</t>
  </si>
  <si>
    <t xml:space="preserve"> Realizace energeticky úsporných opatření - Domov důchodců Kobylá nad Vidnávkou (kotelna, zateplení, solární panely)</t>
  </si>
  <si>
    <t xml:space="preserve">Realizace energeticky úsporných opatření - SPŠ a OA Uničov  </t>
  </si>
  <si>
    <t>Revitalizace území areálu staré nemocnice v Prostějově II.etapa</t>
  </si>
  <si>
    <t>Náku ostatních služeb</t>
  </si>
  <si>
    <t>38500881</t>
  </si>
  <si>
    <t>38100882</t>
  </si>
  <si>
    <t>38100880</t>
  </si>
  <si>
    <t>41100880</t>
  </si>
  <si>
    <t>ORG 100016</t>
  </si>
  <si>
    <t>Revitalizace území areálu staré nemocnice v Prostějově</t>
  </si>
  <si>
    <t>Nepecifikované rezervy</t>
  </si>
  <si>
    <t>ORG 8022</t>
  </si>
  <si>
    <t>Zlaté Hory</t>
  </si>
  <si>
    <t>číslo účtu: 43-6947880247/0100</t>
  </si>
  <si>
    <t>ORJ - 66</t>
  </si>
  <si>
    <t>66) Zvyšování kvality ve vzdělávání v Olomouckém kraji II</t>
  </si>
  <si>
    <t>Rovné příležitosti dětí a žáků v Olomouckém kraji II</t>
  </si>
  <si>
    <t>číslo účtu: 43-6947900287/0100</t>
  </si>
  <si>
    <t>ORJ - 67</t>
  </si>
  <si>
    <t>67) Rovné  příležitosti  dětí  a  žáků v Olomouckém kraji II</t>
  </si>
  <si>
    <t>číslo účtu: 43-6947910207/0100</t>
  </si>
  <si>
    <t>ORJ - 68</t>
  </si>
  <si>
    <t>68) Další  vzdělávání pracovníků škol a  školských zařízení v Olomouckém kraji II</t>
  </si>
  <si>
    <t>OP - VK - Zvyšování kvality ve vzdělávání</t>
  </si>
  <si>
    <t>číslo účtu: 43-6948010227/0100</t>
  </si>
  <si>
    <t>ORJ - 69</t>
  </si>
  <si>
    <t>69) OP VK - Zvyšování kvality ve vzdělávání</t>
  </si>
  <si>
    <t>Příprava Olomouckého kraje na kohezní politiku EU 2014+</t>
  </si>
  <si>
    <t>ORG 100696</t>
  </si>
  <si>
    <t>číslo účtu: 107-81230237/0100</t>
  </si>
  <si>
    <t>ORJ - 70</t>
  </si>
  <si>
    <t>70) Příprava Olomouckého kraje na kohezní politiku EU 2014+</t>
  </si>
  <si>
    <t>OP - VK - Řízení, kontrola, monitorování a hodnocení programu v Olomouckém kraji II</t>
  </si>
  <si>
    <t>číslo účtu: 107-83900257/0100</t>
  </si>
  <si>
    <t>ORJ - 71</t>
  </si>
  <si>
    <t>71) OP VK - Řízení, kontrola, monitorování a hodnocení programu v Olomouckém kraji II</t>
  </si>
  <si>
    <t>inv.dot.</t>
  </si>
  <si>
    <t>Zvyšování kvality ve vzdělávání v Olomouckém kraji II</t>
  </si>
  <si>
    <t>Rovné  příležitosti  dětí  a  žáků v Olomouckém kraji II</t>
  </si>
  <si>
    <t>Další  vzdělávání pracovníků škol a  školských zařízení v Olomouckém kraji II</t>
  </si>
  <si>
    <t>OP VK - Zvyšování kvality ve vzdělávání</t>
  </si>
  <si>
    <t>OP VK - Řízení, kontrola, monitorování a hodnocení programu v Olomouckém kraji II</t>
  </si>
  <si>
    <t>provoz ORJ 30 - 71</t>
  </si>
  <si>
    <t>investice orj 30 - 71</t>
  </si>
  <si>
    <t>konsolidace  30 - 71</t>
  </si>
  <si>
    <t>investice+inv.dot</t>
  </si>
  <si>
    <t>financování</t>
  </si>
  <si>
    <t>celkem ORJ 30 - 71</t>
  </si>
  <si>
    <t>Celkem po konsolidaci</t>
  </si>
  <si>
    <t>ORG - 1600</t>
  </si>
  <si>
    <t>Provozní příspěvky zřízeným PO včetně rezervy</t>
  </si>
  <si>
    <t>Přímá podpora významných kulturních akcí</t>
  </si>
  <si>
    <t>00000213</t>
  </si>
  <si>
    <t>Příspěvek na záchranný arch. výzkum</t>
  </si>
  <si>
    <t>00000201</t>
  </si>
  <si>
    <t>Provozní příspěvky zřízeným PO- rezerva</t>
  </si>
  <si>
    <t>Vzdělávání lékařů</t>
  </si>
  <si>
    <t>00000258</t>
  </si>
  <si>
    <t>00033034</t>
  </si>
  <si>
    <t>MŠMT - Podpora organizace a ukonč.středního vzděl.maturitní zkouškou</t>
  </si>
  <si>
    <t>00033035</t>
  </si>
  <si>
    <t>MŠMT - Dotace dvojjazyčným gymnáziím s výukou francouštiny</t>
  </si>
  <si>
    <t>00033339</t>
  </si>
  <si>
    <t>MŠMT - Program podpory vzdělávání národnostních menšin</t>
  </si>
  <si>
    <t>pol.5331</t>
  </si>
  <si>
    <t xml:space="preserve">Příspěvky vysokým školám </t>
  </si>
  <si>
    <t>00000116</t>
  </si>
  <si>
    <t xml:space="preserve">Odbory </t>
  </si>
  <si>
    <t>Fond voda</t>
  </si>
  <si>
    <t>Kapitálové výdaje</t>
  </si>
  <si>
    <t>celkem (po konsolidaci)</t>
  </si>
  <si>
    <t>provozní</t>
  </si>
  <si>
    <t>kapitálové</t>
  </si>
  <si>
    <t>kons.</t>
  </si>
  <si>
    <t xml:space="preserve">Neinvestiční dotace zřízeným PO </t>
  </si>
  <si>
    <t>OP VK- obl.podpory 1.4. EU peníze školám-EU,CZ</t>
  </si>
  <si>
    <t>OP VK-obl.podpory 1.4. EU peníze školám-EU,EU</t>
  </si>
  <si>
    <t>soutěže</t>
  </si>
  <si>
    <t>asistenti pedagogů pro děti, žáky a studenty se soc.znevýhodněním</t>
  </si>
  <si>
    <t>Základní škola a Mateřská škola, Nová 1820, Hranice</t>
  </si>
  <si>
    <t>Střední škola a Základní škola, Osecká 301, Lipník n/B</t>
  </si>
  <si>
    <t>PO - předfinancování (půjčka EIB)</t>
  </si>
  <si>
    <t>dot.dvojjazyčným gymnáziím s výukou franc.</t>
  </si>
  <si>
    <t>Gymnázium, Nám.Osvobození 20, Zábřeh na Moravě</t>
  </si>
  <si>
    <t>Podpora organizace a ukončování středního vzdělávání maturitní zkouškou na vybraných školách v podzimním zkušebním období</t>
  </si>
  <si>
    <t>Střední škola designu a módy, Vápenice 1, Prostějov</t>
  </si>
  <si>
    <t>Střední škola logistiky a chemie, U Hradiska 29, Olomouc</t>
  </si>
  <si>
    <t>SOŠ strojírenská a lesnická, Opavská 8,  Šternberk</t>
  </si>
  <si>
    <t>Střední škola železniční a stavební, Bulharská 8, Šumperk</t>
  </si>
  <si>
    <t>Školní jídelna, Tomkova 45, Olomouc-Hejčín</t>
  </si>
  <si>
    <t>SCHOLA-SERVIS zařízení pro DVPP a středisko služeb, Olomoucká 25, Prostějov</t>
  </si>
  <si>
    <t>5xxx +  6xxx</t>
  </si>
  <si>
    <t>Celkem 5xxx+6xxx+rezerva</t>
  </si>
  <si>
    <t>MŠ 1.olomoucká sportovní, s.r.o., Karafiátova 895/3a, Olomouc-Neředín</t>
  </si>
  <si>
    <t>MŠ jazyková a umělecká, s.r.o., Na výsluní, Hlubočky 1, 783 61</t>
  </si>
  <si>
    <t>Střední odborná škola služeb, s.r.o., Pavlovická 16/54, Olomouc</t>
  </si>
  <si>
    <t>ART ECON - SŠ Prostějov, s.r.o., Za Drahou 4239/2, 151/8-10, Prostějov</t>
  </si>
  <si>
    <t>SOŠ podnikání a obchodu, s.r.o., Rejskova 2987/4, Prostějov</t>
  </si>
  <si>
    <t>SŠ a SOU služeb Velký Újezd, s.r.o.,Navrátilova 321, Velký Újezd</t>
  </si>
  <si>
    <t>Odměny členů zastupitelstva obcí a krajů</t>
  </si>
  <si>
    <t>Povinné poj.na soc.zab.a přísp.na st.pol.zaměstnan</t>
  </si>
  <si>
    <t>Povinné poj.na veřejné zdravotní pojištění</t>
  </si>
  <si>
    <t>Ostatní neinv.transfery nezisk.a podob.organizacím</t>
  </si>
  <si>
    <t>Platby daní a poplatků státnímu rozpočtu</t>
  </si>
  <si>
    <t>Převody FKSP a sociálnímu fondu obcí a krajů</t>
  </si>
  <si>
    <t>41100882</t>
  </si>
  <si>
    <t>41500881</t>
  </si>
  <si>
    <t>42100880</t>
  </si>
  <si>
    <t>42500881</t>
  </si>
  <si>
    <t xml:space="preserve">OP PS pro cíl EÚS,CZ,Povinný podíl kraje - uzn.N   </t>
  </si>
  <si>
    <t xml:space="preserve">OP PS pro cíl EÚS, CZ,Předfinancování SR  </t>
  </si>
  <si>
    <t xml:space="preserve">OP PS pro cíl EÚS,EU,Předfinancování EU   </t>
  </si>
  <si>
    <t>OP MS, CZ, povin.podíl kraj uzn. N (z rozpočtu OK)</t>
  </si>
  <si>
    <t>OP MS,EU, Předfinancování EU (z rozpočtu OK)</t>
  </si>
  <si>
    <t>Ostatní neinv.transfery obyvatelstvu</t>
  </si>
  <si>
    <t>EUROPE DIRECT</t>
  </si>
  <si>
    <t>00000501</t>
  </si>
  <si>
    <t>00000504</t>
  </si>
  <si>
    <t>Finanční příspěvek sdružení  Jeseníky-Sdružení CR</t>
  </si>
  <si>
    <t>Ost.neinv.půjčené prostř.neziskovým apod.org.</t>
  </si>
  <si>
    <t>Cestovní ruch</t>
  </si>
  <si>
    <t>00000500</t>
  </si>
  <si>
    <t>Fin.příspěvky Klubu českých turistů</t>
  </si>
  <si>
    <t>00000503</t>
  </si>
  <si>
    <t>Úhrada za plnění firmě RNDr.Ivan Marek</t>
  </si>
  <si>
    <t>00000505</t>
  </si>
  <si>
    <t>Neinv.transfery nefin.podnik.subj.-FO</t>
  </si>
  <si>
    <t>00000511</t>
  </si>
  <si>
    <t>Podpora akcí nadregionálůního významu</t>
  </si>
  <si>
    <t>00000512</t>
  </si>
  <si>
    <t>Podpora zkvalitnění služeb tur.inform.center v OK</t>
  </si>
  <si>
    <t>00000513</t>
  </si>
  <si>
    <t>Podpora rozvoje zahr.vztahů OK</t>
  </si>
  <si>
    <t>Neinv.transfery církvím a náboženským spol.</t>
  </si>
  <si>
    <t>Vratky veř.rozpočtům ústř.úrovně transferů poskyt. v min.rozp.obd.</t>
  </si>
  <si>
    <t>MF - Účel.dot.na výdaje spojené s volbou prezidenta ČR</t>
  </si>
  <si>
    <t>00098008</t>
  </si>
  <si>
    <t>00098007</t>
  </si>
  <si>
    <t>MF - Dotace na pomocný analytický přehled</t>
  </si>
  <si>
    <t>00098193</t>
  </si>
  <si>
    <t>MF - výdaje spojené se společnými volbami do Senátu a zastupitelstev krajů</t>
  </si>
  <si>
    <t>Povinný podíl kraje - uzn.náklady (z rozpočtu kraje)</t>
  </si>
  <si>
    <t>Předfinancování SR (z rozpočtu kraje)</t>
  </si>
  <si>
    <t xml:space="preserve">Předfinancování EU (z rozpočtu OK) </t>
  </si>
  <si>
    <t>33100884</t>
  </si>
  <si>
    <t>Neuznatelné náklady (z rozpočtu kraje)</t>
  </si>
  <si>
    <t>Poplatky dluhové služby</t>
  </si>
  <si>
    <t>Investiční půjčené prostředky obcím</t>
  </si>
  <si>
    <t xml:space="preserve">Regionální inovační strategie OK </t>
  </si>
  <si>
    <t>00000035</t>
  </si>
  <si>
    <t>Ost.neinv.transf.veř.rozp.úz.úrovně</t>
  </si>
  <si>
    <t>Vratky veř.rozp.ústř.úr.transf.poskyt.v min.rozp.obd.</t>
  </si>
  <si>
    <t>Bc. Ing. Hana Mazurová</t>
  </si>
  <si>
    <t>pověřená vedením odboru strategického rozvoje kraje</t>
  </si>
  <si>
    <t>Příspěvky do 30 tis. Kč</t>
  </si>
  <si>
    <t>MPO - progr.č. 122140 – EFEKT – podpora úspor energie</t>
  </si>
  <si>
    <t>00022003</t>
  </si>
  <si>
    <t>00000015</t>
  </si>
  <si>
    <t xml:space="preserve">Investiční a neinvestiční akce ostatní   </t>
  </si>
  <si>
    <t>Kulturní aktivity</t>
  </si>
  <si>
    <t>Dotace na pomocný analytický přehled</t>
  </si>
  <si>
    <t>00000414</t>
  </si>
  <si>
    <t>Podpora aktivit zaměřených na sociální začleňování - oblast podpory terénních a ambulantních služeb</t>
  </si>
  <si>
    <t>Příspěvek na provoz PO - mzdové náklady</t>
  </si>
  <si>
    <t>Koordinátor Integrovaného dopravního systému Olomouckého kraje</t>
  </si>
  <si>
    <t xml:space="preserve"> ORG 1599</t>
  </si>
  <si>
    <t>Ost.inv.transfery veř.rozp.územní úrovně</t>
  </si>
  <si>
    <t>Příspěvek obcím na podporu výstavby cysklostezek</t>
  </si>
  <si>
    <t>dot.neinv.</t>
  </si>
  <si>
    <t>dot.inv.</t>
  </si>
  <si>
    <t>Koordinátor Integrovaného dopravního systému Olomouckého kraje celkem</t>
  </si>
  <si>
    <t>PO - předfinancování (půjčka EIB-projekt evropské f.)</t>
  </si>
  <si>
    <t>00034544</t>
  </si>
  <si>
    <t>Veřejné informační služby knihoven - investice</t>
  </si>
  <si>
    <t>00034711</t>
  </si>
  <si>
    <t>Integr.systém ochrany mov.kult.dědictví - investice</t>
  </si>
  <si>
    <t>KB 888</t>
  </si>
  <si>
    <t>Neinvest.transfery cizím PO</t>
  </si>
  <si>
    <t>Ost.inv.transfery nezisk.a podobným org.</t>
  </si>
  <si>
    <t>MŠMT - Excelence středních škol</t>
  </si>
  <si>
    <t>00033038</t>
  </si>
  <si>
    <t>MŠMT - Bezpl.přípr.dětí azylantů, účastníků řízení o azyl a dětí osob se st.přísl.jiného čl.st.EU k začlenění do zákl.vzdělávání</t>
  </si>
  <si>
    <t>00033435</t>
  </si>
  <si>
    <t>MŠMT - Podpora org.a ukonč.stř.vzděl.maturitní zk.na vybraných školách v podzimním zkušeb.obd.</t>
  </si>
  <si>
    <t>MPSV - Transf.na st.přísp.zřizovatelům zařízení pro děti vyž.okamž.pomoc</t>
  </si>
  <si>
    <t>00033163</t>
  </si>
  <si>
    <t>MŠMT - Program protidrogové politiky</t>
  </si>
  <si>
    <t>MŠMT - Dotace na pomocný analytický přehled</t>
  </si>
  <si>
    <t>32133031</t>
  </si>
  <si>
    <t>MŠMT - OP VK - oblast 1.5. EU peníze stř.školám</t>
  </si>
  <si>
    <t>32533031</t>
  </si>
  <si>
    <t>MPSV - OP Lidské zdroje a zaměstnanost</t>
  </si>
  <si>
    <t>00015340</t>
  </si>
  <si>
    <t>MŽP - Ostatní neinvestiční dotace obcím a krajům</t>
  </si>
  <si>
    <t>Integrace handicapovaných dětí do vytipovaných škol a školských zařízení v Olomouckém kraji</t>
  </si>
  <si>
    <t>Realizace energeticky úsporných opatření - SOŠ Šumperk - domov mládeže</t>
  </si>
  <si>
    <t>ORG 100694</t>
  </si>
  <si>
    <t>Podpora technického vybavení dílen - 1. část</t>
  </si>
  <si>
    <t>ORG 100792</t>
  </si>
  <si>
    <t>Podpora technického vybavení dílen - 2. část</t>
  </si>
  <si>
    <t>ORG 100793</t>
  </si>
  <si>
    <t>Technické vybavení dílen Střední škola polygrafická Olomouc</t>
  </si>
  <si>
    <t>ORG 100794</t>
  </si>
  <si>
    <t>Strojní vybavení dílen pro praktickou výuku (SOŠ a SOU Uničov)</t>
  </si>
  <si>
    <t>ORG 100795</t>
  </si>
  <si>
    <t>Podpora technického vybavení dílen - 3. část</t>
  </si>
  <si>
    <t>ORG 100815</t>
  </si>
  <si>
    <t>Domov seniorů POHODA Chválkovice - rekonstrukce budovy B</t>
  </si>
  <si>
    <t>ORG 100317</t>
  </si>
  <si>
    <t>Domov seniorů POHODA Chválkovice - Modernizace hlavní budovy, část A</t>
  </si>
  <si>
    <t>ORG 100407</t>
  </si>
  <si>
    <t>Domov Sněženka Jeseník - Rekonstrukce soc. zařízení a vodoléčby</t>
  </si>
  <si>
    <t>ORG 100518</t>
  </si>
  <si>
    <t>Realizace energeticky úsporných opatření - Domov seniorů POHODA Chválkovice - pavilony A a B</t>
  </si>
  <si>
    <t>ORG 100550</t>
  </si>
  <si>
    <t>Dobrovolnické možnosti podpory seniorů a sociálně vyloučených občanů EU</t>
  </si>
  <si>
    <t>ORG 100686</t>
  </si>
  <si>
    <t>Centrum sociálních služeb Prostějov - rekonstrukce budovy 6F - zřízení odlehčovací služby a denního stacionáře</t>
  </si>
  <si>
    <t>ORG 100790</t>
  </si>
  <si>
    <t>Vybrané služby sociální prevence v Olomouckém kraji</t>
  </si>
  <si>
    <t>ORG 100796</t>
  </si>
  <si>
    <t>Olomouký kraj - Opolské vojvodství: Otevřené sousedství</t>
  </si>
  <si>
    <t>ORG 100693</t>
  </si>
  <si>
    <t>II/436 Přerov - úprava křižovatky silnic, Dluhonská</t>
  </si>
  <si>
    <t>ORG 100041</t>
  </si>
  <si>
    <t>II/448, II/446 Olomouc, Dobrovského - okruž.křižovatka</t>
  </si>
  <si>
    <t>ORG 100149</t>
  </si>
  <si>
    <t>Uničov - Šternberk - II/444</t>
  </si>
  <si>
    <t>ORG 100535</t>
  </si>
  <si>
    <t>II/315 a III/31527 Zábřeh na Moravě - okružní křižovatka ul. Postřelmovská, Čsl. armády</t>
  </si>
  <si>
    <t>ORG 100798</t>
  </si>
  <si>
    <t>Marketingové aktivity Olomouckého kraje II</t>
  </si>
  <si>
    <t>ORG 100812</t>
  </si>
  <si>
    <t>Rozvoj služeb eGovernmentu</t>
  </si>
  <si>
    <t>ORG 100558</t>
  </si>
  <si>
    <t>Zvýšení efektivity a transparentnosti Krajského úřadu Olomouckého kraje</t>
  </si>
  <si>
    <t>ORG 100808</t>
  </si>
  <si>
    <t>Individuální projekty celkem</t>
  </si>
  <si>
    <t xml:space="preserve">ROP - Regionální dopravní infrastruktura - Silnice II. a III. třídy </t>
  </si>
  <si>
    <t xml:space="preserve">Výdaje z finančního vypořádání minulých let mezi regionální radou a kraji, obcemi a dobrovolnými svazky obcí
</t>
  </si>
  <si>
    <t>III/44311 Dolany - průtah, most - I. etapa</t>
  </si>
  <si>
    <t>Úhrady sankcí jiným rozpočtům</t>
  </si>
  <si>
    <t xml:space="preserve">Vratky veřejným rozpočtům ústřední úrovně transferů poskytnutých v minulých rozpočtových obdobích
</t>
  </si>
  <si>
    <t>Transformace Vincentina Šternberk - I. Etapa</t>
  </si>
  <si>
    <t xml:space="preserve">SMN a.s. - o.z. Nemocnice Přerov - modernizace pavilonu interních oborů - I. etapa </t>
  </si>
  <si>
    <t>00000036</t>
  </si>
  <si>
    <t>Transformace Vincentina Šternberk - II. Etapa</t>
  </si>
  <si>
    <t>ORG 100814</t>
  </si>
  <si>
    <t>Zajištění dostupnosti vybraných sociálních služeb v OK</t>
  </si>
  <si>
    <t xml:space="preserve">ORG 100117 </t>
  </si>
  <si>
    <t xml:space="preserve">ORG 100796 </t>
  </si>
  <si>
    <t>Ostatní neinvestiční výdaje</t>
  </si>
  <si>
    <t>Vidnava</t>
  </si>
  <si>
    <t>ORG 8020</t>
  </si>
  <si>
    <t>Podpora plánování rozvoje sociálních služeb v Olomouckém kraji</t>
  </si>
  <si>
    <t>ORG 100806</t>
  </si>
  <si>
    <t>Finanční vypořádání</t>
  </si>
  <si>
    <t>ORG 0073000000000</t>
  </si>
  <si>
    <t>Finanční vypořádání minulých let</t>
  </si>
  <si>
    <t>ORG 1100</t>
  </si>
  <si>
    <t>Gymnázium Jiřího Wolkera, Kollárova 3, Prostějov</t>
  </si>
  <si>
    <t>VOŠ a SPŠ elektrotechnická, Božetěchova 3, Olomouc</t>
  </si>
  <si>
    <t>Střední průmyslová škola, Havlíčkova 2, Přerov</t>
  </si>
  <si>
    <t>ORG 1142</t>
  </si>
  <si>
    <t>ORG 1202</t>
  </si>
  <si>
    <t xml:space="preserve">Střední škola polygrafická, Střední Novosadská 55, Olomouc </t>
  </si>
  <si>
    <t>SŠ automobilní, Vápenice 2977/9, Prostějov</t>
  </si>
  <si>
    <t>Javorník</t>
  </si>
  <si>
    <t>ORG 8006</t>
  </si>
  <si>
    <t>Velký Újezd</t>
  </si>
  <si>
    <t>ORG 8387</t>
  </si>
  <si>
    <t>Hranice</t>
  </si>
  <si>
    <t>ORG 8401</t>
  </si>
  <si>
    <t>SŠ, ZŠ a MŠ, Hanácká 3, Šumperk</t>
  </si>
  <si>
    <t>Základní škola a Dětský domov, Sušilova 40, Zábřeh</t>
  </si>
  <si>
    <t>Odborné učiliště a Praktická škola, Lipová-lázně 458</t>
  </si>
  <si>
    <t xml:space="preserve">Štěpánov </t>
  </si>
  <si>
    <t>ORG 8374</t>
  </si>
  <si>
    <t>ORG 1138</t>
  </si>
  <si>
    <t>Schola servis, Palackého 8-10,Prostějov</t>
  </si>
  <si>
    <t>Další vzdělávání pracovníků škol a školských zařízení v Olomouckém kraji II</t>
  </si>
  <si>
    <t>Inovace výuky československých a českých dějin 20. století na středních školách v Olomouckém a Moravskoslezském kraji - přímé náklady</t>
  </si>
  <si>
    <t>ORG 100692</t>
  </si>
  <si>
    <t>Inovace výuky československých a českých dějin 20. století na středních školách v Olomouckém a Moravskoslezském kraji - nepřímé náklady</t>
  </si>
  <si>
    <t>ORG 100799</t>
  </si>
  <si>
    <t>72) Informovanost a publicita programu v Olomouckém kraji II</t>
  </si>
  <si>
    <t>ORJ - 72</t>
  </si>
  <si>
    <t>Informovanost a publicita programu v Olomouckém kraji II</t>
  </si>
  <si>
    <t>ORG 0050001000000</t>
  </si>
  <si>
    <t>73) Zvýšení absorpční kapacity subjektů v Olomouckém kraji II</t>
  </si>
  <si>
    <t>ORJ - 73</t>
  </si>
  <si>
    <t>číslo účtu: 107-106030267/0100</t>
  </si>
  <si>
    <t>Zvýšení absorpční kapacity subjektů v Olomouckém kraji II</t>
  </si>
  <si>
    <t>74) Podpora rozvoje Olomouckého kraje 2012 - 2015</t>
  </si>
  <si>
    <t>ORJ - 74</t>
  </si>
  <si>
    <t>číslo účtu: 107-110270247/0100</t>
  </si>
  <si>
    <t xml:space="preserve">Projekt technické pomoci Olomouckého kraje </t>
  </si>
  <si>
    <t>ORG 100345</t>
  </si>
  <si>
    <t>Inovační vouchery v Olomouckém kraji</t>
  </si>
  <si>
    <t>ORG 100813</t>
  </si>
  <si>
    <t>Ostatní činnosti jinde nezařazené</t>
  </si>
  <si>
    <t>Podpora rozvoje Olomouckého kraje                   2012 - 2015</t>
  </si>
  <si>
    <t>37) Podpora malého a středního podnikání ve vybraných regionech Olomouckého kraje</t>
  </si>
  <si>
    <t xml:space="preserve">Platby daní a poplatků státnímu rozpočtu </t>
  </si>
  <si>
    <t>Podpora malého a středního podnikání ve vybraných regionech Olomouckého kraje</t>
  </si>
  <si>
    <t>provoz + neinv.dot</t>
  </si>
  <si>
    <t>investice + inv.dot</t>
  </si>
  <si>
    <t xml:space="preserve"> Informovanost a publicita programu v Olomouckém kraji II</t>
  </si>
  <si>
    <t>Podpora rozvoje Olomouckého kraje 2012 - 2015</t>
  </si>
  <si>
    <t>investice včetně inv.dot ORJ 30-75</t>
  </si>
  <si>
    <t>(splátky úvěrů)</t>
  </si>
  <si>
    <t>Zaplacené sankce</t>
  </si>
  <si>
    <t>Odbor informčních technologií</t>
  </si>
  <si>
    <t>Podrobnější údaje o celém fondu, ORJ - 99, tedy příjmy, výdaje a zůstatek na zvláštním bankovním účtu, jsou uvedeny v Příloze č. 7.</t>
  </si>
  <si>
    <t>Podrobnější údaje o celém fondu, ORJ - 199, tedy příjmy, výdaje a zůstatek na zvláštním bankovním účtu, jsou uvedeny v Příloze č. 6.</t>
  </si>
  <si>
    <t>odbory</t>
  </si>
  <si>
    <t>PO</t>
  </si>
  <si>
    <t>evropské programy</t>
  </si>
  <si>
    <t>fond sociálních potřeb</t>
  </si>
  <si>
    <t>fond - voda</t>
  </si>
  <si>
    <t>běžné</t>
  </si>
  <si>
    <t xml:space="preserve">kapitálové </t>
  </si>
  <si>
    <t>3. Plnění rozpočtu výdajů Olomouckého kraje k 31.12.2012</t>
  </si>
  <si>
    <t>ZŠ a MŠ  prof.V.Vejdovského, Tomkova 42, Olomouc</t>
  </si>
  <si>
    <t>Vybav.škol pomůckami kompenz.a rehab.char.</t>
  </si>
  <si>
    <t>OP VK - oblast 1.5. EU peníze stř.školám</t>
  </si>
  <si>
    <t>Projekty romské komunity</t>
  </si>
  <si>
    <t>Program podpory vzdělávání národnostních menšin</t>
  </si>
  <si>
    <t>Program protidrogové politiky</t>
  </si>
  <si>
    <t>Transf.na st.přísp.zřizovatelům zařízení pro děti vyž.okamž.pomoc</t>
  </si>
  <si>
    <t>Excelence středních škol</t>
  </si>
  <si>
    <t>Gymnázium Jakuba Škody, Zborovská 293, Hranice</t>
  </si>
  <si>
    <t>OP Lidské zdroje a zaměstnanost</t>
  </si>
  <si>
    <t>Prima mateřská škola, s.r.o., Komenského 45,  Hranice</t>
  </si>
  <si>
    <t>Mateřská škola UPOL Olomouc, Šmeralova 1116/10, Olomouc</t>
  </si>
  <si>
    <t>Střední škola a  ZŠ  DC 90, s.r.o., Nedbalova 36,  Olomouc-Topolany</t>
  </si>
  <si>
    <t>ZŠ a SŠ CREDO o.p.s., Mozartova 43, Olomouc</t>
  </si>
  <si>
    <t>Zdravá anglická mateřská škola, s.r.o., Olomouc, Konradova 373/4 Olomouc-Slavonín</t>
  </si>
  <si>
    <t>Soukromé gymnázium Olomouc, s.r.o., Na Vlčinci 154, Olomouc</t>
  </si>
  <si>
    <t>Podpora organizace a ukonč.středního vzděl.maturitní zkouškou</t>
  </si>
  <si>
    <t>SOŠ ekonomiky a podnikání, s.r.o., Křičkova 233/4, Olomouc-Sv.Kopeček</t>
  </si>
  <si>
    <t>Příspěvky do 30 tis.Kč</t>
  </si>
  <si>
    <t>Gymnázium Palackého SOŠ živnostenská, s.r.o.,  Palackého  19, Přerov</t>
  </si>
  <si>
    <t>SŠ obchodu, gastronomie a desingu  Praktik, s.r.o.,  Pasteurova 935/8a, Olomouc</t>
  </si>
  <si>
    <t>Základní umělecká škola Campanella, Slovenská 587/5, Olomouc</t>
  </si>
  <si>
    <t>Neinvest.transfery nefin.podnik.subjektům-FO</t>
  </si>
  <si>
    <t>Realizace energeticky úsporných opatření -  SOŠ gastronomie a potravinářství Jeseník</t>
  </si>
  <si>
    <t>Realizace energeticky úsporných opatření - SŠ designu a módy Prostějov - domov mládeže Palečkova</t>
  </si>
  <si>
    <t>OLÚ neurologicko - geriatrický Moravský Beroun - modernizace lůžkového fondu</t>
  </si>
  <si>
    <t>III/44311 Dolany - průtah, most - I. Etapa</t>
  </si>
  <si>
    <t>Slovanské gymnázium, tř. J. z Poděbrad 13, Olomouc</t>
  </si>
  <si>
    <t>Střední škola gastronomie a služeb, Šírava 7, Přerov</t>
  </si>
  <si>
    <t>Gymnázium Jana Blahoslava a Střední pedagogická škola, Denisova 3, Přerov</t>
  </si>
  <si>
    <t>Obchodní akademie a jazyková škola s právem státní jazykové zkoušky Bartošova 24, Přerov</t>
  </si>
  <si>
    <t>Střední zdravotnická škola a Vyšší odborná škola zdravotnická Emanuela Pöttinga, Pöttingova 2, Olomouc</t>
  </si>
  <si>
    <t>SCHOLA SERVIS - zařízení pro DVPP a středisko služeb školám, Palackého 8 - 10, Olomouc</t>
  </si>
  <si>
    <t>Gymnázium Palackého a SOŠ živnostenská, s.r.o., Přerov, Palackého 19, Přerov</t>
  </si>
  <si>
    <t>Jeseníky - Sdružení cestovního ruchu, Kladská 1, Šumperk</t>
  </si>
  <si>
    <t xml:space="preserve">Střední škola a Základní škola prof. Z. Matějčka, Svatoplukova 11, Olomouc </t>
  </si>
  <si>
    <t>Střední škola a Základní škola, Osecká 301, Lipník nad Bečvou</t>
  </si>
  <si>
    <t>Základní škola a dětský domov, Sušilova 40, Zábřeh na Moravě</t>
  </si>
  <si>
    <t xml:space="preserve">Švehlova střední škola polytechnická, nám. Spojenců 17, Prostějov </t>
  </si>
  <si>
    <t>Odborné učiliště a praktická škola, Vodní 27, Mohelnice</t>
  </si>
  <si>
    <t>PONTIS Šumperk, o.p.s., Temenická 5, Šumperk</t>
  </si>
  <si>
    <t>KAPPA - HELP, nám. Přerovského povstání 1, Přerov</t>
  </si>
  <si>
    <t>Gymnázium, Tomkova 45, Olomouc - Hejčín</t>
  </si>
  <si>
    <t>Střední odborná škola, Komenského 677, Litovel</t>
  </si>
  <si>
    <t>Střední Morava - Sdružení cestovního ruchu, Horní náměstí 5, Olomouc</t>
  </si>
  <si>
    <t>Gymnázium Jana Opletala, Opletalova 189, Litovel</t>
  </si>
  <si>
    <t>Střední odborná škola a střední odborné učiliště strojírenské a stavební, Dukelská 1240, Jeseník</t>
  </si>
  <si>
    <t>Mgr. Bc. Zbyněk Vočka</t>
  </si>
  <si>
    <t>pověřený vedením odboru sociálních věcí</t>
  </si>
  <si>
    <t>Ing. Ladislav Růžička</t>
  </si>
  <si>
    <t>Mgr. Pavel Hanák</t>
  </si>
  <si>
    <t>pověřený vedením odboru zdravotnictví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</si>
</sst>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64" formatCode="0#,##0"/>
    <numFmt numFmtId="165" formatCode="00000"/>
    <numFmt numFmtId="166" formatCode="#,##0.0"/>
    <numFmt numFmtId="167" formatCode="0.0"/>
    <numFmt numFmtId="168" formatCode="00,000"/>
    <numFmt numFmtId="169" formatCode="000"/>
    <numFmt numFmtId="170" formatCode="\ \-\ "/>
    <numFmt numFmtId="171" formatCode="0\9\1\3\3\4\3\9"/>
    <numFmt numFmtId="172" formatCode="0\9\5\3\3\4\3\9"/>
    <numFmt numFmtId="173" formatCode="00000000"/>
  </numFmts>
  <fonts count="128" x14ac:knownFonts="1">
    <font>
      <sz val="10"/>
      <name val="Arial"/>
      <charset val="238"/>
    </font>
    <font>
      <sz val="10"/>
      <name val="Arial"/>
      <family val="2"/>
      <charset val="238"/>
    </font>
    <font>
      <sz val="10"/>
      <name val="Arial CE"/>
      <family val="2"/>
      <charset val="238"/>
    </font>
    <font>
      <sz val="12"/>
      <name val="Arial CE"/>
      <family val="2"/>
      <charset val="238"/>
    </font>
    <font>
      <sz val="8"/>
      <name val="Arial CE"/>
      <family val="2"/>
      <charset val="238"/>
    </font>
    <font>
      <b/>
      <sz val="14"/>
      <name val="Arial CE"/>
      <family val="2"/>
      <charset val="238"/>
    </font>
    <font>
      <b/>
      <sz val="11"/>
      <name val="Arial CE"/>
      <family val="2"/>
      <charset val="238"/>
    </font>
    <font>
      <sz val="9"/>
      <name val="Arial CE"/>
      <family val="2"/>
      <charset val="238"/>
    </font>
    <font>
      <i/>
      <u/>
      <sz val="10"/>
      <name val="Arial CE"/>
      <charset val="238"/>
    </font>
    <font>
      <sz val="11"/>
      <name val="Arial CE"/>
      <charset val="238"/>
    </font>
    <font>
      <sz val="10"/>
      <name val="Arial CE"/>
      <charset val="238"/>
    </font>
    <font>
      <b/>
      <sz val="11"/>
      <name val="Arial CE"/>
      <charset val="238"/>
    </font>
    <font>
      <sz val="11"/>
      <name val="Arial CE"/>
      <family val="2"/>
      <charset val="238"/>
    </font>
    <font>
      <b/>
      <sz val="10"/>
      <name val="Arial CE"/>
      <charset val="238"/>
    </font>
    <font>
      <b/>
      <i/>
      <sz val="12"/>
      <name val="Arial CE"/>
      <charset val="238"/>
    </font>
    <font>
      <b/>
      <sz val="12"/>
      <name val="Arial CE"/>
      <charset val="238"/>
    </font>
    <font>
      <b/>
      <sz val="10"/>
      <name val="Arial CE"/>
      <family val="2"/>
      <charset val="238"/>
    </font>
    <font>
      <b/>
      <i/>
      <sz val="10"/>
      <name val="Arial CE"/>
      <charset val="238"/>
    </font>
    <font>
      <b/>
      <sz val="9"/>
      <name val="Arial CE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1"/>
      <name val="Arial"/>
      <family val="2"/>
      <charset val="238"/>
    </font>
    <font>
      <i/>
      <sz val="11"/>
      <name val="Arial CE"/>
      <family val="2"/>
      <charset val="238"/>
    </font>
    <font>
      <b/>
      <sz val="13"/>
      <name val="Arial CE"/>
      <family val="2"/>
      <charset val="238"/>
    </font>
    <font>
      <i/>
      <u/>
      <sz val="9"/>
      <name val="Arial CE"/>
      <charset val="238"/>
    </font>
    <font>
      <sz val="9"/>
      <name val="Arial CE"/>
      <charset val="238"/>
    </font>
    <font>
      <sz val="9"/>
      <name val="Arial"/>
      <family val="2"/>
      <charset val="238"/>
    </font>
    <font>
      <sz val="10"/>
      <name val="Arial"/>
      <family val="2"/>
      <charset val="238"/>
    </font>
    <font>
      <b/>
      <u/>
      <sz val="12"/>
      <name val="Arial CE"/>
      <family val="2"/>
      <charset val="238"/>
    </font>
    <font>
      <b/>
      <i/>
      <sz val="18"/>
      <name val="Arial CE"/>
      <charset val="238"/>
    </font>
    <font>
      <b/>
      <sz val="18"/>
      <name val="Arial CE"/>
      <charset val="238"/>
    </font>
    <font>
      <sz val="18"/>
      <name val="Arial CE"/>
      <charset val="238"/>
    </font>
    <font>
      <b/>
      <i/>
      <sz val="16"/>
      <name val="Arial CE"/>
      <charset val="238"/>
    </font>
    <font>
      <sz val="8"/>
      <name val="Arial"/>
      <family val="2"/>
      <charset val="238"/>
    </font>
    <font>
      <sz val="11"/>
      <name val="Arial"/>
      <family val="2"/>
      <charset val="238"/>
    </font>
    <font>
      <b/>
      <sz val="10"/>
      <name val="Arial"/>
      <family val="2"/>
      <charset val="238"/>
    </font>
    <font>
      <b/>
      <u/>
      <sz val="12"/>
      <name val="Arial"/>
      <family val="2"/>
      <charset val="238"/>
    </font>
    <font>
      <b/>
      <sz val="14"/>
      <name val="Arial"/>
      <family val="2"/>
      <charset val="238"/>
    </font>
    <font>
      <sz val="9"/>
      <name val="Arial"/>
      <family val="2"/>
      <charset val="238"/>
    </font>
    <font>
      <b/>
      <sz val="13"/>
      <name val="Arial"/>
      <family val="2"/>
      <charset val="238"/>
    </font>
    <font>
      <b/>
      <sz val="18"/>
      <name val="Arial"/>
      <family val="2"/>
      <charset val="238"/>
    </font>
    <font>
      <b/>
      <i/>
      <sz val="18"/>
      <name val="Arial"/>
      <family val="2"/>
      <charset val="238"/>
    </font>
    <font>
      <sz val="18"/>
      <color indexed="9"/>
      <name val="Arial CE"/>
      <charset val="238"/>
    </font>
    <font>
      <i/>
      <u/>
      <sz val="11"/>
      <name val="Arial CE"/>
      <charset val="238"/>
    </font>
    <font>
      <b/>
      <sz val="8"/>
      <name val="Arial CE"/>
      <family val="2"/>
      <charset val="238"/>
    </font>
    <font>
      <b/>
      <sz val="16"/>
      <name val="Arial CE"/>
      <charset val="238"/>
    </font>
    <font>
      <sz val="16"/>
      <name val="Arial CE"/>
      <charset val="238"/>
    </font>
    <font>
      <b/>
      <sz val="13"/>
      <name val="Arial CE"/>
      <charset val="238"/>
    </font>
    <font>
      <b/>
      <i/>
      <sz val="17"/>
      <name val="Arial CE"/>
      <charset val="238"/>
    </font>
    <font>
      <b/>
      <sz val="12"/>
      <name val="Arial"/>
      <family val="2"/>
      <charset val="238"/>
    </font>
    <font>
      <b/>
      <sz val="12"/>
      <name val="Arial CE"/>
      <family val="2"/>
      <charset val="238"/>
    </font>
    <font>
      <sz val="12"/>
      <name val="Arial"/>
      <family val="2"/>
      <charset val="238"/>
    </font>
    <font>
      <sz val="12"/>
      <name val="Arial"/>
      <family val="2"/>
      <charset val="238"/>
    </font>
    <font>
      <b/>
      <sz val="14"/>
      <name val="Arial CE"/>
      <charset val="238"/>
    </font>
    <font>
      <sz val="8"/>
      <name val="Arial CE"/>
      <charset val="238"/>
    </font>
    <font>
      <b/>
      <sz val="12"/>
      <name val="Arial"/>
      <family val="2"/>
      <charset val="238"/>
    </font>
    <font>
      <sz val="14"/>
      <name val="Arial"/>
      <family val="2"/>
      <charset val="238"/>
    </font>
    <font>
      <sz val="14"/>
      <name val="Arial CE"/>
      <charset val="238"/>
    </font>
    <font>
      <sz val="10"/>
      <name val="Arial"/>
      <family val="2"/>
      <charset val="238"/>
    </font>
    <font>
      <b/>
      <u/>
      <sz val="12"/>
      <name val="Arial CE"/>
      <charset val="238"/>
    </font>
    <font>
      <b/>
      <sz val="9"/>
      <name val="Arial"/>
      <family val="2"/>
      <charset val="238"/>
    </font>
    <font>
      <i/>
      <sz val="11"/>
      <name val="Arial CE"/>
      <charset val="238"/>
    </font>
    <font>
      <sz val="13"/>
      <name val="Arial"/>
      <family val="2"/>
      <charset val="238"/>
    </font>
    <font>
      <sz val="16"/>
      <name val="Arial"/>
      <family val="2"/>
      <charset val="238"/>
    </font>
    <font>
      <i/>
      <sz val="10"/>
      <name val="Arial CE"/>
      <charset val="238"/>
    </font>
    <font>
      <sz val="12"/>
      <name val="Arial CE"/>
      <charset val="238"/>
    </font>
    <font>
      <b/>
      <i/>
      <sz val="14"/>
      <name val="Arial CE"/>
      <charset val="238"/>
    </font>
    <font>
      <i/>
      <sz val="12"/>
      <name val="Arial CE"/>
      <charset val="238"/>
    </font>
    <font>
      <b/>
      <sz val="9"/>
      <name val="Arial CE"/>
      <charset val="238"/>
    </font>
    <font>
      <b/>
      <i/>
      <sz val="14"/>
      <name val="Arial CE"/>
      <family val="2"/>
      <charset val="238"/>
    </font>
    <font>
      <i/>
      <sz val="10"/>
      <name val="Arial"/>
      <family val="2"/>
      <charset val="238"/>
    </font>
    <font>
      <b/>
      <i/>
      <sz val="16"/>
      <name val="Arial"/>
      <family val="2"/>
      <charset val="238"/>
    </font>
    <font>
      <i/>
      <sz val="11"/>
      <name val="Arial"/>
      <family val="2"/>
      <charset val="238"/>
    </font>
    <font>
      <b/>
      <sz val="16"/>
      <name val="Arial CE"/>
      <family val="2"/>
      <charset val="238"/>
    </font>
    <font>
      <b/>
      <u/>
      <sz val="11"/>
      <name val="Arial"/>
      <family val="2"/>
      <charset val="238"/>
    </font>
    <font>
      <sz val="10"/>
      <color indexed="9"/>
      <name val="Arial"/>
      <family val="2"/>
      <charset val="238"/>
    </font>
    <font>
      <sz val="11"/>
      <color indexed="9"/>
      <name val="Arial"/>
      <family val="2"/>
      <charset val="238"/>
    </font>
    <font>
      <sz val="10.5"/>
      <name val="Arial"/>
      <family val="2"/>
      <charset val="238"/>
    </font>
    <font>
      <b/>
      <u/>
      <sz val="13"/>
      <name val="Arial"/>
      <family val="2"/>
      <charset val="238"/>
    </font>
    <font>
      <u/>
      <sz val="10"/>
      <name val="Arial"/>
      <family val="2"/>
      <charset val="238"/>
    </font>
    <font>
      <b/>
      <i/>
      <sz val="14"/>
      <name val="Arial"/>
      <family val="2"/>
      <charset val="238"/>
    </font>
    <font>
      <sz val="10"/>
      <name val="Arial"/>
      <family val="2"/>
      <charset val="238"/>
    </font>
    <font>
      <sz val="8"/>
      <color indexed="81"/>
      <name val="Tahoma"/>
      <family val="2"/>
      <charset val="238"/>
    </font>
    <font>
      <sz val="10"/>
      <color indexed="14"/>
      <name val="Arial"/>
      <family val="2"/>
      <charset val="238"/>
    </font>
    <font>
      <sz val="8"/>
      <color indexed="14"/>
      <name val="Arial"/>
      <family val="2"/>
      <charset val="238"/>
    </font>
    <font>
      <sz val="11"/>
      <color indexed="14"/>
      <name val="Arial"/>
      <family val="2"/>
      <charset val="238"/>
    </font>
    <font>
      <b/>
      <sz val="11"/>
      <color indexed="14"/>
      <name val="Arial"/>
      <family val="2"/>
      <charset val="238"/>
    </font>
    <font>
      <sz val="11"/>
      <color indexed="14"/>
      <name val="Arial CE"/>
      <family val="2"/>
      <charset val="238"/>
    </font>
    <font>
      <b/>
      <sz val="11"/>
      <color indexed="14"/>
      <name val="Arial CE"/>
      <charset val="238"/>
    </font>
    <font>
      <i/>
      <sz val="18"/>
      <name val="Arial"/>
      <family val="2"/>
      <charset val="238"/>
    </font>
    <font>
      <sz val="10"/>
      <color rgb="FFFF0000"/>
      <name val="Arial"/>
      <family val="2"/>
      <charset val="238"/>
    </font>
    <font>
      <sz val="12"/>
      <color rgb="FFFF0000"/>
      <name val="Arial"/>
      <family val="2"/>
      <charset val="238"/>
    </font>
    <font>
      <sz val="11"/>
      <name val="Trebuchet MS"/>
      <family val="2"/>
      <charset val="238"/>
    </font>
    <font>
      <sz val="10"/>
      <color rgb="FFFF0000"/>
      <name val="Arial CE"/>
      <charset val="238"/>
    </font>
    <font>
      <sz val="11"/>
      <color rgb="FFFF0000"/>
      <name val="Arial CE"/>
      <charset val="238"/>
    </font>
    <font>
      <sz val="12"/>
      <color rgb="FFFF0000"/>
      <name val="Arial CE"/>
      <family val="2"/>
      <charset val="238"/>
    </font>
    <font>
      <b/>
      <i/>
      <sz val="11"/>
      <name val="Arial"/>
      <family val="2"/>
      <charset val="238"/>
    </font>
    <font>
      <b/>
      <i/>
      <sz val="10"/>
      <name val="Arial"/>
      <family val="2"/>
      <charset val="238"/>
    </font>
    <font>
      <b/>
      <i/>
      <sz val="9"/>
      <name val="Arial"/>
      <family val="2"/>
      <charset val="238"/>
    </font>
    <font>
      <u/>
      <sz val="12"/>
      <name val="Arial"/>
      <family val="2"/>
      <charset val="238"/>
    </font>
    <font>
      <b/>
      <sz val="16"/>
      <name val="Arial"/>
      <family val="2"/>
      <charset val="238"/>
    </font>
    <font>
      <sz val="13"/>
      <color rgb="FFFF0000"/>
      <name val="Arial"/>
      <family val="2"/>
      <charset val="238"/>
    </font>
    <font>
      <b/>
      <i/>
      <sz val="11"/>
      <color rgb="FFFF0000"/>
      <name val="Arial"/>
      <family val="2"/>
      <charset val="238"/>
    </font>
    <font>
      <sz val="10"/>
      <color rgb="FFFF00FF"/>
      <name val="Arial CE"/>
      <charset val="238"/>
    </font>
    <font>
      <sz val="10"/>
      <color rgb="FFFF00FF"/>
      <name val="Arial"/>
      <family val="2"/>
      <charset val="238"/>
    </font>
    <font>
      <b/>
      <sz val="10"/>
      <color rgb="FFFF00FF"/>
      <name val="Arial"/>
      <family val="2"/>
      <charset val="238"/>
    </font>
    <font>
      <sz val="11"/>
      <color rgb="FFFF00FF"/>
      <name val="Arial"/>
      <family val="2"/>
      <charset val="238"/>
    </font>
    <font>
      <i/>
      <sz val="11"/>
      <color rgb="FFFF0000"/>
      <name val="Arial"/>
      <family val="2"/>
      <charset val="238"/>
    </font>
    <font>
      <i/>
      <sz val="10"/>
      <color rgb="FFFF0000"/>
      <name val="Arial"/>
      <family val="2"/>
      <charset val="238"/>
    </font>
    <font>
      <b/>
      <u/>
      <sz val="11"/>
      <color rgb="FFFF0000"/>
      <name val="Arial"/>
      <family val="2"/>
      <charset val="238"/>
    </font>
    <font>
      <b/>
      <sz val="11"/>
      <color rgb="FFFF00FF"/>
      <name val="Arial"/>
      <family val="2"/>
      <charset val="238"/>
    </font>
    <font>
      <i/>
      <sz val="11"/>
      <color rgb="FFFF00FF"/>
      <name val="Arial"/>
      <family val="2"/>
      <charset val="238"/>
    </font>
    <font>
      <i/>
      <sz val="10"/>
      <color rgb="FFFF00FF"/>
      <name val="Arial"/>
      <family val="2"/>
      <charset val="238"/>
    </font>
    <font>
      <b/>
      <i/>
      <sz val="11"/>
      <color rgb="FFFF00FF"/>
      <name val="Arial"/>
      <family val="2"/>
      <charset val="238"/>
    </font>
    <font>
      <b/>
      <sz val="10"/>
      <color rgb="FFFF0000"/>
      <name val="Arial"/>
      <family val="2"/>
      <charset val="238"/>
    </font>
    <font>
      <i/>
      <sz val="11"/>
      <color rgb="FF00FF00"/>
      <name val="Arial"/>
      <family val="2"/>
      <charset val="238"/>
    </font>
    <font>
      <b/>
      <i/>
      <sz val="10"/>
      <color rgb="FFFF0000"/>
      <name val="Arial"/>
      <family val="2"/>
      <charset val="238"/>
    </font>
    <font>
      <b/>
      <sz val="11"/>
      <color rgb="FFFF0000"/>
      <name val="Arial"/>
      <family val="2"/>
      <charset val="238"/>
    </font>
    <font>
      <sz val="11"/>
      <color rgb="FFFF0000"/>
      <name val="Arial"/>
      <family val="2"/>
      <charset val="238"/>
    </font>
    <font>
      <sz val="8"/>
      <color rgb="FFFF00FF"/>
      <name val="Arial"/>
      <family val="2"/>
      <charset val="238"/>
    </font>
    <font>
      <sz val="12"/>
      <color rgb="FFFF00FF"/>
      <name val="Arial CE"/>
      <family val="2"/>
      <charset val="238"/>
    </font>
    <font>
      <sz val="10"/>
      <color theme="0"/>
      <name val="Arial"/>
      <family val="2"/>
      <charset val="238"/>
    </font>
    <font>
      <b/>
      <sz val="11"/>
      <color theme="0"/>
      <name val="Arial"/>
      <family val="2"/>
      <charset val="238"/>
    </font>
    <font>
      <sz val="11"/>
      <color theme="0"/>
      <name val="Arial CE"/>
      <charset val="238"/>
    </font>
    <font>
      <sz val="11"/>
      <color theme="0"/>
      <name val="Arial"/>
      <family val="2"/>
      <charset val="238"/>
    </font>
    <font>
      <b/>
      <sz val="10"/>
      <color theme="0"/>
      <name val="Arial"/>
      <family val="2"/>
      <charset val="238"/>
    </font>
    <font>
      <b/>
      <sz val="10"/>
      <color theme="0"/>
      <name val="Arial CE"/>
      <charset val="238"/>
    </font>
    <font>
      <sz val="10"/>
      <color theme="0"/>
      <name val="Arial CE"/>
      <charset val="238"/>
    </font>
  </fonts>
  <fills count="5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6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ck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</borders>
  <cellStyleXfs count="11">
    <xf numFmtId="0" fontId="0" fillId="0" borderId="0"/>
    <xf numFmtId="0" fontId="20" fillId="0" borderId="0"/>
    <xf numFmtId="3" fontId="10" fillId="0" borderId="0"/>
    <xf numFmtId="3" fontId="10" fillId="0" borderId="0"/>
    <xf numFmtId="3" fontId="10" fillId="0" borderId="0"/>
    <xf numFmtId="3" fontId="10" fillId="0" borderId="0"/>
    <xf numFmtId="3" fontId="10" fillId="0" borderId="0"/>
    <xf numFmtId="3" fontId="10" fillId="0" borderId="0"/>
    <xf numFmtId="3" fontId="10" fillId="0" borderId="0"/>
    <xf numFmtId="0" fontId="10" fillId="0" borderId="0"/>
    <xf numFmtId="0" fontId="1" fillId="0" borderId="0"/>
  </cellStyleXfs>
  <cellXfs count="2844">
    <xf numFmtId="0" fontId="0" fillId="0" borderId="0" xfId="0"/>
    <xf numFmtId="1" fontId="2" fillId="0" borderId="0" xfId="0" applyNumberFormat="1" applyFont="1" applyAlignment="1">
      <alignment horizontal="left"/>
    </xf>
    <xf numFmtId="1" fontId="5" fillId="2" borderId="1" xfId="0" applyNumberFormat="1" applyFont="1" applyFill="1" applyBorder="1" applyAlignment="1">
      <alignment horizontal="left"/>
    </xf>
    <xf numFmtId="1" fontId="7" fillId="0" borderId="0" xfId="0" applyNumberFormat="1" applyFont="1" applyAlignment="1">
      <alignment horizontal="left"/>
    </xf>
    <xf numFmtId="0" fontId="2" fillId="0" borderId="0" xfId="0" applyFont="1"/>
    <xf numFmtId="1" fontId="10" fillId="0" borderId="0" xfId="0" applyNumberFormat="1" applyFont="1" applyAlignment="1">
      <alignment horizontal="left"/>
    </xf>
    <xf numFmtId="1" fontId="5" fillId="0" borderId="0" xfId="0" applyNumberFormat="1" applyFont="1" applyFill="1" applyBorder="1" applyAlignment="1">
      <alignment horizontal="left"/>
    </xf>
    <xf numFmtId="0" fontId="0" fillId="0" borderId="0" xfId="0" applyFill="1" applyBorder="1"/>
    <xf numFmtId="0" fontId="3" fillId="0" borderId="0" xfId="0" applyFont="1"/>
    <xf numFmtId="0" fontId="18" fillId="2" borderId="1" xfId="0" applyFont="1" applyFill="1" applyBorder="1"/>
    <xf numFmtId="0" fontId="18" fillId="0" borderId="0" xfId="0" applyFont="1" applyFill="1" applyBorder="1"/>
    <xf numFmtId="3" fontId="5" fillId="2" borderId="1" xfId="0" applyNumberFormat="1" applyFont="1" applyFill="1" applyBorder="1"/>
    <xf numFmtId="3" fontId="0" fillId="0" borderId="0" xfId="0" applyNumberFormat="1"/>
    <xf numFmtId="3" fontId="16" fillId="0" borderId="0" xfId="0" applyNumberFormat="1" applyFont="1"/>
    <xf numFmtId="3" fontId="16" fillId="0" borderId="0" xfId="0" applyNumberFormat="1" applyFont="1" applyAlignment="1">
      <alignment horizontal="right"/>
    </xf>
    <xf numFmtId="3" fontId="0" fillId="0" borderId="0" xfId="0" applyNumberFormat="1" applyFill="1" applyBorder="1"/>
    <xf numFmtId="3" fontId="5" fillId="0" borderId="0" xfId="0" applyNumberFormat="1" applyFont="1" applyFill="1" applyBorder="1" applyAlignment="1">
      <alignment horizontal="right"/>
    </xf>
    <xf numFmtId="3" fontId="5" fillId="0" borderId="0" xfId="0" applyNumberFormat="1" applyFont="1" applyFill="1" applyBorder="1"/>
    <xf numFmtId="3" fontId="5" fillId="3" borderId="0" xfId="0" applyNumberFormat="1" applyFont="1" applyFill="1" applyBorder="1"/>
    <xf numFmtId="1" fontId="2" fillId="0" borderId="2" xfId="0" applyNumberFormat="1" applyFont="1" applyBorder="1" applyAlignment="1">
      <alignment horizontal="left"/>
    </xf>
    <xf numFmtId="1" fontId="2" fillId="0" borderId="3" xfId="0" applyNumberFormat="1" applyFont="1" applyBorder="1" applyAlignment="1">
      <alignment horizontal="left"/>
    </xf>
    <xf numFmtId="0" fontId="4" fillId="2" borderId="4" xfId="0" applyFont="1" applyFill="1" applyBorder="1" applyAlignment="1">
      <alignment horizontal="center" vertical="center"/>
    </xf>
    <xf numFmtId="1" fontId="4" fillId="2" borderId="5" xfId="0" applyNumberFormat="1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0" borderId="0" xfId="0" applyFont="1"/>
    <xf numFmtId="1" fontId="2" fillId="0" borderId="0" xfId="0" applyNumberFormat="1" applyFont="1" applyAlignment="1">
      <alignment horizontal="center"/>
    </xf>
    <xf numFmtId="0" fontId="16" fillId="2" borderId="1" xfId="0" applyFont="1" applyFill="1" applyBorder="1" applyAlignment="1">
      <alignment horizontal="center"/>
    </xf>
    <xf numFmtId="0" fontId="27" fillId="0" borderId="0" xfId="0" applyFont="1" applyAlignment="1">
      <alignment horizontal="center"/>
    </xf>
    <xf numFmtId="0" fontId="16" fillId="0" borderId="0" xfId="0" applyFont="1" applyFill="1" applyBorder="1" applyAlignment="1">
      <alignment horizontal="center"/>
    </xf>
    <xf numFmtId="3" fontId="6" fillId="0" borderId="2" xfId="0" applyNumberFormat="1" applyFont="1" applyBorder="1"/>
    <xf numFmtId="3" fontId="6" fillId="0" borderId="3" xfId="0" applyNumberFormat="1" applyFont="1" applyBorder="1"/>
    <xf numFmtId="1" fontId="10" fillId="0" borderId="2" xfId="0" applyNumberFormat="1" applyFont="1" applyBorder="1" applyAlignment="1">
      <alignment horizontal="left"/>
    </xf>
    <xf numFmtId="1" fontId="10" fillId="0" borderId="3" xfId="0" applyNumberFormat="1" applyFont="1" applyBorder="1" applyAlignment="1">
      <alignment horizontal="left"/>
    </xf>
    <xf numFmtId="1" fontId="28" fillId="0" borderId="0" xfId="0" applyNumberFormat="1" applyFont="1" applyFill="1" applyBorder="1" applyAlignment="1">
      <alignment horizontal="left"/>
    </xf>
    <xf numFmtId="1" fontId="2" fillId="0" borderId="6" xfId="0" applyNumberFormat="1" applyFont="1" applyBorder="1" applyAlignment="1">
      <alignment horizontal="left"/>
    </xf>
    <xf numFmtId="0" fontId="23" fillId="2" borderId="7" xfId="0" applyFont="1" applyFill="1" applyBorder="1" applyAlignment="1">
      <alignment horizontal="left"/>
    </xf>
    <xf numFmtId="0" fontId="3" fillId="2" borderId="8" xfId="0" applyFont="1" applyFill="1" applyBorder="1"/>
    <xf numFmtId="3" fontId="5" fillId="2" borderId="5" xfId="0" applyNumberFormat="1" applyFont="1" applyFill="1" applyBorder="1"/>
    <xf numFmtId="3" fontId="11" fillId="0" borderId="9" xfId="0" applyNumberFormat="1" applyFont="1" applyBorder="1"/>
    <xf numFmtId="3" fontId="11" fillId="0" borderId="2" xfId="0" applyNumberFormat="1" applyFont="1" applyBorder="1"/>
    <xf numFmtId="0" fontId="29" fillId="2" borderId="10" xfId="0" applyFont="1" applyFill="1" applyBorder="1" applyAlignment="1">
      <alignment horizontal="left"/>
    </xf>
    <xf numFmtId="1" fontId="30" fillId="2" borderId="10" xfId="0" applyNumberFormat="1" applyFont="1" applyFill="1" applyBorder="1" applyAlignment="1">
      <alignment horizontal="center"/>
    </xf>
    <xf numFmtId="1" fontId="30" fillId="2" borderId="10" xfId="0" applyNumberFormat="1" applyFont="1" applyFill="1" applyBorder="1" applyAlignment="1">
      <alignment horizontal="left"/>
    </xf>
    <xf numFmtId="0" fontId="30" fillId="2" borderId="10" xfId="0" applyFont="1" applyFill="1" applyBorder="1"/>
    <xf numFmtId="3" fontId="29" fillId="2" borderId="10" xfId="0" applyNumberFormat="1" applyFont="1" applyFill="1" applyBorder="1"/>
    <xf numFmtId="0" fontId="31" fillId="2" borderId="0" xfId="0" applyFont="1" applyFill="1"/>
    <xf numFmtId="3" fontId="4" fillId="2" borderId="5" xfId="0" applyNumberFormat="1" applyFont="1" applyFill="1" applyBorder="1" applyAlignment="1">
      <alignment horizontal="center" vertical="center"/>
    </xf>
    <xf numFmtId="3" fontId="4" fillId="2" borderId="9" xfId="0" applyNumberFormat="1" applyFont="1" applyFill="1" applyBorder="1" applyAlignment="1">
      <alignment horizontal="center" vertical="center"/>
    </xf>
    <xf numFmtId="3" fontId="6" fillId="0" borderId="2" xfId="0" applyNumberFormat="1" applyFont="1" applyBorder="1" applyAlignment="1">
      <alignment horizontal="right"/>
    </xf>
    <xf numFmtId="1" fontId="2" fillId="0" borderId="11" xfId="0" applyNumberFormat="1" applyFont="1" applyBorder="1" applyAlignment="1">
      <alignment horizontal="left"/>
    </xf>
    <xf numFmtId="1" fontId="2" fillId="0" borderId="12" xfId="0" applyNumberFormat="1" applyFont="1" applyBorder="1" applyAlignment="1">
      <alignment horizontal="left"/>
    </xf>
    <xf numFmtId="0" fontId="3" fillId="2" borderId="7" xfId="0" applyFont="1" applyFill="1" applyBorder="1"/>
    <xf numFmtId="0" fontId="18" fillId="0" borderId="0" xfId="0" applyFont="1" applyFill="1" applyBorder="1" applyAlignment="1">
      <alignment horizontal="center"/>
    </xf>
    <xf numFmtId="3" fontId="2" fillId="0" borderId="0" xfId="0" applyNumberFormat="1" applyFont="1"/>
    <xf numFmtId="3" fontId="4" fillId="0" borderId="0" xfId="0" applyNumberFormat="1" applyFont="1"/>
    <xf numFmtId="3" fontId="9" fillId="0" borderId="2" xfId="0" applyNumberFormat="1" applyFont="1" applyBorder="1" applyAlignment="1">
      <alignment horizontal="right"/>
    </xf>
    <xf numFmtId="3" fontId="2" fillId="0" borderId="0" xfId="0" applyNumberFormat="1" applyFont="1" applyAlignment="1">
      <alignment horizontal="right"/>
    </xf>
    <xf numFmtId="3" fontId="18" fillId="0" borderId="0" xfId="0" applyNumberFormat="1" applyFont="1" applyFill="1" applyBorder="1" applyAlignment="1">
      <alignment horizontal="center"/>
    </xf>
    <xf numFmtId="0" fontId="31" fillId="0" borderId="0" xfId="0" applyFont="1" applyFill="1"/>
    <xf numFmtId="3" fontId="6" fillId="3" borderId="0" xfId="0" applyNumberFormat="1" applyFont="1" applyFill="1" applyBorder="1" applyAlignment="1">
      <alignment horizontal="right"/>
    </xf>
    <xf numFmtId="3" fontId="11" fillId="3" borderId="2" xfId="0" applyNumberFormat="1" applyFont="1" applyFill="1" applyBorder="1" applyAlignment="1">
      <alignment horizontal="right"/>
    </xf>
    <xf numFmtId="3" fontId="6" fillId="3" borderId="9" xfId="0" applyNumberFormat="1" applyFont="1" applyFill="1" applyBorder="1" applyAlignment="1">
      <alignment horizontal="right"/>
    </xf>
    <xf numFmtId="0" fontId="11" fillId="0" borderId="9" xfId="0" applyFont="1" applyBorder="1"/>
    <xf numFmtId="3" fontId="7" fillId="0" borderId="0" xfId="0" applyNumberFormat="1" applyFont="1" applyFill="1" applyBorder="1" applyAlignment="1">
      <alignment horizontal="center"/>
    </xf>
    <xf numFmtId="3" fontId="6" fillId="2" borderId="5" xfId="0" applyNumberFormat="1" applyFont="1" applyFill="1" applyBorder="1"/>
    <xf numFmtId="0" fontId="34" fillId="0" borderId="0" xfId="0" applyFont="1"/>
    <xf numFmtId="0" fontId="1" fillId="0" borderId="0" xfId="0" applyFont="1"/>
    <xf numFmtId="1" fontId="9" fillId="0" borderId="0" xfId="0" applyNumberFormat="1" applyFont="1" applyFill="1" applyBorder="1" applyAlignment="1">
      <alignment horizontal="left"/>
    </xf>
    <xf numFmtId="0" fontId="11" fillId="3" borderId="2" xfId="0" applyFont="1" applyFill="1" applyBorder="1"/>
    <xf numFmtId="0" fontId="19" fillId="0" borderId="0" xfId="0" applyFont="1"/>
    <xf numFmtId="0" fontId="35" fillId="0" borderId="0" xfId="0" applyFont="1"/>
    <xf numFmtId="3" fontId="11" fillId="0" borderId="2" xfId="0" applyNumberFormat="1" applyFont="1" applyBorder="1" applyAlignment="1">
      <alignment horizontal="right"/>
    </xf>
    <xf numFmtId="0" fontId="11" fillId="0" borderId="2" xfId="0" applyFont="1" applyBorder="1"/>
    <xf numFmtId="0" fontId="36" fillId="0" borderId="0" xfId="0" applyFont="1"/>
    <xf numFmtId="0" fontId="37" fillId="0" borderId="0" xfId="0" applyFont="1"/>
    <xf numFmtId="1" fontId="38" fillId="0" borderId="0" xfId="0" applyNumberFormat="1" applyFont="1"/>
    <xf numFmtId="1" fontId="37" fillId="2" borderId="1" xfId="0" applyNumberFormat="1" applyFont="1" applyFill="1" applyBorder="1"/>
    <xf numFmtId="0" fontId="37" fillId="2" borderId="1" xfId="0" applyFont="1" applyFill="1" applyBorder="1"/>
    <xf numFmtId="0" fontId="39" fillId="0" borderId="0" xfId="0" applyFont="1"/>
    <xf numFmtId="3" fontId="37" fillId="2" borderId="1" xfId="0" applyNumberFormat="1" applyFont="1" applyFill="1" applyBorder="1"/>
    <xf numFmtId="3" fontId="37" fillId="0" borderId="0" xfId="0" applyNumberFormat="1" applyFont="1"/>
    <xf numFmtId="0" fontId="42" fillId="3" borderId="0" xfId="0" applyFont="1" applyFill="1"/>
    <xf numFmtId="0" fontId="31" fillId="3" borderId="0" xfId="0" applyFont="1" applyFill="1"/>
    <xf numFmtId="1" fontId="8" fillId="0" borderId="0" xfId="0" applyNumberFormat="1" applyFont="1" applyBorder="1" applyAlignment="1">
      <alignment horizontal="left"/>
    </xf>
    <xf numFmtId="0" fontId="11" fillId="0" borderId="2" xfId="0" applyFont="1" applyBorder="1" applyAlignment="1">
      <alignment horizontal="right"/>
    </xf>
    <xf numFmtId="1" fontId="10" fillId="0" borderId="0" xfId="0" applyNumberFormat="1" applyFont="1" applyBorder="1" applyAlignment="1">
      <alignment horizontal="left"/>
    </xf>
    <xf numFmtId="3" fontId="11" fillId="0" borderId="0" xfId="0" applyNumberFormat="1" applyFont="1" applyAlignment="1">
      <alignment horizontal="right"/>
    </xf>
    <xf numFmtId="0" fontId="11" fillId="0" borderId="0" xfId="0" applyFont="1" applyBorder="1"/>
    <xf numFmtId="3" fontId="11" fillId="0" borderId="9" xfId="0" applyNumberFormat="1" applyFont="1" applyBorder="1" applyAlignment="1">
      <alignment horizontal="right"/>
    </xf>
    <xf numFmtId="3" fontId="9" fillId="0" borderId="3" xfId="0" applyNumberFormat="1" applyFont="1" applyBorder="1" applyAlignment="1">
      <alignment horizontal="right"/>
    </xf>
    <xf numFmtId="0" fontId="8" fillId="0" borderId="2" xfId="0" applyFont="1" applyBorder="1" applyAlignment="1"/>
    <xf numFmtId="0" fontId="10" fillId="0" borderId="2" xfId="0" applyFont="1" applyBorder="1" applyAlignment="1"/>
    <xf numFmtId="0" fontId="0" fillId="3" borderId="0" xfId="0" applyFill="1"/>
    <xf numFmtId="1" fontId="16" fillId="0" borderId="0" xfId="0" applyNumberFormat="1" applyFont="1" applyFill="1" applyBorder="1" applyAlignment="1">
      <alignment horizontal="left"/>
    </xf>
    <xf numFmtId="3" fontId="11" fillId="0" borderId="0" xfId="0" applyNumberFormat="1" applyFont="1" applyBorder="1" applyAlignment="1">
      <alignment horizontal="right"/>
    </xf>
    <xf numFmtId="1" fontId="10" fillId="3" borderId="3" xfId="0" applyNumberFormat="1" applyFont="1" applyFill="1" applyBorder="1" applyAlignment="1">
      <alignment horizontal="left"/>
    </xf>
    <xf numFmtId="1" fontId="10" fillId="3" borderId="2" xfId="0" applyNumberFormat="1" applyFont="1" applyFill="1" applyBorder="1" applyAlignment="1">
      <alignment horizontal="left"/>
    </xf>
    <xf numFmtId="3" fontId="9" fillId="3" borderId="3" xfId="0" applyNumberFormat="1" applyFont="1" applyFill="1" applyBorder="1" applyAlignment="1">
      <alignment horizontal="right"/>
    </xf>
    <xf numFmtId="1" fontId="50" fillId="0" borderId="0" xfId="0" applyNumberFormat="1" applyFont="1" applyFill="1" applyBorder="1" applyAlignment="1">
      <alignment horizontal="left"/>
    </xf>
    <xf numFmtId="0" fontId="49" fillId="0" borderId="0" xfId="0" applyFont="1"/>
    <xf numFmtId="3" fontId="49" fillId="0" borderId="0" xfId="0" applyNumberFormat="1" applyFont="1"/>
    <xf numFmtId="1" fontId="52" fillId="0" borderId="0" xfId="0" applyNumberFormat="1" applyFont="1" applyAlignment="1">
      <alignment horizontal="left"/>
    </xf>
    <xf numFmtId="1" fontId="52" fillId="0" borderId="0" xfId="0" applyNumberFormat="1" applyFont="1" applyAlignment="1">
      <alignment horizontal="center"/>
    </xf>
    <xf numFmtId="164" fontId="52" fillId="0" borderId="0" xfId="0" applyNumberFormat="1" applyFont="1" applyAlignment="1">
      <alignment horizontal="center"/>
    </xf>
    <xf numFmtId="0" fontId="52" fillId="0" borderId="0" xfId="0" applyFont="1"/>
    <xf numFmtId="164" fontId="52" fillId="0" borderId="0" xfId="0" applyNumberFormat="1" applyFont="1" applyAlignment="1">
      <alignment horizontal="left"/>
    </xf>
    <xf numFmtId="0" fontId="52" fillId="0" borderId="0" xfId="0" applyFont="1" applyAlignment="1">
      <alignment horizontal="left"/>
    </xf>
    <xf numFmtId="0" fontId="4" fillId="0" borderId="0" xfId="0" applyFont="1" applyFill="1"/>
    <xf numFmtId="0" fontId="4" fillId="0" borderId="0" xfId="0" applyFont="1" applyFill="1" applyBorder="1"/>
    <xf numFmtId="0" fontId="11" fillId="3" borderId="13" xfId="0" applyFont="1" applyFill="1" applyBorder="1"/>
    <xf numFmtId="1" fontId="52" fillId="0" borderId="0" xfId="0" applyNumberFormat="1" applyFont="1"/>
    <xf numFmtId="3" fontId="11" fillId="2" borderId="5" xfId="0" applyNumberFormat="1" applyFont="1" applyFill="1" applyBorder="1"/>
    <xf numFmtId="3" fontId="6" fillId="2" borderId="14" xfId="0" applyNumberFormat="1" applyFont="1" applyFill="1" applyBorder="1"/>
    <xf numFmtId="167" fontId="0" fillId="0" borderId="0" xfId="0" applyNumberFormat="1"/>
    <xf numFmtId="166" fontId="0" fillId="0" borderId="0" xfId="0" applyNumberFormat="1"/>
    <xf numFmtId="166" fontId="31" fillId="0" borderId="0" xfId="0" applyNumberFormat="1" applyFont="1" applyFill="1"/>
    <xf numFmtId="1" fontId="10" fillId="0" borderId="2" xfId="0" applyNumberFormat="1" applyFont="1" applyBorder="1" applyAlignment="1">
      <alignment horizontal="center"/>
    </xf>
    <xf numFmtId="0" fontId="10" fillId="0" borderId="2" xfId="0" applyFont="1" applyBorder="1"/>
    <xf numFmtId="0" fontId="10" fillId="0" borderId="3" xfId="0" applyFont="1" applyBorder="1"/>
    <xf numFmtId="0" fontId="10" fillId="0" borderId="0" xfId="0" applyFont="1" applyFill="1" applyBorder="1" applyAlignment="1"/>
    <xf numFmtId="0" fontId="27" fillId="0" borderId="0" xfId="0" applyFont="1"/>
    <xf numFmtId="3" fontId="27" fillId="0" borderId="0" xfId="0" applyNumberFormat="1" applyFont="1"/>
    <xf numFmtId="168" fontId="7" fillId="0" borderId="2" xfId="0" applyNumberFormat="1" applyFont="1" applyBorder="1" applyAlignment="1">
      <alignment horizontal="left"/>
    </xf>
    <xf numFmtId="3" fontId="9" fillId="3" borderId="0" xfId="0" applyNumberFormat="1" applyFont="1" applyFill="1" applyBorder="1" applyAlignment="1">
      <alignment horizontal="right"/>
    </xf>
    <xf numFmtId="3" fontId="9" fillId="3" borderId="2" xfId="0" applyNumberFormat="1" applyFont="1" applyFill="1" applyBorder="1" applyAlignment="1">
      <alignment horizontal="right"/>
    </xf>
    <xf numFmtId="3" fontId="12" fillId="3" borderId="2" xfId="0" applyNumberFormat="1" applyFont="1" applyFill="1" applyBorder="1" applyAlignment="1">
      <alignment horizontal="right"/>
    </xf>
    <xf numFmtId="3" fontId="11" fillId="3" borderId="3" xfId="0" applyNumberFormat="1" applyFont="1" applyFill="1" applyBorder="1" applyAlignment="1">
      <alignment horizontal="right"/>
    </xf>
    <xf numFmtId="168" fontId="7" fillId="0" borderId="3" xfId="0" applyNumberFormat="1" applyFont="1" applyBorder="1" applyAlignment="1">
      <alignment horizontal="left"/>
    </xf>
    <xf numFmtId="0" fontId="11" fillId="3" borderId="0" xfId="0" applyFont="1" applyFill="1" applyBorder="1"/>
    <xf numFmtId="168" fontId="7" fillId="0" borderId="15" xfId="0" applyNumberFormat="1" applyFont="1" applyBorder="1" applyAlignment="1">
      <alignment horizontal="left"/>
    </xf>
    <xf numFmtId="3" fontId="57" fillId="3" borderId="2" xfId="0" applyNumberFormat="1" applyFont="1" applyFill="1" applyBorder="1" applyAlignment="1">
      <alignment horizontal="right"/>
    </xf>
    <xf numFmtId="3" fontId="18" fillId="0" borderId="0" xfId="0" applyNumberFormat="1" applyFont="1" applyFill="1" applyBorder="1" applyAlignment="1">
      <alignment horizontal="left"/>
    </xf>
    <xf numFmtId="0" fontId="18" fillId="0" borderId="0" xfId="0" applyFont="1" applyFill="1" applyBorder="1" applyAlignment="1">
      <alignment horizontal="left"/>
    </xf>
    <xf numFmtId="1" fontId="58" fillId="2" borderId="1" xfId="0" applyNumberFormat="1" applyFont="1" applyFill="1" applyBorder="1"/>
    <xf numFmtId="0" fontId="58" fillId="2" borderId="1" xfId="0" applyFont="1" applyFill="1" applyBorder="1"/>
    <xf numFmtId="3" fontId="58" fillId="0" borderId="0" xfId="0" applyNumberFormat="1" applyFont="1"/>
    <xf numFmtId="0" fontId="58" fillId="0" borderId="0" xfId="0" applyFont="1"/>
    <xf numFmtId="3" fontId="27" fillId="0" borderId="0" xfId="0" applyNumberFormat="1" applyFont="1" applyFill="1" applyBorder="1"/>
    <xf numFmtId="3" fontId="58" fillId="0" borderId="0" xfId="0" applyNumberFormat="1" applyFont="1" applyFill="1" applyBorder="1"/>
    <xf numFmtId="0" fontId="27" fillId="0" borderId="0" xfId="0" applyFont="1" applyFill="1" applyBorder="1"/>
    <xf numFmtId="3" fontId="27" fillId="0" borderId="0" xfId="0" applyNumberFormat="1" applyFont="1" applyAlignment="1">
      <alignment horizontal="right"/>
    </xf>
    <xf numFmtId="168" fontId="18" fillId="2" borderId="1" xfId="0" applyNumberFormat="1" applyFont="1" applyFill="1" applyBorder="1" applyAlignment="1">
      <alignment horizontal="center"/>
    </xf>
    <xf numFmtId="168" fontId="18" fillId="0" borderId="0" xfId="0" applyNumberFormat="1" applyFont="1" applyFill="1" applyBorder="1" applyAlignment="1">
      <alignment horizontal="center"/>
    </xf>
    <xf numFmtId="168" fontId="34" fillId="0" borderId="0" xfId="0" applyNumberFormat="1" applyFont="1"/>
    <xf numFmtId="168" fontId="7" fillId="0" borderId="0" xfId="0" applyNumberFormat="1" applyFont="1" applyAlignment="1">
      <alignment horizontal="center"/>
    </xf>
    <xf numFmtId="168" fontId="18" fillId="2" borderId="8" xfId="0" applyNumberFormat="1" applyFont="1" applyFill="1" applyBorder="1" applyAlignment="1">
      <alignment horizontal="center"/>
    </xf>
    <xf numFmtId="168" fontId="26" fillId="0" borderId="0" xfId="0" applyNumberFormat="1" applyFont="1"/>
    <xf numFmtId="168" fontId="7" fillId="0" borderId="0" xfId="0" applyNumberFormat="1" applyFont="1" applyAlignment="1">
      <alignment horizontal="left"/>
    </xf>
    <xf numFmtId="3" fontId="11" fillId="3" borderId="9" xfId="0" applyNumberFormat="1" applyFont="1" applyFill="1" applyBorder="1" applyAlignment="1">
      <alignment horizontal="right"/>
    </xf>
    <xf numFmtId="3" fontId="11" fillId="3" borderId="0" xfId="0" applyNumberFormat="1" applyFont="1" applyFill="1" applyBorder="1" applyAlignment="1">
      <alignment horizontal="right"/>
    </xf>
    <xf numFmtId="3" fontId="57" fillId="3" borderId="0" xfId="0" applyNumberFormat="1" applyFont="1" applyFill="1" applyBorder="1" applyAlignment="1">
      <alignment horizontal="right"/>
    </xf>
    <xf numFmtId="3" fontId="9" fillId="3" borderId="16" xfId="0" applyNumberFormat="1" applyFont="1" applyFill="1" applyBorder="1" applyAlignment="1">
      <alignment horizontal="right"/>
    </xf>
    <xf numFmtId="3" fontId="27" fillId="2" borderId="1" xfId="0" applyNumberFormat="1" applyFont="1" applyFill="1" applyBorder="1"/>
    <xf numFmtId="166" fontId="27" fillId="0" borderId="0" xfId="0" applyNumberFormat="1" applyFont="1"/>
    <xf numFmtId="1" fontId="2" fillId="0" borderId="17" xfId="0" applyNumberFormat="1" applyFont="1" applyBorder="1" applyAlignment="1">
      <alignment horizontal="left"/>
    </xf>
    <xf numFmtId="1" fontId="2" fillId="0" borderId="18" xfId="0" applyNumberFormat="1" applyFont="1" applyBorder="1" applyAlignment="1">
      <alignment horizontal="left"/>
    </xf>
    <xf numFmtId="168" fontId="7" fillId="0" borderId="17" xfId="0" applyNumberFormat="1" applyFont="1" applyBorder="1" applyAlignment="1">
      <alignment horizontal="left"/>
    </xf>
    <xf numFmtId="0" fontId="19" fillId="3" borderId="19" xfId="0" applyFont="1" applyFill="1" applyBorder="1" applyAlignment="1"/>
    <xf numFmtId="168" fontId="38" fillId="3" borderId="17" xfId="0" applyNumberFormat="1" applyFont="1" applyFill="1" applyBorder="1" applyAlignment="1"/>
    <xf numFmtId="168" fontId="26" fillId="2" borderId="1" xfId="0" applyNumberFormat="1" applyFont="1" applyFill="1" applyBorder="1"/>
    <xf numFmtId="168" fontId="38" fillId="0" borderId="0" xfId="0" applyNumberFormat="1" applyFont="1"/>
    <xf numFmtId="1" fontId="59" fillId="0" borderId="0" xfId="0" applyNumberFormat="1" applyFont="1" applyAlignment="1">
      <alignment horizontal="left"/>
    </xf>
    <xf numFmtId="0" fontId="27" fillId="2" borderId="1" xfId="0" applyFont="1" applyFill="1" applyBorder="1"/>
    <xf numFmtId="1" fontId="58" fillId="0" borderId="0" xfId="0" applyNumberFormat="1" applyFont="1"/>
    <xf numFmtId="0" fontId="27" fillId="3" borderId="0" xfId="0" applyFont="1" applyFill="1"/>
    <xf numFmtId="0" fontId="6" fillId="0" borderId="2" xfId="0" applyFont="1" applyBorder="1" applyAlignment="1">
      <alignment horizontal="right"/>
    </xf>
    <xf numFmtId="0" fontId="10" fillId="3" borderId="0" xfId="0" applyFont="1" applyFill="1" applyBorder="1"/>
    <xf numFmtId="3" fontId="34" fillId="0" borderId="0" xfId="0" applyNumberFormat="1" applyFont="1" applyFill="1" applyBorder="1"/>
    <xf numFmtId="3" fontId="6" fillId="0" borderId="0" xfId="0" applyNumberFormat="1" applyFont="1" applyFill="1" applyBorder="1" applyAlignment="1">
      <alignment horizontal="right"/>
    </xf>
    <xf numFmtId="168" fontId="4" fillId="2" borderId="9" xfId="0" applyNumberFormat="1" applyFont="1" applyFill="1" applyBorder="1" applyAlignment="1">
      <alignment horizontal="center" vertical="center"/>
    </xf>
    <xf numFmtId="168" fontId="16" fillId="0" borderId="0" xfId="0" applyNumberFormat="1" applyFont="1" applyFill="1" applyBorder="1" applyAlignment="1">
      <alignment horizontal="center"/>
    </xf>
    <xf numFmtId="168" fontId="52" fillId="0" borderId="0" xfId="0" applyNumberFormat="1" applyFont="1" applyAlignment="1">
      <alignment horizontal="center"/>
    </xf>
    <xf numFmtId="0" fontId="10" fillId="3" borderId="3" xfId="0" applyFont="1" applyFill="1" applyBorder="1"/>
    <xf numFmtId="168" fontId="4" fillId="2" borderId="5" xfId="0" applyNumberFormat="1" applyFont="1" applyFill="1" applyBorder="1" applyAlignment="1">
      <alignment horizontal="center" vertical="center"/>
    </xf>
    <xf numFmtId="0" fontId="11" fillId="0" borderId="2" xfId="0" applyFont="1" applyBorder="1" applyAlignment="1"/>
    <xf numFmtId="168" fontId="25" fillId="3" borderId="0" xfId="0" applyNumberFormat="1" applyFont="1" applyFill="1" applyBorder="1" applyAlignment="1">
      <alignment horizontal="left"/>
    </xf>
    <xf numFmtId="168" fontId="25" fillId="3" borderId="19" xfId="0" applyNumberFormat="1" applyFont="1" applyFill="1" applyBorder="1" applyAlignment="1">
      <alignment horizontal="left"/>
    </xf>
    <xf numFmtId="3" fontId="12" fillId="3" borderId="0" xfId="0" applyNumberFormat="1" applyFont="1" applyFill="1" applyBorder="1" applyAlignment="1">
      <alignment horizontal="right"/>
    </xf>
    <xf numFmtId="3" fontId="12" fillId="3" borderId="3" xfId="0" applyNumberFormat="1" applyFont="1" applyFill="1" applyBorder="1" applyAlignment="1">
      <alignment horizontal="right"/>
    </xf>
    <xf numFmtId="3" fontId="12" fillId="3" borderId="16" xfId="0" applyNumberFormat="1" applyFont="1" applyFill="1" applyBorder="1" applyAlignment="1">
      <alignment horizontal="right"/>
    </xf>
    <xf numFmtId="0" fontId="27" fillId="0" borderId="6" xfId="0" applyFont="1" applyBorder="1" applyAlignment="1">
      <alignment horizontal="left"/>
    </xf>
    <xf numFmtId="3" fontId="6" fillId="0" borderId="0" xfId="0" applyNumberFormat="1" applyFont="1" applyFill="1" applyBorder="1"/>
    <xf numFmtId="3" fontId="16" fillId="0" borderId="0" xfId="0" applyNumberFormat="1" applyFont="1" applyFill="1" applyBorder="1" applyAlignment="1">
      <alignment horizontal="right"/>
    </xf>
    <xf numFmtId="3" fontId="16" fillId="0" borderId="0" xfId="0" applyNumberFormat="1" applyFont="1" applyFill="1" applyBorder="1"/>
    <xf numFmtId="3" fontId="9" fillId="3" borderId="14" xfId="0" applyNumberFormat="1" applyFont="1" applyFill="1" applyBorder="1" applyAlignment="1">
      <alignment horizontal="right"/>
    </xf>
    <xf numFmtId="3" fontId="9" fillId="0" borderId="0" xfId="0" applyNumberFormat="1" applyFont="1" applyBorder="1" applyAlignment="1"/>
    <xf numFmtId="3" fontId="11" fillId="3" borderId="13" xfId="0" applyNumberFormat="1" applyFont="1" applyFill="1" applyBorder="1" applyAlignment="1">
      <alignment horizontal="right"/>
    </xf>
    <xf numFmtId="3" fontId="11" fillId="3" borderId="20" xfId="0" applyNumberFormat="1" applyFont="1" applyFill="1" applyBorder="1" applyAlignment="1">
      <alignment horizontal="right"/>
    </xf>
    <xf numFmtId="166" fontId="21" fillId="0" borderId="0" xfId="0" applyNumberFormat="1" applyFont="1" applyFill="1" applyBorder="1"/>
    <xf numFmtId="167" fontId="12" fillId="0" borderId="21" xfId="0" applyNumberFormat="1" applyFont="1" applyBorder="1"/>
    <xf numFmtId="167" fontId="6" fillId="0" borderId="21" xfId="0" applyNumberFormat="1" applyFont="1" applyBorder="1"/>
    <xf numFmtId="167" fontId="5" fillId="2" borderId="22" xfId="0" applyNumberFormat="1" applyFont="1" applyFill="1" applyBorder="1"/>
    <xf numFmtId="167" fontId="29" fillId="2" borderId="10" xfId="0" applyNumberFormat="1" applyFont="1" applyFill="1" applyBorder="1" applyAlignment="1">
      <alignment shrinkToFit="1"/>
    </xf>
    <xf numFmtId="167" fontId="9" fillId="0" borderId="21" xfId="0" applyNumberFormat="1" applyFont="1" applyBorder="1"/>
    <xf numFmtId="167" fontId="5" fillId="0" borderId="0" xfId="0" applyNumberFormat="1" applyFont="1" applyFill="1" applyBorder="1"/>
    <xf numFmtId="167" fontId="5" fillId="3" borderId="0" xfId="0" applyNumberFormat="1" applyFont="1" applyFill="1" applyBorder="1"/>
    <xf numFmtId="167" fontId="4" fillId="2" borderId="23" xfId="0" applyNumberFormat="1" applyFont="1" applyFill="1" applyBorder="1" applyAlignment="1">
      <alignment horizontal="center" vertical="center"/>
    </xf>
    <xf numFmtId="167" fontId="4" fillId="2" borderId="24" xfId="0" applyNumberFormat="1" applyFont="1" applyFill="1" applyBorder="1" applyAlignment="1">
      <alignment horizontal="center" vertical="center"/>
    </xf>
    <xf numFmtId="167" fontId="11" fillId="0" borderId="21" xfId="0" applyNumberFormat="1" applyFont="1" applyBorder="1"/>
    <xf numFmtId="167" fontId="11" fillId="0" borderId="25" xfId="0" applyNumberFormat="1" applyFont="1" applyBorder="1"/>
    <xf numFmtId="167" fontId="10" fillId="0" borderId="0" xfId="0" applyNumberFormat="1" applyFont="1" applyFill="1" applyBorder="1"/>
    <xf numFmtId="167" fontId="58" fillId="0" borderId="0" xfId="0" applyNumberFormat="1" applyFont="1"/>
    <xf numFmtId="167" fontId="27" fillId="0" borderId="0" xfId="0" applyNumberFormat="1" applyFont="1"/>
    <xf numFmtId="167" fontId="11" fillId="0" borderId="25" xfId="0" applyNumberFormat="1" applyFont="1" applyBorder="1" applyAlignment="1">
      <alignment horizontal="right"/>
    </xf>
    <xf numFmtId="166" fontId="4" fillId="2" borderId="24" xfId="0" applyNumberFormat="1" applyFont="1" applyFill="1" applyBorder="1" applyAlignment="1">
      <alignment horizontal="center" vertical="center"/>
    </xf>
    <xf numFmtId="167" fontId="16" fillId="0" borderId="0" xfId="0" applyNumberFormat="1" applyFont="1"/>
    <xf numFmtId="167" fontId="11" fillId="0" borderId="23" xfId="0" applyNumberFormat="1" applyFont="1" applyBorder="1"/>
    <xf numFmtId="167" fontId="6" fillId="2" borderId="24" xfId="0" applyNumberFormat="1" applyFont="1" applyFill="1" applyBorder="1"/>
    <xf numFmtId="167" fontId="11" fillId="2" borderId="24" xfId="0" applyNumberFormat="1" applyFont="1" applyFill="1" applyBorder="1"/>
    <xf numFmtId="167" fontId="49" fillId="0" borderId="0" xfId="0" applyNumberFormat="1" applyFont="1"/>
    <xf numFmtId="166" fontId="6" fillId="0" borderId="0" xfId="0" applyNumberFormat="1" applyFont="1" applyFill="1" applyBorder="1"/>
    <xf numFmtId="166" fontId="6" fillId="3" borderId="25" xfId="0" applyNumberFormat="1" applyFont="1" applyFill="1" applyBorder="1" applyAlignment="1">
      <alignment horizontal="right"/>
    </xf>
    <xf numFmtId="166" fontId="11" fillId="0" borderId="25" xfId="0" applyNumberFormat="1" applyFont="1" applyBorder="1" applyAlignment="1">
      <alignment horizontal="right"/>
    </xf>
    <xf numFmtId="167" fontId="6" fillId="0" borderId="0" xfId="0" applyNumberFormat="1" applyFont="1" applyFill="1" applyBorder="1"/>
    <xf numFmtId="166" fontId="16" fillId="0" borderId="0" xfId="0" applyNumberFormat="1" applyFont="1" applyFill="1" applyBorder="1"/>
    <xf numFmtId="167" fontId="52" fillId="0" borderId="0" xfId="0" applyNumberFormat="1" applyFont="1"/>
    <xf numFmtId="166" fontId="37" fillId="0" borderId="0" xfId="0" applyNumberFormat="1" applyFont="1"/>
    <xf numFmtId="0" fontId="10" fillId="0" borderId="3" xfId="0" applyFont="1" applyBorder="1" applyAlignment="1">
      <alignment wrapText="1"/>
    </xf>
    <xf numFmtId="3" fontId="11" fillId="3" borderId="19" xfId="0" applyNumberFormat="1" applyFont="1" applyFill="1" applyBorder="1" applyAlignment="1">
      <alignment horizontal="right"/>
    </xf>
    <xf numFmtId="1" fontId="10" fillId="3" borderId="9" xfId="0" applyNumberFormat="1" applyFont="1" applyFill="1" applyBorder="1" applyAlignment="1">
      <alignment horizontal="left"/>
    </xf>
    <xf numFmtId="1" fontId="10" fillId="3" borderId="13" xfId="0" applyNumberFormat="1" applyFont="1" applyFill="1" applyBorder="1" applyAlignment="1">
      <alignment horizontal="left"/>
    </xf>
    <xf numFmtId="0" fontId="11" fillId="3" borderId="9" xfId="0" applyFont="1" applyFill="1" applyBorder="1"/>
    <xf numFmtId="1" fontId="2" fillId="0" borderId="26" xfId="0" applyNumberFormat="1" applyFont="1" applyBorder="1" applyAlignment="1">
      <alignment horizontal="left"/>
    </xf>
    <xf numFmtId="1" fontId="10" fillId="3" borderId="12" xfId="0" applyNumberFormat="1" applyFont="1" applyFill="1" applyBorder="1" applyAlignment="1">
      <alignment horizontal="left"/>
    </xf>
    <xf numFmtId="0" fontId="8" fillId="3" borderId="2" xfId="0" applyFont="1" applyFill="1" applyBorder="1"/>
    <xf numFmtId="0" fontId="10" fillId="3" borderId="2" xfId="0" applyFont="1" applyFill="1" applyBorder="1"/>
    <xf numFmtId="0" fontId="10" fillId="3" borderId="14" xfId="0" applyFont="1" applyFill="1" applyBorder="1"/>
    <xf numFmtId="3" fontId="11" fillId="3" borderId="27" xfId="0" applyNumberFormat="1" applyFont="1" applyFill="1" applyBorder="1" applyAlignment="1">
      <alignment horizontal="right"/>
    </xf>
    <xf numFmtId="0" fontId="10" fillId="0" borderId="19" xfId="0" applyFont="1" applyFill="1" applyBorder="1" applyAlignment="1"/>
    <xf numFmtId="168" fontId="25" fillId="3" borderId="27" xfId="0" applyNumberFormat="1" applyFont="1" applyFill="1" applyBorder="1" applyAlignment="1">
      <alignment horizontal="center"/>
    </xf>
    <xf numFmtId="168" fontId="25" fillId="0" borderId="19" xfId="0" applyNumberFormat="1" applyFont="1" applyBorder="1" applyAlignment="1">
      <alignment horizontal="center"/>
    </xf>
    <xf numFmtId="168" fontId="25" fillId="0" borderId="0" xfId="0" applyNumberFormat="1" applyFont="1" applyBorder="1" applyAlignment="1">
      <alignment horizontal="center"/>
    </xf>
    <xf numFmtId="168" fontId="25" fillId="3" borderId="0" xfId="0" applyNumberFormat="1" applyFont="1" applyFill="1" applyBorder="1" applyAlignment="1">
      <alignment horizontal="center"/>
    </xf>
    <xf numFmtId="3" fontId="11" fillId="0" borderId="27" xfId="0" applyNumberFormat="1" applyFont="1" applyBorder="1" applyAlignment="1">
      <alignment horizontal="right"/>
    </xf>
    <xf numFmtId="0" fontId="10" fillId="0" borderId="0" xfId="0" applyFont="1" applyFill="1" applyBorder="1" applyAlignment="1">
      <alignment wrapText="1"/>
    </xf>
    <xf numFmtId="1" fontId="10" fillId="3" borderId="26" xfId="0" applyNumberFormat="1" applyFont="1" applyFill="1" applyBorder="1" applyAlignment="1">
      <alignment horizontal="left"/>
    </xf>
    <xf numFmtId="168" fontId="25" fillId="3" borderId="27" xfId="0" applyNumberFormat="1" applyFont="1" applyFill="1" applyBorder="1" applyAlignment="1">
      <alignment horizontal="left"/>
    </xf>
    <xf numFmtId="0" fontId="9" fillId="0" borderId="25" xfId="0" applyFont="1" applyBorder="1" applyAlignment="1">
      <alignment horizontal="right"/>
    </xf>
    <xf numFmtId="1" fontId="10" fillId="3" borderId="28" xfId="0" applyNumberFormat="1" applyFont="1" applyFill="1" applyBorder="1" applyAlignment="1">
      <alignment horizontal="left"/>
    </xf>
    <xf numFmtId="0" fontId="9" fillId="0" borderId="29" xfId="0" applyFont="1" applyBorder="1" applyAlignment="1">
      <alignment horizontal="right"/>
    </xf>
    <xf numFmtId="166" fontId="11" fillId="0" borderId="30" xfId="0" applyNumberFormat="1" applyFont="1" applyBorder="1" applyAlignment="1">
      <alignment horizontal="right"/>
    </xf>
    <xf numFmtId="1" fontId="10" fillId="0" borderId="9" xfId="0" applyNumberFormat="1" applyFont="1" applyBorder="1" applyAlignment="1">
      <alignment horizontal="left"/>
    </xf>
    <xf numFmtId="168" fontId="7" fillId="0" borderId="18" xfId="0" applyNumberFormat="1" applyFont="1" applyBorder="1" applyAlignment="1">
      <alignment horizontal="left"/>
    </xf>
    <xf numFmtId="1" fontId="13" fillId="0" borderId="0" xfId="0" applyNumberFormat="1" applyFont="1" applyAlignment="1">
      <alignment horizontal="left"/>
    </xf>
    <xf numFmtId="0" fontId="58" fillId="0" borderId="0" xfId="0" applyFont="1" applyBorder="1"/>
    <xf numFmtId="168" fontId="26" fillId="0" borderId="17" xfId="0" applyNumberFormat="1" applyFont="1" applyBorder="1"/>
    <xf numFmtId="3" fontId="20" fillId="0" borderId="0" xfId="0" applyNumberFormat="1" applyFont="1"/>
    <xf numFmtId="0" fontId="20" fillId="0" borderId="0" xfId="0" applyFont="1"/>
    <xf numFmtId="166" fontId="11" fillId="0" borderId="29" xfId="0" applyNumberFormat="1" applyFont="1" applyBorder="1" applyAlignment="1">
      <alignment horizontal="right"/>
    </xf>
    <xf numFmtId="0" fontId="10" fillId="3" borderId="3" xfId="0" applyFont="1" applyFill="1" applyBorder="1" applyAlignment="1"/>
    <xf numFmtId="1" fontId="10" fillId="3" borderId="14" xfId="0" applyNumberFormat="1" applyFont="1" applyFill="1" applyBorder="1" applyAlignment="1">
      <alignment horizontal="left"/>
    </xf>
    <xf numFmtId="1" fontId="10" fillId="3" borderId="31" xfId="0" applyNumberFormat="1" applyFont="1" applyFill="1" applyBorder="1" applyAlignment="1">
      <alignment horizontal="left"/>
    </xf>
    <xf numFmtId="168" fontId="25" fillId="3" borderId="20" xfId="0" applyNumberFormat="1" applyFont="1" applyFill="1" applyBorder="1" applyAlignment="1">
      <alignment horizontal="left"/>
    </xf>
    <xf numFmtId="3" fontId="61" fillId="0" borderId="2" xfId="0" applyNumberFormat="1" applyFont="1" applyBorder="1" applyAlignment="1">
      <alignment horizontal="right"/>
    </xf>
    <xf numFmtId="3" fontId="32" fillId="2" borderId="10" xfId="0" applyNumberFormat="1" applyFont="1" applyFill="1" applyBorder="1"/>
    <xf numFmtId="0" fontId="11" fillId="0" borderId="25" xfId="0" applyFont="1" applyBorder="1" applyAlignment="1">
      <alignment horizontal="right"/>
    </xf>
    <xf numFmtId="0" fontId="11" fillId="3" borderId="2" xfId="0" applyFont="1" applyFill="1" applyBorder="1" applyAlignment="1"/>
    <xf numFmtId="166" fontId="11" fillId="0" borderId="32" xfId="0" applyNumberFormat="1" applyFont="1" applyBorder="1" applyAlignment="1">
      <alignment horizontal="right"/>
    </xf>
    <xf numFmtId="166" fontId="5" fillId="3" borderId="25" xfId="0" applyNumberFormat="1" applyFont="1" applyFill="1" applyBorder="1" applyAlignment="1">
      <alignment horizontal="right"/>
    </xf>
    <xf numFmtId="166" fontId="5" fillId="3" borderId="29" xfId="0" applyNumberFormat="1" applyFont="1" applyFill="1" applyBorder="1" applyAlignment="1">
      <alignment horizontal="right"/>
    </xf>
    <xf numFmtId="0" fontId="65" fillId="0" borderId="0" xfId="0" applyFont="1"/>
    <xf numFmtId="3" fontId="52" fillId="0" borderId="0" xfId="0" applyNumberFormat="1" applyFont="1"/>
    <xf numFmtId="3" fontId="51" fillId="0" borderId="0" xfId="0" applyNumberFormat="1" applyFont="1"/>
    <xf numFmtId="1" fontId="10" fillId="3" borderId="33" xfId="0" applyNumberFormat="1" applyFont="1" applyFill="1" applyBorder="1" applyAlignment="1">
      <alignment horizontal="left"/>
    </xf>
    <xf numFmtId="168" fontId="25" fillId="3" borderId="34" xfId="0" applyNumberFormat="1" applyFont="1" applyFill="1" applyBorder="1" applyAlignment="1">
      <alignment horizontal="left"/>
    </xf>
    <xf numFmtId="3" fontId="11" fillId="3" borderId="34" xfId="0" applyNumberFormat="1" applyFont="1" applyFill="1" applyBorder="1" applyAlignment="1">
      <alignment horizontal="right"/>
    </xf>
    <xf numFmtId="3" fontId="11" fillId="3" borderId="14" xfId="0" applyNumberFormat="1" applyFont="1" applyFill="1" applyBorder="1" applyAlignment="1">
      <alignment horizontal="right"/>
    </xf>
    <xf numFmtId="166" fontId="11" fillId="0" borderId="35" xfId="0" applyNumberFormat="1" applyFont="1" applyBorder="1" applyAlignment="1">
      <alignment horizontal="right"/>
    </xf>
    <xf numFmtId="1" fontId="10" fillId="3" borderId="0" xfId="0" applyNumberFormat="1" applyFont="1" applyFill="1" applyBorder="1" applyAlignment="1">
      <alignment horizontal="left"/>
    </xf>
    <xf numFmtId="166" fontId="11" fillId="0" borderId="0" xfId="0" applyNumberFormat="1" applyFont="1" applyBorder="1" applyAlignment="1">
      <alignment horizontal="right"/>
    </xf>
    <xf numFmtId="1" fontId="5" fillId="2" borderId="0" xfId="0" applyNumberFormat="1" applyFont="1" applyFill="1" applyBorder="1" applyAlignment="1">
      <alignment horizontal="left"/>
    </xf>
    <xf numFmtId="0" fontId="5" fillId="2" borderId="0" xfId="0" applyFont="1" applyFill="1" applyBorder="1"/>
    <xf numFmtId="0" fontId="10" fillId="2" borderId="0" xfId="0" applyFont="1" applyFill="1" applyBorder="1"/>
    <xf numFmtId="0" fontId="10" fillId="2" borderId="0" xfId="0" applyFont="1" applyFill="1" applyBorder="1" applyAlignment="1">
      <alignment horizontal="right"/>
    </xf>
    <xf numFmtId="0" fontId="57" fillId="2" borderId="0" xfId="0" applyFont="1" applyFill="1" applyBorder="1" applyAlignment="1">
      <alignment horizontal="right"/>
    </xf>
    <xf numFmtId="0" fontId="53" fillId="2" borderId="19" xfId="0" applyFont="1" applyFill="1" applyBorder="1"/>
    <xf numFmtId="1" fontId="15" fillId="2" borderId="19" xfId="0" applyNumberFormat="1" applyFont="1" applyFill="1" applyBorder="1" applyAlignment="1">
      <alignment horizontal="left"/>
    </xf>
    <xf numFmtId="0" fontId="15" fillId="2" borderId="19" xfId="0" applyFont="1" applyFill="1" applyBorder="1"/>
    <xf numFmtId="0" fontId="67" fillId="2" borderId="19" xfId="0" applyFont="1" applyFill="1" applyBorder="1" applyAlignment="1">
      <alignment horizontal="right"/>
    </xf>
    <xf numFmtId="0" fontId="53" fillId="3" borderId="0" xfId="0" applyFont="1" applyFill="1" applyBorder="1"/>
    <xf numFmtId="1" fontId="15" fillId="3" borderId="0" xfId="0" applyNumberFormat="1" applyFont="1" applyFill="1" applyBorder="1" applyAlignment="1">
      <alignment horizontal="left"/>
    </xf>
    <xf numFmtId="0" fontId="15" fillId="3" borderId="0" xfId="0" applyFont="1" applyFill="1" applyBorder="1"/>
    <xf numFmtId="0" fontId="67" fillId="3" borderId="0" xfId="0" applyFont="1" applyFill="1" applyBorder="1" applyAlignment="1">
      <alignment horizontal="right"/>
    </xf>
    <xf numFmtId="0" fontId="57" fillId="3" borderId="0" xfId="0" applyFont="1" applyFill="1" applyBorder="1" applyAlignment="1">
      <alignment horizontal="right"/>
    </xf>
    <xf numFmtId="166" fontId="0" fillId="3" borderId="0" xfId="0" applyNumberFormat="1" applyFill="1"/>
    <xf numFmtId="0" fontId="11" fillId="0" borderId="30" xfId="0" applyFont="1" applyBorder="1" applyAlignment="1">
      <alignment horizontal="right"/>
    </xf>
    <xf numFmtId="0" fontId="14" fillId="0" borderId="12" xfId="0" applyFont="1" applyBorder="1"/>
    <xf numFmtId="0" fontId="14" fillId="0" borderId="25" xfId="0" applyFont="1" applyBorder="1" applyAlignment="1">
      <alignment horizontal="right"/>
    </xf>
    <xf numFmtId="0" fontId="5" fillId="3" borderId="25" xfId="0" applyFont="1" applyFill="1" applyBorder="1" applyAlignment="1">
      <alignment horizontal="right"/>
    </xf>
    <xf numFmtId="0" fontId="5" fillId="3" borderId="29" xfId="0" applyFont="1" applyFill="1" applyBorder="1" applyAlignment="1">
      <alignment horizontal="right"/>
    </xf>
    <xf numFmtId="1" fontId="15" fillId="0" borderId="2" xfId="0" applyNumberFormat="1" applyFont="1" applyBorder="1" applyAlignment="1">
      <alignment horizontal="left"/>
    </xf>
    <xf numFmtId="168" fontId="68" fillId="0" borderId="0" xfId="0" applyNumberFormat="1" applyFont="1" applyBorder="1" applyAlignment="1">
      <alignment horizontal="center"/>
    </xf>
    <xf numFmtId="3" fontId="61" fillId="0" borderId="27" xfId="0" applyNumberFormat="1" applyFont="1" applyBorder="1" applyAlignment="1">
      <alignment horizontal="right"/>
    </xf>
    <xf numFmtId="3" fontId="61" fillId="0" borderId="0" xfId="0" applyNumberFormat="1" applyFont="1" applyBorder="1" applyAlignment="1">
      <alignment horizontal="right"/>
    </xf>
    <xf numFmtId="3" fontId="9" fillId="0" borderId="19" xfId="0" applyNumberFormat="1" applyFont="1" applyBorder="1" applyAlignment="1">
      <alignment wrapText="1"/>
    </xf>
    <xf numFmtId="0" fontId="14" fillId="0" borderId="28" xfId="0" applyFont="1" applyBorder="1"/>
    <xf numFmtId="1" fontId="15" fillId="0" borderId="3" xfId="0" applyNumberFormat="1" applyFont="1" applyBorder="1" applyAlignment="1">
      <alignment horizontal="left"/>
    </xf>
    <xf numFmtId="3" fontId="61" fillId="0" borderId="19" xfId="0" applyNumberFormat="1" applyFont="1" applyBorder="1" applyAlignment="1">
      <alignment horizontal="right"/>
    </xf>
    <xf numFmtId="167" fontId="6" fillId="3" borderId="25" xfId="0" applyNumberFormat="1" applyFont="1" applyFill="1" applyBorder="1" applyAlignment="1">
      <alignment horizontal="right"/>
    </xf>
    <xf numFmtId="167" fontId="53" fillId="2" borderId="36" xfId="0" applyNumberFormat="1" applyFont="1" applyFill="1" applyBorder="1" applyAlignment="1">
      <alignment horizontal="right"/>
    </xf>
    <xf numFmtId="0" fontId="53" fillId="2" borderId="19" xfId="0" applyFont="1" applyFill="1" applyBorder="1" applyAlignment="1">
      <alignment horizontal="right"/>
    </xf>
    <xf numFmtId="166" fontId="53" fillId="2" borderId="36" xfId="0" applyNumberFormat="1" applyFont="1" applyFill="1" applyBorder="1" applyAlignment="1">
      <alignment horizontal="right"/>
    </xf>
    <xf numFmtId="167" fontId="3" fillId="0" borderId="0" xfId="0" applyNumberFormat="1" applyFont="1" applyBorder="1" applyAlignment="1">
      <alignment horizontal="right"/>
    </xf>
    <xf numFmtId="3" fontId="51" fillId="0" borderId="0" xfId="0" applyNumberFormat="1" applyFont="1" applyAlignment="1">
      <alignment horizontal="right"/>
    </xf>
    <xf numFmtId="3" fontId="49" fillId="3" borderId="0" xfId="0" applyNumberFormat="1" applyFont="1" applyFill="1" applyBorder="1" applyAlignment="1">
      <alignment horizontal="right"/>
    </xf>
    <xf numFmtId="167" fontId="50" fillId="0" borderId="0" xfId="0" applyNumberFormat="1" applyFont="1" applyFill="1" applyBorder="1" applyAlignment="1">
      <alignment horizontal="right" vertical="center"/>
    </xf>
    <xf numFmtId="167" fontId="65" fillId="0" borderId="0" xfId="0" applyNumberFormat="1" applyFont="1" applyFill="1" applyBorder="1" applyAlignment="1">
      <alignment horizontal="right" vertical="center"/>
    </xf>
    <xf numFmtId="3" fontId="1" fillId="0" borderId="0" xfId="0" applyNumberFormat="1" applyFont="1" applyFill="1" applyBorder="1"/>
    <xf numFmtId="0" fontId="16" fillId="0" borderId="0" xfId="0" applyFont="1" applyFill="1" applyBorder="1" applyAlignment="1">
      <alignment horizontal="left"/>
    </xf>
    <xf numFmtId="0" fontId="11" fillId="0" borderId="0" xfId="0" applyFont="1" applyFill="1" applyBorder="1"/>
    <xf numFmtId="0" fontId="6" fillId="0" borderId="18" xfId="0" applyFont="1" applyBorder="1" applyAlignment="1">
      <alignment horizontal="right"/>
    </xf>
    <xf numFmtId="0" fontId="0" fillId="0" borderId="0" xfId="0" applyAlignment="1"/>
    <xf numFmtId="0" fontId="10" fillId="0" borderId="0" xfId="0" applyFont="1" applyFill="1" applyBorder="1"/>
    <xf numFmtId="3" fontId="11" fillId="0" borderId="0" xfId="0" applyNumberFormat="1" applyFont="1" applyFill="1" applyBorder="1" applyAlignment="1">
      <alignment horizontal="right"/>
    </xf>
    <xf numFmtId="3" fontId="9" fillId="0" borderId="0" xfId="0" applyNumberFormat="1" applyFont="1" applyFill="1" applyBorder="1" applyAlignment="1">
      <alignment horizontal="right"/>
    </xf>
    <xf numFmtId="3" fontId="11" fillId="0" borderId="2" xfId="0" applyNumberFormat="1" applyFont="1" applyFill="1" applyBorder="1" applyAlignment="1">
      <alignment horizontal="right"/>
    </xf>
    <xf numFmtId="3" fontId="9" fillId="0" borderId="2" xfId="0" applyNumberFormat="1" applyFont="1" applyFill="1" applyBorder="1" applyAlignment="1">
      <alignment horizontal="right"/>
    </xf>
    <xf numFmtId="0" fontId="11" fillId="0" borderId="0" xfId="0" applyFont="1" applyAlignment="1"/>
    <xf numFmtId="0" fontId="0" fillId="0" borderId="0" xfId="0" applyAlignment="1">
      <alignment horizontal="center"/>
    </xf>
    <xf numFmtId="0" fontId="33" fillId="2" borderId="4" xfId="0" applyFont="1" applyFill="1" applyBorder="1" applyAlignment="1">
      <alignment horizontal="center" vertical="center"/>
    </xf>
    <xf numFmtId="0" fontId="33" fillId="2" borderId="5" xfId="0" applyFont="1" applyFill="1" applyBorder="1" applyAlignment="1">
      <alignment horizontal="center" vertical="center"/>
    </xf>
    <xf numFmtId="1" fontId="33" fillId="2" borderId="5" xfId="0" applyNumberFormat="1" applyFont="1" applyFill="1" applyBorder="1" applyAlignment="1">
      <alignment horizontal="center" vertical="center" wrapText="1"/>
    </xf>
    <xf numFmtId="1" fontId="33" fillId="2" borderId="37" xfId="0" applyNumberFormat="1" applyFont="1" applyFill="1" applyBorder="1" applyAlignment="1">
      <alignment horizontal="center" vertical="center" wrapText="1"/>
    </xf>
    <xf numFmtId="0" fontId="26" fillId="0" borderId="0" xfId="0" applyFont="1" applyAlignment="1">
      <alignment vertical="center"/>
    </xf>
    <xf numFmtId="3" fontId="33" fillId="2" borderId="24" xfId="0" applyNumberFormat="1" applyFont="1" applyFill="1" applyBorder="1" applyAlignment="1">
      <alignment horizontal="center" vertical="center"/>
    </xf>
    <xf numFmtId="0" fontId="37" fillId="0" borderId="0" xfId="0" applyFont="1" applyAlignment="1"/>
    <xf numFmtId="0" fontId="37" fillId="0" borderId="0" xfId="0" applyFont="1" applyAlignment="1">
      <alignment horizontal="right"/>
    </xf>
    <xf numFmtId="4" fontId="0" fillId="0" borderId="0" xfId="0" applyNumberFormat="1"/>
    <xf numFmtId="0" fontId="26" fillId="2" borderId="4" xfId="0" applyFont="1" applyFill="1" applyBorder="1" applyAlignment="1">
      <alignment horizontal="center" vertical="center"/>
    </xf>
    <xf numFmtId="0" fontId="26" fillId="2" borderId="5" xfId="0" applyFont="1" applyFill="1" applyBorder="1" applyAlignment="1">
      <alignment horizontal="center" vertical="center"/>
    </xf>
    <xf numFmtId="0" fontId="26" fillId="2" borderId="5" xfId="0" applyFont="1" applyFill="1" applyBorder="1" applyAlignment="1">
      <alignment vertical="center"/>
    </xf>
    <xf numFmtId="4" fontId="26" fillId="2" borderId="5" xfId="0" applyNumberFormat="1" applyFont="1" applyFill="1" applyBorder="1" applyAlignment="1">
      <alignment horizontal="center" vertical="center" wrapText="1"/>
    </xf>
    <xf numFmtId="4" fontId="26" fillId="2" borderId="37" xfId="0" applyNumberFormat="1" applyFont="1" applyFill="1" applyBorder="1" applyAlignment="1">
      <alignment horizontal="center" vertical="center" wrapText="1"/>
    </xf>
    <xf numFmtId="3" fontId="0" fillId="2" borderId="24" xfId="0" applyNumberFormat="1" applyFill="1" applyBorder="1" applyAlignment="1">
      <alignment horizontal="center" vertical="center"/>
    </xf>
    <xf numFmtId="0" fontId="0" fillId="0" borderId="38" xfId="0" applyBorder="1" applyAlignment="1">
      <alignment horizontal="center"/>
    </xf>
    <xf numFmtId="0" fontId="0" fillId="0" borderId="9" xfId="0" applyBorder="1" applyAlignment="1">
      <alignment horizontal="center"/>
    </xf>
    <xf numFmtId="4" fontId="19" fillId="2" borderId="5" xfId="0" applyNumberFormat="1" applyFont="1" applyFill="1" applyBorder="1"/>
    <xf numFmtId="0" fontId="19" fillId="0" borderId="12" xfId="0" applyFont="1" applyFill="1" applyBorder="1" applyAlignment="1">
      <alignment horizontal="left"/>
    </xf>
    <xf numFmtId="0" fontId="19" fillId="0" borderId="0" xfId="0" applyFont="1" applyFill="1" applyBorder="1" applyAlignment="1">
      <alignment horizontal="left"/>
    </xf>
    <xf numFmtId="0" fontId="19" fillId="0" borderId="17" xfId="0" applyFont="1" applyFill="1" applyBorder="1" applyAlignment="1">
      <alignment horizontal="left"/>
    </xf>
    <xf numFmtId="0" fontId="19" fillId="0" borderId="0" xfId="0" applyFont="1" applyFill="1"/>
    <xf numFmtId="0" fontId="19" fillId="2" borderId="39" xfId="0" applyFont="1" applyFill="1" applyBorder="1" applyAlignment="1">
      <alignment horizontal="left"/>
    </xf>
    <xf numFmtId="0" fontId="19" fillId="2" borderId="10" xfId="0" applyFont="1" applyFill="1" applyBorder="1" applyAlignment="1">
      <alignment horizontal="left"/>
    </xf>
    <xf numFmtId="0" fontId="19" fillId="2" borderId="40" xfId="0" applyFont="1" applyFill="1" applyBorder="1" applyAlignment="1">
      <alignment horizontal="left"/>
    </xf>
    <xf numFmtId="3" fontId="0" fillId="0" borderId="0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66" fontId="19" fillId="0" borderId="0" xfId="0" applyNumberFormat="1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Fill="1"/>
    <xf numFmtId="0" fontId="1" fillId="0" borderId="0" xfId="0" applyFont="1" applyFill="1" applyAlignment="1">
      <alignment vertical="center"/>
    </xf>
    <xf numFmtId="4" fontId="19" fillId="0" borderId="0" xfId="0" applyNumberFormat="1" applyFont="1" applyFill="1" applyBorder="1"/>
    <xf numFmtId="3" fontId="19" fillId="0" borderId="41" xfId="0" applyNumberFormat="1" applyFont="1" applyFill="1" applyBorder="1" applyAlignment="1">
      <alignment horizontal="right"/>
    </xf>
    <xf numFmtId="0" fontId="49" fillId="0" borderId="0" xfId="0" applyFont="1" applyAlignment="1"/>
    <xf numFmtId="166" fontId="19" fillId="2" borderId="42" xfId="0" applyNumberFormat="1" applyFont="1" applyFill="1" applyBorder="1" applyAlignment="1">
      <alignment horizontal="right" vertical="center"/>
    </xf>
    <xf numFmtId="0" fontId="33" fillId="0" borderId="0" xfId="0" applyFont="1" applyAlignment="1">
      <alignment vertical="center"/>
    </xf>
    <xf numFmtId="3" fontId="34" fillId="0" borderId="2" xfId="0" applyNumberFormat="1" applyFont="1" applyFill="1" applyBorder="1"/>
    <xf numFmtId="3" fontId="9" fillId="0" borderId="2" xfId="0" applyNumberFormat="1" applyFont="1" applyFill="1" applyBorder="1"/>
    <xf numFmtId="3" fontId="34" fillId="0" borderId="3" xfId="0" applyNumberFormat="1" applyFont="1" applyFill="1" applyBorder="1"/>
    <xf numFmtId="1" fontId="33" fillId="2" borderId="24" xfId="0" applyNumberFormat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left"/>
    </xf>
    <xf numFmtId="0" fontId="3" fillId="0" borderId="0" xfId="0" applyFont="1" applyFill="1" applyBorder="1"/>
    <xf numFmtId="0" fontId="3" fillId="0" borderId="0" xfId="0" applyFont="1" applyFill="1"/>
    <xf numFmtId="1" fontId="39" fillId="0" borderId="0" xfId="0" applyNumberFormat="1" applyFont="1" applyFill="1" applyBorder="1" applyAlignment="1">
      <alignment horizontal="left"/>
    </xf>
    <xf numFmtId="1" fontId="39" fillId="0" borderId="0" xfId="0" applyNumberFormat="1" applyFont="1" applyFill="1" applyBorder="1" applyAlignment="1">
      <alignment horizontal="center"/>
    </xf>
    <xf numFmtId="168" fontId="39" fillId="0" borderId="0" xfId="0" applyNumberFormat="1" applyFont="1" applyFill="1" applyBorder="1" applyAlignment="1">
      <alignment horizontal="center"/>
    </xf>
    <xf numFmtId="0" fontId="39" fillId="0" borderId="0" xfId="0" applyFont="1" applyFill="1" applyBorder="1"/>
    <xf numFmtId="3" fontId="39" fillId="0" borderId="0" xfId="0" applyNumberFormat="1" applyFont="1" applyFill="1" applyBorder="1" applyAlignment="1"/>
    <xf numFmtId="167" fontId="39" fillId="0" borderId="0" xfId="0" applyNumberFormat="1" applyFont="1" applyFill="1" applyBorder="1"/>
    <xf numFmtId="0" fontId="39" fillId="0" borderId="0" xfId="0" applyFont="1" applyFill="1"/>
    <xf numFmtId="0" fontId="19" fillId="0" borderId="0" xfId="0" applyFont="1" applyFill="1" applyBorder="1" applyAlignment="1"/>
    <xf numFmtId="167" fontId="29" fillId="2" borderId="10" xfId="0" applyNumberFormat="1" applyFont="1" applyFill="1" applyBorder="1" applyAlignment="1">
      <alignment horizontal="right" shrinkToFit="1"/>
    </xf>
    <xf numFmtId="3" fontId="11" fillId="0" borderId="9" xfId="0" applyNumberFormat="1" applyFont="1" applyFill="1" applyBorder="1" applyAlignment="1">
      <alignment horizontal="right"/>
    </xf>
    <xf numFmtId="1" fontId="5" fillId="0" borderId="0" xfId="0" applyNumberFormat="1" applyFont="1" applyFill="1" applyBorder="1" applyAlignment="1">
      <alignment horizontal="right"/>
    </xf>
    <xf numFmtId="167" fontId="5" fillId="0" borderId="0" xfId="0" applyNumberFormat="1" applyFont="1" applyFill="1" applyBorder="1" applyAlignment="1">
      <alignment horizontal="right"/>
    </xf>
    <xf numFmtId="166" fontId="19" fillId="0" borderId="43" xfId="0" applyNumberFormat="1" applyFont="1" applyFill="1" applyBorder="1" applyAlignment="1">
      <alignment horizontal="right" vertical="center"/>
    </xf>
    <xf numFmtId="166" fontId="19" fillId="2" borderId="44" xfId="0" applyNumberFormat="1" applyFont="1" applyFill="1" applyBorder="1" applyAlignment="1">
      <alignment horizontal="right" vertical="center"/>
    </xf>
    <xf numFmtId="0" fontId="0" fillId="0" borderId="0" xfId="0" applyFill="1" applyAlignment="1">
      <alignment horizontal="justify" wrapText="1"/>
    </xf>
    <xf numFmtId="166" fontId="9" fillId="0" borderId="25" xfId="0" applyNumberFormat="1" applyFont="1" applyFill="1" applyBorder="1"/>
    <xf numFmtId="3" fontId="11" fillId="0" borderId="0" xfId="0" applyNumberFormat="1" applyFont="1" applyFill="1" applyBorder="1" applyAlignment="1">
      <alignment horizontal="right" vertical="top"/>
    </xf>
    <xf numFmtId="3" fontId="6" fillId="2" borderId="24" xfId="0" applyNumberFormat="1" applyFont="1" applyFill="1" applyBorder="1"/>
    <xf numFmtId="3" fontId="6" fillId="2" borderId="42" xfId="0" applyNumberFormat="1" applyFont="1" applyFill="1" applyBorder="1"/>
    <xf numFmtId="0" fontId="6" fillId="0" borderId="0" xfId="0" applyFont="1" applyFill="1" applyBorder="1"/>
    <xf numFmtId="0" fontId="11" fillId="0" borderId="2" xfId="0" applyFont="1" applyFill="1" applyBorder="1"/>
    <xf numFmtId="0" fontId="1" fillId="0" borderId="0" xfId="0" applyFont="1" applyFill="1"/>
    <xf numFmtId="3" fontId="1" fillId="0" borderId="0" xfId="0" applyNumberFormat="1" applyFont="1" applyFill="1"/>
    <xf numFmtId="0" fontId="26" fillId="0" borderId="0" xfId="0" applyFont="1" applyFill="1" applyAlignment="1">
      <alignment vertical="center"/>
    </xf>
    <xf numFmtId="4" fontId="19" fillId="0" borderId="41" xfId="0" applyNumberFormat="1" applyFont="1" applyFill="1" applyBorder="1" applyAlignment="1">
      <alignment horizontal="right"/>
    </xf>
    <xf numFmtId="4" fontId="19" fillId="2" borderId="45" xfId="0" applyNumberFormat="1" applyFont="1" applyFill="1" applyBorder="1" applyAlignment="1">
      <alignment horizontal="right"/>
    </xf>
    <xf numFmtId="0" fontId="19" fillId="0" borderId="2" xfId="0" applyFont="1" applyBorder="1" applyAlignment="1">
      <alignment vertical="center" wrapText="1"/>
    </xf>
    <xf numFmtId="0" fontId="19" fillId="0" borderId="2" xfId="0" applyFont="1" applyBorder="1" applyAlignment="1"/>
    <xf numFmtId="3" fontId="19" fillId="0" borderId="9" xfId="0" applyNumberFormat="1" applyFont="1" applyFill="1" applyBorder="1"/>
    <xf numFmtId="3" fontId="19" fillId="0" borderId="2" xfId="0" applyNumberFormat="1" applyFont="1" applyFill="1" applyBorder="1"/>
    <xf numFmtId="3" fontId="19" fillId="0" borderId="2" xfId="0" applyNumberFormat="1" applyFont="1" applyFill="1" applyBorder="1" applyAlignment="1">
      <alignment vertical="center"/>
    </xf>
    <xf numFmtId="3" fontId="5" fillId="3" borderId="0" xfId="0" applyNumberFormat="1" applyFont="1" applyFill="1" applyBorder="1" applyAlignment="1">
      <alignment horizontal="right"/>
    </xf>
    <xf numFmtId="173" fontId="0" fillId="0" borderId="2" xfId="0" applyNumberFormat="1" applyBorder="1" applyAlignment="1">
      <alignment horizontal="center" vertical="center"/>
    </xf>
    <xf numFmtId="4" fontId="19" fillId="2" borderId="37" xfId="0" applyNumberFormat="1" applyFont="1" applyFill="1" applyBorder="1"/>
    <xf numFmtId="1" fontId="78" fillId="3" borderId="0" xfId="0" applyNumberFormat="1" applyFont="1" applyFill="1" applyBorder="1" applyAlignment="1">
      <alignment horizontal="left"/>
    </xf>
    <xf numFmtId="1" fontId="78" fillId="3" borderId="0" xfId="0" applyNumberFormat="1" applyFont="1" applyFill="1" applyBorder="1" applyAlignment="1">
      <alignment horizontal="center"/>
    </xf>
    <xf numFmtId="168" fontId="78" fillId="3" borderId="0" xfId="0" applyNumberFormat="1" applyFont="1" applyFill="1" applyBorder="1" applyAlignment="1">
      <alignment horizontal="center"/>
    </xf>
    <xf numFmtId="0" fontId="78" fillId="3" borderId="0" xfId="0" applyFont="1" applyFill="1" applyBorder="1"/>
    <xf numFmtId="0" fontId="79" fillId="0" borderId="0" xfId="0" applyFont="1"/>
    <xf numFmtId="0" fontId="37" fillId="0" borderId="0" xfId="0" applyFont="1" applyFill="1" applyBorder="1" applyAlignment="1">
      <alignment horizontal="left" wrapText="1"/>
    </xf>
    <xf numFmtId="0" fontId="0" fillId="0" borderId="0" xfId="0" applyFill="1" applyBorder="1" applyAlignment="1">
      <alignment wrapText="1"/>
    </xf>
    <xf numFmtId="0" fontId="27" fillId="0" borderId="0" xfId="0" applyFont="1" applyAlignment="1">
      <alignment horizontal="right"/>
    </xf>
    <xf numFmtId="173" fontId="0" fillId="0" borderId="9" xfId="0" applyNumberFormat="1" applyBorder="1" applyAlignment="1">
      <alignment horizontal="center"/>
    </xf>
    <xf numFmtId="3" fontId="19" fillId="0" borderId="2" xfId="0" applyNumberFormat="1" applyFont="1" applyBorder="1" applyAlignment="1">
      <alignment horizontal="right" vertical="center"/>
    </xf>
    <xf numFmtId="3" fontId="19" fillId="0" borderId="15" xfId="0" applyNumberFormat="1" applyFont="1" applyBorder="1" applyAlignment="1">
      <alignment horizontal="right" vertical="center"/>
    </xf>
    <xf numFmtId="3" fontId="19" fillId="0" borderId="9" xfId="0" applyNumberFormat="1" applyFont="1" applyBorder="1" applyAlignment="1">
      <alignment horizontal="right"/>
    </xf>
    <xf numFmtId="3" fontId="19" fillId="0" borderId="46" xfId="0" applyNumberFormat="1" applyFont="1" applyBorder="1" applyAlignment="1">
      <alignment horizontal="right"/>
    </xf>
    <xf numFmtId="166" fontId="19" fillId="0" borderId="21" xfId="0" applyNumberFormat="1" applyFont="1" applyBorder="1" applyAlignment="1">
      <alignment horizontal="right" vertical="center"/>
    </xf>
    <xf numFmtId="166" fontId="19" fillId="0" borderId="42" xfId="0" applyNumberFormat="1" applyFont="1" applyBorder="1" applyAlignment="1">
      <alignment horizontal="right" vertical="center"/>
    </xf>
    <xf numFmtId="0" fontId="37" fillId="2" borderId="1" xfId="0" applyFont="1" applyFill="1" applyBorder="1" applyAlignment="1">
      <alignment horizontal="left"/>
    </xf>
    <xf numFmtId="0" fontId="0" fillId="2" borderId="1" xfId="0" applyFill="1" applyBorder="1" applyAlignment="1"/>
    <xf numFmtId="0" fontId="0" fillId="0" borderId="0" xfId="0" applyFill="1" applyAlignment="1">
      <alignment horizontal="center"/>
    </xf>
    <xf numFmtId="3" fontId="19" fillId="0" borderId="9" xfId="0" applyNumberFormat="1" applyFont="1" applyFill="1" applyBorder="1" applyAlignment="1">
      <alignment horizontal="right" vertical="center" wrapText="1"/>
    </xf>
    <xf numFmtId="3" fontId="19" fillId="0" borderId="2" xfId="0" applyNumberFormat="1" applyFont="1" applyFill="1" applyBorder="1" applyAlignment="1">
      <alignment horizontal="right" vertical="center" wrapText="1"/>
    </xf>
    <xf numFmtId="3" fontId="19" fillId="0" borderId="9" xfId="0" applyNumberFormat="1" applyFont="1" applyFill="1" applyBorder="1" applyAlignment="1">
      <alignment horizontal="right" vertical="center"/>
    </xf>
    <xf numFmtId="3" fontId="19" fillId="0" borderId="2" xfId="0" applyNumberFormat="1" applyFont="1" applyFill="1" applyBorder="1" applyAlignment="1">
      <alignment horizontal="right" vertical="center"/>
    </xf>
    <xf numFmtId="0" fontId="0" fillId="0" borderId="0" xfId="0" applyFill="1" applyAlignment="1"/>
    <xf numFmtId="0" fontId="37" fillId="0" borderId="0" xfId="0" applyFont="1" applyFill="1" applyAlignment="1"/>
    <xf numFmtId="0" fontId="0" fillId="0" borderId="0" xfId="0" applyFill="1" applyAlignment="1">
      <alignment vertical="center"/>
    </xf>
    <xf numFmtId="0" fontId="0" fillId="0" borderId="6" xfId="0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173" fontId="0" fillId="0" borderId="2" xfId="0" applyNumberFormat="1" applyFill="1" applyBorder="1" applyAlignment="1">
      <alignment horizontal="center" vertical="center"/>
    </xf>
    <xf numFmtId="0" fontId="19" fillId="0" borderId="2" xfId="0" applyFont="1" applyFill="1" applyBorder="1" applyAlignment="1">
      <alignment vertical="center" wrapText="1"/>
    </xf>
    <xf numFmtId="3" fontId="0" fillId="0" borderId="0" xfId="0" applyNumberFormat="1" applyFill="1" applyAlignment="1">
      <alignment horizontal="right"/>
    </xf>
    <xf numFmtId="3" fontId="37" fillId="0" borderId="0" xfId="0" applyNumberFormat="1" applyFont="1" applyFill="1" applyAlignment="1">
      <alignment horizontal="right"/>
    </xf>
    <xf numFmtId="3" fontId="19" fillId="0" borderId="0" xfId="0" applyNumberFormat="1" applyFont="1" applyFill="1" applyAlignment="1">
      <alignment horizontal="right" vertical="center"/>
    </xf>
    <xf numFmtId="0" fontId="19" fillId="0" borderId="2" xfId="0" applyFont="1" applyFill="1" applyBorder="1"/>
    <xf numFmtId="166" fontId="19" fillId="0" borderId="21" xfId="0" applyNumberFormat="1" applyFont="1" applyBorder="1" applyAlignment="1">
      <alignment horizontal="right"/>
    </xf>
    <xf numFmtId="167" fontId="11" fillId="0" borderId="0" xfId="0" applyNumberFormat="1" applyFont="1" applyBorder="1" applyAlignment="1">
      <alignment horizontal="right"/>
    </xf>
    <xf numFmtId="167" fontId="9" fillId="0" borderId="0" xfId="0" applyNumberFormat="1" applyFont="1" applyBorder="1" applyAlignment="1">
      <alignment horizontal="right"/>
    </xf>
    <xf numFmtId="164" fontId="21" fillId="0" borderId="2" xfId="0" applyNumberFormat="1" applyFont="1" applyFill="1" applyBorder="1" applyAlignment="1">
      <alignment horizontal="right" vertical="center" wrapText="1"/>
    </xf>
    <xf numFmtId="0" fontId="19" fillId="0" borderId="38" xfId="0" applyFont="1" applyFill="1" applyBorder="1"/>
    <xf numFmtId="0" fontId="1" fillId="0" borderId="6" xfId="0" applyFont="1" applyFill="1" applyBorder="1"/>
    <xf numFmtId="0" fontId="10" fillId="0" borderId="12" xfId="0" applyFont="1" applyFill="1" applyBorder="1"/>
    <xf numFmtId="0" fontId="19" fillId="0" borderId="47" xfId="0" applyFont="1" applyFill="1" applyBorder="1"/>
    <xf numFmtId="166" fontId="19" fillId="0" borderId="43" xfId="0" applyNumberFormat="1" applyFont="1" applyFill="1" applyBorder="1"/>
    <xf numFmtId="0" fontId="35" fillId="0" borderId="0" xfId="0" applyFont="1" applyFill="1"/>
    <xf numFmtId="0" fontId="10" fillId="0" borderId="28" xfId="0" applyFont="1" applyFill="1" applyBorder="1"/>
    <xf numFmtId="164" fontId="35" fillId="0" borderId="2" xfId="0" applyNumberFormat="1" applyFont="1" applyFill="1" applyBorder="1" applyAlignment="1">
      <alignment horizontal="center"/>
    </xf>
    <xf numFmtId="166" fontId="19" fillId="0" borderId="21" xfId="0" applyNumberFormat="1" applyFont="1" applyFill="1" applyBorder="1"/>
    <xf numFmtId="0" fontId="10" fillId="0" borderId="11" xfId="0" applyFont="1" applyFill="1" applyBorder="1"/>
    <xf numFmtId="0" fontId="19" fillId="0" borderId="12" xfId="0" applyFont="1" applyFill="1" applyBorder="1"/>
    <xf numFmtId="0" fontId="1" fillId="0" borderId="12" xfId="0" applyFont="1" applyFill="1" applyBorder="1"/>
    <xf numFmtId="3" fontId="21" fillId="0" borderId="2" xfId="0" applyNumberFormat="1" applyFont="1" applyFill="1" applyBorder="1"/>
    <xf numFmtId="164" fontId="35" fillId="0" borderId="3" xfId="0" applyNumberFormat="1" applyFont="1" applyFill="1" applyBorder="1" applyAlignment="1">
      <alignment horizontal="center"/>
    </xf>
    <xf numFmtId="3" fontId="21" fillId="0" borderId="3" xfId="0" applyNumberFormat="1" applyFont="1" applyFill="1" applyBorder="1"/>
    <xf numFmtId="3" fontId="0" fillId="0" borderId="0" xfId="0" applyNumberFormat="1" applyFill="1"/>
    <xf numFmtId="0" fontId="10" fillId="0" borderId="33" xfId="0" applyFont="1" applyFill="1" applyBorder="1"/>
    <xf numFmtId="3" fontId="72" fillId="0" borderId="2" xfId="0" applyNumberFormat="1" applyFont="1" applyFill="1" applyBorder="1"/>
    <xf numFmtId="166" fontId="21" fillId="0" borderId="21" xfId="0" applyNumberFormat="1" applyFont="1" applyFill="1" applyBorder="1"/>
    <xf numFmtId="166" fontId="19" fillId="0" borderId="42" xfId="0" applyNumberFormat="1" applyFont="1" applyFill="1" applyBorder="1" applyAlignment="1">
      <alignment horizontal="right" vertical="center"/>
    </xf>
    <xf numFmtId="166" fontId="19" fillId="0" borderId="21" xfId="0" applyNumberFormat="1" applyFont="1" applyFill="1" applyBorder="1" applyAlignment="1">
      <alignment horizontal="right" vertical="center"/>
    </xf>
    <xf numFmtId="0" fontId="10" fillId="0" borderId="0" xfId="0" applyFont="1" applyFill="1"/>
    <xf numFmtId="3" fontId="9" fillId="0" borderId="34" xfId="0" applyNumberFormat="1" applyFont="1" applyFill="1" applyBorder="1" applyAlignment="1">
      <alignment horizontal="right"/>
    </xf>
    <xf numFmtId="3" fontId="9" fillId="0" borderId="14" xfId="0" applyNumberFormat="1" applyFont="1" applyFill="1" applyBorder="1" applyAlignment="1">
      <alignment horizontal="right"/>
    </xf>
    <xf numFmtId="3" fontId="11" fillId="0" borderId="14" xfId="0" applyNumberFormat="1" applyFont="1" applyFill="1" applyBorder="1" applyAlignment="1">
      <alignment horizontal="right"/>
    </xf>
    <xf numFmtId="3" fontId="6" fillId="0" borderId="34" xfId="0" applyNumberFormat="1" applyFont="1" applyFill="1" applyBorder="1" applyAlignment="1">
      <alignment horizontal="right"/>
    </xf>
    <xf numFmtId="3" fontId="11" fillId="0" borderId="34" xfId="0" applyNumberFormat="1" applyFont="1" applyFill="1" applyBorder="1" applyAlignment="1">
      <alignment horizontal="right"/>
    </xf>
    <xf numFmtId="3" fontId="9" fillId="0" borderId="17" xfId="0" applyNumberFormat="1" applyFont="1" applyFill="1" applyBorder="1" applyAlignment="1">
      <alignment horizontal="right"/>
    </xf>
    <xf numFmtId="3" fontId="6" fillId="0" borderId="2" xfId="0" applyNumberFormat="1" applyFont="1" applyFill="1" applyBorder="1" applyAlignment="1">
      <alignment horizontal="right"/>
    </xf>
    <xf numFmtId="3" fontId="11" fillId="0" borderId="2" xfId="0" applyNumberFormat="1" applyFont="1" applyFill="1" applyBorder="1" applyAlignment="1">
      <alignment horizontal="right" vertical="top"/>
    </xf>
    <xf numFmtId="3" fontId="12" fillId="0" borderId="0" xfId="0" applyNumberFormat="1" applyFont="1" applyFill="1" applyBorder="1" applyAlignment="1">
      <alignment horizontal="right"/>
    </xf>
    <xf numFmtId="3" fontId="11" fillId="0" borderId="27" xfId="0" applyNumberFormat="1" applyFont="1" applyFill="1" applyBorder="1" applyAlignment="1">
      <alignment horizontal="right"/>
    </xf>
    <xf numFmtId="3" fontId="6" fillId="0" borderId="9" xfId="0" applyNumberFormat="1" applyFont="1" applyFill="1" applyBorder="1" applyAlignment="1">
      <alignment horizontal="right"/>
    </xf>
    <xf numFmtId="3" fontId="12" fillId="0" borderId="2" xfId="0" applyNumberFormat="1" applyFont="1" applyFill="1" applyBorder="1" applyAlignment="1">
      <alignment horizontal="right"/>
    </xf>
    <xf numFmtId="0" fontId="9" fillId="0" borderId="48" xfId="0" applyFont="1" applyFill="1" applyBorder="1" applyAlignment="1">
      <alignment horizontal="right"/>
    </xf>
    <xf numFmtId="0" fontId="9" fillId="0" borderId="17" xfId="0" applyFont="1" applyFill="1" applyBorder="1" applyAlignment="1">
      <alignment horizontal="right"/>
    </xf>
    <xf numFmtId="0" fontId="9" fillId="0" borderId="2" xfId="0" applyFont="1" applyFill="1" applyBorder="1" applyAlignment="1">
      <alignment horizontal="right"/>
    </xf>
    <xf numFmtId="3" fontId="9" fillId="0" borderId="14" xfId="0" applyNumberFormat="1" applyFont="1" applyFill="1" applyBorder="1"/>
    <xf numFmtId="4" fontId="0" fillId="0" borderId="0" xfId="0" applyNumberFormat="1" applyFill="1"/>
    <xf numFmtId="0" fontId="9" fillId="0" borderId="2" xfId="0" applyFont="1" applyFill="1" applyBorder="1" applyAlignment="1"/>
    <xf numFmtId="1" fontId="9" fillId="0" borderId="2" xfId="0" applyNumberFormat="1" applyFont="1" applyFill="1" applyBorder="1" applyAlignment="1">
      <alignment horizontal="left"/>
    </xf>
    <xf numFmtId="1" fontId="9" fillId="0" borderId="17" xfId="0" applyNumberFormat="1" applyFont="1" applyFill="1" applyBorder="1" applyAlignment="1">
      <alignment horizontal="left" wrapText="1"/>
    </xf>
    <xf numFmtId="1" fontId="9" fillId="0" borderId="14" xfId="0" applyNumberFormat="1" applyFont="1" applyFill="1" applyBorder="1" applyAlignment="1">
      <alignment horizontal="left"/>
    </xf>
    <xf numFmtId="0" fontId="9" fillId="0" borderId="0" xfId="0" applyFont="1" applyFill="1" applyBorder="1"/>
    <xf numFmtId="0" fontId="9" fillId="0" borderId="2" xfId="0" applyFont="1" applyFill="1" applyBorder="1"/>
    <xf numFmtId="0" fontId="9" fillId="0" borderId="17" xfId="0" applyFont="1" applyFill="1" applyBorder="1"/>
    <xf numFmtId="3" fontId="19" fillId="0" borderId="14" xfId="0" applyNumberFormat="1" applyFont="1" applyFill="1" applyBorder="1"/>
    <xf numFmtId="166" fontId="21" fillId="0" borderId="49" xfId="0" applyNumberFormat="1" applyFont="1" applyFill="1" applyBorder="1"/>
    <xf numFmtId="3" fontId="21" fillId="0" borderId="14" xfId="0" applyNumberFormat="1" applyFont="1" applyFill="1" applyBorder="1"/>
    <xf numFmtId="166" fontId="21" fillId="0" borderId="42" xfId="0" applyNumberFormat="1" applyFont="1" applyFill="1" applyBorder="1"/>
    <xf numFmtId="166" fontId="21" fillId="0" borderId="29" xfId="0" applyNumberFormat="1" applyFont="1" applyFill="1" applyBorder="1"/>
    <xf numFmtId="3" fontId="21" fillId="0" borderId="0" xfId="0" applyNumberFormat="1" applyFont="1" applyFill="1" applyBorder="1"/>
    <xf numFmtId="0" fontId="0" fillId="0" borderId="0" xfId="0" applyFill="1" applyAlignment="1">
      <alignment wrapText="1"/>
    </xf>
    <xf numFmtId="1" fontId="5" fillId="0" borderId="1" xfId="0" applyNumberFormat="1" applyFont="1" applyFill="1" applyBorder="1" applyAlignment="1">
      <alignment horizontal="left"/>
    </xf>
    <xf numFmtId="0" fontId="16" fillId="0" borderId="1" xfId="0" applyFont="1" applyFill="1" applyBorder="1" applyAlignment="1">
      <alignment horizontal="center"/>
    </xf>
    <xf numFmtId="168" fontId="18" fillId="0" borderId="1" xfId="0" applyNumberFormat="1" applyFont="1" applyFill="1" applyBorder="1" applyAlignment="1">
      <alignment horizontal="center"/>
    </xf>
    <xf numFmtId="3" fontId="1" fillId="0" borderId="1" xfId="0" applyNumberFormat="1" applyFont="1" applyFill="1" applyBorder="1"/>
    <xf numFmtId="3" fontId="5" fillId="0" borderId="1" xfId="0" applyNumberFormat="1" applyFont="1" applyFill="1" applyBorder="1"/>
    <xf numFmtId="3" fontId="1" fillId="0" borderId="1" xfId="0" applyNumberFormat="1" applyFont="1" applyFill="1" applyBorder="1" applyAlignment="1">
      <alignment horizontal="right"/>
    </xf>
    <xf numFmtId="0" fontId="37" fillId="0" borderId="1" xfId="0" applyFont="1" applyFill="1" applyBorder="1" applyAlignment="1">
      <alignment horizontal="left"/>
    </xf>
    <xf numFmtId="0" fontId="0" fillId="0" borderId="1" xfId="0" applyFill="1" applyBorder="1" applyAlignment="1"/>
    <xf numFmtId="0" fontId="37" fillId="0" borderId="0" xfId="0" applyFont="1" applyFill="1" applyBorder="1" applyAlignment="1">
      <alignment horizontal="left"/>
    </xf>
    <xf numFmtId="0" fontId="0" fillId="0" borderId="0" xfId="0" applyFill="1" applyBorder="1" applyAlignment="1"/>
    <xf numFmtId="3" fontId="0" fillId="0" borderId="1" xfId="0" applyNumberFormat="1" applyFill="1" applyBorder="1" applyAlignment="1">
      <alignment horizontal="right"/>
    </xf>
    <xf numFmtId="0" fontId="37" fillId="0" borderId="1" xfId="0" applyFont="1" applyFill="1" applyBorder="1" applyAlignment="1"/>
    <xf numFmtId="0" fontId="18" fillId="0" borderId="1" xfId="0" applyFont="1" applyFill="1" applyBorder="1"/>
    <xf numFmtId="3" fontId="0" fillId="0" borderId="1" xfId="0" applyNumberFormat="1" applyFill="1" applyBorder="1"/>
    <xf numFmtId="1" fontId="37" fillId="0" borderId="1" xfId="0" applyNumberFormat="1" applyFont="1" applyFill="1" applyBorder="1" applyAlignment="1">
      <alignment horizontal="left"/>
    </xf>
    <xf numFmtId="1" fontId="37" fillId="0" borderId="1" xfId="0" applyNumberFormat="1" applyFont="1" applyFill="1" applyBorder="1" applyAlignment="1">
      <alignment horizontal="center"/>
    </xf>
    <xf numFmtId="168" fontId="37" fillId="0" borderId="1" xfId="0" applyNumberFormat="1" applyFont="1" applyFill="1" applyBorder="1" applyAlignment="1">
      <alignment horizontal="center"/>
    </xf>
    <xf numFmtId="0" fontId="37" fillId="0" borderId="1" xfId="0" applyFont="1" applyFill="1" applyBorder="1"/>
    <xf numFmtId="3" fontId="37" fillId="0" borderId="1" xfId="0" applyNumberFormat="1" applyFont="1" applyFill="1" applyBorder="1"/>
    <xf numFmtId="3" fontId="37" fillId="0" borderId="0" xfId="0" applyNumberFormat="1" applyFont="1" applyFill="1"/>
    <xf numFmtId="168" fontId="16" fillId="0" borderId="1" xfId="0" applyNumberFormat="1" applyFont="1" applyFill="1" applyBorder="1" applyAlignment="1">
      <alignment horizontal="center"/>
    </xf>
    <xf numFmtId="168" fontId="60" fillId="0" borderId="1" xfId="0" applyNumberFormat="1" applyFont="1" applyFill="1" applyBorder="1" applyAlignment="1">
      <alignment horizontal="center"/>
    </xf>
    <xf numFmtId="3" fontId="19" fillId="0" borderId="1" xfId="0" applyNumberFormat="1" applyFont="1" applyFill="1" applyBorder="1" applyAlignment="1"/>
    <xf numFmtId="3" fontId="37" fillId="0" borderId="1" xfId="0" applyNumberFormat="1" applyFont="1" applyFill="1" applyBorder="1" applyAlignment="1"/>
    <xf numFmtId="3" fontId="19" fillId="0" borderId="0" xfId="0" applyNumberFormat="1" applyFont="1" applyFill="1" applyAlignment="1"/>
    <xf numFmtId="3" fontId="18" fillId="0" borderId="1" xfId="0" applyNumberFormat="1" applyFont="1" applyFill="1" applyBorder="1" applyAlignment="1">
      <alignment horizontal="center"/>
    </xf>
    <xf numFmtId="0" fontId="7" fillId="0" borderId="1" xfId="0" applyFont="1" applyFill="1" applyBorder="1"/>
    <xf numFmtId="3" fontId="34" fillId="0" borderId="1" xfId="0" applyNumberFormat="1" applyFont="1" applyFill="1" applyBorder="1"/>
    <xf numFmtId="3" fontId="34" fillId="0" borderId="0" xfId="0" applyNumberFormat="1" applyFont="1" applyFill="1"/>
    <xf numFmtId="3" fontId="27" fillId="0" borderId="1" xfId="0" applyNumberFormat="1" applyFont="1" applyFill="1" applyBorder="1"/>
    <xf numFmtId="3" fontId="27" fillId="0" borderId="0" xfId="0" applyNumberFormat="1" applyFont="1" applyFill="1"/>
    <xf numFmtId="1" fontId="37" fillId="0" borderId="1" xfId="0" applyNumberFormat="1" applyFont="1" applyFill="1" applyBorder="1"/>
    <xf numFmtId="1" fontId="58" fillId="0" borderId="1" xfId="0" applyNumberFormat="1" applyFont="1" applyFill="1" applyBorder="1"/>
    <xf numFmtId="0" fontId="58" fillId="0" borderId="1" xfId="0" applyFont="1" applyFill="1" applyBorder="1"/>
    <xf numFmtId="3" fontId="58" fillId="0" borderId="1" xfId="0" applyNumberFormat="1" applyFont="1" applyFill="1" applyBorder="1"/>
    <xf numFmtId="0" fontId="58" fillId="0" borderId="1" xfId="0" applyFont="1" applyFill="1" applyBorder="1" applyAlignment="1">
      <alignment horizontal="left"/>
    </xf>
    <xf numFmtId="0" fontId="18" fillId="0" borderId="1" xfId="0" applyFont="1" applyFill="1" applyBorder="1" applyAlignment="1">
      <alignment horizontal="center"/>
    </xf>
    <xf numFmtId="0" fontId="0" fillId="0" borderId="0" xfId="0" applyFill="1" applyAlignment="1">
      <alignment horizontal="left"/>
    </xf>
    <xf numFmtId="0" fontId="49" fillId="0" borderId="0" xfId="0" applyFont="1" applyFill="1"/>
    <xf numFmtId="0" fontId="34" fillId="0" borderId="0" xfId="0" applyFont="1" applyFill="1"/>
    <xf numFmtId="164" fontId="0" fillId="0" borderId="0" xfId="0" applyNumberFormat="1" applyFill="1" applyAlignment="1">
      <alignment horizontal="center"/>
    </xf>
    <xf numFmtId="3" fontId="33" fillId="0" borderId="5" xfId="0" applyNumberFormat="1" applyFont="1" applyFill="1" applyBorder="1" applyAlignment="1">
      <alignment horizontal="center" vertical="center" wrapText="1"/>
    </xf>
    <xf numFmtId="3" fontId="1" fillId="0" borderId="5" xfId="0" applyNumberFormat="1" applyFont="1" applyFill="1" applyBorder="1" applyAlignment="1">
      <alignment horizontal="center" vertical="center" wrapText="1"/>
    </xf>
    <xf numFmtId="3" fontId="1" fillId="0" borderId="24" xfId="0" applyNumberFormat="1" applyFont="1" applyFill="1" applyBorder="1" applyAlignment="1">
      <alignment horizontal="center" vertical="center"/>
    </xf>
    <xf numFmtId="3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3" fontId="33" fillId="0" borderId="23" xfId="0" applyNumberFormat="1" applyFont="1" applyFill="1" applyBorder="1" applyAlignment="1">
      <alignment horizontal="center" vertical="center"/>
    </xf>
    <xf numFmtId="3" fontId="33" fillId="0" borderId="0" xfId="0" applyNumberFormat="1" applyFont="1" applyFill="1" applyBorder="1" applyAlignment="1">
      <alignment horizontal="center" vertical="center"/>
    </xf>
    <xf numFmtId="0" fontId="33" fillId="0" borderId="0" xfId="0" applyFont="1" applyFill="1" applyAlignment="1">
      <alignment horizontal="center" vertical="center"/>
    </xf>
    <xf numFmtId="170" fontId="34" fillId="0" borderId="26" xfId="0" applyNumberFormat="1" applyFont="1" applyFill="1" applyBorder="1" applyAlignment="1">
      <alignment vertical="top" wrapText="1"/>
    </xf>
    <xf numFmtId="0" fontId="21" fillId="0" borderId="18" xfId="0" applyFont="1" applyFill="1" applyBorder="1" applyAlignment="1">
      <alignment vertical="center" wrapText="1"/>
    </xf>
    <xf numFmtId="166" fontId="21" fillId="0" borderId="23" xfId="0" applyNumberFormat="1" applyFont="1" applyFill="1" applyBorder="1" applyAlignment="1">
      <alignment vertical="center" wrapText="1"/>
    </xf>
    <xf numFmtId="0" fontId="19" fillId="0" borderId="0" xfId="0" applyFont="1" applyFill="1" applyAlignment="1">
      <alignment vertical="center" wrapText="1"/>
    </xf>
    <xf numFmtId="0" fontId="21" fillId="0" borderId="17" xfId="0" applyFont="1" applyFill="1" applyBorder="1"/>
    <xf numFmtId="166" fontId="21" fillId="0" borderId="25" xfId="0" applyNumberFormat="1" applyFont="1" applyFill="1" applyBorder="1"/>
    <xf numFmtId="166" fontId="21" fillId="0" borderId="25" xfId="0" applyNumberFormat="1" applyFont="1" applyFill="1" applyBorder="1" applyAlignment="1">
      <alignment vertical="center" wrapText="1"/>
    </xf>
    <xf numFmtId="164" fontId="49" fillId="0" borderId="45" xfId="0" applyNumberFormat="1" applyFont="1" applyFill="1" applyBorder="1" applyAlignment="1"/>
    <xf numFmtId="166" fontId="49" fillId="0" borderId="44" xfId="0" applyNumberFormat="1" applyFont="1" applyFill="1" applyBorder="1"/>
    <xf numFmtId="3" fontId="15" fillId="0" borderId="45" xfId="0" applyNumberFormat="1" applyFont="1" applyFill="1" applyBorder="1"/>
    <xf numFmtId="166" fontId="15" fillId="0" borderId="36" xfId="0" applyNumberFormat="1" applyFont="1" applyFill="1" applyBorder="1"/>
    <xf numFmtId="0" fontId="21" fillId="0" borderId="0" xfId="0" applyFont="1" applyFill="1"/>
    <xf numFmtId="3" fontId="21" fillId="0" borderId="0" xfId="0" applyNumberFormat="1" applyFont="1" applyFill="1"/>
    <xf numFmtId="3" fontId="76" fillId="0" borderId="0" xfId="0" applyNumberFormat="1" applyFont="1" applyFill="1" applyBorder="1" applyAlignment="1">
      <alignment horizontal="right"/>
    </xf>
    <xf numFmtId="3" fontId="76" fillId="0" borderId="0" xfId="0" applyNumberFormat="1" applyFont="1" applyFill="1" applyBorder="1"/>
    <xf numFmtId="166" fontId="34" fillId="0" borderId="0" xfId="0" applyNumberFormat="1" applyFont="1" applyFill="1" applyBorder="1"/>
    <xf numFmtId="3" fontId="75" fillId="0" borderId="0" xfId="0" applyNumberFormat="1" applyFont="1" applyFill="1" applyBorder="1"/>
    <xf numFmtId="3" fontId="33" fillId="0" borderId="24" xfId="0" applyNumberFormat="1" applyFont="1" applyFill="1" applyBorder="1" applyAlignment="1">
      <alignment horizontal="center" vertical="center"/>
    </xf>
    <xf numFmtId="164" fontId="49" fillId="0" borderId="14" xfId="0" applyNumberFormat="1" applyFont="1" applyFill="1" applyBorder="1" applyAlignment="1"/>
    <xf numFmtId="164" fontId="0" fillId="0" borderId="0" xfId="0" applyNumberFormat="1" applyFill="1"/>
    <xf numFmtId="0" fontId="49" fillId="0" borderId="0" xfId="0" applyFont="1" applyFill="1" applyAlignment="1">
      <alignment wrapText="1"/>
    </xf>
    <xf numFmtId="168" fontId="34" fillId="0" borderId="0" xfId="0" applyNumberFormat="1" applyFont="1" applyFill="1"/>
    <xf numFmtId="0" fontId="27" fillId="0" borderId="0" xfId="0" applyFont="1" applyFill="1"/>
    <xf numFmtId="0" fontId="19" fillId="0" borderId="0" xfId="0" applyFont="1" applyFill="1" applyAlignment="1">
      <alignment horizontal="left"/>
    </xf>
    <xf numFmtId="167" fontId="0" fillId="0" borderId="0" xfId="0" applyNumberFormat="1" applyFill="1" applyAlignment="1">
      <alignment horizontal="right"/>
    </xf>
    <xf numFmtId="0" fontId="26" fillId="0" borderId="4" xfId="0" applyFont="1" applyFill="1" applyBorder="1" applyAlignment="1">
      <alignment horizontal="center" vertical="center"/>
    </xf>
    <xf numFmtId="0" fontId="26" fillId="0" borderId="5" xfId="0" applyFont="1" applyFill="1" applyBorder="1" applyAlignment="1">
      <alignment horizontal="center" vertical="center"/>
    </xf>
    <xf numFmtId="0" fontId="26" fillId="0" borderId="5" xfId="0" applyFont="1" applyFill="1" applyBorder="1" applyAlignment="1">
      <alignment vertical="center"/>
    </xf>
    <xf numFmtId="4" fontId="26" fillId="0" borderId="5" xfId="0" applyNumberFormat="1" applyFont="1" applyFill="1" applyBorder="1" applyAlignment="1">
      <alignment horizontal="center" vertical="center" wrapText="1"/>
    </xf>
    <xf numFmtId="4" fontId="26" fillId="0" borderId="37" xfId="0" applyNumberFormat="1" applyFont="1" applyFill="1" applyBorder="1" applyAlignment="1">
      <alignment horizontal="center" vertical="center" wrapText="1"/>
    </xf>
    <xf numFmtId="3" fontId="0" fillId="0" borderId="24" xfId="0" applyNumberFormat="1" applyFill="1" applyBorder="1" applyAlignment="1">
      <alignment horizontal="center" vertical="center"/>
    </xf>
    <xf numFmtId="1" fontId="33" fillId="0" borderId="5" xfId="0" applyNumberFormat="1" applyFont="1" applyFill="1" applyBorder="1" applyAlignment="1">
      <alignment horizontal="center" vertical="center" wrapText="1"/>
    </xf>
    <xf numFmtId="1" fontId="33" fillId="0" borderId="37" xfId="0" applyNumberFormat="1" applyFont="1" applyFill="1" applyBorder="1" applyAlignment="1">
      <alignment horizontal="center" vertical="center" wrapText="1"/>
    </xf>
    <xf numFmtId="166" fontId="33" fillId="0" borderId="24" xfId="0" applyNumberFormat="1" applyFont="1" applyFill="1" applyBorder="1" applyAlignment="1">
      <alignment horizontal="center" vertical="center"/>
    </xf>
    <xf numFmtId="0" fontId="26" fillId="0" borderId="0" xfId="0" applyFont="1" applyFill="1" applyAlignment="1">
      <alignment horizontal="center" vertical="center"/>
    </xf>
    <xf numFmtId="168" fontId="25" fillId="0" borderId="9" xfId="0" applyNumberFormat="1" applyFont="1" applyFill="1" applyBorder="1" applyAlignment="1">
      <alignment horizontal="left"/>
    </xf>
    <xf numFmtId="0" fontId="11" fillId="0" borderId="46" xfId="0" applyFont="1" applyFill="1" applyBorder="1"/>
    <xf numFmtId="167" fontId="11" fillId="0" borderId="30" xfId="0" applyNumberFormat="1" applyFont="1" applyFill="1" applyBorder="1" applyAlignment="1">
      <alignment horizontal="right"/>
    </xf>
    <xf numFmtId="1" fontId="10" fillId="0" borderId="2" xfId="0" applyNumberFormat="1" applyFont="1" applyFill="1" applyBorder="1" applyAlignment="1">
      <alignment horizontal="left"/>
    </xf>
    <xf numFmtId="168" fontId="25" fillId="0" borderId="2" xfId="0" applyNumberFormat="1" applyFont="1" applyFill="1" applyBorder="1" applyAlignment="1">
      <alignment horizontal="left"/>
    </xf>
    <xf numFmtId="0" fontId="11" fillId="0" borderId="15" xfId="0" applyFont="1" applyFill="1" applyBorder="1"/>
    <xf numFmtId="167" fontId="11" fillId="0" borderId="25" xfId="0" applyNumberFormat="1" applyFont="1" applyFill="1" applyBorder="1" applyAlignment="1">
      <alignment horizontal="right"/>
    </xf>
    <xf numFmtId="49" fontId="7" fillId="0" borderId="2" xfId="0" applyNumberFormat="1" applyFont="1" applyFill="1" applyBorder="1" applyAlignment="1">
      <alignment horizontal="left"/>
    </xf>
    <xf numFmtId="0" fontId="10" fillId="0" borderId="15" xfId="0" applyFont="1" applyFill="1" applyBorder="1"/>
    <xf numFmtId="167" fontId="9" fillId="0" borderId="25" xfId="0" applyNumberFormat="1" applyFont="1" applyFill="1" applyBorder="1" applyAlignment="1">
      <alignment horizontal="right"/>
    </xf>
    <xf numFmtId="0" fontId="65" fillId="0" borderId="0" xfId="0" applyFont="1" applyFill="1"/>
    <xf numFmtId="1" fontId="10" fillId="0" borderId="14" xfId="0" applyNumberFormat="1" applyFont="1" applyFill="1" applyBorder="1" applyAlignment="1">
      <alignment horizontal="left"/>
    </xf>
    <xf numFmtId="167" fontId="11" fillId="0" borderId="35" xfId="0" applyNumberFormat="1" applyFont="1" applyFill="1" applyBorder="1" applyAlignment="1">
      <alignment horizontal="right"/>
    </xf>
    <xf numFmtId="0" fontId="0" fillId="0" borderId="0" xfId="0" applyFill="1" applyAlignment="1">
      <alignment horizontal="right"/>
    </xf>
    <xf numFmtId="0" fontId="9" fillId="0" borderId="0" xfId="0" applyFont="1" applyFill="1"/>
    <xf numFmtId="0" fontId="19" fillId="0" borderId="10" xfId="0" applyFont="1" applyFill="1" applyBorder="1" applyAlignment="1">
      <alignment horizontal="left"/>
    </xf>
    <xf numFmtId="0" fontId="75" fillId="0" borderId="0" xfId="0" applyFont="1" applyFill="1"/>
    <xf numFmtId="0" fontId="34" fillId="0" borderId="0" xfId="0" applyFont="1" applyFill="1" applyAlignment="1">
      <alignment horizontal="left"/>
    </xf>
    <xf numFmtId="0" fontId="34" fillId="0" borderId="0" xfId="0" applyFont="1" applyFill="1" applyAlignment="1">
      <alignment horizontal="center"/>
    </xf>
    <xf numFmtId="0" fontId="76" fillId="0" borderId="0" xfId="0" applyFont="1" applyFill="1"/>
    <xf numFmtId="4" fontId="49" fillId="0" borderId="0" xfId="0" applyNumberFormat="1" applyFont="1" applyFill="1"/>
    <xf numFmtId="0" fontId="33" fillId="0" borderId="4" xfId="0" applyFont="1" applyFill="1" applyBorder="1" applyAlignment="1">
      <alignment horizontal="center" vertical="center"/>
    </xf>
    <xf numFmtId="0" fontId="33" fillId="0" borderId="5" xfId="0" applyFont="1" applyFill="1" applyBorder="1" applyAlignment="1">
      <alignment horizontal="center" vertical="center"/>
    </xf>
    <xf numFmtId="49" fontId="7" fillId="0" borderId="17" xfId="0" applyNumberFormat="1" applyFont="1" applyFill="1" applyBorder="1" applyAlignment="1">
      <alignment horizontal="left"/>
    </xf>
    <xf numFmtId="1" fontId="10" fillId="0" borderId="17" xfId="0" applyNumberFormat="1" applyFont="1" applyFill="1" applyBorder="1" applyAlignment="1">
      <alignment horizontal="left"/>
    </xf>
    <xf numFmtId="3" fontId="19" fillId="0" borderId="5" xfId="0" applyNumberFormat="1" applyFont="1" applyFill="1" applyBorder="1" applyAlignment="1">
      <alignment horizontal="right"/>
    </xf>
    <xf numFmtId="166" fontId="19" fillId="0" borderId="22" xfId="0" applyNumberFormat="1" applyFont="1" applyFill="1" applyBorder="1" applyAlignment="1">
      <alignment horizontal="right"/>
    </xf>
    <xf numFmtId="0" fontId="37" fillId="0" borderId="0" xfId="0" applyFont="1" applyFill="1" applyAlignment="1">
      <alignment horizontal="right"/>
    </xf>
    <xf numFmtId="0" fontId="49" fillId="0" borderId="0" xfId="0" applyFont="1" applyFill="1" applyAlignment="1"/>
    <xf numFmtId="4" fontId="0" fillId="0" borderId="0" xfId="0" applyNumberFormat="1" applyFill="1" applyAlignment="1">
      <alignment horizontal="right"/>
    </xf>
    <xf numFmtId="166" fontId="19" fillId="0" borderId="24" xfId="0" applyNumberFormat="1" applyFont="1" applyFill="1" applyBorder="1" applyAlignment="1">
      <alignment horizontal="center" vertical="center"/>
    </xf>
    <xf numFmtId="3" fontId="19" fillId="0" borderId="5" xfId="0" applyNumberFormat="1" applyFont="1" applyFill="1" applyBorder="1"/>
    <xf numFmtId="166" fontId="19" fillId="0" borderId="42" xfId="0" applyNumberFormat="1" applyFont="1" applyFill="1" applyBorder="1" applyAlignment="1">
      <alignment horizontal="center" vertical="center"/>
    </xf>
    <xf numFmtId="4" fontId="19" fillId="0" borderId="0" xfId="0" applyNumberFormat="1" applyFont="1" applyFill="1"/>
    <xf numFmtId="1" fontId="78" fillId="0" borderId="0" xfId="0" applyNumberFormat="1" applyFont="1" applyFill="1" applyBorder="1" applyAlignment="1">
      <alignment horizontal="left"/>
    </xf>
    <xf numFmtId="1" fontId="78" fillId="0" borderId="0" xfId="0" applyNumberFormat="1" applyFont="1" applyFill="1" applyBorder="1" applyAlignment="1">
      <alignment horizontal="center"/>
    </xf>
    <xf numFmtId="168" fontId="78" fillId="0" borderId="0" xfId="0" applyNumberFormat="1" applyFont="1" applyFill="1" applyBorder="1" applyAlignment="1">
      <alignment horizontal="center"/>
    </xf>
    <xf numFmtId="0" fontId="78" fillId="0" borderId="0" xfId="0" applyFont="1" applyFill="1" applyBorder="1"/>
    <xf numFmtId="3" fontId="49" fillId="0" borderId="0" xfId="0" applyNumberFormat="1" applyFont="1" applyFill="1"/>
    <xf numFmtId="167" fontId="11" fillId="0" borderId="0" xfId="0" applyNumberFormat="1" applyFont="1" applyFill="1" applyBorder="1" applyAlignment="1">
      <alignment horizontal="right"/>
    </xf>
    <xf numFmtId="1" fontId="52" fillId="0" borderId="0" xfId="0" applyNumberFormat="1" applyFont="1" applyFill="1" applyAlignment="1">
      <alignment horizontal="center"/>
    </xf>
    <xf numFmtId="168" fontId="52" fillId="0" borderId="0" xfId="0" applyNumberFormat="1" applyFont="1" applyFill="1" applyAlignment="1">
      <alignment horizontal="center"/>
    </xf>
    <xf numFmtId="0" fontId="52" fillId="0" borderId="0" xfId="0" applyFont="1" applyFill="1"/>
    <xf numFmtId="3" fontId="51" fillId="0" borderId="0" xfId="0" applyNumberFormat="1" applyFont="1" applyFill="1"/>
    <xf numFmtId="167" fontId="9" fillId="0" borderId="0" xfId="0" applyNumberFormat="1" applyFont="1" applyFill="1" applyBorder="1" applyAlignment="1">
      <alignment horizontal="right"/>
    </xf>
    <xf numFmtId="1" fontId="52" fillId="0" borderId="0" xfId="0" applyNumberFormat="1" applyFont="1" applyFill="1" applyAlignment="1">
      <alignment horizontal="left"/>
    </xf>
    <xf numFmtId="0" fontId="52" fillId="0" borderId="0" xfId="0" applyFont="1" applyFill="1" applyAlignment="1">
      <alignment horizontal="left"/>
    </xf>
    <xf numFmtId="3" fontId="51" fillId="0" borderId="0" xfId="0" applyNumberFormat="1" applyFont="1" applyFill="1" applyAlignment="1">
      <alignment horizontal="right"/>
    </xf>
    <xf numFmtId="3" fontId="29" fillId="0" borderId="10" xfId="0" applyNumberFormat="1" applyFont="1" applyFill="1" applyBorder="1"/>
    <xf numFmtId="167" fontId="29" fillId="0" borderId="10" xfId="0" applyNumberFormat="1" applyFont="1" applyFill="1" applyBorder="1" applyAlignment="1">
      <alignment horizontal="right" shrinkToFit="1"/>
    </xf>
    <xf numFmtId="0" fontId="19" fillId="0" borderId="39" xfId="0" applyFont="1" applyFill="1" applyBorder="1" applyAlignment="1">
      <alignment horizontal="left"/>
    </xf>
    <xf numFmtId="0" fontId="19" fillId="0" borderId="40" xfId="0" applyFont="1" applyFill="1" applyBorder="1" applyAlignment="1">
      <alignment horizontal="left"/>
    </xf>
    <xf numFmtId="3" fontId="19" fillId="0" borderId="45" xfId="0" applyNumberFormat="1" applyFont="1" applyFill="1" applyBorder="1" applyAlignment="1">
      <alignment horizontal="right"/>
    </xf>
    <xf numFmtId="3" fontId="19" fillId="0" borderId="15" xfId="0" applyNumberFormat="1" applyFont="1" applyFill="1" applyBorder="1" applyAlignment="1">
      <alignment vertical="center"/>
    </xf>
    <xf numFmtId="3" fontId="19" fillId="0" borderId="37" xfId="0" applyNumberFormat="1" applyFont="1" applyFill="1" applyBorder="1"/>
    <xf numFmtId="0" fontId="79" fillId="0" borderId="0" xfId="0" applyFont="1" applyFill="1"/>
    <xf numFmtId="0" fontId="1" fillId="0" borderId="0" xfId="0" applyFont="1" applyFill="1" applyAlignment="1">
      <alignment horizontal="right"/>
    </xf>
    <xf numFmtId="0" fontId="0" fillId="0" borderId="2" xfId="0" applyFill="1" applyBorder="1" applyAlignment="1">
      <alignment horizontal="right" vertical="center"/>
    </xf>
    <xf numFmtId="3" fontId="19" fillId="0" borderId="15" xfId="0" applyNumberFormat="1" applyFont="1" applyFill="1" applyBorder="1" applyAlignment="1">
      <alignment horizontal="right" vertical="center"/>
    </xf>
    <xf numFmtId="166" fontId="19" fillId="0" borderId="44" xfId="0" applyNumberFormat="1" applyFont="1" applyFill="1" applyBorder="1" applyAlignment="1">
      <alignment horizontal="right" vertical="center"/>
    </xf>
    <xf numFmtId="167" fontId="3" fillId="0" borderId="0" xfId="0" applyNumberFormat="1" applyFont="1" applyFill="1" applyBorder="1" applyAlignment="1">
      <alignment horizontal="right"/>
    </xf>
    <xf numFmtId="0" fontId="20" fillId="0" borderId="0" xfId="0" applyFont="1" applyFill="1" applyAlignment="1">
      <alignment horizontal="right"/>
    </xf>
    <xf numFmtId="167" fontId="66" fillId="0" borderId="10" xfId="0" applyNumberFormat="1" applyFont="1" applyFill="1" applyBorder="1" applyAlignment="1">
      <alignment horizontal="right" shrinkToFit="1"/>
    </xf>
    <xf numFmtId="0" fontId="63" fillId="0" borderId="0" xfId="0" applyFont="1" applyFill="1"/>
    <xf numFmtId="167" fontId="14" fillId="0" borderId="10" xfId="0" applyNumberFormat="1" applyFont="1" applyFill="1" applyBorder="1" applyAlignment="1">
      <alignment horizontal="right" shrinkToFit="1"/>
    </xf>
    <xf numFmtId="166" fontId="0" fillId="0" borderId="0" xfId="0" applyNumberFormat="1" applyFill="1" applyAlignment="1">
      <alignment horizontal="center"/>
    </xf>
    <xf numFmtId="166" fontId="37" fillId="0" borderId="0" xfId="0" applyNumberFormat="1" applyFont="1" applyFill="1" applyAlignment="1">
      <alignment horizontal="right"/>
    </xf>
    <xf numFmtId="166" fontId="37" fillId="0" borderId="0" xfId="0" applyNumberFormat="1" applyFont="1" applyFill="1" applyAlignment="1">
      <alignment horizontal="center"/>
    </xf>
    <xf numFmtId="166" fontId="20" fillId="0" borderId="0" xfId="0" applyNumberFormat="1" applyFont="1" applyFill="1" applyAlignment="1">
      <alignment horizontal="center"/>
    </xf>
    <xf numFmtId="166" fontId="0" fillId="0" borderId="24" xfId="0" applyNumberFormat="1" applyFill="1" applyBorder="1" applyAlignment="1">
      <alignment horizontal="center" vertical="center"/>
    </xf>
    <xf numFmtId="0" fontId="19" fillId="0" borderId="0" xfId="0" applyFont="1" applyFill="1" applyAlignment="1">
      <alignment vertical="center"/>
    </xf>
    <xf numFmtId="3" fontId="19" fillId="0" borderId="0" xfId="0" applyNumberFormat="1" applyFont="1" applyFill="1" applyAlignment="1">
      <alignment horizontal="right"/>
    </xf>
    <xf numFmtId="3" fontId="1" fillId="0" borderId="0" xfId="0" applyNumberFormat="1" applyFont="1" applyFill="1" applyAlignment="1">
      <alignment horizontal="right"/>
    </xf>
    <xf numFmtId="3" fontId="26" fillId="0" borderId="5" xfId="0" applyNumberFormat="1" applyFont="1" applyFill="1" applyBorder="1" applyAlignment="1">
      <alignment horizontal="center" vertical="center" wrapText="1"/>
    </xf>
    <xf numFmtId="3" fontId="26" fillId="0" borderId="37" xfId="0" applyNumberFormat="1" applyFont="1" applyFill="1" applyBorder="1" applyAlignment="1">
      <alignment horizontal="center" vertical="center" wrapText="1"/>
    </xf>
    <xf numFmtId="3" fontId="33" fillId="0" borderId="37" xfId="0" applyNumberFormat="1" applyFont="1" applyFill="1" applyBorder="1" applyAlignment="1">
      <alignment horizontal="center" vertical="center" wrapText="1"/>
    </xf>
    <xf numFmtId="0" fontId="37" fillId="0" borderId="19" xfId="0" applyFont="1" applyFill="1" applyBorder="1" applyAlignment="1"/>
    <xf numFmtId="0" fontId="0" fillId="0" borderId="19" xfId="0" applyFill="1" applyBorder="1" applyAlignment="1"/>
    <xf numFmtId="3" fontId="19" fillId="0" borderId="37" xfId="0" applyNumberFormat="1" applyFont="1" applyFill="1" applyBorder="1" applyAlignment="1">
      <alignment horizontal="right"/>
    </xf>
    <xf numFmtId="0" fontId="19" fillId="0" borderId="9" xfId="0" applyFont="1" applyFill="1" applyBorder="1"/>
    <xf numFmtId="167" fontId="15" fillId="0" borderId="0" xfId="0" applyNumberFormat="1" applyFont="1" applyFill="1" applyBorder="1" applyAlignment="1">
      <alignment horizontal="right"/>
    </xf>
    <xf numFmtId="166" fontId="19" fillId="0" borderId="24" xfId="0" applyNumberFormat="1" applyFont="1" applyFill="1" applyBorder="1" applyAlignment="1">
      <alignment horizontal="right" vertical="center"/>
    </xf>
    <xf numFmtId="3" fontId="16" fillId="0" borderId="0" xfId="0" applyNumberFormat="1" applyFont="1" applyFill="1" applyAlignment="1">
      <alignment horizontal="right"/>
    </xf>
    <xf numFmtId="167" fontId="0" fillId="0" borderId="0" xfId="0" applyNumberFormat="1" applyFill="1"/>
    <xf numFmtId="1" fontId="2" fillId="0" borderId="0" xfId="0" applyNumberFormat="1" applyFont="1" applyFill="1" applyAlignment="1">
      <alignment horizontal="center"/>
    </xf>
    <xf numFmtId="1" fontId="7" fillId="0" borderId="0" xfId="0" applyNumberFormat="1" applyFont="1" applyFill="1" applyAlignment="1">
      <alignment horizontal="left"/>
    </xf>
    <xf numFmtId="0" fontId="4" fillId="0" borderId="4" xfId="0" applyFont="1" applyFill="1" applyBorder="1" applyAlignment="1">
      <alignment horizontal="center" vertical="center"/>
    </xf>
    <xf numFmtId="1" fontId="4" fillId="0" borderId="5" xfId="0" applyNumberFormat="1" applyFont="1" applyFill="1" applyBorder="1" applyAlignment="1">
      <alignment horizontal="center" vertical="center"/>
    </xf>
    <xf numFmtId="3" fontId="7" fillId="0" borderId="5" xfId="0" applyNumberFormat="1" applyFont="1" applyFill="1" applyBorder="1" applyAlignment="1">
      <alignment horizontal="center" vertical="center"/>
    </xf>
    <xf numFmtId="3" fontId="4" fillId="0" borderId="5" xfId="0" applyNumberFormat="1" applyFont="1" applyFill="1" applyBorder="1" applyAlignment="1">
      <alignment horizontal="center" vertical="center"/>
    </xf>
    <xf numFmtId="167" fontId="4" fillId="0" borderId="24" xfId="0" applyNumberFormat="1" applyFont="1" applyFill="1" applyBorder="1" applyAlignment="1">
      <alignment horizontal="center" vertical="center"/>
    </xf>
    <xf numFmtId="1" fontId="33" fillId="0" borderId="24" xfId="0" applyNumberFormat="1" applyFont="1" applyFill="1" applyBorder="1" applyAlignment="1">
      <alignment horizontal="center" vertical="center" wrapText="1"/>
    </xf>
    <xf numFmtId="0" fontId="23" fillId="0" borderId="7" xfId="0" applyFont="1" applyFill="1" applyBorder="1" applyAlignment="1">
      <alignment horizontal="left"/>
    </xf>
    <xf numFmtId="0" fontId="3" fillId="0" borderId="7" xfId="0" applyFont="1" applyFill="1" applyBorder="1"/>
    <xf numFmtId="3" fontId="18" fillId="0" borderId="8" xfId="0" applyNumberFormat="1" applyFont="1" applyFill="1" applyBorder="1" applyAlignment="1">
      <alignment horizontal="center"/>
    </xf>
    <xf numFmtId="0" fontId="3" fillId="0" borderId="8" xfId="0" applyFont="1" applyFill="1" applyBorder="1"/>
    <xf numFmtId="3" fontId="5" fillId="0" borderId="5" xfId="0" applyNumberFormat="1" applyFont="1" applyFill="1" applyBorder="1"/>
    <xf numFmtId="167" fontId="5" fillId="0" borderId="22" xfId="0" applyNumberFormat="1" applyFont="1" applyFill="1" applyBorder="1"/>
    <xf numFmtId="1" fontId="2" fillId="0" borderId="0" xfId="0" applyNumberFormat="1" applyFont="1" applyFill="1" applyAlignment="1">
      <alignment horizontal="left"/>
    </xf>
    <xf numFmtId="0" fontId="2" fillId="0" borderId="0" xfId="0" applyFont="1" applyFill="1"/>
    <xf numFmtId="0" fontId="2" fillId="0" borderId="0" xfId="0" applyFont="1" applyFill="1" applyAlignment="1">
      <alignment horizontal="right"/>
    </xf>
    <xf numFmtId="0" fontId="6" fillId="0" borderId="0" xfId="0" applyFont="1" applyFill="1"/>
    <xf numFmtId="167" fontId="6" fillId="0" borderId="0" xfId="0" applyNumberFormat="1" applyFont="1" applyFill="1"/>
    <xf numFmtId="0" fontId="29" fillId="0" borderId="10" xfId="0" applyFont="1" applyFill="1" applyBorder="1" applyAlignment="1">
      <alignment horizontal="left"/>
    </xf>
    <xf numFmtId="1" fontId="30" fillId="0" borderId="10" xfId="0" applyNumberFormat="1" applyFont="1" applyFill="1" applyBorder="1" applyAlignment="1">
      <alignment horizontal="center"/>
    </xf>
    <xf numFmtId="1" fontId="30" fillId="0" borderId="10" xfId="0" applyNumberFormat="1" applyFont="1" applyFill="1" applyBorder="1" applyAlignment="1">
      <alignment horizontal="left"/>
    </xf>
    <xf numFmtId="0" fontId="30" fillId="0" borderId="10" xfId="0" applyFont="1" applyFill="1" applyBorder="1"/>
    <xf numFmtId="167" fontId="29" fillId="0" borderId="10" xfId="0" applyNumberFormat="1" applyFont="1" applyFill="1" applyBorder="1" applyAlignment="1"/>
    <xf numFmtId="0" fontId="42" fillId="0" borderId="0" xfId="0" applyFont="1" applyFill="1"/>
    <xf numFmtId="1" fontId="2" fillId="0" borderId="27" xfId="0" applyNumberFormat="1" applyFont="1" applyFill="1" applyBorder="1" applyAlignment="1">
      <alignment horizontal="left"/>
    </xf>
    <xf numFmtId="0" fontId="6" fillId="0" borderId="27" xfId="0" applyFont="1" applyFill="1" applyBorder="1"/>
    <xf numFmtId="167" fontId="5" fillId="0" borderId="22" xfId="0" applyNumberFormat="1" applyFont="1" applyFill="1" applyBorder="1" applyAlignment="1">
      <alignment shrinkToFit="1"/>
    </xf>
    <xf numFmtId="167" fontId="6" fillId="0" borderId="0" xfId="0" applyNumberFormat="1" applyFont="1" applyFill="1" applyAlignment="1">
      <alignment shrinkToFit="1"/>
    </xf>
    <xf numFmtId="167" fontId="0" fillId="0" borderId="0" xfId="0" applyNumberFormat="1" applyFill="1" applyAlignment="1">
      <alignment shrinkToFit="1"/>
    </xf>
    <xf numFmtId="3" fontId="32" fillId="0" borderId="10" xfId="0" applyNumberFormat="1" applyFont="1" applyFill="1" applyBorder="1"/>
    <xf numFmtId="167" fontId="32" fillId="0" borderId="10" xfId="0" applyNumberFormat="1" applyFont="1" applyFill="1" applyBorder="1" applyAlignment="1">
      <alignment shrinkToFit="1"/>
    </xf>
    <xf numFmtId="167" fontId="37" fillId="0" borderId="0" xfId="0" applyNumberFormat="1" applyFont="1" applyFill="1"/>
    <xf numFmtId="0" fontId="37" fillId="0" borderId="0" xfId="0" applyFont="1" applyFill="1"/>
    <xf numFmtId="1" fontId="58" fillId="0" borderId="0" xfId="0" applyNumberFormat="1" applyFont="1" applyFill="1" applyAlignment="1">
      <alignment horizontal="left"/>
    </xf>
    <xf numFmtId="1" fontId="58" fillId="0" borderId="0" xfId="0" applyNumberFormat="1" applyFont="1" applyFill="1" applyAlignment="1">
      <alignment horizontal="center"/>
    </xf>
    <xf numFmtId="168" fontId="26" fillId="0" borderId="0" xfId="0" applyNumberFormat="1" applyFont="1" applyFill="1" applyAlignment="1">
      <alignment horizontal="center"/>
    </xf>
    <xf numFmtId="167" fontId="27" fillId="0" borderId="0" xfId="0" applyNumberFormat="1" applyFont="1" applyFill="1"/>
    <xf numFmtId="0" fontId="58" fillId="0" borderId="0" xfId="0" applyFont="1" applyFill="1"/>
    <xf numFmtId="1" fontId="34" fillId="0" borderId="0" xfId="0" applyNumberFormat="1" applyFont="1" applyFill="1" applyAlignment="1">
      <alignment horizontal="left"/>
    </xf>
    <xf numFmtId="1" fontId="34" fillId="0" borderId="0" xfId="0" applyNumberFormat="1" applyFont="1" applyFill="1" applyAlignment="1">
      <alignment horizontal="center"/>
    </xf>
    <xf numFmtId="168" fontId="34" fillId="0" borderId="0" xfId="0" applyNumberFormat="1" applyFont="1" applyFill="1" applyAlignment="1">
      <alignment horizontal="left"/>
    </xf>
    <xf numFmtId="167" fontId="34" fillId="0" borderId="0" xfId="0" applyNumberFormat="1" applyFont="1" applyFill="1"/>
    <xf numFmtId="168" fontId="34" fillId="0" borderId="0" xfId="0" applyNumberFormat="1" applyFont="1" applyFill="1" applyAlignment="1">
      <alignment horizontal="center"/>
    </xf>
    <xf numFmtId="3" fontId="58" fillId="0" borderId="0" xfId="0" applyNumberFormat="1" applyFont="1" applyFill="1"/>
    <xf numFmtId="167" fontId="58" fillId="0" borderId="0" xfId="0" applyNumberFormat="1" applyFont="1" applyFill="1"/>
    <xf numFmtId="1" fontId="36" fillId="0" borderId="0" xfId="0" applyNumberFormat="1" applyFont="1" applyFill="1" applyAlignment="1">
      <alignment horizontal="left"/>
    </xf>
    <xf numFmtId="168" fontId="4" fillId="0" borderId="5" xfId="0" applyNumberFormat="1" applyFont="1" applyFill="1" applyBorder="1" applyAlignment="1">
      <alignment horizontal="center" vertical="center"/>
    </xf>
    <xf numFmtId="0" fontId="12" fillId="0" borderId="0" xfId="0" applyFont="1" applyFill="1"/>
    <xf numFmtId="0" fontId="6" fillId="0" borderId="17" xfId="0" applyFont="1" applyFill="1" applyBorder="1"/>
    <xf numFmtId="1" fontId="2" fillId="0" borderId="2" xfId="0" applyNumberFormat="1" applyFont="1" applyFill="1" applyBorder="1" applyAlignment="1">
      <alignment horizontal="left"/>
    </xf>
    <xf numFmtId="1" fontId="2" fillId="0" borderId="14" xfId="0" applyNumberFormat="1" applyFont="1" applyFill="1" applyBorder="1" applyAlignment="1">
      <alignment horizontal="left"/>
    </xf>
    <xf numFmtId="168" fontId="18" fillId="0" borderId="8" xfId="0" applyNumberFormat="1" applyFont="1" applyFill="1" applyBorder="1" applyAlignment="1">
      <alignment horizontal="center"/>
    </xf>
    <xf numFmtId="168" fontId="7" fillId="0" borderId="0" xfId="0" applyNumberFormat="1" applyFont="1" applyFill="1" applyAlignment="1">
      <alignment horizontal="center"/>
    </xf>
    <xf numFmtId="0" fontId="2" fillId="0" borderId="0" xfId="0" applyFont="1" applyFill="1" applyBorder="1"/>
    <xf numFmtId="3" fontId="6" fillId="0" borderId="0" xfId="0" applyNumberFormat="1" applyFont="1" applyFill="1"/>
    <xf numFmtId="3" fontId="12" fillId="0" borderId="0" xfId="0" applyNumberFormat="1" applyFont="1" applyFill="1"/>
    <xf numFmtId="3" fontId="22" fillId="0" borderId="0" xfId="0" applyNumberFormat="1" applyFont="1" applyFill="1"/>
    <xf numFmtId="166" fontId="6" fillId="0" borderId="0" xfId="0" applyNumberFormat="1" applyFont="1" applyFill="1"/>
    <xf numFmtId="0" fontId="4" fillId="0" borderId="38" xfId="0" applyFont="1" applyFill="1" applyBorder="1" applyAlignment="1">
      <alignment horizontal="center" vertical="center"/>
    </xf>
    <xf numFmtId="1" fontId="4" fillId="0" borderId="9" xfId="0" applyNumberFormat="1" applyFont="1" applyFill="1" applyBorder="1" applyAlignment="1">
      <alignment horizontal="center" vertical="center"/>
    </xf>
    <xf numFmtId="168" fontId="4" fillId="0" borderId="9" xfId="0" applyNumberFormat="1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/>
    </xf>
    <xf numFmtId="3" fontId="4" fillId="0" borderId="9" xfId="0" applyNumberFormat="1" applyFont="1" applyFill="1" applyBorder="1" applyAlignment="1">
      <alignment horizontal="center" vertical="center"/>
    </xf>
    <xf numFmtId="166" fontId="4" fillId="0" borderId="23" xfId="0" applyNumberFormat="1" applyFont="1" applyFill="1" applyBorder="1" applyAlignment="1">
      <alignment horizontal="center" vertical="center"/>
    </xf>
    <xf numFmtId="0" fontId="23" fillId="0" borderId="33" xfId="0" applyFont="1" applyFill="1" applyBorder="1" applyAlignment="1">
      <alignment horizontal="left"/>
    </xf>
    <xf numFmtId="0" fontId="3" fillId="0" borderId="34" xfId="0" applyFont="1" applyFill="1" applyBorder="1"/>
    <xf numFmtId="168" fontId="18" fillId="0" borderId="34" xfId="0" applyNumberFormat="1" applyFont="1" applyFill="1" applyBorder="1" applyAlignment="1">
      <alignment horizontal="center"/>
    </xf>
    <xf numFmtId="3" fontId="5" fillId="0" borderId="14" xfId="0" applyNumberFormat="1" applyFont="1" applyFill="1" applyBorder="1"/>
    <xf numFmtId="166" fontId="50" fillId="0" borderId="35" xfId="0" applyNumberFormat="1" applyFont="1" applyFill="1" applyBorder="1"/>
    <xf numFmtId="3" fontId="3" fillId="0" borderId="0" xfId="0" applyNumberFormat="1" applyFont="1" applyFill="1"/>
    <xf numFmtId="1" fontId="27" fillId="0" borderId="0" xfId="0" applyNumberFormat="1" applyFont="1" applyFill="1" applyAlignment="1">
      <alignment horizontal="center"/>
    </xf>
    <xf numFmtId="1" fontId="49" fillId="0" borderId="0" xfId="0" applyNumberFormat="1" applyFont="1" applyFill="1" applyAlignment="1">
      <alignment horizontal="left"/>
    </xf>
    <xf numFmtId="1" fontId="33" fillId="0" borderId="34" xfId="0" applyNumberFormat="1" applyFont="1" applyFill="1" applyBorder="1" applyAlignment="1">
      <alignment horizontal="center"/>
    </xf>
    <xf numFmtId="1" fontId="33" fillId="0" borderId="50" xfId="0" applyNumberFormat="1" applyFont="1" applyFill="1" applyBorder="1" applyAlignment="1">
      <alignment horizontal="center"/>
    </xf>
    <xf numFmtId="1" fontId="33" fillId="0" borderId="5" xfId="0" applyNumberFormat="1" applyFont="1" applyFill="1" applyBorder="1" applyAlignment="1">
      <alignment horizontal="center"/>
    </xf>
    <xf numFmtId="168" fontId="33" fillId="0" borderId="5" xfId="0" applyNumberFormat="1" applyFont="1" applyFill="1" applyBorder="1" applyAlignment="1">
      <alignment horizontal="center"/>
    </xf>
    <xf numFmtId="0" fontId="33" fillId="0" borderId="5" xfId="0" applyFont="1" applyFill="1" applyBorder="1"/>
    <xf numFmtId="3" fontId="33" fillId="0" borderId="5" xfId="0" applyNumberFormat="1" applyFont="1" applyFill="1" applyBorder="1" applyAlignment="1">
      <alignment horizontal="center"/>
    </xf>
    <xf numFmtId="167" fontId="33" fillId="0" borderId="24" xfId="0" applyNumberFormat="1" applyFont="1" applyFill="1" applyBorder="1" applyAlignment="1">
      <alignment horizontal="center"/>
    </xf>
    <xf numFmtId="0" fontId="33" fillId="0" borderId="0" xfId="0" applyFont="1" applyFill="1"/>
    <xf numFmtId="1" fontId="27" fillId="0" borderId="6" xfId="0" applyNumberFormat="1" applyFont="1" applyFill="1" applyBorder="1" applyAlignment="1">
      <alignment horizontal="center"/>
    </xf>
    <xf numFmtId="1" fontId="27" fillId="0" borderId="9" xfId="0" applyNumberFormat="1" applyFont="1" applyFill="1" applyBorder="1" applyAlignment="1">
      <alignment horizontal="center"/>
    </xf>
    <xf numFmtId="168" fontId="26" fillId="0" borderId="9" xfId="0" applyNumberFormat="1" applyFont="1" applyFill="1" applyBorder="1" applyAlignment="1">
      <alignment horizontal="center"/>
    </xf>
    <xf numFmtId="167" fontId="19" fillId="0" borderId="23" xfId="0" applyNumberFormat="1" applyFont="1" applyFill="1" applyBorder="1"/>
    <xf numFmtId="1" fontId="58" fillId="0" borderId="6" xfId="0" applyNumberFormat="1" applyFont="1" applyFill="1" applyBorder="1" applyAlignment="1">
      <alignment horizontal="center"/>
    </xf>
    <xf numFmtId="1" fontId="58" fillId="0" borderId="2" xfId="0" applyNumberFormat="1" applyFont="1" applyFill="1" applyBorder="1" applyAlignment="1">
      <alignment horizontal="center"/>
    </xf>
    <xf numFmtId="167" fontId="12" fillId="0" borderId="25" xfId="0" applyNumberFormat="1" applyFont="1" applyFill="1" applyBorder="1" applyAlignment="1">
      <alignment horizontal="right"/>
    </xf>
    <xf numFmtId="49" fontId="7" fillId="0" borderId="0" xfId="0" applyNumberFormat="1" applyFont="1" applyFill="1" applyAlignment="1">
      <alignment horizontal="left"/>
    </xf>
    <xf numFmtId="1" fontId="39" fillId="0" borderId="4" xfId="0" applyNumberFormat="1" applyFont="1" applyFill="1" applyBorder="1" applyAlignment="1">
      <alignment horizontal="left"/>
    </xf>
    <xf numFmtId="1" fontId="39" fillId="0" borderId="5" xfId="0" applyNumberFormat="1" applyFont="1" applyFill="1" applyBorder="1" applyAlignment="1">
      <alignment horizontal="center"/>
    </xf>
    <xf numFmtId="168" fontId="39" fillId="0" borderId="5" xfId="0" applyNumberFormat="1" applyFont="1" applyFill="1" applyBorder="1" applyAlignment="1">
      <alignment horizontal="center"/>
    </xf>
    <xf numFmtId="0" fontId="39" fillId="0" borderId="5" xfId="0" applyFont="1" applyFill="1" applyBorder="1"/>
    <xf numFmtId="3" fontId="39" fillId="0" borderId="5" xfId="0" applyNumberFormat="1" applyFont="1" applyFill="1" applyBorder="1"/>
    <xf numFmtId="167" fontId="15" fillId="0" borderId="24" xfId="0" applyNumberFormat="1" applyFont="1" applyFill="1" applyBorder="1" applyAlignment="1">
      <alignment horizontal="right"/>
    </xf>
    <xf numFmtId="1" fontId="58" fillId="0" borderId="38" xfId="0" applyNumberFormat="1" applyFont="1" applyFill="1" applyBorder="1" applyAlignment="1">
      <alignment horizontal="center"/>
    </xf>
    <xf numFmtId="1" fontId="58" fillId="0" borderId="9" xfId="0" applyNumberFormat="1" applyFont="1" applyFill="1" applyBorder="1" applyAlignment="1">
      <alignment horizontal="center"/>
    </xf>
    <xf numFmtId="3" fontId="19" fillId="0" borderId="9" xfId="0" applyNumberFormat="1" applyFont="1" applyFill="1" applyBorder="1" applyAlignment="1"/>
    <xf numFmtId="1" fontId="27" fillId="0" borderId="2" xfId="0" applyNumberFormat="1" applyFont="1" applyFill="1" applyBorder="1" applyAlignment="1">
      <alignment horizontal="center"/>
    </xf>
    <xf numFmtId="49" fontId="25" fillId="0" borderId="2" xfId="0" applyNumberFormat="1" applyFont="1" applyFill="1" applyBorder="1" applyAlignment="1">
      <alignment horizontal="left"/>
    </xf>
    <xf numFmtId="3" fontId="9" fillId="0" borderId="2" xfId="6" applyFont="1" applyFill="1" applyBorder="1" applyAlignment="1">
      <alignment horizontal="right"/>
    </xf>
    <xf numFmtId="3" fontId="12" fillId="0" borderId="2" xfId="6" applyFont="1" applyFill="1" applyBorder="1" applyAlignment="1">
      <alignment horizontal="right"/>
    </xf>
    <xf numFmtId="49" fontId="7" fillId="0" borderId="14" xfId="0" applyNumberFormat="1" applyFont="1" applyFill="1" applyBorder="1" applyAlignment="1">
      <alignment horizontal="left"/>
    </xf>
    <xf numFmtId="1" fontId="10" fillId="0" borderId="0" xfId="0" applyNumberFormat="1" applyFont="1" applyFill="1" applyAlignment="1">
      <alignment horizontal="left"/>
    </xf>
    <xf numFmtId="3" fontId="39" fillId="0" borderId="5" xfId="0" applyNumberFormat="1" applyFont="1" applyFill="1" applyBorder="1" applyAlignment="1"/>
    <xf numFmtId="167" fontId="11" fillId="0" borderId="24" xfId="0" applyNumberFormat="1" applyFont="1" applyFill="1" applyBorder="1" applyAlignment="1">
      <alignment horizontal="right"/>
    </xf>
    <xf numFmtId="1" fontId="39" fillId="0" borderId="19" xfId="0" applyNumberFormat="1" applyFont="1" applyFill="1" applyBorder="1" applyAlignment="1">
      <alignment horizontal="left"/>
    </xf>
    <xf numFmtId="3" fontId="39" fillId="0" borderId="0" xfId="0" applyNumberFormat="1" applyFont="1" applyFill="1" applyBorder="1"/>
    <xf numFmtId="1" fontId="39" fillId="0" borderId="34" xfId="0" applyNumberFormat="1" applyFont="1" applyFill="1" applyBorder="1" applyAlignment="1">
      <alignment horizontal="left"/>
    </xf>
    <xf numFmtId="1" fontId="39" fillId="0" borderId="10" xfId="0" applyNumberFormat="1" applyFont="1" applyFill="1" applyBorder="1" applyAlignment="1">
      <alignment horizontal="center"/>
    </xf>
    <xf numFmtId="168" fontId="39" fillId="0" borderId="10" xfId="0" applyNumberFormat="1" applyFont="1" applyFill="1" applyBorder="1" applyAlignment="1">
      <alignment horizontal="center"/>
    </xf>
    <xf numFmtId="0" fontId="39" fillId="0" borderId="10" xfId="0" applyFont="1" applyFill="1" applyBorder="1"/>
    <xf numFmtId="3" fontId="39" fillId="0" borderId="10" xfId="0" applyNumberFormat="1" applyFont="1" applyFill="1" applyBorder="1"/>
    <xf numFmtId="167" fontId="49" fillId="0" borderId="0" xfId="0" applyNumberFormat="1" applyFont="1" applyFill="1"/>
    <xf numFmtId="1" fontId="35" fillId="0" borderId="34" xfId="0" applyNumberFormat="1" applyFont="1" applyFill="1" applyBorder="1" applyAlignment="1">
      <alignment horizontal="left"/>
    </xf>
    <xf numFmtId="0" fontId="58" fillId="0" borderId="0" xfId="0" applyFont="1" applyFill="1" applyAlignment="1">
      <alignment wrapText="1"/>
    </xf>
    <xf numFmtId="3" fontId="21" fillId="0" borderId="2" xfId="0" applyNumberFormat="1" applyFont="1" applyFill="1" applyBorder="1" applyAlignment="1"/>
    <xf numFmtId="1" fontId="39" fillId="0" borderId="51" xfId="0" applyNumberFormat="1" applyFont="1" applyFill="1" applyBorder="1" applyAlignment="1">
      <alignment horizontal="left"/>
    </xf>
    <xf numFmtId="1" fontId="58" fillId="0" borderId="51" xfId="0" applyNumberFormat="1" applyFont="1" applyFill="1" applyBorder="1" applyAlignment="1">
      <alignment horizontal="center"/>
    </xf>
    <xf numFmtId="168" fontId="26" fillId="0" borderId="51" xfId="0" applyNumberFormat="1" applyFont="1" applyFill="1" applyBorder="1" applyAlignment="1">
      <alignment horizontal="center"/>
    </xf>
    <xf numFmtId="0" fontId="27" fillId="0" borderId="51" xfId="0" applyFont="1" applyFill="1" applyBorder="1"/>
    <xf numFmtId="3" fontId="27" fillId="0" borderId="51" xfId="0" applyNumberFormat="1" applyFont="1" applyFill="1" applyBorder="1"/>
    <xf numFmtId="3" fontId="39" fillId="0" borderId="34" xfId="0" applyNumberFormat="1" applyFont="1" applyFill="1" applyBorder="1"/>
    <xf numFmtId="1" fontId="49" fillId="0" borderId="0" xfId="0" applyNumberFormat="1" applyFont="1" applyFill="1" applyAlignment="1">
      <alignment horizontal="center"/>
    </xf>
    <xf numFmtId="168" fontId="49" fillId="0" borderId="0" xfId="0" applyNumberFormat="1" applyFont="1" applyFill="1" applyAlignment="1">
      <alignment horizontal="center"/>
    </xf>
    <xf numFmtId="0" fontId="27" fillId="0" borderId="2" xfId="0" applyFont="1" applyFill="1" applyBorder="1"/>
    <xf numFmtId="3" fontId="34" fillId="0" borderId="17" xfId="0" applyNumberFormat="1" applyFont="1" applyFill="1" applyBorder="1"/>
    <xf numFmtId="3" fontId="9" fillId="0" borderId="2" xfId="7" applyFont="1" applyFill="1" applyBorder="1" applyAlignment="1">
      <alignment wrapText="1"/>
    </xf>
    <xf numFmtId="3" fontId="9" fillId="0" borderId="0" xfId="7" applyFont="1" applyFill="1" applyAlignment="1">
      <alignment horizontal="right"/>
    </xf>
    <xf numFmtId="1" fontId="58" fillId="0" borderId="6" xfId="0" applyNumberFormat="1" applyFont="1" applyFill="1" applyBorder="1" applyAlignment="1">
      <alignment horizontal="center" vertical="center" wrapText="1"/>
    </xf>
    <xf numFmtId="1" fontId="58" fillId="0" borderId="2" xfId="0" applyNumberFormat="1" applyFont="1" applyFill="1" applyBorder="1" applyAlignment="1">
      <alignment horizontal="center" vertical="center" wrapText="1"/>
    </xf>
    <xf numFmtId="3" fontId="34" fillId="0" borderId="2" xfId="0" applyNumberFormat="1" applyFont="1" applyFill="1" applyBorder="1" applyAlignment="1">
      <alignment vertical="center" wrapText="1"/>
    </xf>
    <xf numFmtId="167" fontId="12" fillId="0" borderId="25" xfId="0" applyNumberFormat="1" applyFont="1" applyFill="1" applyBorder="1" applyAlignment="1">
      <alignment horizontal="right" vertical="center" wrapText="1"/>
    </xf>
    <xf numFmtId="0" fontId="27" fillId="0" borderId="0" xfId="0" applyFont="1" applyFill="1" applyAlignment="1">
      <alignment vertical="center" wrapText="1"/>
    </xf>
    <xf numFmtId="0" fontId="34" fillId="0" borderId="0" xfId="0" applyFont="1" applyFill="1" applyAlignment="1">
      <alignment vertical="center" wrapText="1"/>
    </xf>
    <xf numFmtId="0" fontId="58" fillId="0" borderId="0" xfId="0" applyFont="1" applyFill="1" applyAlignment="1">
      <alignment vertical="center" wrapText="1"/>
    </xf>
    <xf numFmtId="1" fontId="58" fillId="0" borderId="50" xfId="0" applyNumberFormat="1" applyFont="1" applyFill="1" applyBorder="1" applyAlignment="1">
      <alignment horizontal="center" vertical="center" wrapText="1"/>
    </xf>
    <xf numFmtId="1" fontId="58" fillId="0" borderId="17" xfId="0" applyNumberFormat="1" applyFont="1" applyFill="1" applyBorder="1" applyAlignment="1">
      <alignment horizontal="center" vertical="center" wrapText="1"/>
    </xf>
    <xf numFmtId="1" fontId="39" fillId="0" borderId="50" xfId="0" applyNumberFormat="1" applyFont="1" applyFill="1" applyBorder="1" applyAlignment="1">
      <alignment horizontal="left"/>
    </xf>
    <xf numFmtId="0" fontId="27" fillId="0" borderId="0" xfId="0" applyFont="1" applyFill="1" applyAlignment="1"/>
    <xf numFmtId="3" fontId="62" fillId="0" borderId="0" xfId="0" applyNumberFormat="1" applyFont="1" applyFill="1" applyBorder="1"/>
    <xf numFmtId="3" fontId="52" fillId="0" borderId="0" xfId="0" applyNumberFormat="1" applyFont="1" applyFill="1"/>
    <xf numFmtId="0" fontId="47" fillId="0" borderId="0" xfId="0" applyFont="1" applyFill="1"/>
    <xf numFmtId="1" fontId="81" fillId="0" borderId="0" xfId="0" applyNumberFormat="1" applyFont="1" applyFill="1" applyAlignment="1">
      <alignment horizontal="center"/>
    </xf>
    <xf numFmtId="0" fontId="51" fillId="0" borderId="0" xfId="0" applyNumberFormat="1" applyFont="1" applyFill="1" applyAlignment="1">
      <alignment horizontal="left"/>
    </xf>
    <xf numFmtId="0" fontId="29" fillId="0" borderId="34" xfId="0" applyFont="1" applyFill="1" applyBorder="1" applyAlignment="1">
      <alignment horizontal="left"/>
    </xf>
    <xf numFmtId="0" fontId="58" fillId="0" borderId="10" xfId="0" applyFont="1" applyFill="1" applyBorder="1" applyAlignment="1">
      <alignment wrapText="1"/>
    </xf>
    <xf numFmtId="167" fontId="29" fillId="0" borderId="10" xfId="0" applyNumberFormat="1" applyFont="1" applyFill="1" applyBorder="1" applyAlignment="1">
      <alignment shrinkToFit="1"/>
    </xf>
    <xf numFmtId="1" fontId="2" fillId="0" borderId="0" xfId="0" applyNumberFormat="1" applyFont="1" applyFill="1" applyBorder="1" applyAlignment="1">
      <alignment horizontal="left"/>
    </xf>
    <xf numFmtId="1" fontId="2" fillId="0" borderId="6" xfId="0" applyNumberFormat="1" applyFont="1" applyFill="1" applyBorder="1" applyAlignment="1">
      <alignment horizontal="left"/>
    </xf>
    <xf numFmtId="49" fontId="7" fillId="0" borderId="2" xfId="0" applyNumberFormat="1" applyFont="1" applyFill="1" applyBorder="1" applyAlignment="1">
      <alignment horizontal="left" vertical="top"/>
    </xf>
    <xf numFmtId="168" fontId="7" fillId="0" borderId="2" xfId="0" applyNumberFormat="1" applyFont="1" applyFill="1" applyBorder="1" applyAlignment="1">
      <alignment horizontal="left"/>
    </xf>
    <xf numFmtId="1" fontId="2" fillId="0" borderId="34" xfId="0" applyNumberFormat="1" applyFont="1" applyFill="1" applyBorder="1" applyAlignment="1">
      <alignment horizontal="left"/>
    </xf>
    <xf numFmtId="1" fontId="2" fillId="0" borderId="17" xfId="0" applyNumberFormat="1" applyFont="1" applyFill="1" applyBorder="1" applyAlignment="1">
      <alignment horizontal="left"/>
    </xf>
    <xf numFmtId="0" fontId="3" fillId="0" borderId="5" xfId="0" applyFont="1" applyFill="1" applyBorder="1"/>
    <xf numFmtId="3" fontId="5" fillId="0" borderId="8" xfId="0" applyNumberFormat="1" applyFont="1" applyFill="1" applyBorder="1"/>
    <xf numFmtId="167" fontId="50" fillId="0" borderId="24" xfId="0" applyNumberFormat="1" applyFont="1" applyFill="1" applyBorder="1"/>
    <xf numFmtId="1" fontId="35" fillId="0" borderId="0" xfId="0" applyNumberFormat="1" applyFont="1" applyFill="1" applyAlignment="1">
      <alignment horizontal="left"/>
    </xf>
    <xf numFmtId="1" fontId="33" fillId="0" borderId="4" xfId="0" applyNumberFormat="1" applyFont="1" applyFill="1" applyBorder="1" applyAlignment="1">
      <alignment horizontal="center"/>
    </xf>
    <xf numFmtId="167" fontId="19" fillId="0" borderId="30" xfId="0" applyNumberFormat="1" applyFont="1" applyFill="1" applyBorder="1"/>
    <xf numFmtId="3" fontId="34" fillId="0" borderId="2" xfId="0" applyNumberFormat="1" applyFont="1" applyFill="1" applyBorder="1" applyAlignment="1"/>
    <xf numFmtId="3" fontId="10" fillId="0" borderId="17" xfId="6" applyFont="1" applyFill="1" applyBorder="1" applyAlignment="1">
      <alignment horizontal="left" vertical="center" wrapText="1"/>
    </xf>
    <xf numFmtId="1" fontId="39" fillId="0" borderId="10" xfId="0" applyNumberFormat="1" applyFont="1" applyFill="1" applyBorder="1" applyAlignment="1">
      <alignment horizontal="left"/>
    </xf>
    <xf numFmtId="167" fontId="19" fillId="0" borderId="10" xfId="0" applyNumberFormat="1" applyFont="1" applyFill="1" applyBorder="1"/>
    <xf numFmtId="168" fontId="26" fillId="0" borderId="46" xfId="0" applyNumberFormat="1" applyFont="1" applyFill="1" applyBorder="1" applyAlignment="1">
      <alignment horizontal="center"/>
    </xf>
    <xf numFmtId="3" fontId="19" fillId="0" borderId="18" xfId="0" applyNumberFormat="1" applyFont="1" applyFill="1" applyBorder="1"/>
    <xf numFmtId="3" fontId="10" fillId="0" borderId="0" xfId="6" applyFont="1" applyFill="1" applyAlignment="1"/>
    <xf numFmtId="167" fontId="39" fillId="0" borderId="10" xfId="0" applyNumberFormat="1" applyFont="1" applyFill="1" applyBorder="1"/>
    <xf numFmtId="1" fontId="27" fillId="0" borderId="0" xfId="0" applyNumberFormat="1" applyFont="1" applyFill="1" applyAlignment="1">
      <alignment horizontal="left"/>
    </xf>
    <xf numFmtId="167" fontId="19" fillId="0" borderId="0" xfId="0" applyNumberFormat="1" applyFont="1" applyFill="1" applyBorder="1"/>
    <xf numFmtId="167" fontId="21" fillId="0" borderId="0" xfId="0" applyNumberFormat="1" applyFont="1" applyFill="1"/>
    <xf numFmtId="167" fontId="11" fillId="0" borderId="10" xfId="0" applyNumberFormat="1" applyFont="1" applyFill="1" applyBorder="1" applyAlignment="1">
      <alignment horizontal="right"/>
    </xf>
    <xf numFmtId="167" fontId="19" fillId="0" borderId="24" xfId="0" applyNumberFormat="1" applyFont="1" applyFill="1" applyBorder="1"/>
    <xf numFmtId="0" fontId="10" fillId="0" borderId="2" xfId="0" applyFont="1" applyFill="1" applyBorder="1" applyAlignment="1"/>
    <xf numFmtId="166" fontId="49" fillId="0" borderId="0" xfId="0" applyNumberFormat="1" applyFont="1" applyFill="1"/>
    <xf numFmtId="167" fontId="51" fillId="0" borderId="0" xfId="0" applyNumberFormat="1" applyFont="1" applyFill="1"/>
    <xf numFmtId="168" fontId="2" fillId="0" borderId="0" xfId="0" applyNumberFormat="1" applyFont="1" applyFill="1" applyAlignment="1">
      <alignment horizontal="center"/>
    </xf>
    <xf numFmtId="3" fontId="5" fillId="0" borderId="5" xfId="0" applyNumberFormat="1" applyFont="1" applyFill="1" applyBorder="1" applyAlignment="1"/>
    <xf numFmtId="168" fontId="10" fillId="0" borderId="0" xfId="0" applyNumberFormat="1" applyFont="1" applyFill="1" applyAlignment="1">
      <alignment horizontal="left"/>
    </xf>
    <xf numFmtId="3" fontId="9" fillId="0" borderId="0" xfId="0" applyNumberFormat="1" applyFont="1" applyFill="1"/>
    <xf numFmtId="0" fontId="4" fillId="0" borderId="5" xfId="0" applyFont="1" applyFill="1" applyBorder="1" applyAlignment="1">
      <alignment horizontal="center" vertical="center"/>
    </xf>
    <xf numFmtId="1" fontId="2" fillId="0" borderId="9" xfId="0" applyNumberFormat="1" applyFont="1" applyFill="1" applyBorder="1" applyAlignment="1">
      <alignment horizontal="left"/>
    </xf>
    <xf numFmtId="3" fontId="23" fillId="0" borderId="5" xfId="0" applyNumberFormat="1" applyFont="1" applyFill="1" applyBorder="1"/>
    <xf numFmtId="167" fontId="6" fillId="0" borderId="22" xfId="0" applyNumberFormat="1" applyFont="1" applyFill="1" applyBorder="1"/>
    <xf numFmtId="0" fontId="14" fillId="0" borderId="0" xfId="0" applyFont="1" applyFill="1" applyBorder="1"/>
    <xf numFmtId="1" fontId="15" fillId="0" borderId="0" xfId="0" applyNumberFormat="1" applyFont="1" applyFill="1" applyBorder="1" applyAlignment="1">
      <alignment horizontal="left"/>
    </xf>
    <xf numFmtId="168" fontId="15" fillId="0" borderId="0" xfId="0" applyNumberFormat="1" applyFont="1" applyFill="1" applyBorder="1" applyAlignment="1">
      <alignment horizontal="left"/>
    </xf>
    <xf numFmtId="0" fontId="15" fillId="0" borderId="0" xfId="0" applyFont="1" applyFill="1" applyBorder="1"/>
    <xf numFmtId="3" fontId="14" fillId="0" borderId="0" xfId="0" applyNumberFormat="1" applyFont="1" applyFill="1" applyBorder="1"/>
    <xf numFmtId="167" fontId="14" fillId="0" borderId="0" xfId="0" applyNumberFormat="1" applyFont="1" applyFill="1" applyBorder="1"/>
    <xf numFmtId="3" fontId="55" fillId="0" borderId="0" xfId="0" applyNumberFormat="1" applyFont="1" applyFill="1"/>
    <xf numFmtId="167" fontId="50" fillId="0" borderId="0" xfId="0" applyNumberFormat="1" applyFont="1" applyFill="1" applyBorder="1"/>
    <xf numFmtId="167" fontId="3" fillId="0" borderId="0" xfId="0" applyNumberFormat="1" applyFont="1" applyFill="1" applyBorder="1"/>
    <xf numFmtId="167" fontId="51" fillId="0" borderId="0" xfId="0" applyNumberFormat="1" applyFont="1" applyFill="1" applyBorder="1"/>
    <xf numFmtId="3" fontId="66" fillId="0" borderId="10" xfId="0" applyNumberFormat="1" applyFont="1" applyFill="1" applyBorder="1"/>
    <xf numFmtId="167" fontId="19" fillId="0" borderId="0" xfId="0" applyNumberFormat="1" applyFont="1" applyFill="1"/>
    <xf numFmtId="3" fontId="34" fillId="0" borderId="0" xfId="0" applyNumberFormat="1" applyFont="1" applyFill="1" applyAlignment="1"/>
    <xf numFmtId="0" fontId="11" fillId="0" borderId="9" xfId="0" applyFont="1" applyFill="1" applyBorder="1"/>
    <xf numFmtId="49" fontId="7" fillId="0" borderId="0" xfId="0" applyNumberFormat="1" applyFont="1" applyFill="1" applyBorder="1" applyAlignment="1">
      <alignment horizontal="left"/>
    </xf>
    <xf numFmtId="0" fontId="6" fillId="0" borderId="2" xfId="0" applyFont="1" applyFill="1" applyBorder="1"/>
    <xf numFmtId="167" fontId="9" fillId="0" borderId="21" xfId="0" applyNumberFormat="1" applyFont="1" applyFill="1" applyBorder="1"/>
    <xf numFmtId="1" fontId="27" fillId="0" borderId="15" xfId="0" applyNumberFormat="1" applyFont="1" applyFill="1" applyBorder="1" applyAlignment="1">
      <alignment horizontal="center"/>
    </xf>
    <xf numFmtId="167" fontId="39" fillId="0" borderId="24" xfId="0" applyNumberFormat="1" applyFont="1" applyFill="1" applyBorder="1"/>
    <xf numFmtId="3" fontId="9" fillId="0" borderId="2" xfId="5" applyFont="1" applyFill="1" applyBorder="1" applyAlignment="1">
      <alignment horizontal="right"/>
    </xf>
    <xf numFmtId="3" fontId="9" fillId="0" borderId="0" xfId="5" applyFont="1" applyFill="1" applyAlignment="1">
      <alignment horizontal="right"/>
    </xf>
    <xf numFmtId="0" fontId="62" fillId="0" borderId="0" xfId="0" applyFont="1" applyFill="1"/>
    <xf numFmtId="3" fontId="39" fillId="0" borderId="10" xfId="0" applyNumberFormat="1" applyFont="1" applyFill="1" applyBorder="1" applyAlignment="1"/>
    <xf numFmtId="3" fontId="39" fillId="0" borderId="0" xfId="0" applyNumberFormat="1" applyFont="1" applyFill="1"/>
    <xf numFmtId="168" fontId="60" fillId="0" borderId="0" xfId="0" applyNumberFormat="1" applyFont="1" applyFill="1" applyAlignment="1">
      <alignment horizontal="center"/>
    </xf>
    <xf numFmtId="3" fontId="21" fillId="0" borderId="0" xfId="0" applyNumberFormat="1" applyFont="1" applyFill="1" applyBorder="1" applyAlignment="1"/>
    <xf numFmtId="168" fontId="60" fillId="0" borderId="0" xfId="0" applyNumberFormat="1" applyFont="1" applyFill="1" applyBorder="1" applyAlignment="1">
      <alignment horizontal="center"/>
    </xf>
    <xf numFmtId="3" fontId="19" fillId="0" borderId="0" xfId="0" applyNumberFormat="1" applyFont="1" applyFill="1" applyBorder="1" applyAlignment="1"/>
    <xf numFmtId="3" fontId="19" fillId="0" borderId="18" xfId="0" applyNumberFormat="1" applyFont="1" applyFill="1" applyBorder="1" applyAlignment="1"/>
    <xf numFmtId="167" fontId="11" fillId="0" borderId="21" xfId="0" applyNumberFormat="1" applyFont="1" applyFill="1" applyBorder="1"/>
    <xf numFmtId="0" fontId="39" fillId="0" borderId="14" xfId="0" applyFont="1" applyFill="1" applyBorder="1"/>
    <xf numFmtId="0" fontId="9" fillId="0" borderId="35" xfId="0" applyFont="1" applyFill="1" applyBorder="1" applyAlignment="1">
      <alignment horizontal="right"/>
    </xf>
    <xf numFmtId="3" fontId="62" fillId="0" borderId="0" xfId="0" applyNumberFormat="1" applyFont="1" applyFill="1"/>
    <xf numFmtId="3" fontId="39" fillId="0" borderId="34" xfId="0" applyNumberFormat="1" applyFont="1" applyFill="1" applyBorder="1" applyAlignment="1"/>
    <xf numFmtId="167" fontId="39" fillId="0" borderId="34" xfId="0" applyNumberFormat="1" applyFont="1" applyFill="1" applyBorder="1"/>
    <xf numFmtId="1" fontId="49" fillId="0" borderId="0" xfId="0" applyNumberFormat="1" applyFont="1" applyFill="1" applyAlignment="1">
      <alignment horizontal="left" vertical="top"/>
    </xf>
    <xf numFmtId="0" fontId="58" fillId="0" borderId="0" xfId="0" applyFont="1" applyFill="1" applyAlignment="1">
      <alignment vertical="top"/>
    </xf>
    <xf numFmtId="3" fontId="49" fillId="0" borderId="0" xfId="0" applyNumberFormat="1" applyFont="1" applyFill="1" applyBorder="1" applyAlignment="1"/>
    <xf numFmtId="167" fontId="11" fillId="0" borderId="0" xfId="0" applyNumberFormat="1" applyFont="1" applyFill="1" applyBorder="1"/>
    <xf numFmtId="167" fontId="9" fillId="0" borderId="0" xfId="0" applyNumberFormat="1" applyFont="1" applyFill="1" applyBorder="1"/>
    <xf numFmtId="1" fontId="51" fillId="0" borderId="0" xfId="0" applyNumberFormat="1" applyFont="1" applyFill="1" applyAlignment="1">
      <alignment horizontal="center"/>
    </xf>
    <xf numFmtId="0" fontId="51" fillId="0" borderId="0" xfId="0" applyFont="1" applyFill="1"/>
    <xf numFmtId="3" fontId="32" fillId="0" borderId="10" xfId="0" applyNumberFormat="1" applyFont="1" applyFill="1" applyBorder="1" applyAlignment="1"/>
    <xf numFmtId="166" fontId="34" fillId="0" borderId="0" xfId="0" applyNumberFormat="1" applyFont="1" applyFill="1"/>
    <xf numFmtId="3" fontId="18" fillId="0" borderId="0" xfId="0" applyNumberFormat="1" applyFont="1" applyFill="1" applyAlignment="1">
      <alignment horizontal="right"/>
    </xf>
    <xf numFmtId="3" fontId="26" fillId="0" borderId="0" xfId="0" applyNumberFormat="1" applyFont="1" applyFill="1"/>
    <xf numFmtId="3" fontId="7" fillId="0" borderId="0" xfId="0" applyNumberFormat="1" applyFont="1" applyFill="1" applyAlignment="1">
      <alignment horizontal="center"/>
    </xf>
    <xf numFmtId="3" fontId="34" fillId="0" borderId="0" xfId="0" applyNumberFormat="1" applyFont="1" applyFill="1" applyAlignment="1">
      <alignment horizontal="right"/>
    </xf>
    <xf numFmtId="166" fontId="26" fillId="0" borderId="0" xfId="0" applyNumberFormat="1" applyFont="1" applyFill="1"/>
    <xf numFmtId="166" fontId="4" fillId="0" borderId="24" xfId="0" applyNumberFormat="1" applyFont="1" applyFill="1" applyBorder="1" applyAlignment="1">
      <alignment horizontal="center" vertical="center"/>
    </xf>
    <xf numFmtId="3" fontId="7" fillId="0" borderId="2" xfId="0" applyNumberFormat="1" applyFont="1" applyFill="1" applyBorder="1" applyAlignment="1">
      <alignment horizontal="left"/>
    </xf>
    <xf numFmtId="3" fontId="6" fillId="0" borderId="2" xfId="0" applyNumberFormat="1" applyFont="1" applyFill="1" applyBorder="1"/>
    <xf numFmtId="166" fontId="6" fillId="0" borderId="21" xfId="0" applyNumberFormat="1" applyFont="1" applyFill="1" applyBorder="1"/>
    <xf numFmtId="3" fontId="9" fillId="0" borderId="15" xfId="0" applyNumberFormat="1" applyFont="1" applyFill="1" applyBorder="1"/>
    <xf numFmtId="166" fontId="12" fillId="0" borderId="21" xfId="0" applyNumberFormat="1" applyFont="1" applyFill="1" applyBorder="1"/>
    <xf numFmtId="3" fontId="6" fillId="0" borderId="5" xfId="0" applyNumberFormat="1" applyFont="1" applyFill="1" applyBorder="1"/>
    <xf numFmtId="166" fontId="6" fillId="0" borderId="24" xfId="0" applyNumberFormat="1" applyFont="1" applyFill="1" applyBorder="1"/>
    <xf numFmtId="166" fontId="6" fillId="0" borderId="23" xfId="0" applyNumberFormat="1" applyFont="1" applyFill="1" applyBorder="1"/>
    <xf numFmtId="3" fontId="12" fillId="0" borderId="2" xfId="0" applyNumberFormat="1" applyFont="1" applyFill="1" applyBorder="1"/>
    <xf numFmtId="166" fontId="12" fillId="0" borderId="25" xfId="0" applyNumberFormat="1" applyFont="1" applyFill="1" applyBorder="1"/>
    <xf numFmtId="3" fontId="25" fillId="0" borderId="2" xfId="0" applyNumberFormat="1" applyFont="1" applyFill="1" applyBorder="1" applyAlignment="1">
      <alignment horizontal="left"/>
    </xf>
    <xf numFmtId="1" fontId="2" fillId="0" borderId="3" xfId="0" applyNumberFormat="1" applyFont="1" applyFill="1" applyBorder="1" applyAlignment="1">
      <alignment horizontal="left"/>
    </xf>
    <xf numFmtId="3" fontId="12" fillId="0" borderId="3" xfId="0" applyNumberFormat="1" applyFont="1" applyFill="1" applyBorder="1"/>
    <xf numFmtId="166" fontId="12" fillId="0" borderId="49" xfId="0" applyNumberFormat="1" applyFont="1" applyFill="1" applyBorder="1"/>
    <xf numFmtId="3" fontId="12" fillId="0" borderId="17" xfId="0" applyNumberFormat="1" applyFont="1" applyFill="1" applyBorder="1"/>
    <xf numFmtId="0" fontId="12" fillId="0" borderId="17" xfId="0" applyFont="1" applyFill="1" applyBorder="1"/>
    <xf numFmtId="3" fontId="6" fillId="0" borderId="17" xfId="0" applyNumberFormat="1" applyFont="1" applyFill="1" applyBorder="1"/>
    <xf numFmtId="166" fontId="6" fillId="0" borderId="25" xfId="0" applyNumberFormat="1" applyFont="1" applyFill="1" applyBorder="1"/>
    <xf numFmtId="3" fontId="9" fillId="0" borderId="17" xfId="0" applyNumberFormat="1" applyFont="1" applyFill="1" applyBorder="1"/>
    <xf numFmtId="166" fontId="11" fillId="0" borderId="25" xfId="0" applyNumberFormat="1" applyFont="1" applyFill="1" applyBorder="1"/>
    <xf numFmtId="3" fontId="7" fillId="0" borderId="9" xfId="0" applyNumberFormat="1" applyFont="1" applyFill="1" applyBorder="1" applyAlignment="1">
      <alignment horizontal="left"/>
    </xf>
    <xf numFmtId="1" fontId="2" fillId="0" borderId="15" xfId="0" applyNumberFormat="1" applyFont="1" applyFill="1" applyBorder="1" applyAlignment="1">
      <alignment horizontal="left"/>
    </xf>
    <xf numFmtId="3" fontId="12" fillId="0" borderId="0" xfId="0" applyNumberFormat="1" applyFont="1" applyFill="1" applyBorder="1"/>
    <xf numFmtId="3" fontId="25" fillId="0" borderId="17" xfId="0" applyNumberFormat="1" applyFont="1" applyFill="1" applyBorder="1" applyAlignment="1">
      <alignment horizontal="left"/>
    </xf>
    <xf numFmtId="0" fontId="12" fillId="0" borderId="15" xfId="0" applyFont="1" applyFill="1" applyBorder="1"/>
    <xf numFmtId="49" fontId="7" fillId="0" borderId="17" xfId="0" applyNumberFormat="1" applyFont="1" applyFill="1" applyBorder="1" applyAlignment="1">
      <alignment horizontal="left" vertical="center"/>
    </xf>
    <xf numFmtId="3" fontId="6" fillId="0" borderId="41" xfId="0" applyNumberFormat="1" applyFont="1" applyFill="1" applyBorder="1"/>
    <xf numFmtId="3" fontId="11" fillId="0" borderId="17" xfId="0" applyNumberFormat="1" applyFont="1" applyFill="1" applyBorder="1"/>
    <xf numFmtId="1" fontId="2" fillId="0" borderId="41" xfId="0" applyNumberFormat="1" applyFont="1" applyFill="1" applyBorder="1" applyAlignment="1">
      <alignment horizontal="left"/>
    </xf>
    <xf numFmtId="0" fontId="6" fillId="0" borderId="52" xfId="0" applyFont="1" applyFill="1" applyBorder="1"/>
    <xf numFmtId="166" fontId="6" fillId="0" borderId="43" xfId="0" applyNumberFormat="1" applyFont="1" applyFill="1" applyBorder="1"/>
    <xf numFmtId="3" fontId="7" fillId="0" borderId="18" xfId="0" applyNumberFormat="1" applyFont="1" applyFill="1" applyBorder="1" applyAlignment="1">
      <alignment horizontal="left"/>
    </xf>
    <xf numFmtId="3" fontId="11" fillId="0" borderId="2" xfId="0" applyNumberFormat="1" applyFont="1" applyFill="1" applyBorder="1"/>
    <xf numFmtId="3" fontId="7" fillId="0" borderId="41" xfId="0" applyNumberFormat="1" applyFont="1" applyFill="1" applyBorder="1" applyAlignment="1">
      <alignment horizontal="left"/>
    </xf>
    <xf numFmtId="166" fontId="11" fillId="0" borderId="21" xfId="0" applyNumberFormat="1" applyFont="1" applyFill="1" applyBorder="1"/>
    <xf numFmtId="166" fontId="9" fillId="0" borderId="21" xfId="0" applyNumberFormat="1" applyFont="1" applyFill="1" applyBorder="1"/>
    <xf numFmtId="166" fontId="12" fillId="0" borderId="42" xfId="0" applyNumberFormat="1" applyFont="1" applyFill="1" applyBorder="1"/>
    <xf numFmtId="166" fontId="6" fillId="0" borderId="42" xfId="0" applyNumberFormat="1" applyFont="1" applyFill="1" applyBorder="1"/>
    <xf numFmtId="49" fontId="7" fillId="0" borderId="0" xfId="0" applyNumberFormat="1" applyFont="1" applyFill="1" applyAlignment="1">
      <alignment horizontal="left" vertical="top"/>
    </xf>
    <xf numFmtId="3" fontId="6" fillId="0" borderId="15" xfId="0" applyNumberFormat="1" applyFont="1" applyFill="1" applyBorder="1"/>
    <xf numFmtId="3" fontId="7" fillId="0" borderId="17" xfId="0" applyNumberFormat="1" applyFont="1" applyFill="1" applyBorder="1" applyAlignment="1">
      <alignment horizontal="left"/>
    </xf>
    <xf numFmtId="0" fontId="6" fillId="0" borderId="9" xfId="0" applyFont="1" applyFill="1" applyBorder="1"/>
    <xf numFmtId="3" fontId="6" fillId="0" borderId="9" xfId="0" applyNumberFormat="1" applyFont="1" applyFill="1" applyBorder="1"/>
    <xf numFmtId="3" fontId="50" fillId="0" borderId="5" xfId="0" applyNumberFormat="1" applyFont="1" applyFill="1" applyBorder="1"/>
    <xf numFmtId="166" fontId="50" fillId="0" borderId="24" xfId="0" applyNumberFormat="1" applyFont="1" applyFill="1" applyBorder="1"/>
    <xf numFmtId="1" fontId="2" fillId="0" borderId="18" xfId="0" applyNumberFormat="1" applyFont="1" applyFill="1" applyBorder="1" applyAlignment="1">
      <alignment horizontal="left"/>
    </xf>
    <xf numFmtId="1" fontId="19" fillId="0" borderId="9" xfId="0" applyNumberFormat="1" applyFont="1" applyFill="1" applyBorder="1" applyAlignment="1">
      <alignment horizontal="right" vertical="center" wrapText="1"/>
    </xf>
    <xf numFmtId="0" fontId="33" fillId="0" borderId="6" xfId="0" applyFont="1" applyFill="1" applyBorder="1" applyAlignment="1">
      <alignment horizontal="center" vertical="center"/>
    </xf>
    <xf numFmtId="0" fontId="33" fillId="0" borderId="17" xfId="0" applyFont="1" applyFill="1" applyBorder="1" applyAlignment="1">
      <alignment horizontal="center" vertical="center"/>
    </xf>
    <xf numFmtId="1" fontId="9" fillId="0" borderId="17" xfId="0" applyNumberFormat="1" applyFont="1" applyFill="1" applyBorder="1" applyAlignment="1">
      <alignment horizontal="left"/>
    </xf>
    <xf numFmtId="1" fontId="9" fillId="0" borderId="15" xfId="0" applyNumberFormat="1" applyFont="1" applyFill="1" applyBorder="1" applyAlignment="1">
      <alignment horizontal="left"/>
    </xf>
    <xf numFmtId="3" fontId="6" fillId="0" borderId="53" xfId="0" applyNumberFormat="1" applyFont="1" applyFill="1" applyBorder="1"/>
    <xf numFmtId="3" fontId="12" fillId="0" borderId="14" xfId="0" applyNumberFormat="1" applyFont="1" applyFill="1" applyBorder="1"/>
    <xf numFmtId="166" fontId="12" fillId="0" borderId="35" xfId="0" applyNumberFormat="1" applyFont="1" applyFill="1" applyBorder="1"/>
    <xf numFmtId="3" fontId="6" fillId="0" borderId="14" xfId="0" applyNumberFormat="1" applyFont="1" applyFill="1" applyBorder="1"/>
    <xf numFmtId="3" fontId="25" fillId="0" borderId="15" xfId="0" applyNumberFormat="1" applyFont="1" applyFill="1" applyBorder="1" applyAlignment="1">
      <alignment horizontal="left"/>
    </xf>
    <xf numFmtId="0" fontId="2" fillId="0" borderId="38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/>
    </xf>
    <xf numFmtId="1" fontId="2" fillId="0" borderId="9" xfId="0" applyNumberFormat="1" applyFont="1" applyFill="1" applyBorder="1" applyAlignment="1">
      <alignment horizontal="center" vertical="center"/>
    </xf>
    <xf numFmtId="3" fontId="11" fillId="0" borderId="9" xfId="0" applyNumberFormat="1" applyFont="1" applyFill="1" applyBorder="1" applyAlignment="1">
      <alignment horizontal="right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1" fontId="4" fillId="0" borderId="2" xfId="0" applyNumberFormat="1" applyFont="1" applyFill="1" applyBorder="1" applyAlignment="1">
      <alignment horizontal="center" vertical="center"/>
    </xf>
    <xf numFmtId="3" fontId="9" fillId="0" borderId="2" xfId="0" applyNumberFormat="1" applyFont="1" applyFill="1" applyBorder="1" applyAlignment="1">
      <alignment horizontal="right" vertical="center"/>
    </xf>
    <xf numFmtId="3" fontId="9" fillId="0" borderId="0" xfId="0" applyNumberFormat="1" applyFont="1" applyFill="1" applyBorder="1"/>
    <xf numFmtId="3" fontId="11" fillId="0" borderId="14" xfId="0" applyNumberFormat="1" applyFont="1" applyFill="1" applyBorder="1"/>
    <xf numFmtId="166" fontId="11" fillId="0" borderId="42" xfId="0" applyNumberFormat="1" applyFont="1" applyFill="1" applyBorder="1"/>
    <xf numFmtId="0" fontId="6" fillId="0" borderId="41" xfId="0" applyFont="1" applyFill="1" applyBorder="1"/>
    <xf numFmtId="1" fontId="25" fillId="0" borderId="17" xfId="0" applyNumberFormat="1" applyFont="1" applyFill="1" applyBorder="1" applyAlignment="1">
      <alignment horizontal="right"/>
    </xf>
    <xf numFmtId="3" fontId="25" fillId="0" borderId="41" xfId="0" applyNumberFormat="1" applyFont="1" applyFill="1" applyBorder="1" applyAlignment="1">
      <alignment horizontal="left"/>
    </xf>
    <xf numFmtId="3" fontId="11" fillId="0" borderId="2" xfId="0" applyNumberFormat="1" applyFont="1" applyFill="1" applyBorder="1" applyAlignment="1">
      <alignment horizontal="right" vertical="center"/>
    </xf>
    <xf numFmtId="3" fontId="11" fillId="0" borderId="5" xfId="0" applyNumberFormat="1" applyFont="1" applyFill="1" applyBorder="1"/>
    <xf numFmtId="166" fontId="11" fillId="0" borderId="24" xfId="0" applyNumberFormat="1" applyFont="1" applyFill="1" applyBorder="1"/>
    <xf numFmtId="1" fontId="2" fillId="0" borderId="48" xfId="0" applyNumberFormat="1" applyFont="1" applyFill="1" applyBorder="1" applyAlignment="1">
      <alignment horizontal="left"/>
    </xf>
    <xf numFmtId="3" fontId="12" fillId="0" borderId="48" xfId="0" applyNumberFormat="1" applyFont="1" applyFill="1" applyBorder="1"/>
    <xf numFmtId="166" fontId="12" fillId="0" borderId="0" xfId="0" applyNumberFormat="1" applyFont="1" applyFill="1" applyBorder="1"/>
    <xf numFmtId="166" fontId="1" fillId="0" borderId="0" xfId="0" applyNumberFormat="1" applyFont="1" applyFill="1" applyBorder="1"/>
    <xf numFmtId="171" fontId="7" fillId="0" borderId="0" xfId="0" applyNumberFormat="1" applyFont="1" applyFill="1" applyBorder="1" applyAlignment="1">
      <alignment horizontal="left" vertical="top"/>
    </xf>
    <xf numFmtId="168" fontId="7" fillId="0" borderId="0" xfId="0" applyNumberFormat="1" applyFont="1" applyFill="1" applyBorder="1" applyAlignment="1">
      <alignment horizontal="left"/>
    </xf>
    <xf numFmtId="172" fontId="7" fillId="0" borderId="0" xfId="0" applyNumberFormat="1" applyFont="1" applyFill="1" applyBorder="1" applyAlignment="1">
      <alignment horizontal="left" vertical="top"/>
    </xf>
    <xf numFmtId="3" fontId="10" fillId="0" borderId="0" xfId="0" applyNumberFormat="1" applyFont="1" applyFill="1" applyBorder="1"/>
    <xf numFmtId="166" fontId="16" fillId="0" borderId="24" xfId="0" applyNumberFormat="1" applyFont="1" applyFill="1" applyBorder="1"/>
    <xf numFmtId="166" fontId="6" fillId="0" borderId="54" xfId="0" applyNumberFormat="1" applyFont="1" applyFill="1" applyBorder="1"/>
    <xf numFmtId="3" fontId="26" fillId="0" borderId="0" xfId="0" applyNumberFormat="1" applyFont="1" applyFill="1" applyBorder="1"/>
    <xf numFmtId="0" fontId="4" fillId="0" borderId="17" xfId="0" applyFont="1" applyFill="1" applyBorder="1" applyAlignment="1">
      <alignment horizontal="center" vertical="center"/>
    </xf>
    <xf numFmtId="1" fontId="4" fillId="0" borderId="17" xfId="0" applyNumberFormat="1" applyFont="1" applyFill="1" applyBorder="1" applyAlignment="1">
      <alignment horizontal="center" vertical="center"/>
    </xf>
    <xf numFmtId="3" fontId="6" fillId="0" borderId="17" xfId="0" applyNumberFormat="1" applyFont="1" applyFill="1" applyBorder="1" applyAlignment="1">
      <alignment horizontal="right" vertical="center"/>
    </xf>
    <xf numFmtId="3" fontId="12" fillId="0" borderId="17" xfId="0" applyNumberFormat="1" applyFont="1" applyFill="1" applyBorder="1" applyAlignment="1">
      <alignment horizontal="right"/>
    </xf>
    <xf numFmtId="3" fontId="9" fillId="0" borderId="48" xfId="0" applyNumberFormat="1" applyFont="1" applyFill="1" applyBorder="1"/>
    <xf numFmtId="166" fontId="9" fillId="0" borderId="35" xfId="0" applyNumberFormat="1" applyFont="1" applyFill="1" applyBorder="1"/>
    <xf numFmtId="3" fontId="4" fillId="0" borderId="0" xfId="0" applyNumberFormat="1" applyFont="1" applyFill="1"/>
    <xf numFmtId="1" fontId="2" fillId="0" borderId="55" xfId="0" applyNumberFormat="1" applyFont="1" applyFill="1" applyBorder="1" applyAlignment="1">
      <alignment horizontal="left"/>
    </xf>
    <xf numFmtId="3" fontId="11" fillId="0" borderId="41" xfId="0" applyNumberFormat="1" applyFont="1" applyFill="1" applyBorder="1"/>
    <xf numFmtId="166" fontId="11" fillId="0" borderId="43" xfId="0" applyNumberFormat="1" applyFont="1" applyFill="1" applyBorder="1"/>
    <xf numFmtId="1" fontId="16" fillId="0" borderId="0" xfId="0" applyNumberFormat="1" applyFont="1" applyFill="1" applyAlignment="1">
      <alignment horizontal="left"/>
    </xf>
    <xf numFmtId="3" fontId="35" fillId="0" borderId="0" xfId="0" applyNumberFormat="1" applyFont="1" applyFill="1"/>
    <xf numFmtId="166" fontId="6" fillId="0" borderId="25" xfId="0" applyNumberFormat="1" applyFont="1" applyFill="1" applyBorder="1" applyAlignment="1">
      <alignment horizontal="right"/>
    </xf>
    <xf numFmtId="0" fontId="3" fillId="0" borderId="33" xfId="0" applyFont="1" applyFill="1" applyBorder="1"/>
    <xf numFmtId="3" fontId="2" fillId="0" borderId="0" xfId="0" applyNumberFormat="1" applyFont="1" applyFill="1"/>
    <xf numFmtId="0" fontId="11" fillId="0" borderId="0" xfId="0" applyFont="1" applyFill="1"/>
    <xf numFmtId="3" fontId="11" fillId="0" borderId="0" xfId="0" applyNumberFormat="1" applyFont="1" applyFill="1"/>
    <xf numFmtId="167" fontId="50" fillId="0" borderId="35" xfId="0" applyNumberFormat="1" applyFont="1" applyFill="1" applyBorder="1"/>
    <xf numFmtId="168" fontId="25" fillId="0" borderId="0" xfId="0" applyNumberFormat="1" applyFont="1" applyFill="1" applyAlignment="1">
      <alignment horizontal="center"/>
    </xf>
    <xf numFmtId="0" fontId="10" fillId="0" borderId="2" xfId="0" applyFont="1" applyFill="1" applyBorder="1" applyAlignment="1">
      <alignment horizontal="center"/>
    </xf>
    <xf numFmtId="3" fontId="11" fillId="0" borderId="0" xfId="0" applyNumberFormat="1" applyFont="1" applyFill="1" applyBorder="1"/>
    <xf numFmtId="0" fontId="10" fillId="0" borderId="14" xfId="0" applyFont="1" applyFill="1" applyBorder="1" applyAlignment="1"/>
    <xf numFmtId="167" fontId="5" fillId="0" borderId="0" xfId="0" applyNumberFormat="1" applyFont="1" applyFill="1" applyBorder="1" applyAlignment="1">
      <alignment shrinkToFit="1"/>
    </xf>
    <xf numFmtId="167" fontId="5" fillId="0" borderId="35" xfId="0" applyNumberFormat="1" applyFont="1" applyFill="1" applyBorder="1" applyAlignment="1"/>
    <xf numFmtId="1" fontId="15" fillId="0" borderId="0" xfId="0" applyNumberFormat="1" applyFont="1" applyFill="1" applyAlignment="1">
      <alignment horizontal="left"/>
    </xf>
    <xf numFmtId="0" fontId="4" fillId="0" borderId="56" xfId="0" applyFont="1" applyFill="1" applyBorder="1" applyAlignment="1">
      <alignment horizontal="center" vertical="center"/>
    </xf>
    <xf numFmtId="0" fontId="39" fillId="0" borderId="4" xfId="0" applyFont="1" applyFill="1" applyBorder="1" applyAlignment="1"/>
    <xf numFmtId="0" fontId="37" fillId="0" borderId="5" xfId="0" applyFont="1" applyFill="1" applyBorder="1" applyAlignment="1"/>
    <xf numFmtId="168" fontId="60" fillId="0" borderId="5" xfId="0" applyNumberFormat="1" applyFont="1" applyFill="1" applyBorder="1" applyAlignment="1">
      <alignment horizontal="center"/>
    </xf>
    <xf numFmtId="167" fontId="5" fillId="0" borderId="22" xfId="0" applyNumberFormat="1" applyFont="1" applyFill="1" applyBorder="1" applyAlignment="1"/>
    <xf numFmtId="0" fontId="56" fillId="0" borderId="0" xfId="0" applyFont="1" applyFill="1"/>
    <xf numFmtId="167" fontId="65" fillId="0" borderId="0" xfId="0" applyNumberFormat="1" applyFont="1" applyFill="1" applyBorder="1"/>
    <xf numFmtId="1" fontId="50" fillId="0" borderId="0" xfId="0" applyNumberFormat="1" applyFont="1" applyFill="1" applyAlignment="1">
      <alignment horizontal="left"/>
    </xf>
    <xf numFmtId="166" fontId="5" fillId="0" borderId="22" xfId="0" applyNumberFormat="1" applyFont="1" applyFill="1" applyBorder="1"/>
    <xf numFmtId="166" fontId="5" fillId="0" borderId="35" xfId="0" applyNumberFormat="1" applyFont="1" applyFill="1" applyBorder="1"/>
    <xf numFmtId="3" fontId="49" fillId="0" borderId="0" xfId="0" applyNumberFormat="1" applyFont="1" applyFill="1" applyBorder="1" applyAlignment="1">
      <alignment horizontal="right"/>
    </xf>
    <xf numFmtId="3" fontId="52" fillId="0" borderId="0" xfId="0" applyNumberFormat="1" applyFont="1" applyFill="1" applyAlignment="1">
      <alignment horizontal="right"/>
    </xf>
    <xf numFmtId="3" fontId="65" fillId="0" borderId="0" xfId="0" applyNumberFormat="1" applyFont="1" applyFill="1" applyBorder="1"/>
    <xf numFmtId="1" fontId="4" fillId="0" borderId="0" xfId="0" applyNumberFormat="1" applyFont="1" applyFill="1" applyBorder="1" applyAlignment="1">
      <alignment horizontal="left"/>
    </xf>
    <xf numFmtId="168" fontId="7" fillId="0" borderId="0" xfId="0" applyNumberFormat="1" applyFont="1" applyFill="1" applyBorder="1" applyAlignment="1">
      <alignment horizontal="center"/>
    </xf>
    <xf numFmtId="166" fontId="29" fillId="0" borderId="10" xfId="0" applyNumberFormat="1" applyFont="1" applyFill="1" applyBorder="1" applyAlignment="1">
      <alignment shrinkToFit="1"/>
    </xf>
    <xf numFmtId="3" fontId="27" fillId="0" borderId="0" xfId="0" applyNumberFormat="1" applyFont="1" applyFill="1" applyAlignment="1">
      <alignment horizontal="right"/>
    </xf>
    <xf numFmtId="168" fontId="25" fillId="0" borderId="0" xfId="0" applyNumberFormat="1" applyFont="1" applyFill="1" applyAlignment="1">
      <alignment horizontal="left" vertical="top"/>
    </xf>
    <xf numFmtId="3" fontId="9" fillId="0" borderId="0" xfId="0" applyNumberFormat="1" applyFont="1" applyFill="1" applyAlignment="1">
      <alignment horizontal="right" vertical="top"/>
    </xf>
    <xf numFmtId="0" fontId="6" fillId="0" borderId="0" xfId="0" applyFont="1" applyFill="1" applyAlignment="1">
      <alignment horizontal="right"/>
    </xf>
    <xf numFmtId="0" fontId="3" fillId="0" borderId="8" xfId="0" applyFont="1" applyFill="1" applyBorder="1" applyAlignment="1">
      <alignment horizontal="center"/>
    </xf>
    <xf numFmtId="167" fontId="5" fillId="0" borderId="24" xfId="0" applyNumberFormat="1" applyFont="1" applyFill="1" applyBorder="1"/>
    <xf numFmtId="166" fontId="3" fillId="0" borderId="0" xfId="0" applyNumberFormat="1" applyFont="1" applyFill="1"/>
    <xf numFmtId="0" fontId="27" fillId="0" borderId="0" xfId="0" applyFont="1" applyFill="1" applyAlignment="1">
      <alignment horizontal="center"/>
    </xf>
    <xf numFmtId="168" fontId="26" fillId="0" borderId="0" xfId="0" applyNumberFormat="1" applyFont="1" applyFill="1"/>
    <xf numFmtId="166" fontId="27" fillId="0" borderId="0" xfId="0" applyNumberFormat="1" applyFont="1" applyFill="1"/>
    <xf numFmtId="168" fontId="7" fillId="0" borderId="0" xfId="0" applyNumberFormat="1" applyFont="1" applyFill="1" applyAlignment="1">
      <alignment horizontal="left"/>
    </xf>
    <xf numFmtId="3" fontId="2" fillId="0" borderId="0" xfId="0" applyNumberFormat="1" applyFont="1" applyFill="1" applyAlignment="1">
      <alignment horizontal="right"/>
    </xf>
    <xf numFmtId="3" fontId="16" fillId="0" borderId="0" xfId="0" applyNumberFormat="1" applyFont="1" applyFill="1"/>
    <xf numFmtId="167" fontId="16" fillId="0" borderId="0" xfId="0" applyNumberFormat="1" applyFont="1" applyFill="1"/>
    <xf numFmtId="166" fontId="58" fillId="0" borderId="0" xfId="0" applyNumberFormat="1" applyFont="1" applyFill="1"/>
    <xf numFmtId="1" fontId="38" fillId="0" borderId="0" xfId="0" applyNumberFormat="1" applyFont="1" applyFill="1"/>
    <xf numFmtId="1" fontId="58" fillId="0" borderId="0" xfId="0" applyNumberFormat="1" applyFont="1" applyFill="1"/>
    <xf numFmtId="0" fontId="27" fillId="0" borderId="26" xfId="0" applyFont="1" applyFill="1" applyBorder="1"/>
    <xf numFmtId="173" fontId="7" fillId="0" borderId="2" xfId="0" applyNumberFormat="1" applyFont="1" applyFill="1" applyBorder="1" applyAlignment="1">
      <alignment horizontal="center"/>
    </xf>
    <xf numFmtId="0" fontId="27" fillId="0" borderId="38" xfId="0" applyFont="1" applyFill="1" applyBorder="1"/>
    <xf numFmtId="3" fontId="11" fillId="0" borderId="9" xfId="0" applyNumberFormat="1" applyFont="1" applyFill="1" applyBorder="1"/>
    <xf numFmtId="3" fontId="20" fillId="0" borderId="0" xfId="0" applyNumberFormat="1" applyFont="1" applyFill="1"/>
    <xf numFmtId="166" fontId="6" fillId="0" borderId="30" xfId="0" applyNumberFormat="1" applyFont="1" applyFill="1" applyBorder="1"/>
    <xf numFmtId="0" fontId="27" fillId="0" borderId="50" xfId="0" applyFont="1" applyFill="1" applyBorder="1"/>
    <xf numFmtId="173" fontId="7" fillId="0" borderId="14" xfId="0" applyNumberFormat="1" applyFont="1" applyFill="1" applyBorder="1" applyAlignment="1">
      <alignment horizontal="center"/>
    </xf>
    <xf numFmtId="3" fontId="11" fillId="0" borderId="34" xfId="0" applyNumberFormat="1" applyFont="1" applyFill="1" applyBorder="1"/>
    <xf numFmtId="0" fontId="27" fillId="0" borderId="4" xfId="0" applyFont="1" applyFill="1" applyBorder="1"/>
    <xf numFmtId="1" fontId="2" fillId="0" borderId="5" xfId="0" applyNumberFormat="1" applyFont="1" applyFill="1" applyBorder="1" applyAlignment="1">
      <alignment horizontal="left"/>
    </xf>
    <xf numFmtId="173" fontId="7" fillId="0" borderId="5" xfId="0" applyNumberFormat="1" applyFont="1" applyFill="1" applyBorder="1" applyAlignment="1">
      <alignment horizontal="center"/>
    </xf>
    <xf numFmtId="0" fontId="11" fillId="0" borderId="5" xfId="0" applyFont="1" applyFill="1" applyBorder="1"/>
    <xf numFmtId="3" fontId="6" fillId="0" borderId="27" xfId="0" applyNumberFormat="1" applyFont="1" applyFill="1" applyBorder="1"/>
    <xf numFmtId="0" fontId="27" fillId="0" borderId="33" xfId="0" applyFont="1" applyFill="1" applyBorder="1"/>
    <xf numFmtId="166" fontId="6" fillId="0" borderId="35" xfId="0" applyNumberFormat="1" applyFont="1" applyFill="1" applyBorder="1"/>
    <xf numFmtId="173" fontId="7" fillId="0" borderId="9" xfId="0" applyNumberFormat="1" applyFont="1" applyFill="1" applyBorder="1" applyAlignment="1">
      <alignment horizontal="center"/>
    </xf>
    <xf numFmtId="166" fontId="11" fillId="0" borderId="35" xfId="0" applyNumberFormat="1" applyFont="1" applyFill="1" applyBorder="1"/>
    <xf numFmtId="3" fontId="26" fillId="0" borderId="0" xfId="0" applyNumberFormat="1" applyFont="1" applyFill="1" applyAlignment="1">
      <alignment vertical="center"/>
    </xf>
    <xf numFmtId="1" fontId="41" fillId="0" borderId="34" xfId="0" applyNumberFormat="1" applyFont="1" applyFill="1" applyBorder="1" applyAlignment="1"/>
    <xf numFmtId="0" fontId="58" fillId="0" borderId="34" xfId="0" applyFont="1" applyFill="1" applyBorder="1" applyAlignment="1"/>
    <xf numFmtId="3" fontId="41" fillId="0" borderId="34" xfId="0" applyNumberFormat="1" applyFont="1" applyFill="1" applyBorder="1" applyAlignment="1"/>
    <xf numFmtId="3" fontId="80" fillId="0" borderId="34" xfId="0" applyNumberFormat="1" applyFont="1" applyFill="1" applyBorder="1" applyAlignment="1"/>
    <xf numFmtId="166" fontId="66" fillId="0" borderId="34" xfId="0" applyNumberFormat="1" applyFont="1" applyFill="1" applyBorder="1"/>
    <xf numFmtId="0" fontId="41" fillId="0" borderId="0" xfId="0" applyFont="1" applyFill="1" applyAlignment="1">
      <alignment wrapText="1"/>
    </xf>
    <xf numFmtId="3" fontId="20" fillId="0" borderId="0" xfId="0" applyNumberFormat="1" applyFont="1" applyFill="1" applyAlignment="1">
      <alignment wrapText="1"/>
    </xf>
    <xf numFmtId="0" fontId="35" fillId="0" borderId="0" xfId="0" applyFont="1" applyFill="1" applyAlignment="1">
      <alignment wrapText="1"/>
    </xf>
    <xf numFmtId="0" fontId="54" fillId="0" borderId="4" xfId="0" applyFont="1" applyFill="1" applyBorder="1" applyAlignment="1">
      <alignment horizontal="center" vertical="center"/>
    </xf>
    <xf numFmtId="1" fontId="54" fillId="0" borderId="5" xfId="0" applyNumberFormat="1" applyFont="1" applyFill="1" applyBorder="1" applyAlignment="1">
      <alignment horizontal="center" vertical="center"/>
    </xf>
    <xf numFmtId="3" fontId="54" fillId="0" borderId="5" xfId="0" applyNumberFormat="1" applyFont="1" applyFill="1" applyBorder="1" applyAlignment="1">
      <alignment horizontal="center" vertical="center"/>
    </xf>
    <xf numFmtId="3" fontId="54" fillId="0" borderId="56" xfId="0" applyNumberFormat="1" applyFont="1" applyFill="1" applyBorder="1" applyAlignment="1">
      <alignment horizontal="center" vertical="center"/>
    </xf>
    <xf numFmtId="167" fontId="54" fillId="0" borderId="24" xfId="0" applyNumberFormat="1" applyFont="1" applyFill="1" applyBorder="1" applyAlignment="1">
      <alignment horizontal="center" vertical="center"/>
    </xf>
    <xf numFmtId="3" fontId="54" fillId="0" borderId="0" xfId="0" applyNumberFormat="1" applyFont="1" applyFill="1"/>
    <xf numFmtId="0" fontId="54" fillId="0" borderId="0" xfId="0" applyFont="1" applyFill="1"/>
    <xf numFmtId="0" fontId="47" fillId="0" borderId="7" xfId="0" applyFont="1" applyFill="1" applyBorder="1" applyAlignment="1">
      <alignment horizontal="left"/>
    </xf>
    <xf numFmtId="0" fontId="46" fillId="0" borderId="8" xfId="0" applyFont="1" applyFill="1" applyBorder="1"/>
    <xf numFmtId="3" fontId="45" fillId="0" borderId="8" xfId="0" applyNumberFormat="1" applyFont="1" applyFill="1" applyBorder="1" applyAlignment="1">
      <alignment horizontal="center"/>
    </xf>
    <xf numFmtId="0" fontId="32" fillId="0" borderId="56" xfId="0" applyFont="1" applyFill="1" applyBorder="1"/>
    <xf numFmtId="3" fontId="26" fillId="0" borderId="0" xfId="0" applyNumberFormat="1" applyFont="1" applyFill="1" applyAlignment="1">
      <alignment horizontal="left"/>
    </xf>
    <xf numFmtId="3" fontId="45" fillId="0" borderId="8" xfId="0" applyNumberFormat="1" applyFont="1" applyFill="1" applyBorder="1" applyAlignment="1">
      <alignment horizontal="left"/>
    </xf>
    <xf numFmtId="168" fontId="25" fillId="0" borderId="0" xfId="0" applyNumberFormat="1" applyFont="1" applyFill="1" applyBorder="1"/>
    <xf numFmtId="3" fontId="10" fillId="0" borderId="0" xfId="0" applyNumberFormat="1" applyFont="1" applyFill="1" applyBorder="1" applyAlignment="1">
      <alignment horizontal="right"/>
    </xf>
    <xf numFmtId="167" fontId="6" fillId="0" borderId="0" xfId="0" applyNumberFormat="1" applyFont="1" applyFill="1" applyBorder="1" applyAlignment="1">
      <alignment horizontal="right"/>
    </xf>
    <xf numFmtId="1" fontId="2" fillId="0" borderId="19" xfId="0" applyNumberFormat="1" applyFont="1" applyFill="1" applyBorder="1" applyAlignment="1">
      <alignment horizontal="left"/>
    </xf>
    <xf numFmtId="168" fontId="25" fillId="0" borderId="19" xfId="0" applyNumberFormat="1" applyFont="1" applyFill="1" applyBorder="1"/>
    <xf numFmtId="3" fontId="10" fillId="0" borderId="19" xfId="0" applyNumberFormat="1" applyFont="1" applyFill="1" applyBorder="1" applyAlignment="1">
      <alignment horizontal="right"/>
    </xf>
    <xf numFmtId="3" fontId="9" fillId="0" borderId="19" xfId="0" applyNumberFormat="1" applyFont="1" applyFill="1" applyBorder="1" applyAlignment="1">
      <alignment horizontal="right"/>
    </xf>
    <xf numFmtId="3" fontId="57" fillId="0" borderId="19" xfId="0" applyNumberFormat="1" applyFont="1" applyFill="1" applyBorder="1" applyAlignment="1">
      <alignment horizontal="right"/>
    </xf>
    <xf numFmtId="167" fontId="6" fillId="0" borderId="19" xfId="0" applyNumberFormat="1" applyFont="1" applyFill="1" applyBorder="1" applyAlignment="1">
      <alignment horizontal="right"/>
    </xf>
    <xf numFmtId="3" fontId="71" fillId="0" borderId="34" xfId="0" applyNumberFormat="1" applyFont="1" applyFill="1" applyBorder="1" applyAlignment="1"/>
    <xf numFmtId="167" fontId="73" fillId="0" borderId="34" xfId="0" applyNumberFormat="1" applyFont="1" applyFill="1" applyBorder="1" applyAlignment="1">
      <alignment horizontal="right"/>
    </xf>
    <xf numFmtId="3" fontId="41" fillId="0" borderId="0" xfId="0" applyNumberFormat="1" applyFont="1" applyFill="1" applyBorder="1" applyAlignment="1">
      <alignment wrapText="1"/>
    </xf>
    <xf numFmtId="167" fontId="32" fillId="0" borderId="10" xfId="0" applyNumberFormat="1" applyFont="1" applyFill="1" applyBorder="1"/>
    <xf numFmtId="1" fontId="7" fillId="0" borderId="0" xfId="0" applyNumberFormat="1" applyFont="1" applyFill="1" applyAlignment="1">
      <alignment horizontal="center"/>
    </xf>
    <xf numFmtId="3" fontId="5" fillId="0" borderId="37" xfId="0" applyNumberFormat="1" applyFont="1" applyFill="1" applyBorder="1"/>
    <xf numFmtId="0" fontId="26" fillId="0" borderId="0" xfId="0" applyFont="1" applyFill="1"/>
    <xf numFmtId="1" fontId="2" fillId="0" borderId="38" xfId="2" applyNumberFormat="1" applyFont="1" applyFill="1" applyBorder="1" applyAlignment="1">
      <alignment horizontal="left"/>
    </xf>
    <xf numFmtId="1" fontId="2" fillId="0" borderId="18" xfId="2" applyNumberFormat="1" applyFont="1" applyFill="1" applyBorder="1" applyAlignment="1">
      <alignment horizontal="left"/>
    </xf>
    <xf numFmtId="1" fontId="7" fillId="0" borderId="18" xfId="2" applyNumberFormat="1" applyFont="1" applyFill="1" applyBorder="1" applyAlignment="1">
      <alignment horizontal="left"/>
    </xf>
    <xf numFmtId="3" fontId="6" fillId="0" borderId="18" xfId="2" applyFont="1" applyFill="1" applyBorder="1"/>
    <xf numFmtId="3" fontId="6" fillId="0" borderId="18" xfId="2" applyFont="1" applyFill="1" applyBorder="1" applyAlignment="1">
      <alignment horizontal="right"/>
    </xf>
    <xf numFmtId="3" fontId="11" fillId="0" borderId="18" xfId="2" applyFont="1" applyFill="1" applyBorder="1" applyAlignment="1">
      <alignment horizontal="right"/>
    </xf>
    <xf numFmtId="1" fontId="2" fillId="0" borderId="50" xfId="2" applyNumberFormat="1" applyFont="1" applyFill="1" applyBorder="1" applyAlignment="1">
      <alignment horizontal="left"/>
    </xf>
    <xf numFmtId="1" fontId="2" fillId="0" borderId="48" xfId="2" applyNumberFormat="1" applyFont="1" applyFill="1" applyBorder="1" applyAlignment="1">
      <alignment horizontal="left"/>
    </xf>
    <xf numFmtId="1" fontId="7" fillId="0" borderId="48" xfId="2" applyNumberFormat="1" applyFont="1" applyFill="1" applyBorder="1" applyAlignment="1">
      <alignment horizontal="left"/>
    </xf>
    <xf numFmtId="3" fontId="11" fillId="0" borderId="48" xfId="2" applyFont="1" applyFill="1" applyBorder="1"/>
    <xf numFmtId="3" fontId="6" fillId="0" borderId="48" xfId="2" applyFont="1" applyFill="1" applyBorder="1" applyAlignment="1">
      <alignment horizontal="right"/>
    </xf>
    <xf numFmtId="3" fontId="11" fillId="0" borderId="48" xfId="2" applyFont="1" applyFill="1" applyBorder="1" applyAlignment="1">
      <alignment horizontal="right"/>
    </xf>
    <xf numFmtId="166" fontId="6" fillId="0" borderId="35" xfId="0" applyNumberFormat="1" applyFont="1" applyFill="1" applyBorder="1" applyAlignment="1">
      <alignment horizontal="right"/>
    </xf>
    <xf numFmtId="3" fontId="18" fillId="0" borderId="34" xfId="0" applyNumberFormat="1" applyFont="1" applyFill="1" applyBorder="1" applyAlignment="1">
      <alignment horizontal="center"/>
    </xf>
    <xf numFmtId="166" fontId="50" fillId="0" borderId="0" xfId="0" applyNumberFormat="1" applyFont="1" applyFill="1" applyBorder="1" applyAlignment="1">
      <alignment horizontal="right"/>
    </xf>
    <xf numFmtId="166" fontId="65" fillId="0" borderId="0" xfId="0" applyNumberFormat="1" applyFont="1" applyFill="1" applyBorder="1" applyAlignment="1">
      <alignment horizontal="right"/>
    </xf>
    <xf numFmtId="166" fontId="66" fillId="0" borderId="10" xfId="0" applyNumberFormat="1" applyFont="1" applyFill="1" applyBorder="1" applyAlignment="1">
      <alignment horizontal="right"/>
    </xf>
    <xf numFmtId="0" fontId="15" fillId="0" borderId="0" xfId="0" applyFont="1" applyFill="1"/>
    <xf numFmtId="0" fontId="17" fillId="0" borderId="0" xfId="0" applyFont="1" applyFill="1" applyBorder="1"/>
    <xf numFmtId="1" fontId="13" fillId="0" borderId="0" xfId="0" applyNumberFormat="1" applyFont="1" applyFill="1" applyBorder="1" applyAlignment="1">
      <alignment horizontal="left"/>
    </xf>
    <xf numFmtId="0" fontId="13" fillId="0" borderId="0" xfId="0" applyFont="1" applyFill="1" applyBorder="1"/>
    <xf numFmtId="3" fontId="17" fillId="0" borderId="0" xfId="0" applyNumberFormat="1" applyFont="1" applyFill="1" applyBorder="1"/>
    <xf numFmtId="167" fontId="17" fillId="0" borderId="0" xfId="0" applyNumberFormat="1" applyFont="1" applyFill="1" applyBorder="1"/>
    <xf numFmtId="168" fontId="49" fillId="0" borderId="0" xfId="0" applyNumberFormat="1" applyFont="1" applyFill="1" applyBorder="1" applyAlignment="1">
      <alignment horizontal="right"/>
    </xf>
    <xf numFmtId="168" fontId="52" fillId="0" borderId="0" xfId="0" applyNumberFormat="1" applyFont="1" applyFill="1" applyAlignment="1">
      <alignment horizontal="right"/>
    </xf>
    <xf numFmtId="167" fontId="5" fillId="0" borderId="35" xfId="0" applyNumberFormat="1" applyFont="1" applyFill="1" applyBorder="1" applyAlignment="1">
      <alignment horizontal="right"/>
    </xf>
    <xf numFmtId="3" fontId="7" fillId="0" borderId="0" xfId="0" applyNumberFormat="1" applyFont="1" applyFill="1" applyBorder="1" applyAlignment="1">
      <alignment horizontal="left"/>
    </xf>
    <xf numFmtId="166" fontId="5" fillId="0" borderId="22" xfId="0" applyNumberFormat="1" applyFont="1" applyFill="1" applyBorder="1" applyAlignment="1">
      <alignment horizontal="right"/>
    </xf>
    <xf numFmtId="166" fontId="49" fillId="0" borderId="0" xfId="0" applyNumberFormat="1" applyFont="1" applyFill="1" applyBorder="1" applyAlignment="1">
      <alignment horizontal="right"/>
    </xf>
    <xf numFmtId="166" fontId="52" fillId="0" borderId="0" xfId="0" applyNumberFormat="1" applyFont="1" applyFill="1" applyBorder="1" applyAlignment="1">
      <alignment horizontal="right"/>
    </xf>
    <xf numFmtId="1" fontId="4" fillId="0" borderId="24" xfId="0" applyNumberFormat="1" applyFont="1" applyFill="1" applyBorder="1" applyAlignment="1">
      <alignment horizontal="center" vertical="center"/>
    </xf>
    <xf numFmtId="167" fontId="5" fillId="0" borderId="22" xfId="0" applyNumberFormat="1" applyFont="1" applyFill="1" applyBorder="1" applyAlignment="1">
      <alignment horizontal="right"/>
    </xf>
    <xf numFmtId="3" fontId="33" fillId="0" borderId="37" xfId="0" applyNumberFormat="1" applyFont="1" applyFill="1" applyBorder="1" applyAlignment="1">
      <alignment horizontal="center" vertical="center"/>
    </xf>
    <xf numFmtId="0" fontId="33" fillId="0" borderId="22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1" fontId="2" fillId="0" borderId="27" xfId="0" applyNumberFormat="1" applyFont="1" applyFill="1" applyBorder="1" applyAlignment="1">
      <alignment horizontal="center"/>
    </xf>
    <xf numFmtId="1" fontId="7" fillId="0" borderId="27" xfId="0" applyNumberFormat="1" applyFont="1" applyFill="1" applyBorder="1" applyAlignment="1">
      <alignment horizontal="left"/>
    </xf>
    <xf numFmtId="3" fontId="10" fillId="0" borderId="27" xfId="0" applyNumberFormat="1" applyFont="1" applyFill="1" applyBorder="1"/>
    <xf numFmtId="1" fontId="6" fillId="0" borderId="27" xfId="0" applyNumberFormat="1" applyFont="1" applyFill="1" applyBorder="1" applyAlignment="1">
      <alignment horizontal="right"/>
    </xf>
    <xf numFmtId="1" fontId="2" fillId="0" borderId="0" xfId="0" applyNumberFormat="1" applyFont="1" applyFill="1" applyBorder="1" applyAlignment="1">
      <alignment horizontal="center"/>
    </xf>
    <xf numFmtId="1" fontId="7" fillId="0" borderId="0" xfId="0" applyNumberFormat="1" applyFont="1" applyFill="1" applyBorder="1" applyAlignment="1">
      <alignment horizontal="left"/>
    </xf>
    <xf numFmtId="1" fontId="6" fillId="0" borderId="0" xfId="0" applyNumberFormat="1" applyFont="1" applyFill="1" applyBorder="1" applyAlignment="1">
      <alignment horizontal="right"/>
    </xf>
    <xf numFmtId="1" fontId="24" fillId="0" borderId="2" xfId="0" applyNumberFormat="1" applyFont="1" applyFill="1" applyBorder="1" applyAlignment="1">
      <alignment horizontal="left"/>
    </xf>
    <xf numFmtId="0" fontId="8" fillId="0" borderId="0" xfId="0" applyFont="1" applyFill="1" applyBorder="1"/>
    <xf numFmtId="167" fontId="11" fillId="0" borderId="21" xfId="0" applyNumberFormat="1" applyFont="1" applyFill="1" applyBorder="1" applyAlignment="1">
      <alignment horizontal="right"/>
    </xf>
    <xf numFmtId="1" fontId="2" fillId="0" borderId="11" xfId="0" applyNumberFormat="1" applyFont="1" applyFill="1" applyBorder="1" applyAlignment="1">
      <alignment horizontal="left"/>
    </xf>
    <xf numFmtId="1" fontId="25" fillId="0" borderId="3" xfId="0" applyNumberFormat="1" applyFont="1" applyFill="1" applyBorder="1" applyAlignment="1">
      <alignment horizontal="left"/>
    </xf>
    <xf numFmtId="3" fontId="6" fillId="0" borderId="3" xfId="0" applyNumberFormat="1" applyFont="1" applyFill="1" applyBorder="1"/>
    <xf numFmtId="3" fontId="9" fillId="0" borderId="3" xfId="0" applyNumberFormat="1" applyFont="1" applyFill="1" applyBorder="1"/>
    <xf numFmtId="3" fontId="11" fillId="0" borderId="3" xfId="0" applyNumberFormat="1" applyFont="1" applyFill="1" applyBorder="1"/>
    <xf numFmtId="167" fontId="11" fillId="0" borderId="49" xfId="0" applyNumberFormat="1" applyFont="1" applyFill="1" applyBorder="1" applyAlignment="1">
      <alignment horizontal="right"/>
    </xf>
    <xf numFmtId="167" fontId="65" fillId="0" borderId="0" xfId="0" applyNumberFormat="1" applyFont="1" applyFill="1" applyBorder="1" applyAlignment="1">
      <alignment horizontal="right"/>
    </xf>
    <xf numFmtId="0" fontId="16" fillId="0" borderId="0" xfId="0" applyFont="1" applyFill="1"/>
    <xf numFmtId="1" fontId="16" fillId="0" borderId="0" xfId="0" applyNumberFormat="1" applyFont="1" applyFill="1" applyAlignment="1">
      <alignment horizontal="right"/>
    </xf>
    <xf numFmtId="0" fontId="1" fillId="0" borderId="4" xfId="0" applyFont="1" applyFill="1" applyBorder="1" applyAlignment="1">
      <alignment horizontal="center" vertical="center"/>
    </xf>
    <xf numFmtId="164" fontId="1" fillId="0" borderId="5" xfId="0" applyNumberFormat="1" applyFont="1" applyFill="1" applyBorder="1" applyAlignment="1">
      <alignment horizontal="center" vertical="center"/>
    </xf>
    <xf numFmtId="164" fontId="1" fillId="0" borderId="0" xfId="0" applyNumberFormat="1" applyFont="1" applyFill="1" applyBorder="1" applyAlignment="1">
      <alignment horizontal="center"/>
    </xf>
    <xf numFmtId="3" fontId="35" fillId="0" borderId="0" xfId="0" applyNumberFormat="1" applyFont="1" applyFill="1" applyBorder="1"/>
    <xf numFmtId="0" fontId="72" fillId="0" borderId="6" xfId="0" applyFont="1" applyFill="1" applyBorder="1" applyAlignment="1">
      <alignment wrapText="1"/>
    </xf>
    <xf numFmtId="3" fontId="35" fillId="0" borderId="2" xfId="0" applyNumberFormat="1" applyFont="1" applyFill="1" applyBorder="1" applyAlignment="1">
      <alignment horizontal="center"/>
    </xf>
    <xf numFmtId="0" fontId="10" fillId="0" borderId="6" xfId="0" applyFont="1" applyFill="1" applyBorder="1"/>
    <xf numFmtId="0" fontId="61" fillId="0" borderId="6" xfId="0" applyFont="1" applyFill="1" applyBorder="1"/>
    <xf numFmtId="0" fontId="72" fillId="0" borderId="6" xfId="0" applyFont="1" applyFill="1" applyBorder="1"/>
    <xf numFmtId="164" fontId="1" fillId="0" borderId="2" xfId="0" applyNumberFormat="1" applyFont="1" applyFill="1" applyBorder="1" applyAlignment="1">
      <alignment horizontal="center"/>
    </xf>
    <xf numFmtId="166" fontId="72" fillId="0" borderId="21" xfId="0" applyNumberFormat="1" applyFont="1" applyFill="1" applyBorder="1"/>
    <xf numFmtId="0" fontId="19" fillId="0" borderId="6" xfId="0" applyFont="1" applyFill="1" applyBorder="1"/>
    <xf numFmtId="0" fontId="19" fillId="0" borderId="57" xfId="0" applyFont="1" applyFill="1" applyBorder="1"/>
    <xf numFmtId="166" fontId="19" fillId="0" borderId="49" xfId="0" applyNumberFormat="1" applyFont="1" applyFill="1" applyBorder="1"/>
    <xf numFmtId="3" fontId="35" fillId="0" borderId="0" xfId="0" applyNumberFormat="1" applyFont="1" applyFill="1" applyBorder="1" applyAlignment="1">
      <alignment horizontal="center"/>
    </xf>
    <xf numFmtId="3" fontId="35" fillId="0" borderId="3" xfId="0" applyNumberFormat="1" applyFont="1" applyFill="1" applyBorder="1" applyAlignment="1">
      <alignment horizontal="center"/>
    </xf>
    <xf numFmtId="3" fontId="35" fillId="0" borderId="14" xfId="0" applyNumberFormat="1" applyFont="1" applyFill="1" applyBorder="1" applyAlignment="1">
      <alignment horizontal="center"/>
    </xf>
    <xf numFmtId="0" fontId="19" fillId="0" borderId="47" xfId="0" applyFont="1" applyFill="1" applyBorder="1" applyAlignment="1"/>
    <xf numFmtId="3" fontId="37" fillId="0" borderId="5" xfId="0" applyNumberFormat="1" applyFont="1" applyFill="1" applyBorder="1"/>
    <xf numFmtId="166" fontId="37" fillId="0" borderId="24" xfId="0" applyNumberFormat="1" applyFont="1" applyFill="1" applyBorder="1"/>
    <xf numFmtId="1" fontId="9" fillId="0" borderId="27" xfId="0" applyNumberFormat="1" applyFont="1" applyFill="1" applyBorder="1" applyAlignment="1">
      <alignment horizontal="left"/>
    </xf>
    <xf numFmtId="0" fontId="49" fillId="0" borderId="10" xfId="0" applyFont="1" applyFill="1" applyBorder="1" applyAlignment="1">
      <alignment wrapText="1"/>
    </xf>
    <xf numFmtId="164" fontId="37" fillId="0" borderId="10" xfId="0" applyNumberFormat="1" applyFont="1" applyFill="1" applyBorder="1" applyAlignment="1">
      <alignment horizontal="center"/>
    </xf>
    <xf numFmtId="0" fontId="53" fillId="0" borderId="0" xfId="0" applyFont="1" applyFill="1" applyBorder="1"/>
    <xf numFmtId="0" fontId="57" fillId="0" borderId="0" xfId="0" applyFont="1" applyFill="1" applyBorder="1" applyAlignment="1">
      <alignment horizontal="right"/>
    </xf>
    <xf numFmtId="0" fontId="10" fillId="0" borderId="0" xfId="0" applyFont="1"/>
    <xf numFmtId="0" fontId="6" fillId="0" borderId="0" xfId="0" applyFont="1" applyBorder="1"/>
    <xf numFmtId="0" fontId="11" fillId="0" borderId="0" xfId="0" applyFont="1" applyBorder="1" applyAlignment="1">
      <alignment wrapText="1"/>
    </xf>
    <xf numFmtId="49" fontId="7" fillId="0" borderId="0" xfId="0" applyNumberFormat="1" applyFont="1" applyBorder="1" applyAlignment="1">
      <alignment horizontal="left"/>
    </xf>
    <xf numFmtId="1" fontId="2" fillId="0" borderId="9" xfId="0" applyNumberFormat="1" applyFont="1" applyBorder="1" applyAlignment="1">
      <alignment horizontal="left"/>
    </xf>
    <xf numFmtId="0" fontId="6" fillId="0" borderId="9" xfId="0" applyFont="1" applyBorder="1"/>
    <xf numFmtId="167" fontId="6" fillId="0" borderId="25" xfId="0" applyNumberFormat="1" applyFont="1" applyBorder="1" applyAlignment="1">
      <alignment horizontal="right"/>
    </xf>
    <xf numFmtId="0" fontId="10" fillId="0" borderId="0" xfId="0" applyFont="1" applyBorder="1"/>
    <xf numFmtId="0" fontId="10" fillId="0" borderId="0" xfId="0" applyFont="1" applyBorder="1" applyAlignment="1"/>
    <xf numFmtId="167" fontId="9" fillId="0" borderId="25" xfId="0" applyNumberFormat="1" applyFont="1" applyBorder="1" applyAlignment="1">
      <alignment horizontal="right"/>
    </xf>
    <xf numFmtId="1" fontId="7" fillId="0" borderId="9" xfId="0" applyNumberFormat="1" applyFont="1" applyBorder="1" applyAlignment="1">
      <alignment horizontal="left"/>
    </xf>
    <xf numFmtId="1" fontId="7" fillId="0" borderId="2" xfId="0" applyNumberFormat="1" applyFont="1" applyBorder="1" applyAlignment="1">
      <alignment horizontal="left"/>
    </xf>
    <xf numFmtId="49" fontId="7" fillId="0" borderId="2" xfId="0" applyNumberFormat="1" applyFont="1" applyBorder="1" applyAlignment="1">
      <alignment horizontal="left" vertical="top"/>
    </xf>
    <xf numFmtId="49" fontId="7" fillId="0" borderId="2" xfId="0" applyNumberFormat="1" applyFont="1" applyBorder="1" applyAlignment="1">
      <alignment horizontal="left"/>
    </xf>
    <xf numFmtId="3" fontId="18" fillId="0" borderId="14" xfId="0" applyNumberFormat="1" applyFont="1" applyFill="1" applyBorder="1" applyAlignment="1">
      <alignment horizontal="center"/>
    </xf>
    <xf numFmtId="1" fontId="3" fillId="0" borderId="0" xfId="0" applyNumberFormat="1" applyFont="1" applyAlignment="1">
      <alignment horizontal="left"/>
    </xf>
    <xf numFmtId="3" fontId="6" fillId="0" borderId="9" xfId="0" applyNumberFormat="1" applyFont="1" applyBorder="1" applyAlignment="1">
      <alignment horizontal="right"/>
    </xf>
    <xf numFmtId="166" fontId="6" fillId="0" borderId="25" xfId="0" applyNumberFormat="1" applyFont="1" applyBorder="1" applyAlignment="1">
      <alignment horizontal="right"/>
    </xf>
    <xf numFmtId="166" fontId="9" fillId="0" borderId="25" xfId="0" applyNumberFormat="1" applyFont="1" applyBorder="1" applyAlignment="1">
      <alignment horizontal="right"/>
    </xf>
    <xf numFmtId="0" fontId="11" fillId="0" borderId="0" xfId="0" applyFont="1" applyBorder="1" applyAlignment="1"/>
    <xf numFmtId="1" fontId="2" fillId="0" borderId="33" xfId="0" applyNumberFormat="1" applyFont="1" applyBorder="1" applyAlignment="1">
      <alignment horizontal="left"/>
    </xf>
    <xf numFmtId="0" fontId="6" fillId="0" borderId="34" xfId="0" applyFont="1" applyBorder="1"/>
    <xf numFmtId="166" fontId="6" fillId="0" borderId="35" xfId="0" applyNumberFormat="1" applyFont="1" applyBorder="1" applyAlignment="1">
      <alignment horizontal="right"/>
    </xf>
    <xf numFmtId="0" fontId="6" fillId="0" borderId="0" xfId="0" applyFont="1" applyBorder="1" applyAlignment="1"/>
    <xf numFmtId="0" fontId="10" fillId="0" borderId="0" xfId="0" applyFont="1" applyBorder="1" applyAlignment="1">
      <alignment wrapText="1"/>
    </xf>
    <xf numFmtId="1" fontId="11" fillId="0" borderId="0" xfId="0" applyNumberFormat="1" applyFont="1" applyBorder="1" applyAlignment="1">
      <alignment horizontal="left"/>
    </xf>
    <xf numFmtId="49" fontId="7" fillId="0" borderId="14" xfId="0" applyNumberFormat="1" applyFont="1" applyBorder="1" applyAlignment="1">
      <alignment horizontal="left"/>
    </xf>
    <xf numFmtId="1" fontId="2" fillId="0" borderId="14" xfId="0" applyNumberFormat="1" applyFont="1" applyBorder="1" applyAlignment="1">
      <alignment horizontal="left"/>
    </xf>
    <xf numFmtId="3" fontId="6" fillId="0" borderId="14" xfId="0" applyNumberFormat="1" applyFont="1" applyBorder="1" applyAlignment="1">
      <alignment horizontal="right"/>
    </xf>
    <xf numFmtId="49" fontId="25" fillId="0" borderId="2" xfId="0" applyNumberFormat="1" applyFont="1" applyBorder="1" applyAlignment="1">
      <alignment horizontal="left"/>
    </xf>
    <xf numFmtId="49" fontId="7" fillId="0" borderId="9" xfId="0" applyNumberFormat="1" applyFont="1" applyBorder="1" applyAlignment="1">
      <alignment horizontal="left"/>
    </xf>
    <xf numFmtId="168" fontId="7" fillId="0" borderId="2" xfId="0" applyNumberFormat="1" applyFont="1" applyBorder="1" applyAlignment="1">
      <alignment horizontal="left" vertical="top"/>
    </xf>
    <xf numFmtId="1" fontId="10" fillId="0" borderId="14" xfId="0" applyNumberFormat="1" applyFont="1" applyBorder="1" applyAlignment="1">
      <alignment horizontal="left"/>
    </xf>
    <xf numFmtId="1" fontId="2" fillId="0" borderId="0" xfId="0" applyNumberFormat="1" applyFont="1" applyBorder="1" applyAlignment="1">
      <alignment horizontal="left"/>
    </xf>
    <xf numFmtId="1" fontId="2" fillId="0" borderId="0" xfId="0" applyNumberFormat="1" applyFont="1" applyAlignment="1">
      <alignment horizontal="right"/>
    </xf>
    <xf numFmtId="3" fontId="10" fillId="0" borderId="0" xfId="0" applyNumberFormat="1" applyFont="1"/>
    <xf numFmtId="0" fontId="2" fillId="0" borderId="0" xfId="0" applyFont="1" applyBorder="1" applyAlignment="1"/>
    <xf numFmtId="1" fontId="2" fillId="0" borderId="34" xfId="0" applyNumberFormat="1" applyFont="1" applyBorder="1" applyAlignment="1">
      <alignment horizontal="left"/>
    </xf>
    <xf numFmtId="3" fontId="10" fillId="0" borderId="2" xfId="0" applyNumberFormat="1" applyFont="1" applyBorder="1" applyAlignment="1">
      <alignment horizontal="right"/>
    </xf>
    <xf numFmtId="1" fontId="2" fillId="0" borderId="38" xfId="0" applyNumberFormat="1" applyFont="1" applyBorder="1" applyAlignment="1">
      <alignment horizontal="left"/>
    </xf>
    <xf numFmtId="1" fontId="2" fillId="0" borderId="50" xfId="0" applyNumberFormat="1" applyFont="1" applyBorder="1" applyAlignment="1">
      <alignment horizontal="left"/>
    </xf>
    <xf numFmtId="166" fontId="9" fillId="0" borderId="35" xfId="0" applyNumberFormat="1" applyFont="1" applyBorder="1" applyAlignment="1">
      <alignment horizontal="right"/>
    </xf>
    <xf numFmtId="0" fontId="15" fillId="0" borderId="0" xfId="0" applyFont="1" applyBorder="1"/>
    <xf numFmtId="0" fontId="10" fillId="0" borderId="17" xfId="0" applyFont="1" applyBorder="1" applyAlignment="1"/>
    <xf numFmtId="3" fontId="6" fillId="0" borderId="17" xfId="0" applyNumberFormat="1" applyFont="1" applyBorder="1" applyAlignment="1">
      <alignment horizontal="right"/>
    </xf>
    <xf numFmtId="3" fontId="9" fillId="0" borderId="14" xfId="0" applyNumberFormat="1" applyFont="1" applyBorder="1" applyAlignment="1">
      <alignment horizontal="right"/>
    </xf>
    <xf numFmtId="168" fontId="25" fillId="3" borderId="9" xfId="0" applyNumberFormat="1" applyFont="1" applyFill="1" applyBorder="1" applyAlignment="1">
      <alignment horizontal="left"/>
    </xf>
    <xf numFmtId="168" fontId="25" fillId="3" borderId="2" xfId="0" applyNumberFormat="1" applyFont="1" applyFill="1" applyBorder="1" applyAlignment="1">
      <alignment horizontal="left"/>
    </xf>
    <xf numFmtId="49" fontId="7" fillId="0" borderId="2" xfId="0" applyNumberFormat="1" applyFont="1" applyBorder="1" applyAlignment="1">
      <alignment horizontal="center"/>
    </xf>
    <xf numFmtId="0" fontId="10" fillId="0" borderId="34" xfId="0" applyFont="1" applyBorder="1"/>
    <xf numFmtId="1" fontId="7" fillId="0" borderId="2" xfId="0" applyNumberFormat="1" applyFont="1" applyBorder="1" applyAlignment="1">
      <alignment horizontal="center"/>
    </xf>
    <xf numFmtId="0" fontId="11" fillId="3" borderId="34" xfId="0" applyFont="1" applyFill="1" applyBorder="1"/>
    <xf numFmtId="49" fontId="7" fillId="0" borderId="14" xfId="0" applyNumberFormat="1" applyFont="1" applyBorder="1" applyAlignment="1">
      <alignment horizontal="center"/>
    </xf>
    <xf numFmtId="0" fontId="10" fillId="3" borderId="0" xfId="0" applyFont="1" applyFill="1"/>
    <xf numFmtId="1" fontId="7" fillId="0" borderId="14" xfId="0" applyNumberFormat="1" applyFont="1" applyBorder="1" applyAlignment="1">
      <alignment horizontal="left"/>
    </xf>
    <xf numFmtId="166" fontId="6" fillId="0" borderId="30" xfId="0" applyNumberFormat="1" applyFont="1" applyBorder="1" applyAlignment="1">
      <alignment horizontal="right"/>
    </xf>
    <xf numFmtId="0" fontId="10" fillId="3" borderId="0" xfId="0" applyFont="1" applyFill="1" applyBorder="1" applyAlignment="1"/>
    <xf numFmtId="0" fontId="6" fillId="0" borderId="0" xfId="0" applyFont="1" applyBorder="1" applyAlignment="1">
      <alignment wrapText="1"/>
    </xf>
    <xf numFmtId="0" fontId="10" fillId="0" borderId="0" xfId="0" applyFont="1" applyBorder="1" applyAlignment="1">
      <alignment horizontal="right"/>
    </xf>
    <xf numFmtId="0" fontId="11" fillId="3" borderId="27" xfId="0" applyFont="1" applyFill="1" applyBorder="1"/>
    <xf numFmtId="49" fontId="25" fillId="3" borderId="2" xfId="0" applyNumberFormat="1" applyFont="1" applyFill="1" applyBorder="1" applyAlignment="1">
      <alignment horizontal="left"/>
    </xf>
    <xf numFmtId="168" fontId="25" fillId="0" borderId="2" xfId="0" applyNumberFormat="1" applyFont="1" applyBorder="1" applyAlignment="1">
      <alignment horizontal="left"/>
    </xf>
    <xf numFmtId="168" fontId="25" fillId="0" borderId="14" xfId="0" applyNumberFormat="1" applyFont="1" applyBorder="1" applyAlignment="1">
      <alignment horizontal="left"/>
    </xf>
    <xf numFmtId="0" fontId="6" fillId="0" borderId="27" xfId="0" applyFont="1" applyBorder="1"/>
    <xf numFmtId="49" fontId="25" fillId="0" borderId="2" xfId="0" applyNumberFormat="1" applyFont="1" applyBorder="1" applyAlignment="1">
      <alignment horizontal="left" vertical="top"/>
    </xf>
    <xf numFmtId="3" fontId="10" fillId="3" borderId="2" xfId="0" applyNumberFormat="1" applyFont="1" applyFill="1" applyBorder="1" applyAlignment="1">
      <alignment horizontal="right"/>
    </xf>
    <xf numFmtId="3" fontId="12" fillId="0" borderId="2" xfId="0" applyNumberFormat="1" applyFont="1" applyBorder="1" applyAlignment="1">
      <alignment horizontal="right"/>
    </xf>
    <xf numFmtId="0" fontId="10" fillId="0" borderId="14" xfId="0" applyFont="1" applyBorder="1"/>
    <xf numFmtId="49" fontId="25" fillId="0" borderId="14" xfId="0" applyNumberFormat="1" applyFont="1" applyBorder="1" applyAlignment="1">
      <alignment horizontal="left"/>
    </xf>
    <xf numFmtId="3" fontId="11" fillId="0" borderId="14" xfId="0" applyNumberFormat="1" applyFont="1" applyBorder="1" applyAlignment="1">
      <alignment horizontal="right"/>
    </xf>
    <xf numFmtId="0" fontId="6" fillId="0" borderId="17" xfId="0" applyFont="1" applyBorder="1"/>
    <xf numFmtId="0" fontId="10" fillId="0" borderId="17" xfId="0" applyFont="1" applyBorder="1"/>
    <xf numFmtId="0" fontId="11" fillId="0" borderId="17" xfId="0" applyFont="1" applyBorder="1" applyAlignment="1">
      <alignment wrapText="1"/>
    </xf>
    <xf numFmtId="3" fontId="10" fillId="0" borderId="0" xfId="8" applyFont="1"/>
    <xf numFmtId="3" fontId="10" fillId="3" borderId="0" xfId="8" applyFont="1" applyFill="1" applyBorder="1"/>
    <xf numFmtId="3" fontId="11" fillId="0" borderId="9" xfId="8" applyFont="1" applyFill="1" applyBorder="1" applyAlignment="1">
      <alignment horizontal="right"/>
    </xf>
    <xf numFmtId="3" fontId="9" fillId="0" borderId="2" xfId="8" applyFont="1" applyFill="1" applyBorder="1" applyAlignment="1">
      <alignment horizontal="right"/>
    </xf>
    <xf numFmtId="3" fontId="11" fillId="0" borderId="2" xfId="8" applyFont="1" applyFill="1" applyBorder="1" applyAlignment="1">
      <alignment horizontal="right"/>
    </xf>
    <xf numFmtId="3" fontId="9" fillId="0" borderId="14" xfId="8" applyFont="1" applyFill="1" applyBorder="1" applyAlignment="1">
      <alignment horizontal="right"/>
    </xf>
    <xf numFmtId="3" fontId="11" fillId="3" borderId="2" xfId="8" applyFont="1" applyFill="1" applyBorder="1" applyAlignment="1">
      <alignment horizontal="right"/>
    </xf>
    <xf numFmtId="3" fontId="11" fillId="3" borderId="9" xfId="8" applyFont="1" applyFill="1" applyBorder="1"/>
    <xf numFmtId="3" fontId="10" fillId="0" borderId="2" xfId="8" applyBorder="1" applyAlignment="1"/>
    <xf numFmtId="3" fontId="11" fillId="3" borderId="2" xfId="8" applyFont="1" applyFill="1" applyBorder="1"/>
    <xf numFmtId="3" fontId="10" fillId="0" borderId="14" xfId="8" applyBorder="1" applyAlignment="1"/>
    <xf numFmtId="168" fontId="25" fillId="3" borderId="9" xfId="8" applyNumberFormat="1" applyFont="1" applyFill="1" applyBorder="1" applyAlignment="1">
      <alignment horizontal="left"/>
    </xf>
    <xf numFmtId="49" fontId="7" fillId="0" borderId="2" xfId="8" applyNumberFormat="1" applyFont="1" applyBorder="1" applyAlignment="1">
      <alignment horizontal="left"/>
    </xf>
    <xf numFmtId="168" fontId="25" fillId="3" borderId="2" xfId="8" applyNumberFormat="1" applyFont="1" applyFill="1" applyBorder="1" applyAlignment="1">
      <alignment horizontal="left"/>
    </xf>
    <xf numFmtId="49" fontId="7" fillId="0" borderId="14" xfId="8" applyNumberFormat="1" applyFont="1" applyBorder="1" applyAlignment="1">
      <alignment horizontal="left"/>
    </xf>
    <xf numFmtId="0" fontId="64" fillId="0" borderId="0" xfId="0" applyFont="1"/>
    <xf numFmtId="1" fontId="6" fillId="0" borderId="0" xfId="0" applyNumberFormat="1" applyFont="1" applyBorder="1" applyAlignment="1">
      <alignment horizontal="left"/>
    </xf>
    <xf numFmtId="1" fontId="11" fillId="0" borderId="0" xfId="0" applyNumberFormat="1" applyFont="1" applyAlignment="1">
      <alignment horizontal="left"/>
    </xf>
    <xf numFmtId="0" fontId="12" fillId="0" borderId="0" xfId="0" applyFont="1"/>
    <xf numFmtId="167" fontId="50" fillId="0" borderId="22" xfId="0" applyNumberFormat="1" applyFont="1" applyFill="1" applyBorder="1"/>
    <xf numFmtId="1" fontId="39" fillId="0" borderId="34" xfId="0" applyNumberFormat="1" applyFont="1" applyFill="1" applyBorder="1" applyAlignment="1">
      <alignment horizontal="center"/>
    </xf>
    <xf numFmtId="168" fontId="39" fillId="0" borderId="34" xfId="0" applyNumberFormat="1" applyFont="1" applyFill="1" applyBorder="1" applyAlignment="1">
      <alignment horizontal="center"/>
    </xf>
    <xf numFmtId="0" fontId="39" fillId="0" borderId="34" xfId="0" applyFont="1" applyFill="1" applyBorder="1"/>
    <xf numFmtId="167" fontId="6" fillId="0" borderId="34" xfId="0" applyNumberFormat="1" applyFont="1" applyFill="1" applyBorder="1"/>
    <xf numFmtId="1" fontId="39" fillId="0" borderId="51" xfId="0" applyNumberFormat="1" applyFont="1" applyFill="1" applyBorder="1" applyAlignment="1">
      <alignment horizontal="center"/>
    </xf>
    <xf numFmtId="168" fontId="39" fillId="0" borderId="51" xfId="0" applyNumberFormat="1" applyFont="1" applyFill="1" applyBorder="1" applyAlignment="1">
      <alignment horizontal="center"/>
    </xf>
    <xf numFmtId="0" fontId="39" fillId="0" borderId="51" xfId="0" applyFont="1" applyFill="1" applyBorder="1"/>
    <xf numFmtId="3" fontId="39" fillId="0" borderId="51" xfId="0" applyNumberFormat="1" applyFont="1" applyFill="1" applyBorder="1"/>
    <xf numFmtId="167" fontId="19" fillId="0" borderId="51" xfId="0" applyNumberFormat="1" applyFont="1" applyFill="1" applyBorder="1"/>
    <xf numFmtId="1" fontId="6" fillId="0" borderId="2" xfId="0" applyNumberFormat="1" applyFont="1" applyBorder="1" applyAlignment="1">
      <alignment horizontal="left"/>
    </xf>
    <xf numFmtId="1" fontId="11" fillId="0" borderId="2" xfId="0" applyNumberFormat="1" applyFont="1" applyBorder="1" applyAlignment="1">
      <alignment horizontal="left"/>
    </xf>
    <xf numFmtId="1" fontId="10" fillId="0" borderId="34" xfId="0" applyNumberFormat="1" applyFont="1" applyBorder="1" applyAlignment="1">
      <alignment horizontal="left"/>
    </xf>
    <xf numFmtId="0" fontId="11" fillId="0" borderId="34" xfId="0" applyFont="1" applyBorder="1"/>
    <xf numFmtId="1" fontId="10" fillId="0" borderId="26" xfId="0" applyNumberFormat="1" applyFont="1" applyBorder="1" applyAlignment="1">
      <alignment horizontal="left"/>
    </xf>
    <xf numFmtId="1" fontId="43" fillId="0" borderId="12" xfId="0" applyNumberFormat="1" applyFont="1" applyBorder="1" applyAlignment="1">
      <alignment horizontal="left"/>
    </xf>
    <xf numFmtId="3" fontId="23" fillId="0" borderId="8" xfId="0" applyNumberFormat="1" applyFont="1" applyFill="1" applyBorder="1"/>
    <xf numFmtId="0" fontId="9" fillId="0" borderId="2" xfId="0" applyFont="1" applyBorder="1"/>
    <xf numFmtId="0" fontId="10" fillId="0" borderId="2" xfId="0" applyFont="1" applyBorder="1" applyAlignment="1">
      <alignment vertical="top"/>
    </xf>
    <xf numFmtId="168" fontId="18" fillId="0" borderId="5" xfId="0" applyNumberFormat="1" applyFont="1" applyFill="1" applyBorder="1" applyAlignment="1">
      <alignment horizontal="center"/>
    </xf>
    <xf numFmtId="49" fontId="25" fillId="3" borderId="2" xfId="0" applyNumberFormat="1" applyFont="1" applyFill="1" applyBorder="1"/>
    <xf numFmtId="0" fontId="11" fillId="0" borderId="0" xfId="0" applyFont="1" applyBorder="1" applyAlignment="1">
      <alignment vertical="top" wrapText="1"/>
    </xf>
    <xf numFmtId="1" fontId="10" fillId="3" borderId="6" xfId="0" applyNumberFormat="1" applyFont="1" applyFill="1" applyBorder="1" applyAlignment="1">
      <alignment horizontal="left"/>
    </xf>
    <xf numFmtId="0" fontId="62" fillId="0" borderId="0" xfId="0" applyFont="1" applyFill="1" applyBorder="1" applyAlignment="1"/>
    <xf numFmtId="0" fontId="9" fillId="0" borderId="0" xfId="0" applyFont="1"/>
    <xf numFmtId="1" fontId="2" fillId="0" borderId="27" xfId="0" applyNumberFormat="1" applyFont="1" applyBorder="1" applyAlignment="1">
      <alignment horizontal="left"/>
    </xf>
    <xf numFmtId="0" fontId="11" fillId="0" borderId="34" xfId="0" applyFont="1" applyBorder="1" applyAlignment="1"/>
    <xf numFmtId="0" fontId="6" fillId="0" borderId="34" xfId="0" applyFont="1" applyFill="1" applyBorder="1" applyAlignment="1">
      <alignment horizontal="right"/>
    </xf>
    <xf numFmtId="167" fontId="5" fillId="0" borderId="35" xfId="0" applyNumberFormat="1" applyFont="1" applyFill="1" applyBorder="1" applyAlignment="1">
      <alignment shrinkToFit="1"/>
    </xf>
    <xf numFmtId="167" fontId="6" fillId="0" borderId="35" xfId="0" applyNumberFormat="1" applyFont="1" applyFill="1" applyBorder="1" applyAlignment="1">
      <alignment shrinkToFit="1"/>
    </xf>
    <xf numFmtId="0" fontId="6" fillId="0" borderId="14" xfId="0" applyFont="1" applyFill="1" applyBorder="1" applyAlignment="1">
      <alignment horizontal="right"/>
    </xf>
    <xf numFmtId="0" fontId="6" fillId="0" borderId="14" xfId="0" applyFont="1" applyBorder="1" applyAlignment="1">
      <alignment wrapText="1"/>
    </xf>
    <xf numFmtId="168" fontId="7" fillId="0" borderId="9" xfId="0" applyNumberFormat="1" applyFont="1" applyBorder="1" applyAlignment="1">
      <alignment horizontal="left"/>
    </xf>
    <xf numFmtId="168" fontId="25" fillId="0" borderId="14" xfId="0" applyNumberFormat="1" applyFont="1" applyBorder="1" applyAlignment="1"/>
    <xf numFmtId="1" fontId="10" fillId="3" borderId="8" xfId="0" applyNumberFormat="1" applyFont="1" applyFill="1" applyBorder="1" applyAlignment="1">
      <alignment horizontal="left"/>
    </xf>
    <xf numFmtId="0" fontId="11" fillId="3" borderId="8" xfId="0" applyFont="1" applyFill="1" applyBorder="1"/>
    <xf numFmtId="0" fontId="11" fillId="0" borderId="8" xfId="0" applyFont="1" applyFill="1" applyBorder="1" applyAlignment="1">
      <alignment horizontal="right"/>
    </xf>
    <xf numFmtId="0" fontId="5" fillId="3" borderId="22" xfId="0" applyFont="1" applyFill="1" applyBorder="1" applyAlignment="1">
      <alignment horizontal="right"/>
    </xf>
    <xf numFmtId="0" fontId="53" fillId="0" borderId="5" xfId="0" applyFont="1" applyFill="1" applyBorder="1" applyAlignment="1">
      <alignment horizontal="right"/>
    </xf>
    <xf numFmtId="0" fontId="11" fillId="3" borderId="5" xfId="0" applyFont="1" applyFill="1" applyBorder="1" applyAlignment="1">
      <alignment horizontal="right"/>
    </xf>
    <xf numFmtId="168" fontId="25" fillId="3" borderId="5" xfId="0" applyNumberFormat="1" applyFont="1" applyFill="1" applyBorder="1" applyAlignment="1">
      <alignment horizontal="left"/>
    </xf>
    <xf numFmtId="1" fontId="10" fillId="3" borderId="4" xfId="0" applyNumberFormat="1" applyFont="1" applyFill="1" applyBorder="1" applyAlignment="1">
      <alignment horizontal="left"/>
    </xf>
    <xf numFmtId="3" fontId="9" fillId="0" borderId="9" xfId="0" applyNumberFormat="1" applyFont="1" applyBorder="1" applyAlignment="1">
      <alignment horizontal="right"/>
    </xf>
    <xf numFmtId="49" fontId="7" fillId="0" borderId="14" xfId="0" applyNumberFormat="1" applyFont="1" applyBorder="1" applyAlignment="1">
      <alignment horizontal="left" vertical="top"/>
    </xf>
    <xf numFmtId="0" fontId="11" fillId="0" borderId="27" xfId="0" applyFont="1" applyFill="1" applyBorder="1"/>
    <xf numFmtId="3" fontId="39" fillId="0" borderId="14" xfId="0" applyNumberFormat="1" applyFont="1" applyFill="1" applyBorder="1"/>
    <xf numFmtId="0" fontId="11" fillId="0" borderId="27" xfId="0" applyFont="1" applyBorder="1"/>
    <xf numFmtId="0" fontId="2" fillId="0" borderId="0" xfId="0" applyFont="1" applyBorder="1" applyAlignment="1">
      <alignment vertical="center"/>
    </xf>
    <xf numFmtId="168" fontId="25" fillId="0" borderId="9" xfId="0" applyNumberFormat="1" applyFont="1" applyBorder="1" applyAlignment="1">
      <alignment horizontal="left"/>
    </xf>
    <xf numFmtId="0" fontId="10" fillId="0" borderId="0" xfId="0" applyFont="1" applyAlignment="1">
      <alignment vertical="top"/>
    </xf>
    <xf numFmtId="0" fontId="13" fillId="3" borderId="0" xfId="0" applyFont="1" applyFill="1" applyBorder="1"/>
    <xf numFmtId="1" fontId="37" fillId="0" borderId="0" xfId="0" applyNumberFormat="1" applyFont="1" applyFill="1" applyBorder="1"/>
    <xf numFmtId="1" fontId="58" fillId="0" borderId="0" xfId="0" applyNumberFormat="1" applyFont="1" applyFill="1" applyBorder="1"/>
    <xf numFmtId="0" fontId="58" fillId="0" borderId="0" xfId="0" applyFont="1" applyFill="1" applyBorder="1" applyAlignment="1">
      <alignment horizontal="left"/>
    </xf>
    <xf numFmtId="0" fontId="58" fillId="0" borderId="0" xfId="0" applyFont="1" applyFill="1" applyBorder="1"/>
    <xf numFmtId="3" fontId="37" fillId="0" borderId="0" xfId="0" applyNumberFormat="1" applyFont="1" applyFill="1" applyBorder="1"/>
    <xf numFmtId="166" fontId="9" fillId="0" borderId="0" xfId="0" applyNumberFormat="1" applyFont="1" applyBorder="1" applyAlignment="1">
      <alignment horizontal="right"/>
    </xf>
    <xf numFmtId="0" fontId="10" fillId="0" borderId="0" xfId="0" applyFont="1" applyBorder="1" applyAlignment="1">
      <alignment vertical="top"/>
    </xf>
    <xf numFmtId="166" fontId="9" fillId="3" borderId="25" xfId="0" applyNumberFormat="1" applyFont="1" applyFill="1" applyBorder="1" applyAlignment="1">
      <alignment horizontal="right"/>
    </xf>
    <xf numFmtId="166" fontId="19" fillId="0" borderId="58" xfId="0" applyNumberFormat="1" applyFont="1" applyFill="1" applyBorder="1"/>
    <xf numFmtId="0" fontId="33" fillId="0" borderId="38" xfId="0" applyFont="1" applyFill="1" applyBorder="1" applyAlignment="1">
      <alignment horizontal="center" vertical="center"/>
    </xf>
    <xf numFmtId="0" fontId="33" fillId="0" borderId="9" xfId="0" applyFont="1" applyFill="1" applyBorder="1" applyAlignment="1">
      <alignment horizontal="center" vertical="center"/>
    </xf>
    <xf numFmtId="1" fontId="33" fillId="0" borderId="9" xfId="0" applyNumberFormat="1" applyFont="1" applyFill="1" applyBorder="1" applyAlignment="1">
      <alignment horizontal="center" vertical="center" wrapText="1"/>
    </xf>
    <xf numFmtId="1" fontId="33" fillId="0" borderId="46" xfId="0" applyNumberFormat="1" applyFont="1" applyFill="1" applyBorder="1" applyAlignment="1">
      <alignment horizontal="center" vertical="center" wrapText="1"/>
    </xf>
    <xf numFmtId="1" fontId="33" fillId="0" borderId="23" xfId="0" applyNumberFormat="1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27" xfId="0" applyFont="1" applyFill="1" applyBorder="1" applyAlignment="1">
      <alignment horizontal="left" vertical="center"/>
    </xf>
    <xf numFmtId="0" fontId="11" fillId="0" borderId="34" xfId="0" applyFont="1" applyFill="1" applyBorder="1"/>
    <xf numFmtId="3" fontId="19" fillId="0" borderId="27" xfId="0" applyNumberFormat="1" applyFont="1" applyFill="1" applyBorder="1" applyAlignment="1">
      <alignment horizontal="right" vertical="center" wrapText="1"/>
    </xf>
    <xf numFmtId="3" fontId="19" fillId="0" borderId="0" xfId="0" applyNumberFormat="1" applyFont="1" applyFill="1" applyBorder="1" applyAlignment="1">
      <alignment horizontal="right" vertical="center" wrapText="1"/>
    </xf>
    <xf numFmtId="3" fontId="11" fillId="0" borderId="27" xfId="0" applyNumberFormat="1" applyFont="1" applyFill="1" applyBorder="1"/>
    <xf numFmtId="166" fontId="11" fillId="0" borderId="30" xfId="0" applyNumberFormat="1" applyFont="1" applyFill="1" applyBorder="1"/>
    <xf numFmtId="0" fontId="27" fillId="0" borderId="7" xfId="0" applyFont="1" applyFill="1" applyBorder="1"/>
    <xf numFmtId="1" fontId="2" fillId="0" borderId="8" xfId="0" applyNumberFormat="1" applyFont="1" applyFill="1" applyBorder="1" applyAlignment="1">
      <alignment horizontal="left"/>
    </xf>
    <xf numFmtId="0" fontId="11" fillId="0" borderId="8" xfId="0" applyFont="1" applyFill="1" applyBorder="1"/>
    <xf numFmtId="3" fontId="11" fillId="0" borderId="8" xfId="0" applyNumberFormat="1" applyFont="1" applyFill="1" applyBorder="1"/>
    <xf numFmtId="166" fontId="11" fillId="0" borderId="22" xfId="0" applyNumberFormat="1" applyFont="1" applyFill="1" applyBorder="1"/>
    <xf numFmtId="0" fontId="19" fillId="0" borderId="34" xfId="0" applyFont="1" applyFill="1" applyBorder="1" applyAlignment="1">
      <alignment horizontal="left" vertical="center"/>
    </xf>
    <xf numFmtId="3" fontId="19" fillId="0" borderId="14" xfId="0" applyNumberFormat="1" applyFont="1" applyFill="1" applyBorder="1" applyAlignment="1">
      <alignment horizontal="right" vertical="center" wrapText="1"/>
    </xf>
    <xf numFmtId="3" fontId="19" fillId="0" borderId="34" xfId="0" applyNumberFormat="1" applyFont="1" applyFill="1" applyBorder="1" applyAlignment="1">
      <alignment horizontal="right" vertical="center" wrapText="1"/>
    </xf>
    <xf numFmtId="3" fontId="19" fillId="0" borderId="17" xfId="0" applyNumberFormat="1" applyFont="1" applyFill="1" applyBorder="1" applyAlignment="1">
      <alignment horizontal="right" vertical="center" wrapText="1"/>
    </xf>
    <xf numFmtId="0" fontId="19" fillId="0" borderId="17" xfId="0" applyFont="1" applyFill="1" applyBorder="1" applyAlignment="1">
      <alignment horizontal="left" vertical="center"/>
    </xf>
    <xf numFmtId="173" fontId="7" fillId="0" borderId="17" xfId="0" applyNumberFormat="1" applyFont="1" applyFill="1" applyBorder="1" applyAlignment="1">
      <alignment horizontal="center"/>
    </xf>
    <xf numFmtId="0" fontId="19" fillId="0" borderId="8" xfId="0" applyFont="1" applyFill="1" applyBorder="1" applyAlignment="1">
      <alignment horizontal="left" vertical="center"/>
    </xf>
    <xf numFmtId="3" fontId="19" fillId="0" borderId="5" xfId="0" applyNumberFormat="1" applyFont="1" applyFill="1" applyBorder="1" applyAlignment="1">
      <alignment horizontal="right" vertical="center" wrapText="1"/>
    </xf>
    <xf numFmtId="3" fontId="19" fillId="0" borderId="8" xfId="0" applyNumberFormat="1" applyFont="1" applyFill="1" applyBorder="1" applyAlignment="1">
      <alignment horizontal="right" vertical="center" wrapText="1"/>
    </xf>
    <xf numFmtId="3" fontId="11" fillId="0" borderId="18" xfId="0" applyNumberFormat="1" applyFont="1" applyFill="1" applyBorder="1"/>
    <xf numFmtId="0" fontId="11" fillId="0" borderId="18" xfId="0" applyFont="1" applyFill="1" applyBorder="1"/>
    <xf numFmtId="173" fontId="7" fillId="0" borderId="18" xfId="0" applyNumberFormat="1" applyFont="1" applyFill="1" applyBorder="1" applyAlignment="1">
      <alignment horizontal="center"/>
    </xf>
    <xf numFmtId="3" fontId="11" fillId="0" borderId="48" xfId="0" applyNumberFormat="1" applyFont="1" applyFill="1" applyBorder="1"/>
    <xf numFmtId="0" fontId="11" fillId="0" borderId="48" xfId="0" applyFont="1" applyFill="1" applyBorder="1"/>
    <xf numFmtId="173" fontId="7" fillId="0" borderId="48" xfId="0" applyNumberFormat="1" applyFont="1" applyFill="1" applyBorder="1" applyAlignment="1">
      <alignment horizontal="center"/>
    </xf>
    <xf numFmtId="0" fontId="11" fillId="0" borderId="17" xfId="0" applyFont="1" applyFill="1" applyBorder="1"/>
    <xf numFmtId="0" fontId="27" fillId="0" borderId="6" xfId="0" applyFont="1" applyFill="1" applyBorder="1"/>
    <xf numFmtId="0" fontId="19" fillId="0" borderId="5" xfId="0" applyFont="1" applyFill="1" applyBorder="1" applyAlignment="1">
      <alignment horizontal="left" vertical="center"/>
    </xf>
    <xf numFmtId="1" fontId="19" fillId="0" borderId="9" xfId="0" applyNumberFormat="1" applyFont="1" applyFill="1" applyBorder="1" applyAlignment="1">
      <alignment horizontal="center" vertical="center" wrapText="1"/>
    </xf>
    <xf numFmtId="1" fontId="19" fillId="0" borderId="27" xfId="0" applyNumberFormat="1" applyFont="1" applyFill="1" applyBorder="1" applyAlignment="1">
      <alignment horizontal="right" vertical="center" wrapText="1"/>
    </xf>
    <xf numFmtId="1" fontId="19" fillId="0" borderId="5" xfId="0" applyNumberFormat="1" applyFont="1" applyFill="1" applyBorder="1" applyAlignment="1">
      <alignment horizontal="right" vertical="center" wrapText="1"/>
    </xf>
    <xf numFmtId="1" fontId="2" fillId="0" borderId="56" xfId="0" applyNumberFormat="1" applyFont="1" applyFill="1" applyBorder="1" applyAlignment="1">
      <alignment horizontal="left"/>
    </xf>
    <xf numFmtId="173" fontId="7" fillId="0" borderId="56" xfId="0" applyNumberFormat="1" applyFont="1" applyFill="1" applyBorder="1" applyAlignment="1">
      <alignment horizontal="center"/>
    </xf>
    <xf numFmtId="0" fontId="11" fillId="0" borderId="56" xfId="0" applyFont="1" applyFill="1" applyBorder="1"/>
    <xf numFmtId="3" fontId="11" fillId="0" borderId="56" xfId="0" applyNumberFormat="1" applyFont="1" applyFill="1" applyBorder="1"/>
    <xf numFmtId="1" fontId="2" fillId="0" borderId="8" xfId="0" applyNumberFormat="1" applyFont="1" applyFill="1" applyBorder="1" applyAlignment="1">
      <alignment horizontal="center"/>
    </xf>
    <xf numFmtId="0" fontId="20" fillId="0" borderId="6" xfId="0" applyFont="1" applyFill="1" applyBorder="1" applyAlignment="1"/>
    <xf numFmtId="0" fontId="20" fillId="0" borderId="17" xfId="0" applyFont="1" applyFill="1" applyBorder="1" applyAlignment="1"/>
    <xf numFmtId="0" fontId="20" fillId="0" borderId="0" xfId="0" applyFont="1" applyFill="1" applyBorder="1" applyAlignment="1"/>
    <xf numFmtId="1" fontId="19" fillId="0" borderId="18" xfId="0" applyNumberFormat="1" applyFont="1" applyFill="1" applyBorder="1" applyAlignment="1">
      <alignment horizontal="right" vertical="center" wrapText="1"/>
    </xf>
    <xf numFmtId="0" fontId="11" fillId="0" borderId="14" xfId="0" applyFont="1" applyFill="1" applyBorder="1"/>
    <xf numFmtId="3" fontId="19" fillId="0" borderId="18" xfId="0" applyNumberFormat="1" applyFont="1" applyFill="1" applyBorder="1" applyAlignment="1">
      <alignment horizontal="right" vertical="center" wrapText="1"/>
    </xf>
    <xf numFmtId="0" fontId="19" fillId="0" borderId="18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3" fontId="19" fillId="0" borderId="56" xfId="0" applyNumberFormat="1" applyFont="1" applyFill="1" applyBorder="1" applyAlignment="1">
      <alignment horizontal="right" vertical="center" wrapText="1"/>
    </xf>
    <xf numFmtId="1" fontId="19" fillId="0" borderId="56" xfId="0" applyNumberFormat="1" applyFont="1" applyFill="1" applyBorder="1" applyAlignment="1">
      <alignment horizontal="right" vertical="center" wrapText="1"/>
    </xf>
    <xf numFmtId="0" fontId="20" fillId="0" borderId="38" xfId="0" applyFont="1" applyFill="1" applyBorder="1" applyAlignment="1"/>
    <xf numFmtId="0" fontId="20" fillId="0" borderId="18" xfId="0" applyFont="1" applyFill="1" applyBorder="1" applyAlignment="1"/>
    <xf numFmtId="0" fontId="27" fillId="0" borderId="38" xfId="0" applyFont="1" applyFill="1" applyBorder="1" applyAlignment="1">
      <alignment horizontal="center" vertical="center"/>
    </xf>
    <xf numFmtId="0" fontId="27" fillId="0" borderId="18" xfId="0" applyFont="1" applyFill="1" applyBorder="1" applyAlignment="1">
      <alignment horizontal="center" vertical="center"/>
    </xf>
    <xf numFmtId="0" fontId="27" fillId="0" borderId="27" xfId="0" applyFont="1" applyFill="1" applyBorder="1" applyAlignment="1">
      <alignment horizontal="center" vertical="center"/>
    </xf>
    <xf numFmtId="0" fontId="27" fillId="0" borderId="6" xfId="0" applyFont="1" applyFill="1" applyBorder="1" applyAlignment="1">
      <alignment horizontal="center" vertical="center"/>
    </xf>
    <xf numFmtId="0" fontId="27" fillId="0" borderId="17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27" fillId="0" borderId="50" xfId="0" applyFont="1" applyFill="1" applyBorder="1" applyAlignment="1">
      <alignment horizontal="center" vertical="center"/>
    </xf>
    <xf numFmtId="0" fontId="27" fillId="0" borderId="48" xfId="0" applyFont="1" applyFill="1" applyBorder="1" applyAlignment="1">
      <alignment horizontal="center" vertical="center"/>
    </xf>
    <xf numFmtId="0" fontId="27" fillId="0" borderId="34" xfId="0" applyFont="1" applyFill="1" applyBorder="1" applyAlignment="1">
      <alignment horizontal="center" vertical="center"/>
    </xf>
    <xf numFmtId="1" fontId="35" fillId="0" borderId="0" xfId="0" applyNumberFormat="1" applyFont="1" applyFill="1" applyAlignment="1"/>
    <xf numFmtId="0" fontId="35" fillId="0" borderId="34" xfId="0" applyFont="1" applyBorder="1" applyAlignment="1"/>
    <xf numFmtId="0" fontId="27" fillId="0" borderId="4" xfId="0" applyFont="1" applyFill="1" applyBorder="1" applyAlignment="1">
      <alignment horizontal="center" vertical="center"/>
    </xf>
    <xf numFmtId="0" fontId="27" fillId="0" borderId="56" xfId="0" applyFont="1" applyFill="1" applyBorder="1" applyAlignment="1">
      <alignment horizontal="center" vertical="center"/>
    </xf>
    <xf numFmtId="0" fontId="27" fillId="0" borderId="8" xfId="0" applyFont="1" applyFill="1" applyBorder="1" applyAlignment="1">
      <alignment horizontal="center" vertical="center"/>
    </xf>
    <xf numFmtId="0" fontId="27" fillId="0" borderId="26" xfId="0" applyFont="1" applyFill="1" applyBorder="1" applyAlignment="1">
      <alignment horizontal="center" vertical="center"/>
    </xf>
    <xf numFmtId="0" fontId="27" fillId="0" borderId="9" xfId="0" applyFont="1" applyFill="1" applyBorder="1" applyAlignment="1">
      <alignment horizontal="center" vertical="center"/>
    </xf>
    <xf numFmtId="0" fontId="81" fillId="0" borderId="0" xfId="0" applyFont="1" applyFill="1"/>
    <xf numFmtId="3" fontId="81" fillId="0" borderId="0" xfId="0" applyNumberFormat="1" applyFont="1" applyFill="1"/>
    <xf numFmtId="0" fontId="10" fillId="0" borderId="0" xfId="0" applyFont="1" applyAlignment="1">
      <alignment horizontal="right"/>
    </xf>
    <xf numFmtId="0" fontId="2" fillId="0" borderId="0" xfId="0" applyFont="1" applyAlignment="1">
      <alignment horizontal="right"/>
    </xf>
    <xf numFmtId="0" fontId="2" fillId="0" borderId="0" xfId="0" applyFont="1" applyBorder="1" applyAlignment="1">
      <alignment vertical="top"/>
    </xf>
    <xf numFmtId="0" fontId="2" fillId="0" borderId="2" xfId="0" applyFont="1" applyBorder="1" applyAlignment="1"/>
    <xf numFmtId="0" fontId="43" fillId="0" borderId="2" xfId="0" applyFont="1" applyBorder="1" applyAlignment="1"/>
    <xf numFmtId="0" fontId="9" fillId="0" borderId="2" xfId="0" applyFont="1" applyBorder="1" applyAlignment="1"/>
    <xf numFmtId="0" fontId="10" fillId="0" borderId="34" xfId="0" applyFont="1" applyBorder="1" applyAlignment="1">
      <alignment vertical="top"/>
    </xf>
    <xf numFmtId="1" fontId="9" fillId="0" borderId="2" xfId="0" applyNumberFormat="1" applyFont="1" applyBorder="1" applyAlignment="1">
      <alignment horizontal="left"/>
    </xf>
    <xf numFmtId="0" fontId="7" fillId="0" borderId="0" xfId="0" applyFont="1" applyFill="1"/>
    <xf numFmtId="3" fontId="7" fillId="0" borderId="0" xfId="0" applyNumberFormat="1" applyFont="1" applyFill="1"/>
    <xf numFmtId="3" fontId="9" fillId="0" borderId="0" xfId="0" applyNumberFormat="1" applyFont="1" applyBorder="1" applyAlignment="1">
      <alignment horizontal="right"/>
    </xf>
    <xf numFmtId="3" fontId="19" fillId="0" borderId="0" xfId="0" applyNumberFormat="1" applyFont="1" applyFill="1"/>
    <xf numFmtId="0" fontId="11" fillId="0" borderId="0" xfId="0" applyFont="1" applyFill="1" applyBorder="1" applyAlignment="1">
      <alignment horizontal="left"/>
    </xf>
    <xf numFmtId="0" fontId="10" fillId="0" borderId="50" xfId="0" applyFont="1" applyFill="1" applyBorder="1"/>
    <xf numFmtId="0" fontId="27" fillId="0" borderId="1" xfId="0" applyFont="1" applyFill="1" applyBorder="1"/>
    <xf numFmtId="1" fontId="27" fillId="0" borderId="0" xfId="0" applyNumberFormat="1" applyFont="1" applyFill="1" applyAlignment="1">
      <alignment horizontal="right"/>
    </xf>
    <xf numFmtId="0" fontId="27" fillId="0" borderId="27" xfId="0" applyFont="1" applyFill="1" applyBorder="1" applyAlignment="1">
      <alignment horizontal="center"/>
    </xf>
    <xf numFmtId="0" fontId="27" fillId="0" borderId="0" xfId="0" applyFont="1" applyFill="1" applyBorder="1" applyAlignment="1">
      <alignment horizontal="center"/>
    </xf>
    <xf numFmtId="0" fontId="27" fillId="0" borderId="2" xfId="0" applyFont="1" applyFill="1" applyBorder="1" applyAlignment="1">
      <alignment horizontal="center"/>
    </xf>
    <xf numFmtId="0" fontId="27" fillId="0" borderId="3" xfId="0" applyFont="1" applyFill="1" applyBorder="1" applyAlignment="1">
      <alignment horizontal="center"/>
    </xf>
    <xf numFmtId="167" fontId="27" fillId="0" borderId="0" xfId="0" applyNumberFormat="1" applyFont="1" applyFill="1" applyAlignment="1">
      <alignment horizontal="right"/>
    </xf>
    <xf numFmtId="1" fontId="58" fillId="0" borderId="0" xfId="0" applyNumberFormat="1" applyFont="1" applyFill="1" applyAlignment="1">
      <alignment horizontal="right"/>
    </xf>
    <xf numFmtId="167" fontId="27" fillId="0" borderId="0" xfId="0" applyNumberFormat="1" applyFont="1" applyFill="1" applyAlignment="1">
      <alignment shrinkToFit="1"/>
    </xf>
    <xf numFmtId="3" fontId="15" fillId="0" borderId="0" xfId="0" applyNumberFormat="1" applyFont="1" applyFill="1"/>
    <xf numFmtId="0" fontId="9" fillId="0" borderId="0" xfId="0" applyFont="1" applyAlignment="1">
      <alignment horizontal="right"/>
    </xf>
    <xf numFmtId="0" fontId="27" fillId="0" borderId="0" xfId="0" applyFont="1" applyAlignment="1">
      <alignment vertical="top" wrapText="1"/>
    </xf>
    <xf numFmtId="3" fontId="27" fillId="0" borderId="0" xfId="0" applyNumberFormat="1" applyFont="1" applyFill="1" applyAlignment="1"/>
    <xf numFmtId="168" fontId="27" fillId="0" borderId="0" xfId="0" applyNumberFormat="1" applyFont="1" applyFill="1"/>
    <xf numFmtId="0" fontId="27" fillId="0" borderId="0" xfId="0" applyFont="1" applyAlignment="1">
      <alignment vertical="top"/>
    </xf>
    <xf numFmtId="3" fontId="6" fillId="0" borderId="0" xfId="0" applyNumberFormat="1" applyFont="1" applyBorder="1" applyAlignment="1">
      <alignment horizontal="right"/>
    </xf>
    <xf numFmtId="49" fontId="7" fillId="0" borderId="17" xfId="0" applyNumberFormat="1" applyFont="1" applyBorder="1" applyAlignment="1">
      <alignment horizontal="left" vertical="top"/>
    </xf>
    <xf numFmtId="0" fontId="9" fillId="0" borderId="2" xfId="0" applyFont="1" applyBorder="1" applyAlignment="1">
      <alignment vertical="top"/>
    </xf>
    <xf numFmtId="0" fontId="12" fillId="0" borderId="17" xfId="0" applyFont="1" applyBorder="1" applyAlignment="1">
      <alignment vertical="top"/>
    </xf>
    <xf numFmtId="0" fontId="12" fillId="0" borderId="17" xfId="0" applyFont="1" applyBorder="1" applyAlignment="1"/>
    <xf numFmtId="0" fontId="9" fillId="0" borderId="17" xfId="0" applyFont="1" applyBorder="1" applyAlignment="1">
      <alignment vertical="top"/>
    </xf>
    <xf numFmtId="0" fontId="9" fillId="0" borderId="17" xfId="0" applyFont="1" applyBorder="1" applyAlignment="1"/>
    <xf numFmtId="0" fontId="9" fillId="0" borderId="0" xfId="0" applyFont="1" applyBorder="1"/>
    <xf numFmtId="0" fontId="12" fillId="0" borderId="2" xfId="0" applyFont="1" applyBorder="1" applyAlignment="1">
      <alignment vertical="top"/>
    </xf>
    <xf numFmtId="49" fontId="7" fillId="0" borderId="17" xfId="0" applyNumberFormat="1" applyFont="1" applyFill="1" applyBorder="1" applyAlignment="1">
      <alignment horizontal="left" vertical="top"/>
    </xf>
    <xf numFmtId="1" fontId="9" fillId="0" borderId="17" xfId="0" applyNumberFormat="1" applyFont="1" applyFill="1" applyBorder="1" applyAlignment="1">
      <alignment horizontal="left" vertical="top" wrapText="1"/>
    </xf>
    <xf numFmtId="3" fontId="12" fillId="0" borderId="17" xfId="0" applyNumberFormat="1" applyFont="1" applyFill="1" applyBorder="1" applyAlignment="1">
      <alignment vertical="top"/>
    </xf>
    <xf numFmtId="166" fontId="12" fillId="0" borderId="21" xfId="0" applyNumberFormat="1" applyFont="1" applyFill="1" applyBorder="1" applyAlignment="1">
      <alignment vertical="top"/>
    </xf>
    <xf numFmtId="3" fontId="11" fillId="0" borderId="17" xfId="0" applyNumberFormat="1" applyFont="1" applyFill="1" applyBorder="1" applyAlignment="1">
      <alignment vertical="top"/>
    </xf>
    <xf numFmtId="166" fontId="11" fillId="0" borderId="25" xfId="0" applyNumberFormat="1" applyFont="1" applyFill="1" applyBorder="1" applyAlignment="1">
      <alignment vertical="top"/>
    </xf>
    <xf numFmtId="166" fontId="12" fillId="0" borderId="25" xfId="0" applyNumberFormat="1" applyFont="1" applyFill="1" applyBorder="1" applyAlignment="1">
      <alignment vertical="top"/>
    </xf>
    <xf numFmtId="3" fontId="12" fillId="0" borderId="2" xfId="0" applyNumberFormat="1" applyFont="1" applyFill="1" applyBorder="1" applyAlignment="1">
      <alignment vertical="top"/>
    </xf>
    <xf numFmtId="49" fontId="7" fillId="0" borderId="2" xfId="0" applyNumberFormat="1" applyFont="1" applyFill="1" applyBorder="1" applyAlignment="1">
      <alignment horizontal="left" vertical="center"/>
    </xf>
    <xf numFmtId="49" fontId="7" fillId="0" borderId="2" xfId="3" applyNumberFormat="1" applyFont="1" applyBorder="1" applyAlignment="1">
      <alignment horizontal="left"/>
    </xf>
    <xf numFmtId="49" fontId="7" fillId="0" borderId="14" xfId="3" applyNumberFormat="1" applyFont="1" applyBorder="1" applyAlignment="1">
      <alignment horizontal="left"/>
    </xf>
    <xf numFmtId="3" fontId="9" fillId="0" borderId="21" xfId="3" applyFont="1" applyBorder="1" applyAlignment="1">
      <alignment horizontal="right"/>
    </xf>
    <xf numFmtId="3" fontId="9" fillId="0" borderId="0" xfId="3" applyFont="1"/>
    <xf numFmtId="49" fontId="7" fillId="0" borderId="14" xfId="3" applyNumberFormat="1" applyFont="1" applyBorder="1" applyAlignment="1">
      <alignment horizontal="left" vertical="top"/>
    </xf>
    <xf numFmtId="3" fontId="12" fillId="0" borderId="0" xfId="3" applyFont="1" applyAlignment="1">
      <alignment wrapText="1"/>
    </xf>
    <xf numFmtId="1" fontId="21" fillId="0" borderId="17" xfId="0" applyNumberFormat="1" applyFont="1" applyFill="1" applyBorder="1" applyAlignment="1">
      <alignment horizontal="center" vertical="center" wrapText="1"/>
    </xf>
    <xf numFmtId="1" fontId="19" fillId="0" borderId="17" xfId="0" applyNumberFormat="1" applyFont="1" applyFill="1" applyBorder="1" applyAlignment="1">
      <alignment horizontal="right" vertical="center" wrapText="1"/>
    </xf>
    <xf numFmtId="0" fontId="9" fillId="0" borderId="2" xfId="0" applyFont="1" applyFill="1" applyBorder="1" applyAlignment="1">
      <alignment vertical="top"/>
    </xf>
    <xf numFmtId="0" fontId="33" fillId="0" borderId="2" xfId="0" applyFont="1" applyFill="1" applyBorder="1" applyAlignment="1">
      <alignment horizontal="center" vertical="center"/>
    </xf>
    <xf numFmtId="3" fontId="12" fillId="0" borderId="0" xfId="0" applyNumberFormat="1" applyFont="1" applyBorder="1" applyAlignment="1">
      <alignment horizontal="right"/>
    </xf>
    <xf numFmtId="3" fontId="83" fillId="0" borderId="0" xfId="0" applyNumberFormat="1" applyFont="1" applyFill="1" applyBorder="1" applyAlignment="1">
      <alignment horizontal="center" vertical="center"/>
    </xf>
    <xf numFmtId="3" fontId="84" fillId="0" borderId="0" xfId="0" applyNumberFormat="1" applyFont="1" applyFill="1" applyBorder="1" applyAlignment="1">
      <alignment horizontal="center" vertical="center"/>
    </xf>
    <xf numFmtId="4" fontId="85" fillId="0" borderId="0" xfId="0" applyNumberFormat="1" applyFont="1" applyFill="1" applyBorder="1"/>
    <xf numFmtId="4" fontId="86" fillId="0" borderId="0" xfId="0" applyNumberFormat="1" applyFont="1" applyFill="1" applyBorder="1"/>
    <xf numFmtId="4" fontId="87" fillId="0" borderId="0" xfId="0" applyNumberFormat="1" applyFont="1" applyFill="1"/>
    <xf numFmtId="4" fontId="88" fillId="0" borderId="0" xfId="0" applyNumberFormat="1" applyFont="1" applyFill="1"/>
    <xf numFmtId="0" fontId="83" fillId="0" borderId="0" xfId="0" applyFont="1" applyFill="1"/>
    <xf numFmtId="0" fontId="19" fillId="0" borderId="12" xfId="0" applyFont="1" applyFill="1" applyBorder="1" applyAlignment="1">
      <alignment vertical="top"/>
    </xf>
    <xf numFmtId="0" fontId="21" fillId="0" borderId="17" xfId="0" applyFont="1" applyFill="1" applyBorder="1" applyAlignment="1">
      <alignment vertical="center" wrapText="1"/>
    </xf>
    <xf numFmtId="4" fontId="85" fillId="0" borderId="0" xfId="0" applyNumberFormat="1" applyFont="1" applyFill="1" applyBorder="1" applyAlignment="1">
      <alignment vertical="center" wrapText="1"/>
    </xf>
    <xf numFmtId="164" fontId="1" fillId="0" borderId="14" xfId="0" applyNumberFormat="1" applyFont="1" applyFill="1" applyBorder="1" applyAlignment="1">
      <alignment horizontal="center"/>
    </xf>
    <xf numFmtId="3" fontId="6" fillId="0" borderId="27" xfId="0" applyNumberFormat="1" applyFont="1" applyFill="1" applyBorder="1" applyAlignment="1">
      <alignment horizontal="right"/>
    </xf>
    <xf numFmtId="167" fontId="66" fillId="0" borderId="10" xfId="0" applyNumberFormat="1" applyFont="1" applyFill="1" applyBorder="1" applyAlignment="1"/>
    <xf numFmtId="1" fontId="33" fillId="0" borderId="0" xfId="0" applyNumberFormat="1" applyFont="1" applyFill="1" applyBorder="1" applyAlignment="1">
      <alignment horizontal="center" vertical="center" wrapText="1"/>
    </xf>
    <xf numFmtId="49" fontId="7" fillId="0" borderId="0" xfId="0" applyNumberFormat="1" applyFont="1" applyBorder="1" applyAlignment="1">
      <alignment horizontal="left" vertical="top"/>
    </xf>
    <xf numFmtId="0" fontId="11" fillId="0" borderId="17" xfId="0" applyFont="1" applyFill="1" applyBorder="1" applyAlignment="1">
      <alignment horizontal="right"/>
    </xf>
    <xf numFmtId="0" fontId="6" fillId="0" borderId="17" xfId="0" applyFont="1" applyFill="1" applyBorder="1" applyAlignment="1">
      <alignment horizontal="right"/>
    </xf>
    <xf numFmtId="0" fontId="6" fillId="0" borderId="17" xfId="0" applyFont="1" applyBorder="1" applyAlignment="1">
      <alignment horizontal="right"/>
    </xf>
    <xf numFmtId="1" fontId="7" fillId="0" borderId="17" xfId="0" applyNumberFormat="1" applyFont="1" applyBorder="1" applyAlignment="1">
      <alignment horizontal="left"/>
    </xf>
    <xf numFmtId="167" fontId="6" fillId="0" borderId="35" xfId="0" applyNumberFormat="1" applyFont="1" applyBorder="1" applyAlignment="1">
      <alignment horizontal="right"/>
    </xf>
    <xf numFmtId="3" fontId="9" fillId="0" borderId="2" xfId="0" applyNumberFormat="1" applyFont="1" applyFill="1" applyBorder="1" applyAlignment="1">
      <alignment horizontal="right" vertical="top"/>
    </xf>
    <xf numFmtId="3" fontId="9" fillId="0" borderId="0" xfId="0" applyNumberFormat="1" applyFont="1" applyFill="1" applyBorder="1" applyAlignment="1">
      <alignment horizontal="right" vertical="top"/>
    </xf>
    <xf numFmtId="167" fontId="6" fillId="0" borderId="30" xfId="0" applyNumberFormat="1" applyFont="1" applyBorder="1" applyAlignment="1">
      <alignment horizontal="right"/>
    </xf>
    <xf numFmtId="167" fontId="11" fillId="0" borderId="30" xfId="0" applyNumberFormat="1" applyFont="1" applyBorder="1" applyAlignment="1">
      <alignment horizontal="right"/>
    </xf>
    <xf numFmtId="0" fontId="3" fillId="0" borderId="14" xfId="0" applyFont="1" applyFill="1" applyBorder="1"/>
    <xf numFmtId="167" fontId="9" fillId="0" borderId="35" xfId="0" applyNumberFormat="1" applyFont="1" applyBorder="1" applyAlignment="1">
      <alignment horizontal="right"/>
    </xf>
    <xf numFmtId="49" fontId="7" fillId="0" borderId="9" xfId="0" applyNumberFormat="1" applyFont="1" applyBorder="1" applyAlignment="1">
      <alignment horizontal="center"/>
    </xf>
    <xf numFmtId="167" fontId="11" fillId="0" borderId="35" xfId="0" applyNumberFormat="1" applyFont="1" applyBorder="1" applyAlignment="1">
      <alignment horizontal="right"/>
    </xf>
    <xf numFmtId="1" fontId="7" fillId="0" borderId="9" xfId="0" applyNumberFormat="1" applyFont="1" applyBorder="1" applyAlignment="1">
      <alignment horizontal="center"/>
    </xf>
    <xf numFmtId="0" fontId="0" fillId="0" borderId="0" xfId="0" applyBorder="1" applyAlignment="1">
      <alignment wrapText="1"/>
    </xf>
    <xf numFmtId="1" fontId="2" fillId="0" borderId="0" xfId="0" applyNumberFormat="1" applyFont="1" applyBorder="1" applyAlignment="1">
      <alignment horizontal="left" vertical="top"/>
    </xf>
    <xf numFmtId="3" fontId="6" fillId="0" borderId="0" xfId="0" applyNumberFormat="1" applyFont="1" applyFill="1" applyBorder="1" applyAlignment="1">
      <alignment horizontal="right" vertical="top"/>
    </xf>
    <xf numFmtId="167" fontId="6" fillId="0" borderId="25" xfId="0" applyNumberFormat="1" applyFont="1" applyBorder="1" applyAlignment="1">
      <alignment horizontal="right" vertical="top"/>
    </xf>
    <xf numFmtId="1" fontId="2" fillId="0" borderId="6" xfId="0" applyNumberFormat="1" applyFont="1" applyBorder="1" applyAlignment="1">
      <alignment horizontal="left" vertical="top"/>
    </xf>
    <xf numFmtId="1" fontId="6" fillId="0" borderId="17" xfId="0" applyNumberFormat="1" applyFont="1" applyBorder="1" applyAlignment="1">
      <alignment horizontal="left"/>
    </xf>
    <xf numFmtId="0" fontId="11" fillId="0" borderId="17" xfId="0" applyFont="1" applyBorder="1" applyAlignment="1">
      <alignment vertical="center" wrapText="1"/>
    </xf>
    <xf numFmtId="1" fontId="11" fillId="0" borderId="17" xfId="0" applyNumberFormat="1" applyFont="1" applyBorder="1" applyAlignment="1">
      <alignment horizontal="left"/>
    </xf>
    <xf numFmtId="0" fontId="11" fillId="0" borderId="17" xfId="0" applyFont="1" applyBorder="1" applyAlignment="1"/>
    <xf numFmtId="168" fontId="25" fillId="0" borderId="2" xfId="0" applyNumberFormat="1" applyFont="1" applyBorder="1" applyAlignment="1">
      <alignment horizontal="left" vertical="top"/>
    </xf>
    <xf numFmtId="1" fontId="25" fillId="0" borderId="2" xfId="0" applyNumberFormat="1" applyFont="1" applyBorder="1" applyAlignment="1">
      <alignment horizontal="left"/>
    </xf>
    <xf numFmtId="166" fontId="9" fillId="0" borderId="25" xfId="0" applyNumberFormat="1" applyFont="1" applyBorder="1" applyAlignment="1">
      <alignment horizontal="right" vertical="top"/>
    </xf>
    <xf numFmtId="1" fontId="10" fillId="0" borderId="6" xfId="0" applyNumberFormat="1" applyFont="1" applyBorder="1" applyAlignment="1">
      <alignment horizontal="left"/>
    </xf>
    <xf numFmtId="49" fontId="7" fillId="0" borderId="0" xfId="0" applyNumberFormat="1" applyFont="1" applyAlignment="1">
      <alignment horizontal="left" vertical="top"/>
    </xf>
    <xf numFmtId="3" fontId="21" fillId="0" borderId="17" xfId="0" applyNumberFormat="1" applyFont="1" applyFill="1" applyBorder="1" applyAlignment="1"/>
    <xf numFmtId="1" fontId="64" fillId="0" borderId="0" xfId="0" applyNumberFormat="1" applyFont="1" applyBorder="1" applyAlignment="1">
      <alignment horizontal="left"/>
    </xf>
    <xf numFmtId="1" fontId="64" fillId="0" borderId="6" xfId="0" applyNumberFormat="1" applyFont="1" applyBorder="1" applyAlignment="1">
      <alignment horizontal="left"/>
    </xf>
    <xf numFmtId="0" fontId="9" fillId="0" borderId="14" xfId="0" applyFont="1" applyFill="1" applyBorder="1" applyAlignment="1">
      <alignment horizontal="right"/>
    </xf>
    <xf numFmtId="0" fontId="12" fillId="0" borderId="14" xfId="0" applyFont="1" applyFill="1" applyBorder="1" applyAlignment="1">
      <alignment horizontal="right"/>
    </xf>
    <xf numFmtId="49" fontId="25" fillId="0" borderId="34" xfId="0" applyNumberFormat="1" applyFont="1" applyBorder="1" applyAlignment="1">
      <alignment horizontal="left"/>
    </xf>
    <xf numFmtId="3" fontId="9" fillId="0" borderId="34" xfId="0" applyNumberFormat="1" applyFont="1" applyBorder="1" applyAlignment="1">
      <alignment horizontal="right"/>
    </xf>
    <xf numFmtId="0" fontId="10" fillId="0" borderId="0" xfId="0" applyFont="1" applyAlignment="1">
      <alignment wrapText="1"/>
    </xf>
    <xf numFmtId="3" fontId="10" fillId="3" borderId="0" xfId="0" applyNumberFormat="1" applyFont="1" applyFill="1" applyBorder="1"/>
    <xf numFmtId="167" fontId="9" fillId="3" borderId="25" xfId="0" applyNumberFormat="1" applyFont="1" applyFill="1" applyBorder="1" applyAlignment="1">
      <alignment horizontal="right"/>
    </xf>
    <xf numFmtId="167" fontId="9" fillId="0" borderId="25" xfId="0" applyNumberFormat="1" applyFont="1" applyBorder="1" applyAlignment="1">
      <alignment horizontal="right" vertical="top"/>
    </xf>
    <xf numFmtId="167" fontId="11" fillId="3" borderId="25" xfId="0" applyNumberFormat="1" applyFont="1" applyFill="1" applyBorder="1" applyAlignment="1">
      <alignment horizontal="right"/>
    </xf>
    <xf numFmtId="0" fontId="58" fillId="0" borderId="0" xfId="0" applyFont="1" applyAlignment="1"/>
    <xf numFmtId="168" fontId="7" fillId="3" borderId="0" xfId="0" applyNumberFormat="1" applyFont="1" applyFill="1" applyBorder="1" applyAlignment="1">
      <alignment horizontal="left"/>
    </xf>
    <xf numFmtId="0" fontId="6" fillId="0" borderId="0" xfId="0" applyFont="1" applyAlignment="1">
      <alignment horizontal="right"/>
    </xf>
    <xf numFmtId="168" fontId="18" fillId="3" borderId="0" xfId="0" applyNumberFormat="1" applyFont="1" applyFill="1" applyBorder="1" applyAlignment="1"/>
    <xf numFmtId="0" fontId="9" fillId="0" borderId="0" xfId="0" applyFont="1" applyFill="1" applyAlignment="1">
      <alignment horizontal="right"/>
    </xf>
    <xf numFmtId="49" fontId="7" fillId="0" borderId="34" xfId="0" applyNumberFormat="1" applyFont="1" applyBorder="1" applyAlignment="1">
      <alignment horizontal="left"/>
    </xf>
    <xf numFmtId="3" fontId="10" fillId="0" borderId="0" xfId="0" applyNumberFormat="1" applyFont="1" applyBorder="1" applyAlignment="1">
      <alignment horizontal="right"/>
    </xf>
    <xf numFmtId="0" fontId="6" fillId="0" borderId="2" xfId="0" applyFont="1" applyBorder="1"/>
    <xf numFmtId="0" fontId="11" fillId="0" borderId="2" xfId="0" applyFont="1" applyBorder="1" applyAlignment="1">
      <alignment vertical="top" wrapText="1"/>
    </xf>
    <xf numFmtId="0" fontId="11" fillId="0" borderId="2" xfId="0" applyFont="1" applyBorder="1" applyAlignment="1">
      <alignment vertical="top"/>
    </xf>
    <xf numFmtId="0" fontId="11" fillId="0" borderId="9" xfId="0" applyFont="1" applyBorder="1" applyAlignment="1"/>
    <xf numFmtId="1" fontId="6" fillId="0" borderId="9" xfId="0" applyNumberFormat="1" applyFont="1" applyBorder="1" applyAlignment="1">
      <alignment horizontal="left"/>
    </xf>
    <xf numFmtId="0" fontId="10" fillId="0" borderId="14" xfId="0" applyFont="1" applyBorder="1" applyAlignment="1"/>
    <xf numFmtId="3" fontId="5" fillId="0" borderId="53" xfId="0" applyNumberFormat="1" applyFont="1" applyFill="1" applyBorder="1"/>
    <xf numFmtId="1" fontId="2" fillId="0" borderId="12" xfId="0" applyNumberFormat="1" applyFont="1" applyFill="1" applyBorder="1" applyAlignment="1">
      <alignment horizontal="left"/>
    </xf>
    <xf numFmtId="0" fontId="5" fillId="3" borderId="2" xfId="0" applyFont="1" applyFill="1" applyBorder="1"/>
    <xf numFmtId="0" fontId="7" fillId="3" borderId="27" xfId="0" applyFont="1" applyFill="1" applyBorder="1" applyAlignment="1">
      <alignment horizontal="left"/>
    </xf>
    <xf numFmtId="1" fontId="5" fillId="3" borderId="12" xfId="0" applyNumberFormat="1" applyFont="1" applyFill="1" applyBorder="1" applyAlignment="1">
      <alignment horizontal="left"/>
    </xf>
    <xf numFmtId="168" fontId="7" fillId="0" borderId="0" xfId="0" applyNumberFormat="1" applyFont="1" applyBorder="1" applyAlignment="1">
      <alignment horizontal="left"/>
    </xf>
    <xf numFmtId="49" fontId="25" fillId="0" borderId="0" xfId="0" applyNumberFormat="1" applyFont="1" applyBorder="1" applyAlignment="1">
      <alignment horizontal="left"/>
    </xf>
    <xf numFmtId="1" fontId="10" fillId="0" borderId="12" xfId="0" applyNumberFormat="1" applyFont="1" applyBorder="1" applyAlignment="1">
      <alignment horizontal="left"/>
    </xf>
    <xf numFmtId="3" fontId="9" fillId="0" borderId="2" xfId="0" applyNumberFormat="1" applyFont="1" applyFill="1" applyBorder="1" applyAlignment="1">
      <alignment vertical="top"/>
    </xf>
    <xf numFmtId="168" fontId="7" fillId="0" borderId="27" xfId="0" applyNumberFormat="1" applyFont="1" applyBorder="1" applyAlignment="1">
      <alignment horizontal="left" vertical="top"/>
    </xf>
    <xf numFmtId="49" fontId="7" fillId="0" borderId="27" xfId="0" applyNumberFormat="1" applyFont="1" applyBorder="1" applyAlignment="1">
      <alignment horizontal="left"/>
    </xf>
    <xf numFmtId="166" fontId="10" fillId="0" borderId="25" xfId="0" applyNumberFormat="1" applyFont="1" applyBorder="1" applyAlignment="1">
      <alignment horizontal="right"/>
    </xf>
    <xf numFmtId="168" fontId="25" fillId="0" borderId="0" xfId="0" applyNumberFormat="1" applyFont="1" applyFill="1" applyBorder="1" applyAlignment="1">
      <alignment horizontal="center"/>
    </xf>
    <xf numFmtId="49" fontId="7" fillId="3" borderId="0" xfId="0" applyNumberFormat="1" applyFont="1" applyFill="1" applyBorder="1" applyAlignment="1">
      <alignment horizontal="left" vertical="top"/>
    </xf>
    <xf numFmtId="3" fontId="9" fillId="0" borderId="27" xfId="0" applyNumberFormat="1" applyFont="1" applyBorder="1" applyAlignment="1">
      <alignment horizontal="right"/>
    </xf>
    <xf numFmtId="3" fontId="53" fillId="0" borderId="5" xfId="0" applyNumberFormat="1" applyFont="1" applyFill="1" applyBorder="1"/>
    <xf numFmtId="3" fontId="37" fillId="0" borderId="5" xfId="0" applyNumberFormat="1" applyFont="1" applyFill="1" applyBorder="1" applyAlignment="1"/>
    <xf numFmtId="3" fontId="53" fillId="0" borderId="14" xfId="0" applyNumberFormat="1" applyFont="1" applyFill="1" applyBorder="1"/>
    <xf numFmtId="3" fontId="9" fillId="0" borderId="14" xfId="0" applyNumberFormat="1" applyFont="1" applyFill="1" applyBorder="1" applyAlignment="1">
      <alignment horizontal="right" vertical="top"/>
    </xf>
    <xf numFmtId="168" fontId="7" fillId="0" borderId="0" xfId="0" applyNumberFormat="1" applyFont="1" applyBorder="1" applyAlignment="1">
      <alignment horizontal="left" vertical="top"/>
    </xf>
    <xf numFmtId="167" fontId="9" fillId="3" borderId="0" xfId="0" applyNumberFormat="1" applyFont="1" applyFill="1" applyBorder="1" applyAlignment="1">
      <alignment horizontal="right"/>
    </xf>
    <xf numFmtId="166" fontId="50" fillId="0" borderId="0" xfId="0" applyNumberFormat="1" applyFont="1" applyFill="1" applyBorder="1"/>
    <xf numFmtId="1" fontId="58" fillId="0" borderId="19" xfId="0" applyNumberFormat="1" applyFont="1" applyFill="1" applyBorder="1" applyAlignment="1">
      <alignment horizontal="center"/>
    </xf>
    <xf numFmtId="3" fontId="35" fillId="0" borderId="48" xfId="0" applyNumberFormat="1" applyFont="1" applyFill="1" applyBorder="1" applyAlignment="1">
      <alignment horizontal="center"/>
    </xf>
    <xf numFmtId="3" fontId="33" fillId="0" borderId="9" xfId="0" applyNumberFormat="1" applyFont="1" applyFill="1" applyBorder="1" applyAlignment="1">
      <alignment horizontal="center" vertical="center" wrapText="1"/>
    </xf>
    <xf numFmtId="0" fontId="33" fillId="0" borderId="0" xfId="0" applyFont="1" applyFill="1" applyAlignment="1">
      <alignment vertical="center"/>
    </xf>
    <xf numFmtId="1" fontId="33" fillId="0" borderId="9" xfId="0" applyNumberFormat="1" applyFont="1" applyFill="1" applyBorder="1" applyAlignment="1">
      <alignment horizontal="center" vertical="center"/>
    </xf>
    <xf numFmtId="1" fontId="33" fillId="0" borderId="5" xfId="0" applyNumberFormat="1" applyFont="1" applyFill="1" applyBorder="1" applyAlignment="1">
      <alignment horizontal="center" vertical="center"/>
    </xf>
    <xf numFmtId="3" fontId="21" fillId="0" borderId="2" xfId="0" applyNumberFormat="1" applyFont="1" applyFill="1" applyBorder="1" applyAlignment="1">
      <alignment horizontal="right" vertical="center" wrapText="1"/>
    </xf>
    <xf numFmtId="167" fontId="6" fillId="0" borderId="25" xfId="0" applyNumberFormat="1" applyFont="1" applyFill="1" applyBorder="1" applyAlignment="1">
      <alignment horizontal="right"/>
    </xf>
    <xf numFmtId="0" fontId="1" fillId="0" borderId="1" xfId="0" applyFont="1" applyFill="1" applyBorder="1"/>
    <xf numFmtId="166" fontId="1" fillId="0" borderId="0" xfId="0" applyNumberFormat="1" applyFont="1" applyFill="1"/>
    <xf numFmtId="0" fontId="1" fillId="0" borderId="38" xfId="0" applyFont="1" applyFill="1" applyBorder="1"/>
    <xf numFmtId="0" fontId="1" fillId="0" borderId="2" xfId="0" applyFont="1" applyFill="1" applyBorder="1"/>
    <xf numFmtId="0" fontId="1" fillId="0" borderId="17" xfId="0" applyFont="1" applyFill="1" applyBorder="1"/>
    <xf numFmtId="0" fontId="1" fillId="0" borderId="50" xfId="0" applyFont="1" applyFill="1" applyBorder="1"/>
    <xf numFmtId="0" fontId="1" fillId="0" borderId="48" xfId="0" applyFont="1" applyFill="1" applyBorder="1"/>
    <xf numFmtId="1" fontId="9" fillId="0" borderId="48" xfId="0" applyNumberFormat="1" applyFont="1" applyFill="1" applyBorder="1" applyAlignment="1">
      <alignment horizontal="left"/>
    </xf>
    <xf numFmtId="0" fontId="1" fillId="0" borderId="0" xfId="0" applyFont="1" applyFill="1" applyBorder="1"/>
    <xf numFmtId="0" fontId="1" fillId="0" borderId="15" xfId="0" applyFont="1" applyFill="1" applyBorder="1"/>
    <xf numFmtId="0" fontId="1" fillId="0" borderId="6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2" xfId="0" applyFont="1" applyBorder="1" applyAlignment="1">
      <alignment vertical="top" wrapText="1"/>
    </xf>
    <xf numFmtId="0" fontId="1" fillId="0" borderId="14" xfId="0" applyFont="1" applyFill="1" applyBorder="1"/>
    <xf numFmtId="0" fontId="21" fillId="0" borderId="2" xfId="0" applyFont="1" applyBorder="1"/>
    <xf numFmtId="0" fontId="1" fillId="0" borderId="47" xfId="0" applyFont="1" applyFill="1" applyBorder="1"/>
    <xf numFmtId="0" fontId="1" fillId="0" borderId="41" xfId="0" applyFont="1" applyFill="1" applyBorder="1"/>
    <xf numFmtId="1" fontId="11" fillId="0" borderId="17" xfId="0" applyNumberFormat="1" applyFont="1" applyFill="1" applyBorder="1" applyAlignment="1">
      <alignment horizontal="left" vertical="top" wrapText="1"/>
    </xf>
    <xf numFmtId="49" fontId="7" fillId="0" borderId="2" xfId="0" applyNumberFormat="1" applyFont="1" applyBorder="1" applyAlignment="1">
      <alignment horizontal="left" vertical="center"/>
    </xf>
    <xf numFmtId="0" fontId="21" fillId="0" borderId="17" xfId="0" applyFont="1" applyBorder="1" applyAlignment="1">
      <alignment vertical="center"/>
    </xf>
    <xf numFmtId="0" fontId="21" fillId="0" borderId="2" xfId="0" applyFont="1" applyBorder="1" applyAlignment="1">
      <alignment vertical="center"/>
    </xf>
    <xf numFmtId="0" fontId="9" fillId="0" borderId="0" xfId="0" applyFont="1" applyAlignment="1">
      <alignment vertical="top"/>
    </xf>
    <xf numFmtId="49" fontId="7" fillId="3" borderId="2" xfId="0" applyNumberFormat="1" applyFont="1" applyFill="1" applyBorder="1" applyAlignment="1">
      <alignment horizontal="left" vertical="top"/>
    </xf>
    <xf numFmtId="0" fontId="21" fillId="3" borderId="2" xfId="0" applyFont="1" applyFill="1" applyBorder="1" applyAlignment="1">
      <alignment wrapText="1"/>
    </xf>
    <xf numFmtId="0" fontId="9" fillId="0" borderId="14" xfId="0" applyFont="1" applyBorder="1"/>
    <xf numFmtId="3" fontId="21" fillId="0" borderId="17" xfId="0" applyNumberFormat="1" applyFont="1" applyFill="1" applyBorder="1" applyAlignment="1">
      <alignment horizontal="right" vertical="center" wrapText="1"/>
    </xf>
    <xf numFmtId="166" fontId="11" fillId="0" borderId="0" xfId="0" applyNumberFormat="1" applyFont="1" applyFill="1" applyBorder="1"/>
    <xf numFmtId="1" fontId="19" fillId="0" borderId="2" xfId="0" applyNumberFormat="1" applyFont="1" applyFill="1" applyBorder="1" applyAlignment="1">
      <alignment horizontal="right" vertical="center" wrapText="1"/>
    </xf>
    <xf numFmtId="1" fontId="33" fillId="0" borderId="17" xfId="0" applyNumberFormat="1" applyFont="1" applyFill="1" applyBorder="1" applyAlignment="1">
      <alignment horizontal="center" vertical="center" wrapText="1"/>
    </xf>
    <xf numFmtId="0" fontId="1" fillId="0" borderId="11" xfId="0" applyFont="1" applyFill="1" applyBorder="1"/>
    <xf numFmtId="0" fontId="1" fillId="0" borderId="3" xfId="0" applyFont="1" applyFill="1" applyBorder="1"/>
    <xf numFmtId="0" fontId="11" fillId="0" borderId="0" xfId="0" applyFont="1" applyAlignment="1">
      <alignment vertical="top"/>
    </xf>
    <xf numFmtId="0" fontId="21" fillId="3" borderId="0" xfId="0" applyFont="1" applyFill="1" applyAlignment="1">
      <alignment wrapText="1"/>
    </xf>
    <xf numFmtId="0" fontId="1" fillId="0" borderId="8" xfId="0" applyFont="1" applyBorder="1"/>
    <xf numFmtId="0" fontId="1" fillId="0" borderId="56" xfId="0" applyFont="1" applyBorder="1"/>
    <xf numFmtId="0" fontId="1" fillId="0" borderId="0" xfId="0" applyFont="1" applyBorder="1"/>
    <xf numFmtId="0" fontId="49" fillId="0" borderId="0" xfId="0" applyFont="1" applyFill="1" applyBorder="1" applyAlignment="1">
      <alignment horizontal="left"/>
    </xf>
    <xf numFmtId="166" fontId="49" fillId="0" borderId="0" xfId="0" applyNumberFormat="1" applyFont="1" applyFill="1" applyBorder="1" applyAlignment="1">
      <alignment horizontal="right" vertical="center"/>
    </xf>
    <xf numFmtId="0" fontId="49" fillId="0" borderId="0" xfId="0" applyFont="1" applyFill="1" applyBorder="1"/>
    <xf numFmtId="0" fontId="52" fillId="0" borderId="0" xfId="0" applyFont="1" applyFill="1" applyBorder="1" applyAlignment="1">
      <alignment horizontal="left"/>
    </xf>
    <xf numFmtId="3" fontId="52" fillId="0" borderId="0" xfId="0" applyNumberFormat="1" applyFont="1" applyFill="1" applyBorder="1" applyAlignment="1">
      <alignment horizontal="right"/>
    </xf>
    <xf numFmtId="166" fontId="52" fillId="0" borderId="0" xfId="0" applyNumberFormat="1" applyFont="1" applyFill="1" applyBorder="1" applyAlignment="1">
      <alignment horizontal="right" vertical="center"/>
    </xf>
    <xf numFmtId="0" fontId="52" fillId="0" borderId="0" xfId="0" applyFont="1" applyFill="1" applyBorder="1"/>
    <xf numFmtId="0" fontId="41" fillId="0" borderId="10" xfId="0" applyFont="1" applyFill="1" applyBorder="1" applyAlignment="1">
      <alignment horizontal="left"/>
    </xf>
    <xf numFmtId="3" fontId="41" fillId="0" borderId="10" xfId="0" applyNumberFormat="1" applyFont="1" applyFill="1" applyBorder="1" applyAlignment="1">
      <alignment horizontal="right"/>
    </xf>
    <xf numFmtId="166" fontId="41" fillId="0" borderId="10" xfId="0" applyNumberFormat="1" applyFont="1" applyFill="1" applyBorder="1" applyAlignment="1">
      <alignment horizontal="right" vertical="center" shrinkToFit="1"/>
    </xf>
    <xf numFmtId="0" fontId="89" fillId="0" borderId="0" xfId="0" applyFont="1" applyFill="1"/>
    <xf numFmtId="3" fontId="29" fillId="0" borderId="10" xfId="0" applyNumberFormat="1" applyFont="1" applyFill="1" applyBorder="1" applyAlignment="1">
      <alignment shrinkToFit="1"/>
    </xf>
    <xf numFmtId="49" fontId="25" fillId="0" borderId="14" xfId="0" applyNumberFormat="1" applyFont="1" applyBorder="1" applyAlignment="1">
      <alignment horizontal="left" vertical="top"/>
    </xf>
    <xf numFmtId="0" fontId="10" fillId="0" borderId="48" xfId="0" applyFont="1" applyBorder="1" applyAlignment="1"/>
    <xf numFmtId="0" fontId="20" fillId="0" borderId="38" xfId="0" applyFont="1" applyFill="1" applyBorder="1" applyAlignment="1">
      <alignment horizontal="center" vertical="center"/>
    </xf>
    <xf numFmtId="0" fontId="20" fillId="0" borderId="27" xfId="0" applyFont="1" applyFill="1" applyBorder="1" applyAlignment="1">
      <alignment horizontal="center" vertical="center"/>
    </xf>
    <xf numFmtId="0" fontId="26" fillId="0" borderId="9" xfId="0" applyFont="1" applyFill="1" applyBorder="1" applyAlignment="1">
      <alignment horizontal="center" vertical="center"/>
    </xf>
    <xf numFmtId="0" fontId="11" fillId="0" borderId="17" xfId="0" applyFont="1" applyBorder="1"/>
    <xf numFmtId="0" fontId="11" fillId="0" borderId="0" xfId="0" applyFont="1" applyBorder="1" applyAlignment="1">
      <alignment vertical="top"/>
    </xf>
    <xf numFmtId="167" fontId="9" fillId="0" borderId="42" xfId="0" applyNumberFormat="1" applyFont="1" applyBorder="1" applyAlignment="1">
      <alignment horizontal="right"/>
    </xf>
    <xf numFmtId="166" fontId="11" fillId="0" borderId="30" xfId="8" applyNumberFormat="1" applyFont="1" applyBorder="1" applyAlignment="1">
      <alignment horizontal="right"/>
    </xf>
    <xf numFmtId="166" fontId="9" fillId="0" borderId="25" xfId="8" applyNumberFormat="1" applyFont="1" applyBorder="1" applyAlignment="1">
      <alignment horizontal="right"/>
    </xf>
    <xf numFmtId="166" fontId="11" fillId="0" borderId="25" xfId="8" applyNumberFormat="1" applyFont="1" applyBorder="1" applyAlignment="1">
      <alignment horizontal="right"/>
    </xf>
    <xf numFmtId="166" fontId="6" fillId="3" borderId="25" xfId="8" applyNumberFormat="1" applyFont="1" applyFill="1" applyBorder="1" applyAlignment="1">
      <alignment horizontal="right"/>
    </xf>
    <xf numFmtId="166" fontId="9" fillId="3" borderId="35" xfId="8" applyNumberFormat="1" applyFont="1" applyFill="1" applyBorder="1" applyAlignment="1">
      <alignment horizontal="right"/>
    </xf>
    <xf numFmtId="49" fontId="7" fillId="0" borderId="48" xfId="0" applyNumberFormat="1" applyFont="1" applyBorder="1" applyAlignment="1">
      <alignment horizontal="left"/>
    </xf>
    <xf numFmtId="0" fontId="11" fillId="0" borderId="14" xfId="0" applyFont="1" applyBorder="1" applyAlignment="1">
      <alignment wrapText="1"/>
    </xf>
    <xf numFmtId="3" fontId="19" fillId="0" borderId="2" xfId="0" applyNumberFormat="1" applyFont="1" applyFill="1" applyBorder="1" applyAlignment="1"/>
    <xf numFmtId="3" fontId="39" fillId="0" borderId="51" xfId="0" applyNumberFormat="1" applyFont="1" applyFill="1" applyBorder="1" applyAlignment="1"/>
    <xf numFmtId="167" fontId="39" fillId="0" borderId="51" xfId="0" applyNumberFormat="1" applyFont="1" applyFill="1" applyBorder="1"/>
    <xf numFmtId="1" fontId="39" fillId="0" borderId="10" xfId="0" applyNumberFormat="1" applyFont="1" applyFill="1" applyBorder="1" applyAlignment="1">
      <alignment horizontal="left" vertical="top"/>
    </xf>
    <xf numFmtId="3" fontId="39" fillId="0" borderId="10" xfId="0" applyNumberFormat="1" applyFont="1" applyFill="1" applyBorder="1" applyAlignment="1">
      <alignment vertical="top"/>
    </xf>
    <xf numFmtId="167" fontId="39" fillId="0" borderId="10" xfId="0" applyNumberFormat="1" applyFont="1" applyFill="1" applyBorder="1" applyAlignment="1">
      <alignment vertical="top"/>
    </xf>
    <xf numFmtId="1" fontId="10" fillId="3" borderId="15" xfId="0" applyNumberFormat="1" applyFont="1" applyFill="1" applyBorder="1" applyAlignment="1">
      <alignment horizontal="left"/>
    </xf>
    <xf numFmtId="1" fontId="10" fillId="3" borderId="27" xfId="0" applyNumberFormat="1" applyFont="1" applyFill="1" applyBorder="1" applyAlignment="1">
      <alignment horizontal="left"/>
    </xf>
    <xf numFmtId="3" fontId="9" fillId="0" borderId="27" xfId="0" applyNumberFormat="1" applyFont="1" applyFill="1" applyBorder="1" applyAlignment="1">
      <alignment horizontal="right"/>
    </xf>
    <xf numFmtId="166" fontId="9" fillId="0" borderId="27" xfId="0" applyNumberFormat="1" applyFont="1" applyBorder="1" applyAlignment="1">
      <alignment horizontal="right"/>
    </xf>
    <xf numFmtId="3" fontId="9" fillId="3" borderId="27" xfId="0" applyNumberFormat="1" applyFont="1" applyFill="1" applyBorder="1" applyAlignment="1">
      <alignment horizontal="right"/>
    </xf>
    <xf numFmtId="3" fontId="51" fillId="0" borderId="0" xfId="0" applyNumberFormat="1" applyFont="1" applyFill="1" applyBorder="1" applyAlignment="1"/>
    <xf numFmtId="3" fontId="21" fillId="0" borderId="9" xfId="0" applyNumberFormat="1" applyFont="1" applyFill="1" applyBorder="1" applyAlignment="1">
      <alignment horizontal="right" vertical="center"/>
    </xf>
    <xf numFmtId="3" fontId="21" fillId="0" borderId="2" xfId="0" applyNumberFormat="1" applyFont="1" applyFill="1" applyBorder="1" applyAlignment="1">
      <alignment horizontal="right" vertical="center"/>
    </xf>
    <xf numFmtId="3" fontId="21" fillId="0" borderId="0" xfId="0" applyNumberFormat="1" applyFont="1" applyFill="1" applyBorder="1" applyAlignment="1">
      <alignment horizontal="right" vertical="center" wrapText="1"/>
    </xf>
    <xf numFmtId="0" fontId="65" fillId="0" borderId="0" xfId="0" applyFont="1" applyFill="1" applyAlignment="1">
      <alignment vertical="top"/>
    </xf>
    <xf numFmtId="1" fontId="10" fillId="0" borderId="17" xfId="0" applyNumberFormat="1" applyFont="1" applyBorder="1" applyAlignment="1">
      <alignment horizontal="left"/>
    </xf>
    <xf numFmtId="4" fontId="27" fillId="0" borderId="0" xfId="0" applyNumberFormat="1" applyFont="1" applyFill="1"/>
    <xf numFmtId="1" fontId="10" fillId="0" borderId="50" xfId="0" applyNumberFormat="1" applyFont="1" applyBorder="1" applyAlignment="1">
      <alignment horizontal="left"/>
    </xf>
    <xf numFmtId="1" fontId="20" fillId="0" borderId="9" xfId="0" applyNumberFormat="1" applyFont="1" applyFill="1" applyBorder="1" applyAlignment="1">
      <alignment horizontal="center"/>
    </xf>
    <xf numFmtId="1" fontId="52" fillId="0" borderId="0" xfId="0" applyNumberFormat="1" applyFont="1" applyFill="1" applyAlignment="1">
      <alignment horizontal="left" vertical="top"/>
    </xf>
    <xf numFmtId="3" fontId="11" fillId="0" borderId="48" xfId="0" applyNumberFormat="1" applyFont="1" applyBorder="1" applyAlignment="1">
      <alignment horizontal="right"/>
    </xf>
    <xf numFmtId="49" fontId="25" fillId="0" borderId="9" xfId="0" applyNumberFormat="1" applyFont="1" applyBorder="1" applyAlignment="1">
      <alignment horizontal="left"/>
    </xf>
    <xf numFmtId="3" fontId="11" fillId="0" borderId="18" xfId="0" applyNumberFormat="1" applyFont="1" applyBorder="1" applyAlignment="1">
      <alignment horizontal="right"/>
    </xf>
    <xf numFmtId="3" fontId="11" fillId="0" borderId="17" xfId="0" applyNumberFormat="1" applyFont="1" applyBorder="1" applyAlignment="1">
      <alignment horizontal="right"/>
    </xf>
    <xf numFmtId="1" fontId="10" fillId="0" borderId="18" xfId="0" applyNumberFormat="1" applyFont="1" applyBorder="1" applyAlignment="1">
      <alignment horizontal="left"/>
    </xf>
    <xf numFmtId="166" fontId="9" fillId="0" borderId="21" xfId="0" applyNumberFormat="1" applyFont="1" applyBorder="1" applyAlignment="1">
      <alignment horizontal="right"/>
    </xf>
    <xf numFmtId="49" fontId="25" fillId="0" borderId="48" xfId="0" applyNumberFormat="1" applyFont="1" applyBorder="1" applyAlignment="1">
      <alignment horizontal="left"/>
    </xf>
    <xf numFmtId="1" fontId="10" fillId="3" borderId="50" xfId="0" applyNumberFormat="1" applyFont="1" applyFill="1" applyBorder="1" applyAlignment="1">
      <alignment horizontal="left"/>
    </xf>
    <xf numFmtId="168" fontId="52" fillId="0" borderId="0" xfId="0" applyNumberFormat="1" applyFont="1" applyFill="1" applyAlignment="1">
      <alignment horizontal="center" vertical="top"/>
    </xf>
    <xf numFmtId="0" fontId="52" fillId="0" borderId="0" xfId="0" applyFont="1" applyFill="1" applyAlignment="1">
      <alignment horizontal="left" vertical="top"/>
    </xf>
    <xf numFmtId="3" fontId="52" fillId="0" borderId="0" xfId="0" applyNumberFormat="1" applyFont="1" applyFill="1" applyAlignment="1">
      <alignment vertical="top"/>
    </xf>
    <xf numFmtId="0" fontId="49" fillId="0" borderId="0" xfId="0" applyFont="1" applyFill="1" applyAlignment="1">
      <alignment vertical="top"/>
    </xf>
    <xf numFmtId="0" fontId="21" fillId="0" borderId="0" xfId="0" applyFont="1" applyFill="1" applyAlignment="1">
      <alignment vertical="top"/>
    </xf>
    <xf numFmtId="3" fontId="91" fillId="0" borderId="0" xfId="0" applyNumberFormat="1" applyFont="1" applyFill="1"/>
    <xf numFmtId="3" fontId="7" fillId="0" borderId="0" xfId="0" applyNumberFormat="1" applyFont="1" applyFill="1" applyBorder="1"/>
    <xf numFmtId="3" fontId="2" fillId="0" borderId="0" xfId="0" applyNumberFormat="1" applyFont="1" applyFill="1" applyBorder="1"/>
    <xf numFmtId="3" fontId="21" fillId="0" borderId="1" xfId="0" applyNumberFormat="1" applyFont="1" applyFill="1" applyBorder="1"/>
    <xf numFmtId="168" fontId="21" fillId="0" borderId="0" xfId="0" applyNumberFormat="1" applyFont="1" applyFill="1" applyAlignment="1">
      <alignment horizontal="left"/>
    </xf>
    <xf numFmtId="168" fontId="51" fillId="0" borderId="0" xfId="0" applyNumberFormat="1" applyFont="1" applyFill="1" applyAlignment="1">
      <alignment horizontal="center"/>
    </xf>
    <xf numFmtId="1" fontId="51" fillId="0" borderId="0" xfId="0" applyNumberFormat="1" applyFont="1" applyFill="1" applyAlignment="1">
      <alignment horizontal="left"/>
    </xf>
    <xf numFmtId="0" fontId="51" fillId="0" borderId="0" xfId="0" applyFont="1" applyFill="1" applyAlignment="1">
      <alignment horizontal="left"/>
    </xf>
    <xf numFmtId="0" fontId="27" fillId="0" borderId="0" xfId="0" applyFont="1" applyFill="1" applyAlignment="1">
      <alignment horizontal="right"/>
    </xf>
    <xf numFmtId="0" fontId="26" fillId="0" borderId="24" xfId="0" applyFont="1" applyFill="1" applyBorder="1" applyAlignment="1">
      <alignment horizontal="right" vertical="center"/>
    </xf>
    <xf numFmtId="166" fontId="33" fillId="0" borderId="24" xfId="0" applyNumberFormat="1" applyFont="1" applyFill="1" applyBorder="1" applyAlignment="1">
      <alignment horizontal="right" vertical="center"/>
    </xf>
    <xf numFmtId="0" fontId="75" fillId="0" borderId="0" xfId="0" applyFont="1" applyFill="1" applyAlignment="1">
      <alignment horizontal="right"/>
    </xf>
    <xf numFmtId="0" fontId="76" fillId="0" borderId="0" xfId="0" applyFont="1" applyFill="1" applyAlignment="1">
      <alignment horizontal="right"/>
    </xf>
    <xf numFmtId="167" fontId="37" fillId="0" borderId="0" xfId="0" applyNumberFormat="1" applyFont="1" applyFill="1" applyAlignment="1">
      <alignment horizontal="right"/>
    </xf>
    <xf numFmtId="167" fontId="34" fillId="0" borderId="0" xfId="0" applyNumberFormat="1" applyFont="1" applyFill="1" applyAlignment="1">
      <alignment horizontal="right"/>
    </xf>
    <xf numFmtId="167" fontId="58" fillId="0" borderId="0" xfId="0" applyNumberFormat="1" applyFont="1" applyFill="1" applyAlignment="1">
      <alignment horizontal="right"/>
    </xf>
    <xf numFmtId="167" fontId="4" fillId="0" borderId="24" xfId="0" applyNumberFormat="1" applyFont="1" applyFill="1" applyBorder="1" applyAlignment="1">
      <alignment horizontal="right" vertical="center"/>
    </xf>
    <xf numFmtId="1" fontId="33" fillId="0" borderId="24" xfId="0" applyNumberFormat="1" applyFont="1" applyFill="1" applyBorder="1" applyAlignment="1">
      <alignment horizontal="right" vertical="center" wrapText="1"/>
    </xf>
    <xf numFmtId="166" fontId="6" fillId="0" borderId="0" xfId="0" applyNumberFormat="1" applyFont="1" applyFill="1" applyAlignment="1">
      <alignment horizontal="right"/>
    </xf>
    <xf numFmtId="166" fontId="4" fillId="0" borderId="23" xfId="0" applyNumberFormat="1" applyFont="1" applyFill="1" applyBorder="1" applyAlignment="1">
      <alignment horizontal="right" vertical="center"/>
    </xf>
    <xf numFmtId="166" fontId="50" fillId="0" borderId="35" xfId="0" applyNumberFormat="1" applyFont="1" applyFill="1" applyBorder="1" applyAlignment="1">
      <alignment horizontal="right"/>
    </xf>
    <xf numFmtId="167" fontId="33" fillId="0" borderId="24" xfId="0" applyNumberFormat="1" applyFont="1" applyFill="1" applyBorder="1" applyAlignment="1">
      <alignment horizontal="right"/>
    </xf>
    <xf numFmtId="167" fontId="19" fillId="0" borderId="23" xfId="0" applyNumberFormat="1" applyFont="1" applyFill="1" applyBorder="1" applyAlignment="1">
      <alignment horizontal="right"/>
    </xf>
    <xf numFmtId="167" fontId="39" fillId="0" borderId="0" xfId="0" applyNumberFormat="1" applyFont="1" applyFill="1" applyBorder="1" applyAlignment="1">
      <alignment horizontal="right"/>
    </xf>
    <xf numFmtId="167" fontId="49" fillId="0" borderId="10" xfId="0" applyNumberFormat="1" applyFont="1" applyFill="1" applyBorder="1" applyAlignment="1">
      <alignment horizontal="right"/>
    </xf>
    <xf numFmtId="167" fontId="49" fillId="0" borderId="0" xfId="0" applyNumberFormat="1" applyFont="1" applyFill="1" applyAlignment="1">
      <alignment horizontal="right"/>
    </xf>
    <xf numFmtId="167" fontId="51" fillId="0" borderId="51" xfId="0" applyNumberFormat="1" applyFont="1" applyFill="1" applyBorder="1" applyAlignment="1">
      <alignment horizontal="right"/>
    </xf>
    <xf numFmtId="167" fontId="49" fillId="0" borderId="34" xfId="0" applyNumberFormat="1" applyFont="1" applyFill="1" applyBorder="1" applyAlignment="1">
      <alignment horizontal="right"/>
    </xf>
    <xf numFmtId="167" fontId="49" fillId="0" borderId="0" xfId="0" applyNumberFormat="1" applyFont="1" applyFill="1" applyBorder="1" applyAlignment="1">
      <alignment horizontal="right"/>
    </xf>
    <xf numFmtId="167" fontId="49" fillId="0" borderId="24" xfId="0" applyNumberFormat="1" applyFont="1" applyFill="1" applyBorder="1" applyAlignment="1">
      <alignment horizontal="right"/>
    </xf>
    <xf numFmtId="167" fontId="19" fillId="0" borderId="0" xfId="0" applyNumberFormat="1" applyFont="1" applyFill="1" applyAlignment="1">
      <alignment horizontal="right"/>
    </xf>
    <xf numFmtId="167" fontId="39" fillId="0" borderId="24" xfId="0" applyNumberFormat="1" applyFont="1" applyFill="1" applyBorder="1" applyAlignment="1">
      <alignment horizontal="right"/>
    </xf>
    <xf numFmtId="167" fontId="52" fillId="0" borderId="0" xfId="0" applyNumberFormat="1" applyFont="1" applyFill="1" applyAlignment="1">
      <alignment horizontal="right"/>
    </xf>
    <xf numFmtId="167" fontId="52" fillId="0" borderId="0" xfId="0" applyNumberFormat="1" applyFont="1" applyFill="1" applyAlignment="1">
      <alignment horizontal="right" vertical="top"/>
    </xf>
    <xf numFmtId="3" fontId="11" fillId="0" borderId="17" xfId="0" applyNumberFormat="1" applyFont="1" applyFill="1" applyBorder="1" applyAlignment="1">
      <alignment horizontal="right"/>
    </xf>
    <xf numFmtId="0" fontId="21" fillId="0" borderId="2" xfId="0" applyFont="1" applyFill="1" applyBorder="1"/>
    <xf numFmtId="1" fontId="21" fillId="0" borderId="17" xfId="0" applyNumberFormat="1" applyFont="1" applyFill="1" applyBorder="1" applyAlignment="1">
      <alignment horizontal="right" vertical="center" wrapText="1"/>
    </xf>
    <xf numFmtId="0" fontId="19" fillId="0" borderId="0" xfId="0" applyFont="1" applyFill="1" applyBorder="1" applyAlignment="1">
      <alignment vertical="top"/>
    </xf>
    <xf numFmtId="3" fontId="16" fillId="0" borderId="0" xfId="0" applyNumberFormat="1" applyFont="1" applyFill="1" applyBorder="1" applyAlignment="1">
      <alignment vertical="top"/>
    </xf>
    <xf numFmtId="166" fontId="16" fillId="0" borderId="0" xfId="0" applyNumberFormat="1" applyFont="1" applyFill="1" applyBorder="1" applyAlignment="1">
      <alignment vertical="top"/>
    </xf>
    <xf numFmtId="0" fontId="1" fillId="0" borderId="0" xfId="0" applyFont="1" applyFill="1" applyAlignment="1">
      <alignment vertical="top"/>
    </xf>
    <xf numFmtId="0" fontId="1" fillId="0" borderId="38" xfId="0" applyFont="1" applyFill="1" applyBorder="1" applyAlignment="1">
      <alignment vertical="top"/>
    </xf>
    <xf numFmtId="1" fontId="2" fillId="0" borderId="9" xfId="0" applyNumberFormat="1" applyFont="1" applyFill="1" applyBorder="1" applyAlignment="1">
      <alignment horizontal="left" vertical="top"/>
    </xf>
    <xf numFmtId="3" fontId="7" fillId="0" borderId="9" xfId="0" applyNumberFormat="1" applyFont="1" applyFill="1" applyBorder="1" applyAlignment="1">
      <alignment horizontal="left" vertical="top"/>
    </xf>
    <xf numFmtId="0" fontId="6" fillId="0" borderId="9" xfId="0" applyFont="1" applyFill="1" applyBorder="1" applyAlignment="1">
      <alignment vertical="top"/>
    </xf>
    <xf numFmtId="3" fontId="6" fillId="0" borderId="9" xfId="0" applyNumberFormat="1" applyFont="1" applyFill="1" applyBorder="1" applyAlignment="1">
      <alignment vertical="top"/>
    </xf>
    <xf numFmtId="166" fontId="6" fillId="0" borderId="23" xfId="0" applyNumberFormat="1" applyFont="1" applyFill="1" applyBorder="1" applyAlignment="1">
      <alignment vertical="top"/>
    </xf>
    <xf numFmtId="3" fontId="21" fillId="0" borderId="15" xfId="0" applyNumberFormat="1" applyFont="1" applyFill="1" applyBorder="1" applyAlignment="1">
      <alignment horizontal="right" vertical="center" wrapText="1"/>
    </xf>
    <xf numFmtId="1" fontId="21" fillId="0" borderId="2" xfId="0" applyNumberFormat="1" applyFont="1" applyFill="1" applyBorder="1" applyAlignment="1">
      <alignment horizontal="right" vertical="center" wrapText="1"/>
    </xf>
    <xf numFmtId="1" fontId="21" fillId="0" borderId="15" xfId="0" applyNumberFormat="1" applyFont="1" applyFill="1" applyBorder="1" applyAlignment="1">
      <alignment horizontal="right" vertical="center" wrapText="1"/>
    </xf>
    <xf numFmtId="0" fontId="21" fillId="0" borderId="2" xfId="0" applyFont="1" applyFill="1" applyBorder="1" applyAlignment="1">
      <alignment vertical="top" wrapText="1"/>
    </xf>
    <xf numFmtId="0" fontId="21" fillId="0" borderId="2" xfId="0" applyFont="1" applyBorder="1" applyAlignment="1">
      <alignment vertical="top" wrapText="1"/>
    </xf>
    <xf numFmtId="3" fontId="6" fillId="0" borderId="5" xfId="0" applyNumberFormat="1" applyFont="1" applyFill="1" applyBorder="1" applyAlignment="1">
      <alignment vertical="top"/>
    </xf>
    <xf numFmtId="166" fontId="6" fillId="0" borderId="24" xfId="0" applyNumberFormat="1" applyFont="1" applyFill="1" applyBorder="1" applyAlignment="1">
      <alignment vertical="top"/>
    </xf>
    <xf numFmtId="3" fontId="1" fillId="0" borderId="0" xfId="0" applyNumberFormat="1" applyFont="1" applyFill="1" applyAlignment="1">
      <alignment vertical="top"/>
    </xf>
    <xf numFmtId="1" fontId="2" fillId="0" borderId="0" xfId="0" applyNumberFormat="1" applyFont="1" applyFill="1" applyAlignment="1">
      <alignment horizontal="left" vertical="top"/>
    </xf>
    <xf numFmtId="3" fontId="26" fillId="0" borderId="0" xfId="0" applyNumberFormat="1" applyFont="1" applyFill="1" applyAlignment="1">
      <alignment vertical="top"/>
    </xf>
    <xf numFmtId="166" fontId="1" fillId="0" borderId="0" xfId="0" applyNumberFormat="1" applyFont="1" applyFill="1" applyAlignment="1">
      <alignment vertical="top"/>
    </xf>
    <xf numFmtId="0" fontId="9" fillId="0" borderId="2" xfId="0" applyFont="1" applyBorder="1" applyAlignment="1">
      <alignment wrapText="1"/>
    </xf>
    <xf numFmtId="0" fontId="1" fillId="0" borderId="33" xfId="0" applyFont="1" applyFill="1" applyBorder="1"/>
    <xf numFmtId="0" fontId="33" fillId="0" borderId="4" xfId="0" applyFont="1" applyFill="1" applyBorder="1" applyAlignment="1">
      <alignment horizontal="center" vertical="top"/>
    </xf>
    <xf numFmtId="0" fontId="33" fillId="0" borderId="5" xfId="0" applyFont="1" applyFill="1" applyBorder="1" applyAlignment="1">
      <alignment horizontal="center" vertical="top"/>
    </xf>
    <xf numFmtId="1" fontId="33" fillId="0" borderId="5" xfId="0" applyNumberFormat="1" applyFont="1" applyFill="1" applyBorder="1" applyAlignment="1">
      <alignment horizontal="center" vertical="top" wrapText="1"/>
    </xf>
    <xf numFmtId="1" fontId="33" fillId="0" borderId="37" xfId="0" applyNumberFormat="1" applyFont="1" applyFill="1" applyBorder="1" applyAlignment="1">
      <alignment horizontal="center" vertical="top" wrapText="1"/>
    </xf>
    <xf numFmtId="1" fontId="33" fillId="0" borderId="24" xfId="0" applyNumberFormat="1" applyFont="1" applyFill="1" applyBorder="1" applyAlignment="1">
      <alignment horizontal="center" vertical="top" wrapText="1"/>
    </xf>
    <xf numFmtId="0" fontId="26" fillId="0" borderId="0" xfId="0" applyFont="1" applyFill="1" applyAlignment="1">
      <alignment vertical="top"/>
    </xf>
    <xf numFmtId="0" fontId="1" fillId="0" borderId="6" xfId="0" applyFont="1" applyFill="1" applyBorder="1" applyAlignment="1">
      <alignment vertical="top"/>
    </xf>
    <xf numFmtId="1" fontId="2" fillId="0" borderId="2" xfId="0" applyNumberFormat="1" applyFont="1" applyFill="1" applyBorder="1" applyAlignment="1">
      <alignment horizontal="left" vertical="top"/>
    </xf>
    <xf numFmtId="0" fontId="21" fillId="0" borderId="2" xfId="0" applyFont="1" applyFill="1" applyBorder="1" applyAlignment="1">
      <alignment vertical="top"/>
    </xf>
    <xf numFmtId="49" fontId="7" fillId="0" borderId="17" xfId="0" applyNumberFormat="1" applyFont="1" applyBorder="1" applyAlignment="1">
      <alignment horizontal="left" vertical="center"/>
    </xf>
    <xf numFmtId="0" fontId="35" fillId="0" borderId="0" xfId="0" applyFont="1" applyFill="1" applyAlignment="1">
      <alignment vertical="top"/>
    </xf>
    <xf numFmtId="49" fontId="7" fillId="0" borderId="14" xfId="0" applyNumberFormat="1" applyFont="1" applyFill="1" applyBorder="1" applyAlignment="1">
      <alignment horizontal="left" vertical="center"/>
    </xf>
    <xf numFmtId="0" fontId="1" fillId="0" borderId="27" xfId="0" applyFont="1" applyFill="1" applyBorder="1"/>
    <xf numFmtId="49" fontId="7" fillId="0" borderId="27" xfId="0" applyNumberFormat="1" applyFont="1" applyFill="1" applyBorder="1" applyAlignment="1">
      <alignment horizontal="left"/>
    </xf>
    <xf numFmtId="3" fontId="12" fillId="0" borderId="27" xfId="0" applyNumberFormat="1" applyFont="1" applyFill="1" applyBorder="1"/>
    <xf numFmtId="166" fontId="12" fillId="0" borderId="27" xfId="0" applyNumberFormat="1" applyFont="1" applyFill="1" applyBorder="1"/>
    <xf numFmtId="166" fontId="12" fillId="0" borderId="62" xfId="0" applyNumberFormat="1" applyFont="1" applyFill="1" applyBorder="1"/>
    <xf numFmtId="0" fontId="1" fillId="0" borderId="63" xfId="0" applyFont="1" applyFill="1" applyBorder="1"/>
    <xf numFmtId="166" fontId="11" fillId="0" borderId="62" xfId="0" applyNumberFormat="1" applyFont="1" applyFill="1" applyBorder="1"/>
    <xf numFmtId="0" fontId="1" fillId="3" borderId="2" xfId="0" applyFont="1" applyFill="1" applyBorder="1" applyAlignment="1">
      <alignment wrapText="1"/>
    </xf>
    <xf numFmtId="0" fontId="2" fillId="0" borderId="6" xfId="0" applyFont="1" applyFill="1" applyBorder="1" applyAlignment="1">
      <alignment horizontal="center" vertical="center"/>
    </xf>
    <xf numFmtId="0" fontId="2" fillId="0" borderId="17" xfId="0" applyFont="1" applyFill="1" applyBorder="1" applyAlignment="1">
      <alignment horizontal="center" vertical="center"/>
    </xf>
    <xf numFmtId="1" fontId="2" fillId="0" borderId="17" xfId="0" applyNumberFormat="1" applyFont="1" applyFill="1" applyBorder="1" applyAlignment="1">
      <alignment horizontal="center" vertical="center"/>
    </xf>
    <xf numFmtId="3" fontId="6" fillId="0" borderId="0" xfId="0" applyNumberFormat="1" applyFont="1" applyFill="1" applyBorder="1" applyAlignment="1">
      <alignment vertical="top"/>
    </xf>
    <xf numFmtId="166" fontId="6" fillId="0" borderId="0" xfId="0" applyNumberFormat="1" applyFont="1" applyFill="1" applyBorder="1" applyAlignment="1">
      <alignment vertical="top"/>
    </xf>
    <xf numFmtId="1" fontId="2" fillId="0" borderId="17" xfId="0" applyNumberFormat="1" applyFont="1" applyFill="1" applyBorder="1" applyAlignment="1">
      <alignment horizontal="left" vertical="top"/>
    </xf>
    <xf numFmtId="0" fontId="1" fillId="0" borderId="17" xfId="0" applyFont="1" applyFill="1" applyBorder="1" applyAlignment="1">
      <alignment vertical="top"/>
    </xf>
    <xf numFmtId="1" fontId="9" fillId="0" borderId="2" xfId="0" applyNumberFormat="1" applyFont="1" applyFill="1" applyBorder="1" applyAlignment="1">
      <alignment horizontal="left" vertical="top"/>
    </xf>
    <xf numFmtId="0" fontId="21" fillId="0" borderId="0" xfId="0" applyFont="1" applyFill="1" applyBorder="1" applyAlignment="1">
      <alignment vertical="top" wrapText="1"/>
    </xf>
    <xf numFmtId="0" fontId="21" fillId="0" borderId="0" xfId="0" applyFont="1" applyFill="1" applyAlignment="1">
      <alignment vertical="top" wrapText="1"/>
    </xf>
    <xf numFmtId="3" fontId="60" fillId="0" borderId="0" xfId="0" applyNumberFormat="1" applyFont="1" applyFill="1"/>
    <xf numFmtId="166" fontId="21" fillId="0" borderId="0" xfId="0" applyNumberFormat="1" applyFont="1" applyFill="1"/>
    <xf numFmtId="3" fontId="21" fillId="0" borderId="0" xfId="0" applyNumberFormat="1" applyFont="1" applyFill="1" applyAlignment="1">
      <alignment horizontal="right"/>
    </xf>
    <xf numFmtId="3" fontId="21" fillId="0" borderId="0" xfId="0" applyNumberFormat="1" applyFont="1" applyFill="1" applyAlignment="1">
      <alignment vertical="top"/>
    </xf>
    <xf numFmtId="166" fontId="21" fillId="0" borderId="0" xfId="0" applyNumberFormat="1" applyFont="1" applyFill="1" applyAlignment="1">
      <alignment vertical="top"/>
    </xf>
    <xf numFmtId="166" fontId="26" fillId="0" borderId="0" xfId="0" applyNumberFormat="1" applyFont="1" applyFill="1" applyAlignment="1">
      <alignment vertical="top"/>
    </xf>
    <xf numFmtId="0" fontId="4" fillId="0" borderId="4" xfId="0" applyFont="1" applyFill="1" applyBorder="1" applyAlignment="1">
      <alignment horizontal="center" vertical="top"/>
    </xf>
    <xf numFmtId="0" fontId="4" fillId="0" borderId="5" xfId="0" applyFont="1" applyFill="1" applyBorder="1" applyAlignment="1">
      <alignment horizontal="center" vertical="top"/>
    </xf>
    <xf numFmtId="1" fontId="4" fillId="0" borderId="5" xfId="0" applyNumberFormat="1" applyFont="1" applyFill="1" applyBorder="1" applyAlignment="1">
      <alignment horizontal="center" vertical="top"/>
    </xf>
    <xf numFmtId="3" fontId="4" fillId="0" borderId="5" xfId="0" applyNumberFormat="1" applyFont="1" applyFill="1" applyBorder="1" applyAlignment="1">
      <alignment horizontal="center" vertical="top"/>
    </xf>
    <xf numFmtId="166" fontId="4" fillId="0" borderId="24" xfId="0" applyNumberFormat="1" applyFont="1" applyFill="1" applyBorder="1" applyAlignment="1">
      <alignment horizontal="center" vertical="top"/>
    </xf>
    <xf numFmtId="0" fontId="4" fillId="0" borderId="0" xfId="0" applyFont="1" applyFill="1" applyAlignment="1">
      <alignment vertical="top"/>
    </xf>
    <xf numFmtId="0" fontId="1" fillId="0" borderId="2" xfId="0" applyFont="1" applyFill="1" applyBorder="1" applyAlignment="1">
      <alignment vertical="top"/>
    </xf>
    <xf numFmtId="3" fontId="25" fillId="0" borderId="2" xfId="0" applyNumberFormat="1" applyFont="1" applyFill="1" applyBorder="1" applyAlignment="1">
      <alignment horizontal="left" vertical="top"/>
    </xf>
    <xf numFmtId="0" fontId="6" fillId="0" borderId="2" xfId="0" applyFont="1" applyFill="1" applyBorder="1" applyAlignment="1">
      <alignment vertical="top"/>
    </xf>
    <xf numFmtId="3" fontId="6" fillId="0" borderId="2" xfId="0" applyNumberFormat="1" applyFont="1" applyFill="1" applyBorder="1" applyAlignment="1">
      <alignment vertical="top"/>
    </xf>
    <xf numFmtId="166" fontId="6" fillId="0" borderId="21" xfId="0" applyNumberFormat="1" applyFont="1" applyFill="1" applyBorder="1" applyAlignment="1">
      <alignment vertical="top"/>
    </xf>
    <xf numFmtId="3" fontId="7" fillId="0" borderId="2" xfId="0" applyNumberFormat="1" applyFont="1" applyFill="1" applyBorder="1" applyAlignment="1">
      <alignment horizontal="left" vertical="top"/>
    </xf>
    <xf numFmtId="0" fontId="6" fillId="0" borderId="17" xfId="0" applyFont="1" applyFill="1" applyBorder="1" applyAlignment="1">
      <alignment vertical="top"/>
    </xf>
    <xf numFmtId="3" fontId="6" fillId="0" borderId="17" xfId="0" applyNumberFormat="1" applyFont="1" applyFill="1" applyBorder="1" applyAlignment="1">
      <alignment vertical="top"/>
    </xf>
    <xf numFmtId="166" fontId="6" fillId="0" borderId="25" xfId="0" applyNumberFormat="1" applyFont="1" applyFill="1" applyBorder="1" applyAlignment="1">
      <alignment vertical="top"/>
    </xf>
    <xf numFmtId="3" fontId="6" fillId="0" borderId="41" xfId="0" applyNumberFormat="1" applyFont="1" applyFill="1" applyBorder="1" applyAlignment="1">
      <alignment vertical="top"/>
    </xf>
    <xf numFmtId="3" fontId="9" fillId="0" borderId="17" xfId="0" applyNumberFormat="1" applyFont="1" applyFill="1" applyBorder="1" applyAlignment="1">
      <alignment vertical="top"/>
    </xf>
    <xf numFmtId="0" fontId="1" fillId="0" borderId="47" xfId="0" applyFont="1" applyFill="1" applyBorder="1" applyAlignment="1">
      <alignment vertical="top"/>
    </xf>
    <xf numFmtId="1" fontId="2" fillId="0" borderId="41" xfId="0" applyNumberFormat="1" applyFont="1" applyFill="1" applyBorder="1" applyAlignment="1">
      <alignment horizontal="left" vertical="top"/>
    </xf>
    <xf numFmtId="3" fontId="7" fillId="0" borderId="41" xfId="0" applyNumberFormat="1" applyFont="1" applyFill="1" applyBorder="1" applyAlignment="1">
      <alignment horizontal="left" vertical="top"/>
    </xf>
    <xf numFmtId="166" fontId="6" fillId="0" borderId="43" xfId="0" applyNumberFormat="1" applyFont="1" applyFill="1" applyBorder="1" applyAlignment="1">
      <alignment vertical="top"/>
    </xf>
    <xf numFmtId="0" fontId="1" fillId="0" borderId="12" xfId="0" applyFont="1" applyFill="1" applyBorder="1" applyAlignment="1">
      <alignment vertical="top"/>
    </xf>
    <xf numFmtId="1" fontId="2" fillId="0" borderId="15" xfId="0" applyNumberFormat="1" applyFont="1" applyFill="1" applyBorder="1" applyAlignment="1">
      <alignment horizontal="left" vertical="top"/>
    </xf>
    <xf numFmtId="166" fontId="9" fillId="0" borderId="21" xfId="0" applyNumberFormat="1" applyFont="1" applyFill="1" applyBorder="1" applyAlignment="1">
      <alignment vertical="top"/>
    </xf>
    <xf numFmtId="3" fontId="12" fillId="0" borderId="15" xfId="0" applyNumberFormat="1" applyFont="1" applyFill="1" applyBorder="1" applyAlignment="1">
      <alignment vertical="top"/>
    </xf>
    <xf numFmtId="3" fontId="7" fillId="0" borderId="17" xfId="0" applyNumberFormat="1" applyFont="1" applyFill="1" applyBorder="1" applyAlignment="1">
      <alignment horizontal="left" vertical="top"/>
    </xf>
    <xf numFmtId="168" fontId="7" fillId="0" borderId="2" xfId="0" applyNumberFormat="1" applyFont="1" applyFill="1" applyBorder="1" applyAlignment="1">
      <alignment horizontal="left" vertical="top"/>
    </xf>
    <xf numFmtId="3" fontId="11" fillId="0" borderId="2" xfId="0" applyNumberFormat="1" applyFont="1" applyFill="1" applyBorder="1" applyAlignment="1">
      <alignment vertical="top"/>
    </xf>
    <xf numFmtId="166" fontId="11" fillId="0" borderId="21" xfId="0" applyNumberFormat="1" applyFont="1" applyFill="1" applyBorder="1" applyAlignment="1">
      <alignment vertical="top"/>
    </xf>
    <xf numFmtId="49" fontId="25" fillId="0" borderId="14" xfId="4" applyNumberFormat="1" applyFont="1" applyBorder="1" applyAlignment="1">
      <alignment horizontal="left" vertical="top"/>
    </xf>
    <xf numFmtId="3" fontId="12" fillId="0" borderId="14" xfId="4" applyFont="1" applyBorder="1" applyAlignment="1">
      <alignment vertical="top"/>
    </xf>
    <xf numFmtId="0" fontId="12" fillId="0" borderId="17" xfId="0" applyFont="1" applyFill="1" applyBorder="1" applyAlignment="1">
      <alignment vertical="top"/>
    </xf>
    <xf numFmtId="166" fontId="9" fillId="0" borderId="25" xfId="0" applyNumberFormat="1" applyFont="1" applyFill="1" applyBorder="1" applyAlignment="1">
      <alignment vertical="top"/>
    </xf>
    <xf numFmtId="0" fontId="10" fillId="0" borderId="0" xfId="0" applyFont="1" applyBorder="1" applyAlignment="1">
      <alignment wrapText="1"/>
    </xf>
    <xf numFmtId="3" fontId="10" fillId="0" borderId="15" xfId="0" applyNumberFormat="1" applyFont="1" applyBorder="1" applyAlignment="1">
      <alignment horizontal="left" vertical="center" wrapText="1"/>
    </xf>
    <xf numFmtId="3" fontId="6" fillId="0" borderId="0" xfId="0" applyNumberFormat="1" applyFont="1" applyFill="1" applyBorder="1" applyAlignment="1">
      <alignment horizontal="right" vertical="center"/>
    </xf>
    <xf numFmtId="3" fontId="11" fillId="0" borderId="64" xfId="0" applyNumberFormat="1" applyFont="1" applyBorder="1" applyAlignment="1">
      <alignment horizontal="left" vertical="center" wrapText="1"/>
    </xf>
    <xf numFmtId="3" fontId="11" fillId="0" borderId="15" xfId="0" applyNumberFormat="1" applyFont="1" applyBorder="1" applyAlignment="1">
      <alignment horizontal="left" vertical="center" wrapText="1"/>
    </xf>
    <xf numFmtId="3" fontId="11" fillId="0" borderId="53" xfId="0" applyNumberFormat="1" applyFont="1" applyBorder="1" applyAlignment="1">
      <alignment horizontal="left" vertical="center" wrapText="1"/>
    </xf>
    <xf numFmtId="0" fontId="10" fillId="0" borderId="64" xfId="0" applyFont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0" fontId="10" fillId="0" borderId="53" xfId="0" applyFont="1" applyBorder="1" applyAlignment="1">
      <alignment horizontal="center" vertical="center"/>
    </xf>
    <xf numFmtId="3" fontId="6" fillId="0" borderId="34" xfId="0" applyNumberFormat="1" applyFont="1" applyFill="1" applyBorder="1" applyAlignment="1">
      <alignment horizontal="right" vertical="center"/>
    </xf>
    <xf numFmtId="3" fontId="11" fillId="0" borderId="9" xfId="0" applyNumberFormat="1" applyFont="1" applyBorder="1" applyAlignment="1">
      <alignment horizontal="right" vertical="center" wrapText="1"/>
    </xf>
    <xf numFmtId="3" fontId="11" fillId="0" borderId="2" xfId="0" applyNumberFormat="1" applyFont="1" applyBorder="1" applyAlignment="1">
      <alignment horizontal="right" vertical="center" wrapText="1"/>
    </xf>
    <xf numFmtId="3" fontId="9" fillId="0" borderId="2" xfId="0" applyNumberFormat="1" applyFont="1" applyBorder="1" applyAlignment="1">
      <alignment horizontal="right" vertical="center" wrapText="1"/>
    </xf>
    <xf numFmtId="3" fontId="11" fillId="0" borderId="14" xfId="0" applyNumberFormat="1" applyFont="1" applyBorder="1" applyAlignment="1">
      <alignment horizontal="right" vertical="center" wrapText="1"/>
    </xf>
    <xf numFmtId="0" fontId="10" fillId="0" borderId="0" xfId="0" applyFont="1" applyBorder="1" applyAlignment="1">
      <alignment wrapText="1"/>
    </xf>
    <xf numFmtId="3" fontId="11" fillId="0" borderId="14" xfId="0" applyNumberFormat="1" applyFont="1" applyFill="1" applyBorder="1" applyAlignment="1">
      <alignment horizontal="right" vertical="center"/>
    </xf>
    <xf numFmtId="167" fontId="6" fillId="0" borderId="25" xfId="0" applyNumberFormat="1" applyFont="1" applyBorder="1" applyAlignment="1">
      <alignment horizontal="right" vertical="center"/>
    </xf>
    <xf numFmtId="167" fontId="6" fillId="0" borderId="42" xfId="0" applyNumberFormat="1" applyFont="1" applyBorder="1" applyAlignment="1">
      <alignment horizontal="right" vertical="center"/>
    </xf>
    <xf numFmtId="0" fontId="1" fillId="0" borderId="0" xfId="10" applyFont="1" applyFill="1"/>
    <xf numFmtId="0" fontId="10" fillId="0" borderId="65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50" xfId="0" applyFont="1" applyBorder="1" applyAlignment="1">
      <alignment horizontal="center" vertical="center"/>
    </xf>
    <xf numFmtId="1" fontId="1" fillId="0" borderId="0" xfId="10" applyNumberFormat="1" applyFont="1" applyFill="1" applyAlignment="1">
      <alignment horizontal="right"/>
    </xf>
    <xf numFmtId="3" fontId="1" fillId="0" borderId="0" xfId="10" applyNumberFormat="1" applyFont="1" applyFill="1"/>
    <xf numFmtId="0" fontId="1" fillId="0" borderId="0" xfId="10" applyFont="1" applyFill="1" applyAlignment="1">
      <alignment horizontal="center"/>
    </xf>
    <xf numFmtId="1" fontId="2" fillId="0" borderId="0" xfId="10" applyNumberFormat="1" applyFont="1" applyFill="1" applyAlignment="1">
      <alignment horizontal="left"/>
    </xf>
    <xf numFmtId="0" fontId="31" fillId="0" borderId="0" xfId="10" applyFont="1" applyFill="1"/>
    <xf numFmtId="167" fontId="29" fillId="0" borderId="10" xfId="10" applyNumberFormat="1" applyFont="1" applyFill="1" applyBorder="1" applyAlignment="1">
      <alignment horizontal="right" shrinkToFit="1"/>
    </xf>
    <xf numFmtId="3" fontId="29" fillId="0" borderId="10" xfId="10" applyNumberFormat="1" applyFont="1" applyFill="1" applyBorder="1"/>
    <xf numFmtId="0" fontId="1" fillId="0" borderId="10" xfId="10" applyFont="1" applyFill="1" applyBorder="1"/>
    <xf numFmtId="1" fontId="30" fillId="0" borderId="10" xfId="10" applyNumberFormat="1" applyFont="1" applyFill="1" applyBorder="1" applyAlignment="1">
      <alignment horizontal="center"/>
    </xf>
    <xf numFmtId="0" fontId="29" fillId="0" borderId="10" xfId="10" applyFont="1" applyFill="1" applyBorder="1" applyAlignment="1">
      <alignment horizontal="left"/>
    </xf>
    <xf numFmtId="167" fontId="1" fillId="0" borderId="0" xfId="10" applyNumberFormat="1" applyFont="1" applyFill="1" applyAlignment="1">
      <alignment horizontal="right"/>
    </xf>
    <xf numFmtId="167" fontId="3" fillId="0" borderId="0" xfId="10" applyNumberFormat="1" applyFont="1" applyFill="1" applyBorder="1" applyAlignment="1">
      <alignment horizontal="right"/>
    </xf>
    <xf numFmtId="3" fontId="51" fillId="0" borderId="0" xfId="10" applyNumberFormat="1" applyFont="1" applyFill="1" applyAlignment="1">
      <alignment horizontal="right"/>
    </xf>
    <xf numFmtId="168" fontId="51" fillId="0" borderId="0" xfId="10" applyNumberFormat="1" applyFont="1" applyFill="1" applyAlignment="1">
      <alignment horizontal="center"/>
    </xf>
    <xf numFmtId="1" fontId="51" fillId="0" borderId="0" xfId="10" applyNumberFormat="1" applyFont="1" applyFill="1" applyAlignment="1">
      <alignment horizontal="left"/>
    </xf>
    <xf numFmtId="0" fontId="65" fillId="0" borderId="0" xfId="10" applyFont="1" applyFill="1"/>
    <xf numFmtId="3" fontId="51" fillId="0" borderId="0" xfId="10" applyNumberFormat="1" applyFont="1" applyFill="1"/>
    <xf numFmtId="168" fontId="51" fillId="0" borderId="0" xfId="10" applyNumberFormat="1" applyFont="1" applyFill="1" applyAlignment="1">
      <alignment horizontal="right"/>
    </xf>
    <xf numFmtId="1" fontId="51" fillId="0" borderId="0" xfId="10" applyNumberFormat="1" applyFont="1" applyFill="1" applyAlignment="1">
      <alignment horizontal="center"/>
    </xf>
    <xf numFmtId="167" fontId="50" fillId="0" borderId="0" xfId="10" applyNumberFormat="1" applyFont="1" applyFill="1" applyBorder="1" applyAlignment="1">
      <alignment horizontal="right"/>
    </xf>
    <xf numFmtId="168" fontId="49" fillId="0" borderId="0" xfId="10" applyNumberFormat="1" applyFont="1" applyFill="1" applyBorder="1" applyAlignment="1">
      <alignment horizontal="right"/>
    </xf>
    <xf numFmtId="168" fontId="39" fillId="0" borderId="0" xfId="10" applyNumberFormat="1" applyFont="1" applyFill="1" applyBorder="1" applyAlignment="1">
      <alignment horizontal="center"/>
    </xf>
    <xf numFmtId="1" fontId="39" fillId="0" borderId="0" xfId="10" applyNumberFormat="1" applyFont="1" applyFill="1" applyBorder="1" applyAlignment="1">
      <alignment horizontal="center"/>
    </xf>
    <xf numFmtId="1" fontId="39" fillId="0" borderId="0" xfId="10" applyNumberFormat="1" applyFont="1" applyFill="1" applyBorder="1" applyAlignment="1">
      <alignment horizontal="left"/>
    </xf>
    <xf numFmtId="0" fontId="3" fillId="0" borderId="0" xfId="10" applyFont="1" applyFill="1"/>
    <xf numFmtId="167" fontId="5" fillId="0" borderId="22" xfId="10" applyNumberFormat="1" applyFont="1" applyFill="1" applyBorder="1" applyAlignment="1">
      <alignment horizontal="right"/>
    </xf>
    <xf numFmtId="3" fontId="5" fillId="0" borderId="5" xfId="10" applyNumberFormat="1" applyFont="1" applyFill="1" applyBorder="1"/>
    <xf numFmtId="0" fontId="1" fillId="0" borderId="48" xfId="10" applyFont="1" applyFill="1" applyBorder="1"/>
    <xf numFmtId="3" fontId="18" fillId="0" borderId="8" xfId="10" applyNumberFormat="1" applyFont="1" applyFill="1" applyBorder="1" applyAlignment="1">
      <alignment horizontal="center"/>
    </xf>
    <xf numFmtId="0" fontId="3" fillId="0" borderId="8" xfId="10" applyFont="1" applyFill="1" applyBorder="1"/>
    <xf numFmtId="0" fontId="23" fillId="0" borderId="7" xfId="10" applyFont="1" applyFill="1" applyBorder="1" applyAlignment="1">
      <alignment horizontal="left"/>
    </xf>
    <xf numFmtId="0" fontId="10" fillId="0" borderId="0" xfId="10" applyFont="1"/>
    <xf numFmtId="167" fontId="9" fillId="0" borderId="25" xfId="10" applyNumberFormat="1" applyFont="1" applyBorder="1" applyAlignment="1">
      <alignment horizontal="right"/>
    </xf>
    <xf numFmtId="3" fontId="9" fillId="0" borderId="2" xfId="10" applyNumberFormat="1" applyFont="1" applyFill="1" applyBorder="1" applyAlignment="1">
      <alignment horizontal="right"/>
    </xf>
    <xf numFmtId="3" fontId="9" fillId="0" borderId="0" xfId="10" applyNumberFormat="1" applyFont="1" applyFill="1" applyBorder="1" applyAlignment="1">
      <alignment horizontal="right"/>
    </xf>
    <xf numFmtId="3" fontId="9" fillId="0" borderId="2" xfId="10" applyNumberFormat="1" applyFont="1" applyBorder="1" applyAlignment="1">
      <alignment horizontal="right"/>
    </xf>
    <xf numFmtId="49" fontId="7" fillId="0" borderId="2" xfId="10" applyNumberFormat="1" applyFont="1" applyBorder="1" applyAlignment="1">
      <alignment horizontal="left" vertical="top"/>
    </xf>
    <xf numFmtId="1" fontId="2" fillId="0" borderId="2" xfId="10" applyNumberFormat="1" applyFont="1" applyBorder="1" applyAlignment="1">
      <alignment horizontal="left"/>
    </xf>
    <xf numFmtId="1" fontId="2" fillId="0" borderId="12" xfId="10" applyNumberFormat="1" applyFont="1" applyBorder="1" applyAlignment="1">
      <alignment horizontal="left"/>
    </xf>
    <xf numFmtId="1" fontId="10" fillId="0" borderId="0" xfId="10" applyNumberFormat="1" applyFont="1" applyBorder="1" applyAlignment="1">
      <alignment horizontal="left"/>
    </xf>
    <xf numFmtId="49" fontId="7" fillId="0" borderId="2" xfId="10" applyNumberFormat="1" applyFont="1" applyBorder="1" applyAlignment="1">
      <alignment horizontal="left"/>
    </xf>
    <xf numFmtId="167" fontId="11" fillId="0" borderId="25" xfId="10" applyNumberFormat="1" applyFont="1" applyBorder="1" applyAlignment="1">
      <alignment horizontal="right"/>
    </xf>
    <xf numFmtId="3" fontId="11" fillId="0" borderId="2" xfId="10" applyNumberFormat="1" applyFont="1" applyFill="1" applyBorder="1" applyAlignment="1">
      <alignment horizontal="right"/>
    </xf>
    <xf numFmtId="3" fontId="11" fillId="0" borderId="0" xfId="10" applyNumberFormat="1" applyFont="1" applyFill="1" applyBorder="1" applyAlignment="1">
      <alignment horizontal="right"/>
    </xf>
    <xf numFmtId="0" fontId="11" fillId="0" borderId="0" xfId="10" applyFont="1" applyBorder="1"/>
    <xf numFmtId="49" fontId="25" fillId="0" borderId="2" xfId="10" applyNumberFormat="1" applyFont="1" applyBorder="1" applyAlignment="1">
      <alignment horizontal="left"/>
    </xf>
    <xf numFmtId="0" fontId="10" fillId="0" borderId="0" xfId="10" applyFont="1" applyBorder="1"/>
    <xf numFmtId="0" fontId="1" fillId="0" borderId="0" xfId="10" applyBorder="1" applyAlignment="1"/>
    <xf numFmtId="3" fontId="11" fillId="0" borderId="2" xfId="10" applyNumberFormat="1" applyFont="1" applyBorder="1" applyAlignment="1">
      <alignment horizontal="right"/>
    </xf>
    <xf numFmtId="0" fontId="11" fillId="0" borderId="0" xfId="10" applyFont="1" applyBorder="1" applyAlignment="1"/>
    <xf numFmtId="167" fontId="6" fillId="0" borderId="25" xfId="10" applyNumberFormat="1" applyFont="1" applyBorder="1" applyAlignment="1">
      <alignment horizontal="right"/>
    </xf>
    <xf numFmtId="0" fontId="6" fillId="0" borderId="0" xfId="10" applyFont="1" applyBorder="1" applyAlignment="1"/>
    <xf numFmtId="3" fontId="11" fillId="0" borderId="9" xfId="10" applyNumberFormat="1" applyFont="1" applyFill="1" applyBorder="1" applyAlignment="1">
      <alignment horizontal="right"/>
    </xf>
    <xf numFmtId="3" fontId="11" fillId="0" borderId="27" xfId="10" applyNumberFormat="1" applyFont="1" applyFill="1" applyBorder="1" applyAlignment="1">
      <alignment horizontal="right"/>
    </xf>
    <xf numFmtId="0" fontId="26" fillId="0" borderId="0" xfId="10" applyFont="1" applyFill="1" applyAlignment="1">
      <alignment vertical="center"/>
    </xf>
    <xf numFmtId="0" fontId="4" fillId="0" borderId="0" xfId="10" applyFont="1" applyFill="1" applyBorder="1"/>
    <xf numFmtId="1" fontId="33" fillId="0" borderId="24" xfId="10" applyNumberFormat="1" applyFont="1" applyFill="1" applyBorder="1" applyAlignment="1">
      <alignment horizontal="center" vertical="center" wrapText="1"/>
    </xf>
    <xf numFmtId="1" fontId="33" fillId="0" borderId="5" xfId="10" applyNumberFormat="1" applyFont="1" applyFill="1" applyBorder="1" applyAlignment="1">
      <alignment horizontal="center" vertical="center" wrapText="1"/>
    </xf>
    <xf numFmtId="0" fontId="33" fillId="0" borderId="5" xfId="10" applyFont="1" applyFill="1" applyBorder="1" applyAlignment="1">
      <alignment horizontal="center" vertical="center"/>
    </xf>
    <xf numFmtId="0" fontId="33" fillId="0" borderId="4" xfId="10" applyFont="1" applyFill="1" applyBorder="1" applyAlignment="1">
      <alignment horizontal="center" vertical="center"/>
    </xf>
    <xf numFmtId="0" fontId="4" fillId="0" borderId="0" xfId="10" applyFont="1" applyFill="1"/>
    <xf numFmtId="1" fontId="4" fillId="0" borderId="24" xfId="10" applyNumberFormat="1" applyFont="1" applyFill="1" applyBorder="1" applyAlignment="1">
      <alignment horizontal="center" vertical="center"/>
    </xf>
    <xf numFmtId="0" fontId="4" fillId="0" borderId="5" xfId="10" applyFont="1" applyFill="1" applyBorder="1" applyAlignment="1">
      <alignment horizontal="center" vertical="center"/>
    </xf>
    <xf numFmtId="165" fontId="4" fillId="0" borderId="5" xfId="10" applyNumberFormat="1" applyFont="1" applyFill="1" applyBorder="1" applyAlignment="1">
      <alignment horizontal="center" vertical="center"/>
    </xf>
    <xf numFmtId="1" fontId="4" fillId="0" borderId="5" xfId="10" applyNumberFormat="1" applyFont="1" applyFill="1" applyBorder="1" applyAlignment="1">
      <alignment horizontal="center" vertical="center"/>
    </xf>
    <xf numFmtId="0" fontId="4" fillId="0" borderId="4" xfId="10" applyFont="1" applyFill="1" applyBorder="1" applyAlignment="1">
      <alignment horizontal="center" vertical="center"/>
    </xf>
    <xf numFmtId="3" fontId="1" fillId="0" borderId="0" xfId="10" applyNumberFormat="1" applyFont="1" applyFill="1" applyAlignment="1">
      <alignment horizontal="right"/>
    </xf>
    <xf numFmtId="165" fontId="4" fillId="0" borderId="0" xfId="10" applyNumberFormat="1" applyFont="1" applyFill="1" applyAlignment="1">
      <alignment horizontal="center"/>
    </xf>
    <xf numFmtId="1" fontId="2" fillId="0" borderId="0" xfId="10" applyNumberFormat="1" applyFont="1" applyFill="1" applyAlignment="1">
      <alignment horizontal="center"/>
    </xf>
    <xf numFmtId="1" fontId="5" fillId="0" borderId="0" xfId="10" applyNumberFormat="1" applyFont="1" applyFill="1" applyBorder="1" applyAlignment="1">
      <alignment horizontal="right"/>
    </xf>
    <xf numFmtId="3" fontId="5" fillId="0" borderId="0" xfId="10" applyNumberFormat="1" applyFont="1" applyFill="1" applyBorder="1"/>
    <xf numFmtId="3" fontId="5" fillId="0" borderId="0" xfId="10" applyNumberFormat="1" applyFont="1" applyFill="1" applyBorder="1" applyAlignment="1">
      <alignment horizontal="right"/>
    </xf>
    <xf numFmtId="3" fontId="1" fillId="0" borderId="0" xfId="10" applyNumberFormat="1" applyFont="1" applyFill="1" applyBorder="1"/>
    <xf numFmtId="0" fontId="1" fillId="0" borderId="0" xfId="10" applyFont="1" applyFill="1" applyBorder="1"/>
    <xf numFmtId="165" fontId="44" fillId="0" borderId="0" xfId="10" applyNumberFormat="1" applyFont="1" applyFill="1" applyBorder="1" applyAlignment="1">
      <alignment horizontal="center"/>
    </xf>
    <xf numFmtId="0" fontId="16" fillId="0" borderId="0" xfId="10" applyFont="1" applyFill="1" applyBorder="1" applyAlignment="1">
      <alignment horizontal="center"/>
    </xf>
    <xf numFmtId="1" fontId="28" fillId="0" borderId="0" xfId="10" applyNumberFormat="1" applyFont="1" applyFill="1" applyBorder="1" applyAlignment="1">
      <alignment horizontal="left"/>
    </xf>
    <xf numFmtId="1" fontId="6" fillId="0" borderId="0" xfId="10" applyNumberFormat="1" applyFont="1" applyFill="1" applyAlignment="1">
      <alignment horizontal="right"/>
    </xf>
    <xf numFmtId="3" fontId="6" fillId="0" borderId="0" xfId="10" applyNumberFormat="1" applyFont="1" applyFill="1"/>
    <xf numFmtId="3" fontId="10" fillId="0" borderId="0" xfId="10" applyNumberFormat="1" applyFont="1" applyFill="1"/>
    <xf numFmtId="0" fontId="6" fillId="0" borderId="0" xfId="10" applyFont="1" applyFill="1"/>
    <xf numFmtId="165" fontId="44" fillId="0" borderId="8" xfId="10" applyNumberFormat="1" applyFont="1" applyFill="1" applyBorder="1" applyAlignment="1">
      <alignment horizontal="center"/>
    </xf>
    <xf numFmtId="3" fontId="2" fillId="0" borderId="0" xfId="10" applyNumberFormat="1" applyFont="1" applyAlignment="1">
      <alignment horizontal="left"/>
    </xf>
    <xf numFmtId="166" fontId="11" fillId="0" borderId="35" xfId="10" applyNumberFormat="1" applyFont="1" applyBorder="1" applyAlignment="1">
      <alignment horizontal="right"/>
    </xf>
    <xf numFmtId="3" fontId="6" fillId="0" borderId="14" xfId="10" applyNumberFormat="1" applyFont="1" applyFill="1" applyBorder="1" applyAlignment="1">
      <alignment horizontal="right"/>
    </xf>
    <xf numFmtId="3" fontId="6" fillId="0" borderId="34" xfId="10" applyNumberFormat="1" applyFont="1" applyFill="1" applyBorder="1" applyAlignment="1">
      <alignment horizontal="right"/>
    </xf>
    <xf numFmtId="3" fontId="6" fillId="0" borderId="14" xfId="10" applyNumberFormat="1" applyFont="1" applyBorder="1" applyAlignment="1">
      <alignment horizontal="right"/>
    </xf>
    <xf numFmtId="0" fontId="6" fillId="0" borderId="34" xfId="10" applyFont="1" applyBorder="1"/>
    <xf numFmtId="168" fontId="7" fillId="0" borderId="14" xfId="10" applyNumberFormat="1" applyFont="1" applyBorder="1" applyAlignment="1">
      <alignment horizontal="left"/>
    </xf>
    <xf numFmtId="1" fontId="2" fillId="0" borderId="14" xfId="10" applyNumberFormat="1" applyFont="1" applyBorder="1" applyAlignment="1">
      <alignment horizontal="left"/>
    </xf>
    <xf numFmtId="1" fontId="2" fillId="0" borderId="33" xfId="10" applyNumberFormat="1" applyFont="1" applyBorder="1" applyAlignment="1">
      <alignment horizontal="left"/>
    </xf>
    <xf numFmtId="166" fontId="11" fillId="0" borderId="25" xfId="10" applyNumberFormat="1" applyFont="1" applyBorder="1" applyAlignment="1">
      <alignment horizontal="right"/>
    </xf>
    <xf numFmtId="3" fontId="6" fillId="0" borderId="0" xfId="10" applyNumberFormat="1" applyFont="1" applyFill="1" applyBorder="1" applyAlignment="1">
      <alignment horizontal="right"/>
    </xf>
    <xf numFmtId="0" fontId="6" fillId="0" borderId="0" xfId="10" applyFont="1" applyBorder="1"/>
    <xf numFmtId="166" fontId="9" fillId="0" borderId="25" xfId="10" applyNumberFormat="1" applyFont="1" applyBorder="1" applyAlignment="1">
      <alignment horizontal="right"/>
    </xf>
    <xf numFmtId="3" fontId="12" fillId="0" borderId="2" xfId="10" applyNumberFormat="1" applyFont="1" applyFill="1" applyBorder="1" applyAlignment="1">
      <alignment horizontal="right"/>
    </xf>
    <xf numFmtId="3" fontId="12" fillId="0" borderId="0" xfId="10" applyNumberFormat="1" applyFont="1" applyFill="1" applyBorder="1" applyAlignment="1">
      <alignment horizontal="right"/>
    </xf>
    <xf numFmtId="49" fontId="25" fillId="0" borderId="2" xfId="10" applyNumberFormat="1" applyFont="1" applyBorder="1" applyAlignment="1">
      <alignment horizontal="left" vertical="center"/>
    </xf>
    <xf numFmtId="166" fontId="6" fillId="0" borderId="25" xfId="10" applyNumberFormat="1" applyFont="1" applyBorder="1" applyAlignment="1">
      <alignment horizontal="right"/>
    </xf>
    <xf numFmtId="3" fontId="6" fillId="0" borderId="2" xfId="10" applyNumberFormat="1" applyFont="1" applyFill="1" applyBorder="1" applyAlignment="1">
      <alignment horizontal="right"/>
    </xf>
    <xf numFmtId="3" fontId="6" fillId="0" borderId="2" xfId="10" applyNumberFormat="1" applyFont="1" applyBorder="1" applyAlignment="1">
      <alignment horizontal="right"/>
    </xf>
    <xf numFmtId="168" fontId="7" fillId="0" borderId="2" xfId="10" applyNumberFormat="1" applyFont="1" applyBorder="1" applyAlignment="1">
      <alignment horizontal="left"/>
    </xf>
    <xf numFmtId="0" fontId="19" fillId="0" borderId="0" xfId="10" applyFont="1" applyBorder="1" applyAlignment="1"/>
    <xf numFmtId="3" fontId="4" fillId="0" borderId="5" xfId="10" applyNumberFormat="1" applyFont="1" applyFill="1" applyBorder="1" applyAlignment="1">
      <alignment horizontal="center" vertical="center"/>
    </xf>
    <xf numFmtId="1" fontId="7" fillId="0" borderId="0" xfId="10" applyNumberFormat="1" applyFont="1" applyFill="1" applyAlignment="1">
      <alignment horizontal="left"/>
    </xf>
    <xf numFmtId="3" fontId="10" fillId="0" borderId="0" xfId="10" applyNumberFormat="1" applyFont="1"/>
    <xf numFmtId="166" fontId="9" fillId="0" borderId="35" xfId="10" applyNumberFormat="1" applyFont="1" applyBorder="1" applyAlignment="1">
      <alignment horizontal="right"/>
    </xf>
    <xf numFmtId="3" fontId="12" fillId="0" borderId="14" xfId="10" applyNumberFormat="1" applyFont="1" applyFill="1" applyBorder="1" applyAlignment="1">
      <alignment horizontal="right"/>
    </xf>
    <xf numFmtId="3" fontId="12" fillId="0" borderId="34" xfId="10" applyNumberFormat="1" applyFont="1" applyFill="1" applyBorder="1" applyAlignment="1">
      <alignment horizontal="right"/>
    </xf>
    <xf numFmtId="49" fontId="7" fillId="0" borderId="14" xfId="10" applyNumberFormat="1" applyFont="1" applyBorder="1" applyAlignment="1">
      <alignment horizontal="left"/>
    </xf>
    <xf numFmtId="166" fontId="9" fillId="0" borderId="25" xfId="10" applyNumberFormat="1" applyFont="1" applyBorder="1" applyAlignment="1">
      <alignment horizontal="right" vertical="top"/>
    </xf>
    <xf numFmtId="3" fontId="12" fillId="0" borderId="2" xfId="10" applyNumberFormat="1" applyFont="1" applyFill="1" applyBorder="1" applyAlignment="1">
      <alignment horizontal="right" vertical="top"/>
    </xf>
    <xf numFmtId="3" fontId="12" fillId="0" borderId="0" xfId="10" applyNumberFormat="1" applyFont="1" applyFill="1" applyBorder="1" applyAlignment="1">
      <alignment horizontal="right" vertical="top"/>
    </xf>
    <xf numFmtId="0" fontId="1" fillId="0" borderId="0" xfId="10" applyBorder="1" applyAlignment="1">
      <alignment vertical="top" wrapText="1"/>
    </xf>
    <xf numFmtId="49" fontId="7" fillId="0" borderId="2" xfId="10" applyNumberFormat="1" applyFont="1" applyBorder="1" applyAlignment="1">
      <alignment horizontal="left" vertical="center"/>
    </xf>
    <xf numFmtId="0" fontId="1" fillId="0" borderId="0" xfId="10" applyFont="1" applyAlignment="1">
      <alignment vertical="top"/>
    </xf>
    <xf numFmtId="0" fontId="10" fillId="0" borderId="0" xfId="10" applyFont="1" applyBorder="1" applyAlignment="1">
      <alignment wrapText="1"/>
    </xf>
    <xf numFmtId="0" fontId="11" fillId="0" borderId="0" xfId="10" applyFont="1" applyFill="1" applyBorder="1"/>
    <xf numFmtId="0" fontId="10" fillId="0" borderId="17" xfId="10" applyFont="1" applyBorder="1" applyAlignment="1"/>
    <xf numFmtId="49" fontId="25" fillId="0" borderId="2" xfId="10" applyNumberFormat="1" applyFont="1" applyBorder="1" applyAlignment="1">
      <alignment horizontal="left" vertical="top"/>
    </xf>
    <xf numFmtId="1" fontId="2" fillId="0" borderId="0" xfId="10" applyNumberFormat="1" applyFont="1" applyBorder="1" applyAlignment="1">
      <alignment horizontal="left"/>
    </xf>
    <xf numFmtId="1" fontId="2" fillId="0" borderId="6" xfId="10" applyNumberFormat="1" applyFont="1" applyBorder="1" applyAlignment="1">
      <alignment horizontal="left"/>
    </xf>
    <xf numFmtId="168" fontId="7" fillId="0" borderId="2" xfId="10" applyNumberFormat="1" applyFont="1" applyBorder="1" applyAlignment="1"/>
    <xf numFmtId="168" fontId="25" fillId="0" borderId="2" xfId="10" applyNumberFormat="1" applyFont="1" applyFill="1" applyBorder="1"/>
    <xf numFmtId="0" fontId="6" fillId="0" borderId="2" xfId="10" applyFont="1" applyFill="1" applyBorder="1"/>
    <xf numFmtId="1" fontId="2" fillId="0" borderId="34" xfId="10" applyNumberFormat="1" applyFont="1" applyBorder="1" applyAlignment="1">
      <alignment horizontal="left"/>
    </xf>
    <xf numFmtId="1" fontId="2" fillId="0" borderId="50" xfId="10" applyNumberFormat="1" applyFont="1" applyBorder="1" applyAlignment="1">
      <alignment horizontal="left"/>
    </xf>
    <xf numFmtId="3" fontId="9" fillId="0" borderId="0" xfId="10" applyNumberFormat="1" applyFont="1" applyBorder="1" applyAlignment="1">
      <alignment horizontal="right"/>
    </xf>
    <xf numFmtId="0" fontId="1" fillId="0" borderId="0" xfId="10" applyBorder="1" applyAlignment="1">
      <alignment vertical="top"/>
    </xf>
    <xf numFmtId="0" fontId="10" fillId="0" borderId="0" xfId="10" applyFont="1" applyFill="1"/>
    <xf numFmtId="3" fontId="9" fillId="0" borderId="0" xfId="10" applyNumberFormat="1" applyFont="1" applyFill="1" applyBorder="1" applyAlignment="1">
      <alignment horizontal="right" vertical="top"/>
    </xf>
    <xf numFmtId="3" fontId="9" fillId="0" borderId="2" xfId="10" applyNumberFormat="1" applyFont="1" applyFill="1" applyBorder="1" applyAlignment="1">
      <alignment horizontal="right" vertical="top"/>
    </xf>
    <xf numFmtId="3" fontId="11" fillId="0" borderId="2" xfId="10" applyNumberFormat="1" applyFont="1" applyFill="1" applyBorder="1" applyAlignment="1">
      <alignment horizontal="right" vertical="top"/>
    </xf>
    <xf numFmtId="3" fontId="11" fillId="0" borderId="0" xfId="10" applyNumberFormat="1" applyFont="1" applyFill="1" applyBorder="1" applyAlignment="1">
      <alignment horizontal="right" vertical="top"/>
    </xf>
    <xf numFmtId="0" fontId="5" fillId="0" borderId="0" xfId="10" applyFont="1" applyFill="1" applyBorder="1"/>
    <xf numFmtId="1" fontId="5" fillId="0" borderId="6" xfId="10" applyNumberFormat="1" applyFont="1" applyFill="1" applyBorder="1" applyAlignment="1">
      <alignment horizontal="left"/>
    </xf>
    <xf numFmtId="0" fontId="6" fillId="0" borderId="27" xfId="10" applyFont="1" applyBorder="1"/>
    <xf numFmtId="49" fontId="7" fillId="0" borderId="9" xfId="10" applyNumberFormat="1" applyFont="1" applyBorder="1" applyAlignment="1">
      <alignment horizontal="left"/>
    </xf>
    <xf numFmtId="1" fontId="2" fillId="0" borderId="27" xfId="10" applyNumberFormat="1" applyFont="1" applyBorder="1" applyAlignment="1">
      <alignment horizontal="left"/>
    </xf>
    <xf numFmtId="1" fontId="2" fillId="0" borderId="38" xfId="10" applyNumberFormat="1" applyFont="1" applyBorder="1" applyAlignment="1">
      <alignment horizontal="left"/>
    </xf>
    <xf numFmtId="0" fontId="18" fillId="0" borderId="0" xfId="10" applyFont="1" applyFill="1" applyBorder="1"/>
    <xf numFmtId="1" fontId="5" fillId="0" borderId="0" xfId="10" applyNumberFormat="1" applyFont="1" applyFill="1" applyBorder="1" applyAlignment="1">
      <alignment horizontal="left"/>
    </xf>
    <xf numFmtId="0" fontId="21" fillId="0" borderId="0" xfId="10" applyFont="1" applyFill="1" applyAlignment="1">
      <alignment horizontal="left"/>
    </xf>
    <xf numFmtId="3" fontId="16" fillId="0" borderId="0" xfId="10" applyNumberFormat="1" applyFont="1" applyFill="1" applyAlignment="1">
      <alignment horizontal="right"/>
    </xf>
    <xf numFmtId="1" fontId="9" fillId="0" borderId="0" xfId="10" applyNumberFormat="1" applyFont="1" applyFill="1" applyBorder="1" applyAlignment="1">
      <alignment horizontal="left"/>
    </xf>
    <xf numFmtId="3" fontId="5" fillId="0" borderId="1" xfId="10" applyNumberFormat="1" applyFont="1" applyFill="1" applyBorder="1"/>
    <xf numFmtId="3" fontId="1" fillId="0" borderId="1" xfId="10" applyNumberFormat="1" applyFont="1" applyFill="1" applyBorder="1"/>
    <xf numFmtId="0" fontId="18" fillId="0" borderId="1" xfId="10" applyFont="1" applyFill="1" applyBorder="1"/>
    <xf numFmtId="0" fontId="16" fillId="0" borderId="1" xfId="10" applyFont="1" applyFill="1" applyBorder="1" applyAlignment="1">
      <alignment horizontal="center"/>
    </xf>
    <xf numFmtId="1" fontId="5" fillId="0" borderId="1" xfId="10" applyNumberFormat="1" applyFont="1" applyFill="1" applyBorder="1" applyAlignment="1">
      <alignment horizontal="left"/>
    </xf>
    <xf numFmtId="49" fontId="25" fillId="0" borderId="2" xfId="10" applyNumberFormat="1" applyFont="1" applyFill="1" applyBorder="1" applyAlignment="1"/>
    <xf numFmtId="168" fontId="25" fillId="0" borderId="14" xfId="10" applyNumberFormat="1" applyFont="1" applyFill="1" applyBorder="1" applyAlignment="1"/>
    <xf numFmtId="0" fontId="11" fillId="0" borderId="34" xfId="10" applyFont="1" applyFill="1" applyBorder="1"/>
    <xf numFmtId="3" fontId="11" fillId="0" borderId="14" xfId="10" applyNumberFormat="1" applyFont="1" applyFill="1" applyBorder="1" applyAlignment="1">
      <alignment horizontal="right"/>
    </xf>
    <xf numFmtId="166" fontId="6" fillId="0" borderId="35" xfId="10" applyNumberFormat="1" applyFont="1" applyBorder="1" applyAlignment="1">
      <alignment horizontal="right"/>
    </xf>
    <xf numFmtId="0" fontId="1" fillId="0" borderId="14" xfId="10" applyBorder="1" applyAlignment="1"/>
    <xf numFmtId="49" fontId="7" fillId="0" borderId="0" xfId="10" applyNumberFormat="1" applyFont="1" applyBorder="1" applyAlignment="1">
      <alignment horizontal="left"/>
    </xf>
    <xf numFmtId="0" fontId="1" fillId="0" borderId="0" xfId="10" applyBorder="1" applyAlignment="1">
      <alignment wrapText="1"/>
    </xf>
    <xf numFmtId="166" fontId="9" fillId="0" borderId="0" xfId="10" applyNumberFormat="1" applyFont="1" applyBorder="1" applyAlignment="1">
      <alignment horizontal="right"/>
    </xf>
    <xf numFmtId="3" fontId="9" fillId="0" borderId="14" xfId="10" applyNumberFormat="1" applyFont="1" applyBorder="1" applyAlignment="1">
      <alignment horizontal="right"/>
    </xf>
    <xf numFmtId="0" fontId="10" fillId="0" borderId="0" xfId="0" applyFont="1" applyBorder="1" applyAlignment="1">
      <alignment wrapText="1"/>
    </xf>
    <xf numFmtId="0" fontId="10" fillId="0" borderId="2" xfId="0" applyFont="1" applyBorder="1" applyAlignment="1">
      <alignment wrapText="1"/>
    </xf>
    <xf numFmtId="3" fontId="9" fillId="0" borderId="0" xfId="10" applyNumberFormat="1" applyFont="1" applyFill="1"/>
    <xf numFmtId="0" fontId="10" fillId="0" borderId="0" xfId="0" applyFont="1" applyBorder="1" applyAlignment="1">
      <alignment wrapText="1"/>
    </xf>
    <xf numFmtId="173" fontId="26" fillId="0" borderId="2" xfId="1" applyNumberFormat="1" applyFont="1" applyFill="1" applyBorder="1" applyAlignment="1">
      <alignment horizontal="center" vertical="center" wrapText="1"/>
    </xf>
    <xf numFmtId="173" fontId="20" fillId="0" borderId="0" xfId="1" applyNumberFormat="1" applyFill="1" applyBorder="1" applyAlignment="1">
      <alignment horizontal="center" vertical="center" wrapText="1"/>
    </xf>
    <xf numFmtId="3" fontId="6" fillId="0" borderId="15" xfId="0" applyNumberFormat="1" applyFont="1" applyFill="1" applyBorder="1" applyAlignment="1">
      <alignment horizontal="right"/>
    </xf>
    <xf numFmtId="3" fontId="90" fillId="0" borderId="0" xfId="0" applyNumberFormat="1" applyFont="1" applyFill="1"/>
    <xf numFmtId="166" fontId="6" fillId="0" borderId="21" xfId="0" applyNumberFormat="1" applyFont="1" applyBorder="1" applyAlignment="1">
      <alignment horizontal="right"/>
    </xf>
    <xf numFmtId="0" fontId="9" fillId="3" borderId="2" xfId="0" applyFont="1" applyFill="1" applyBorder="1" applyAlignment="1">
      <alignment horizontal="right"/>
    </xf>
    <xf numFmtId="0" fontId="9" fillId="3" borderId="53" xfId="0" applyFont="1" applyFill="1" applyBorder="1" applyAlignment="1">
      <alignment horizontal="right"/>
    </xf>
    <xf numFmtId="0" fontId="10" fillId="0" borderId="0" xfId="0" applyFont="1" applyBorder="1" applyAlignment="1">
      <alignment wrapText="1"/>
    </xf>
    <xf numFmtId="0" fontId="11" fillId="0" borderId="0" xfId="0" applyFont="1" applyBorder="1" applyAlignment="1">
      <alignment wrapText="1"/>
    </xf>
    <xf numFmtId="3" fontId="9" fillId="0" borderId="0" xfId="0" applyNumberFormat="1" applyFont="1" applyFill="1" applyAlignment="1">
      <alignment horizontal="right"/>
    </xf>
    <xf numFmtId="0" fontId="92" fillId="0" borderId="0" xfId="0" applyFont="1" applyAlignment="1">
      <alignment vertical="center"/>
    </xf>
    <xf numFmtId="168" fontId="21" fillId="0" borderId="0" xfId="0" applyNumberFormat="1" applyFont="1" applyFill="1"/>
    <xf numFmtId="0" fontId="25" fillId="0" borderId="0" xfId="0" applyFont="1" applyBorder="1"/>
    <xf numFmtId="1" fontId="25" fillId="0" borderId="9" xfId="0" applyNumberFormat="1" applyFont="1" applyBorder="1" applyAlignment="1">
      <alignment horizontal="left"/>
    </xf>
    <xf numFmtId="3" fontId="9" fillId="3" borderId="14" xfId="8" applyFont="1" applyFill="1" applyBorder="1" applyAlignment="1">
      <alignment horizontal="right"/>
    </xf>
    <xf numFmtId="0" fontId="10" fillId="0" borderId="27" xfId="0" applyFont="1" applyBorder="1" applyAlignment="1">
      <alignment wrapText="1"/>
    </xf>
    <xf numFmtId="0" fontId="10" fillId="0" borderId="17" xfId="0" applyFont="1" applyBorder="1" applyAlignment="1">
      <alignment wrapText="1"/>
    </xf>
    <xf numFmtId="167" fontId="9" fillId="0" borderId="27" xfId="0" applyNumberFormat="1" applyFont="1" applyBorder="1" applyAlignment="1">
      <alignment horizontal="right"/>
    </xf>
    <xf numFmtId="3" fontId="93" fillId="0" borderId="0" xfId="0" applyNumberFormat="1" applyFont="1" applyFill="1" applyBorder="1" applyAlignment="1">
      <alignment horizontal="right"/>
    </xf>
    <xf numFmtId="3" fontId="94" fillId="0" borderId="0" xfId="0" applyNumberFormat="1" applyFont="1" applyFill="1" applyBorder="1" applyAlignment="1">
      <alignment horizontal="right"/>
    </xf>
    <xf numFmtId="0" fontId="95" fillId="0" borderId="0" xfId="0" applyFont="1" applyFill="1"/>
    <xf numFmtId="3" fontId="10" fillId="0" borderId="0" xfId="0" applyNumberFormat="1" applyFont="1" applyFill="1"/>
    <xf numFmtId="4" fontId="1" fillId="0" borderId="28" xfId="0" applyNumberFormat="1" applyFont="1" applyFill="1" applyBorder="1" applyAlignment="1">
      <alignment horizontal="center" vertical="center"/>
    </xf>
    <xf numFmtId="4" fontId="1" fillId="0" borderId="19" xfId="0" applyNumberFormat="1" applyFont="1" applyFill="1" applyBorder="1" applyAlignment="1">
      <alignment horizontal="center" vertical="center"/>
    </xf>
    <xf numFmtId="4" fontId="1" fillId="0" borderId="0" xfId="0" applyNumberFormat="1" applyFont="1" applyFill="1" applyBorder="1" applyAlignment="1">
      <alignment horizontal="center" vertical="center"/>
    </xf>
    <xf numFmtId="4" fontId="33" fillId="0" borderId="0" xfId="0" applyNumberFormat="1" applyFont="1" applyFill="1" applyBorder="1" applyAlignment="1">
      <alignment horizontal="center" vertical="center"/>
    </xf>
    <xf numFmtId="4" fontId="96" fillId="0" borderId="0" xfId="0" applyNumberFormat="1" applyFont="1" applyFill="1" applyBorder="1"/>
    <xf numFmtId="4" fontId="72" fillId="0" borderId="0" xfId="0" applyNumberFormat="1" applyFont="1" applyFill="1" applyBorder="1"/>
    <xf numFmtId="4" fontId="72" fillId="0" borderId="28" xfId="0" applyNumberFormat="1" applyFont="1" applyFill="1" applyBorder="1"/>
    <xf numFmtId="4" fontId="72" fillId="0" borderId="19" xfId="0" applyNumberFormat="1" applyFont="1" applyFill="1" applyBorder="1"/>
    <xf numFmtId="0" fontId="70" fillId="0" borderId="0" xfId="0" applyFont="1" applyFill="1"/>
    <xf numFmtId="4" fontId="1" fillId="0" borderId="0" xfId="0" applyNumberFormat="1" applyFont="1" applyFill="1"/>
    <xf numFmtId="4" fontId="1" fillId="0" borderId="0" xfId="0" applyNumberFormat="1" applyFont="1" applyFill="1" applyBorder="1"/>
    <xf numFmtId="4" fontId="21" fillId="0" borderId="0" xfId="0" applyNumberFormat="1" applyFont="1" applyFill="1" applyBorder="1"/>
    <xf numFmtId="4" fontId="74" fillId="0" borderId="0" xfId="0" applyNumberFormat="1" applyFont="1" applyFill="1" applyBorder="1"/>
    <xf numFmtId="0" fontId="35" fillId="0" borderId="0" xfId="0" applyFont="1" applyFill="1" applyBorder="1"/>
    <xf numFmtId="4" fontId="35" fillId="0" borderId="0" xfId="0" applyNumberFormat="1" applyFont="1" applyFill="1"/>
    <xf numFmtId="4" fontId="72" fillId="0" borderId="0" xfId="0" applyNumberFormat="1" applyFont="1" applyFill="1"/>
    <xf numFmtId="4" fontId="96" fillId="0" borderId="0" xfId="0" applyNumberFormat="1" applyFont="1" applyFill="1"/>
    <xf numFmtId="0" fontId="97" fillId="0" borderId="0" xfId="0" applyFont="1" applyFill="1"/>
    <xf numFmtId="4" fontId="96" fillId="0" borderId="10" xfId="0" applyNumberFormat="1" applyFont="1" applyFill="1" applyBorder="1"/>
    <xf numFmtId="4" fontId="19" fillId="0" borderId="37" xfId="0" applyNumberFormat="1" applyFont="1" applyFill="1" applyBorder="1"/>
    <xf numFmtId="4" fontId="19" fillId="0" borderId="10" xfId="0" applyNumberFormat="1" applyFont="1" applyFill="1" applyBorder="1"/>
    <xf numFmtId="4" fontId="21" fillId="0" borderId="0" xfId="0" applyNumberFormat="1" applyFont="1" applyFill="1"/>
    <xf numFmtId="4" fontId="60" fillId="0" borderId="0" xfId="0" applyNumberFormat="1" applyFont="1" applyFill="1"/>
    <xf numFmtId="4" fontId="26" fillId="0" borderId="0" xfId="0" applyNumberFormat="1" applyFont="1" applyFill="1"/>
    <xf numFmtId="4" fontId="98" fillId="0" borderId="0" xfId="0" applyNumberFormat="1" applyFont="1" applyFill="1"/>
    <xf numFmtId="4" fontId="9" fillId="0" borderId="0" xfId="0" applyNumberFormat="1" applyFont="1" applyFill="1" applyBorder="1"/>
    <xf numFmtId="4" fontId="70" fillId="0" borderId="0" xfId="0" applyNumberFormat="1" applyFont="1" applyFill="1" applyBorder="1" applyAlignment="1">
      <alignment horizontal="right"/>
    </xf>
    <xf numFmtId="4" fontId="57" fillId="0" borderId="0" xfId="0" applyNumberFormat="1" applyFont="1" applyFill="1" applyBorder="1" applyAlignment="1">
      <alignment horizontal="right"/>
    </xf>
    <xf numFmtId="4" fontId="10" fillId="0" borderId="0" xfId="0" applyNumberFormat="1" applyFont="1" applyFill="1" applyBorder="1" applyAlignment="1">
      <alignment horizontal="justify"/>
    </xf>
    <xf numFmtId="0" fontId="10" fillId="0" borderId="0" xfId="0" applyFont="1" applyBorder="1" applyAlignment="1">
      <alignment wrapText="1"/>
    </xf>
    <xf numFmtId="1" fontId="11" fillId="0" borderId="0" xfId="0" applyNumberFormat="1" applyFont="1" applyFill="1" applyAlignment="1">
      <alignment horizontal="left"/>
    </xf>
    <xf numFmtId="1" fontId="11" fillId="0" borderId="2" xfId="0" applyNumberFormat="1" applyFont="1" applyFill="1" applyBorder="1" applyAlignment="1">
      <alignment horizontal="left"/>
    </xf>
    <xf numFmtId="3" fontId="19" fillId="0" borderId="17" xfId="0" applyNumberFormat="1" applyFont="1" applyFill="1" applyBorder="1" applyAlignment="1"/>
    <xf numFmtId="0" fontId="10" fillId="0" borderId="0" xfId="0" applyFont="1" applyBorder="1" applyAlignment="1">
      <alignment wrapText="1"/>
    </xf>
    <xf numFmtId="0" fontId="10" fillId="0" borderId="2" xfId="0" applyFont="1" applyBorder="1" applyAlignment="1">
      <alignment wrapText="1"/>
    </xf>
    <xf numFmtId="0" fontId="10" fillId="0" borderId="14" xfId="0" applyFont="1" applyBorder="1" applyAlignment="1">
      <alignment wrapText="1"/>
    </xf>
    <xf numFmtId="1" fontId="33" fillId="0" borderId="24" xfId="0" applyNumberFormat="1" applyFont="1" applyFill="1" applyBorder="1" applyAlignment="1">
      <alignment horizontal="center" vertical="center"/>
    </xf>
    <xf numFmtId="3" fontId="21" fillId="0" borderId="0" xfId="0" applyNumberFormat="1" applyFont="1" applyFill="1" applyAlignment="1"/>
    <xf numFmtId="1" fontId="1" fillId="0" borderId="0" xfId="0" applyNumberFormat="1" applyFont="1" applyFill="1" applyAlignment="1">
      <alignment horizontal="left"/>
    </xf>
    <xf numFmtId="1" fontId="1" fillId="0" borderId="0" xfId="0" applyNumberFormat="1" applyFont="1" applyFill="1" applyAlignment="1">
      <alignment horizontal="center"/>
    </xf>
    <xf numFmtId="1" fontId="21" fillId="0" borderId="0" xfId="0" applyNumberFormat="1" applyFont="1" applyFill="1" applyAlignment="1">
      <alignment horizontal="left"/>
    </xf>
    <xf numFmtId="1" fontId="21" fillId="0" borderId="0" xfId="0" applyNumberFormat="1" applyFont="1" applyFill="1" applyAlignment="1">
      <alignment horizontal="center"/>
    </xf>
    <xf numFmtId="168" fontId="1" fillId="0" borderId="0" xfId="0" applyNumberFormat="1" applyFont="1" applyFill="1" applyAlignment="1">
      <alignment horizontal="left"/>
    </xf>
    <xf numFmtId="1" fontId="99" fillId="0" borderId="0" xfId="0" applyNumberFormat="1" applyFont="1" applyFill="1" applyAlignment="1">
      <alignment horizontal="left"/>
    </xf>
    <xf numFmtId="167" fontId="1" fillId="0" borderId="0" xfId="0" applyNumberFormat="1" applyFont="1" applyFill="1"/>
    <xf numFmtId="0" fontId="1" fillId="0" borderId="0" xfId="0" applyFont="1" applyBorder="1" applyAlignment="1">
      <alignment vertical="top" wrapText="1"/>
    </xf>
    <xf numFmtId="0" fontId="1" fillId="0" borderId="0" xfId="0" applyFont="1" applyBorder="1" applyAlignment="1">
      <alignment vertical="top"/>
    </xf>
    <xf numFmtId="1" fontId="9" fillId="0" borderId="0" xfId="0" applyNumberFormat="1" applyFont="1" applyAlignment="1">
      <alignment horizontal="left"/>
    </xf>
    <xf numFmtId="1" fontId="1" fillId="0" borderId="6" xfId="0" applyNumberFormat="1" applyFont="1" applyFill="1" applyBorder="1" applyAlignment="1">
      <alignment horizontal="center"/>
    </xf>
    <xf numFmtId="1" fontId="1" fillId="0" borderId="2" xfId="0" applyNumberFormat="1" applyFont="1" applyFill="1" applyBorder="1" applyAlignment="1">
      <alignment horizontal="center"/>
    </xf>
    <xf numFmtId="1" fontId="1" fillId="0" borderId="15" xfId="0" applyNumberFormat="1" applyFont="1" applyFill="1" applyBorder="1" applyAlignment="1">
      <alignment horizontal="center"/>
    </xf>
    <xf numFmtId="1" fontId="62" fillId="0" borderId="0" xfId="0" applyNumberFormat="1" applyFont="1" applyFill="1" applyBorder="1" applyAlignment="1">
      <alignment horizontal="left"/>
    </xf>
    <xf numFmtId="1" fontId="62" fillId="0" borderId="0" xfId="0" applyNumberFormat="1" applyFont="1" applyFill="1" applyBorder="1" applyAlignment="1">
      <alignment horizontal="center"/>
    </xf>
    <xf numFmtId="168" fontId="62" fillId="0" borderId="0" xfId="0" applyNumberFormat="1" applyFont="1" applyFill="1" applyBorder="1" applyAlignment="1">
      <alignment horizontal="center"/>
    </xf>
    <xf numFmtId="0" fontId="62" fillId="0" borderId="0" xfId="0" applyFont="1" applyFill="1" applyBorder="1"/>
    <xf numFmtId="3" fontId="62" fillId="0" borderId="0" xfId="0" applyNumberFormat="1" applyFont="1" applyFill="1" applyBorder="1" applyAlignment="1"/>
    <xf numFmtId="167" fontId="62" fillId="0" borderId="0" xfId="0" applyNumberFormat="1" applyFont="1" applyFill="1" applyBorder="1"/>
    <xf numFmtId="168" fontId="26" fillId="0" borderId="0" xfId="0" applyNumberFormat="1" applyFont="1" applyFill="1" applyBorder="1" applyAlignment="1">
      <alignment horizontal="center"/>
    </xf>
    <xf numFmtId="167" fontId="21" fillId="0" borderId="0" xfId="0" applyNumberFormat="1" applyFont="1" applyFill="1" applyBorder="1"/>
    <xf numFmtId="0" fontId="1" fillId="0" borderId="0" xfId="0" applyFont="1" applyFill="1" applyAlignment="1"/>
    <xf numFmtId="1" fontId="1" fillId="0" borderId="50" xfId="0" applyNumberFormat="1" applyFont="1" applyFill="1" applyBorder="1" applyAlignment="1">
      <alignment horizontal="center"/>
    </xf>
    <xf numFmtId="1" fontId="1" fillId="0" borderId="14" xfId="0" applyNumberFormat="1" applyFont="1" applyFill="1" applyBorder="1" applyAlignment="1">
      <alignment horizontal="center"/>
    </xf>
    <xf numFmtId="0" fontId="1" fillId="0" borderId="0" xfId="0" applyFont="1" applyAlignment="1">
      <alignment vertical="top" wrapText="1"/>
    </xf>
    <xf numFmtId="0" fontId="1" fillId="0" borderId="14" xfId="0" applyFont="1" applyBorder="1" applyAlignment="1">
      <alignment vertical="top" wrapText="1"/>
    </xf>
    <xf numFmtId="1" fontId="9" fillId="0" borderId="0" xfId="0" applyNumberFormat="1" applyFont="1" applyBorder="1" applyAlignment="1">
      <alignment horizontal="left"/>
    </xf>
    <xf numFmtId="1" fontId="35" fillId="0" borderId="0" xfId="0" applyNumberFormat="1" applyFont="1" applyFill="1" applyAlignment="1">
      <alignment horizontal="center"/>
    </xf>
    <xf numFmtId="49" fontId="68" fillId="3" borderId="2" xfId="0" applyNumberFormat="1" applyFont="1" applyFill="1" applyBorder="1" applyAlignment="1">
      <alignment horizontal="left"/>
    </xf>
    <xf numFmtId="0" fontId="13" fillId="0" borderId="0" xfId="0" applyFont="1"/>
    <xf numFmtId="49" fontId="68" fillId="0" borderId="2" xfId="0" applyNumberFormat="1" applyFont="1" applyBorder="1" applyAlignment="1">
      <alignment horizontal="left" vertical="top"/>
    </xf>
    <xf numFmtId="0" fontId="13" fillId="3" borderId="0" xfId="0" applyFont="1" applyFill="1"/>
    <xf numFmtId="168" fontId="68" fillId="0" borderId="0" xfId="0" applyNumberFormat="1" applyFont="1" applyAlignment="1">
      <alignment horizontal="left"/>
    </xf>
    <xf numFmtId="49" fontId="68" fillId="0" borderId="2" xfId="0" applyNumberFormat="1" applyFont="1" applyBorder="1" applyAlignment="1">
      <alignment horizontal="left"/>
    </xf>
    <xf numFmtId="49" fontId="68" fillId="0" borderId="14" xfId="0" applyNumberFormat="1" applyFont="1" applyBorder="1" applyAlignment="1">
      <alignment horizontal="left"/>
    </xf>
    <xf numFmtId="0" fontId="15" fillId="0" borderId="8" xfId="0" applyFont="1" applyFill="1" applyBorder="1"/>
    <xf numFmtId="168" fontId="68" fillId="0" borderId="8" xfId="0" applyNumberFormat="1" applyFont="1" applyFill="1" applyBorder="1" applyAlignment="1">
      <alignment horizontal="center"/>
    </xf>
    <xf numFmtId="3" fontId="53" fillId="0" borderId="5" xfId="0" applyNumberFormat="1" applyFont="1" applyFill="1" applyBorder="1" applyAlignment="1"/>
    <xf numFmtId="167" fontId="53" fillId="0" borderId="22" xfId="0" applyNumberFormat="1" applyFont="1" applyFill="1" applyBorder="1"/>
    <xf numFmtId="1" fontId="35" fillId="0" borderId="38" xfId="0" applyNumberFormat="1" applyFont="1" applyFill="1" applyBorder="1" applyAlignment="1">
      <alignment horizontal="center"/>
    </xf>
    <xf numFmtId="1" fontId="35" fillId="0" borderId="9" xfId="0" applyNumberFormat="1" applyFont="1" applyFill="1" applyBorder="1" applyAlignment="1">
      <alignment horizontal="center"/>
    </xf>
    <xf numFmtId="168" fontId="60" fillId="0" borderId="9" xfId="0" applyNumberFormat="1" applyFont="1" applyFill="1" applyBorder="1" applyAlignment="1">
      <alignment horizontal="center"/>
    </xf>
    <xf numFmtId="0" fontId="35" fillId="0" borderId="0" xfId="0" applyFont="1" applyFill="1" applyAlignment="1"/>
    <xf numFmtId="1" fontId="35" fillId="0" borderId="6" xfId="0" applyNumberFormat="1" applyFont="1" applyFill="1" applyBorder="1" applyAlignment="1">
      <alignment horizontal="center"/>
    </xf>
    <xf numFmtId="1" fontId="35" fillId="0" borderId="2" xfId="0" applyNumberFormat="1" applyFont="1" applyFill="1" applyBorder="1" applyAlignment="1">
      <alignment horizontal="center"/>
    </xf>
    <xf numFmtId="168" fontId="60" fillId="0" borderId="2" xfId="0" applyNumberFormat="1" applyFont="1" applyFill="1" applyBorder="1" applyAlignment="1">
      <alignment horizontal="center"/>
    </xf>
    <xf numFmtId="49" fontId="18" fillId="0" borderId="2" xfId="0" applyNumberFormat="1" applyFont="1" applyFill="1" applyBorder="1" applyAlignment="1">
      <alignment horizontal="left"/>
    </xf>
    <xf numFmtId="49" fontId="18" fillId="0" borderId="2" xfId="0" applyNumberFormat="1" applyFont="1" applyBorder="1" applyAlignment="1">
      <alignment horizontal="left" vertical="center"/>
    </xf>
    <xf numFmtId="0" fontId="39" fillId="0" borderId="10" xfId="0" applyFont="1" applyFill="1" applyBorder="1" applyAlignment="1"/>
    <xf numFmtId="1" fontId="13" fillId="0" borderId="38" xfId="0" applyNumberFormat="1" applyFont="1" applyBorder="1" applyAlignment="1">
      <alignment horizontal="left"/>
    </xf>
    <xf numFmtId="1" fontId="16" fillId="0" borderId="27" xfId="0" applyNumberFormat="1" applyFont="1" applyBorder="1" applyAlignment="1">
      <alignment horizontal="left"/>
    </xf>
    <xf numFmtId="49" fontId="18" fillId="0" borderId="9" xfId="0" applyNumberFormat="1" applyFont="1" applyBorder="1" applyAlignment="1">
      <alignment horizontal="left"/>
    </xf>
    <xf numFmtId="0" fontId="49" fillId="0" borderId="0" xfId="0" applyFont="1" applyFill="1" applyAlignment="1">
      <alignment horizontal="left"/>
    </xf>
    <xf numFmtId="0" fontId="45" fillId="0" borderId="0" xfId="0" applyFont="1" applyFill="1"/>
    <xf numFmtId="3" fontId="101" fillId="0" borderId="0" xfId="0" applyNumberFormat="1" applyFont="1" applyFill="1"/>
    <xf numFmtId="49" fontId="25" fillId="0" borderId="27" xfId="0" applyNumberFormat="1" applyFont="1" applyBorder="1" applyAlignment="1">
      <alignment horizontal="left"/>
    </xf>
    <xf numFmtId="0" fontId="10" fillId="0" borderId="27" xfId="0" applyFont="1" applyBorder="1"/>
    <xf numFmtId="3" fontId="39" fillId="0" borderId="60" xfId="0" applyNumberFormat="1" applyFont="1" applyFill="1" applyBorder="1"/>
    <xf numFmtId="167" fontId="6" fillId="0" borderId="60" xfId="0" applyNumberFormat="1" applyFont="1" applyFill="1" applyBorder="1"/>
    <xf numFmtId="3" fontId="6" fillId="0" borderId="34" xfId="0" applyNumberFormat="1" applyFont="1" applyFill="1" applyBorder="1"/>
    <xf numFmtId="3" fontId="9" fillId="0" borderId="34" xfId="0" applyNumberFormat="1" applyFont="1" applyFill="1" applyBorder="1"/>
    <xf numFmtId="167" fontId="27" fillId="0" borderId="34" xfId="0" applyNumberFormat="1" applyFont="1" applyFill="1" applyBorder="1"/>
    <xf numFmtId="3" fontId="79" fillId="0" borderId="0" xfId="0" applyNumberFormat="1" applyFont="1" applyFill="1"/>
    <xf numFmtId="3" fontId="11" fillId="0" borderId="2" xfId="6" applyFont="1" applyFill="1" applyBorder="1" applyAlignment="1">
      <alignment horizontal="right"/>
    </xf>
    <xf numFmtId="0" fontId="27" fillId="0" borderId="2" xfId="0" applyFont="1" applyBorder="1" applyAlignment="1">
      <alignment vertical="top" wrapText="1"/>
    </xf>
    <xf numFmtId="0" fontId="27" fillId="0" borderId="2" xfId="0" applyFont="1" applyFill="1" applyBorder="1" applyAlignment="1"/>
    <xf numFmtId="167" fontId="12" fillId="0" borderId="21" xfId="0" applyNumberFormat="1" applyFont="1" applyFill="1" applyBorder="1" applyAlignment="1">
      <alignment horizontal="right"/>
    </xf>
    <xf numFmtId="1" fontId="20" fillId="0" borderId="2" xfId="0" applyNumberFormat="1" applyFont="1" applyFill="1" applyBorder="1" applyAlignment="1">
      <alignment horizontal="center"/>
    </xf>
    <xf numFmtId="167" fontId="21" fillId="0" borderId="25" xfId="0" applyNumberFormat="1" applyFont="1" applyFill="1" applyBorder="1"/>
    <xf numFmtId="1" fontId="1" fillId="0" borderId="38" xfId="0" applyNumberFormat="1" applyFont="1" applyFill="1" applyBorder="1" applyAlignment="1">
      <alignment horizontal="center"/>
    </xf>
    <xf numFmtId="0" fontId="12" fillId="0" borderId="2" xfId="0" applyFont="1" applyFill="1" applyBorder="1" applyAlignment="1">
      <alignment horizontal="right"/>
    </xf>
    <xf numFmtId="0" fontId="10" fillId="0" borderId="15" xfId="0" applyFont="1" applyBorder="1" applyAlignment="1">
      <alignment wrapText="1"/>
    </xf>
    <xf numFmtId="49" fontId="25" fillId="0" borderId="0" xfId="0" applyNumberFormat="1" applyFont="1" applyBorder="1" applyAlignment="1">
      <alignment horizontal="left" vertical="top"/>
    </xf>
    <xf numFmtId="0" fontId="1" fillId="0" borderId="12" xfId="0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center" vertical="center"/>
    </xf>
    <xf numFmtId="1" fontId="2" fillId="0" borderId="48" xfId="0" applyNumberFormat="1" applyFont="1" applyBorder="1" applyAlignment="1">
      <alignment horizontal="left"/>
    </xf>
    <xf numFmtId="0" fontId="10" fillId="0" borderId="48" xfId="0" applyFont="1" applyBorder="1"/>
    <xf numFmtId="0" fontId="10" fillId="0" borderId="2" xfId="0" applyFont="1" applyBorder="1" applyAlignment="1">
      <alignment vertical="top" wrapText="1"/>
    </xf>
    <xf numFmtId="0" fontId="10" fillId="0" borderId="2" xfId="0" applyFont="1" applyBorder="1" applyAlignment="1">
      <alignment wrapText="1"/>
    </xf>
    <xf numFmtId="0" fontId="33" fillId="0" borderId="12" xfId="0" applyFont="1" applyFill="1" applyBorder="1" applyAlignment="1">
      <alignment horizontal="center" vertical="center"/>
    </xf>
    <xf numFmtId="0" fontId="2" fillId="0" borderId="17" xfId="0" applyFont="1" applyBorder="1" applyAlignment="1"/>
    <xf numFmtId="0" fontId="2" fillId="0" borderId="2" xfId="0" applyFont="1" applyBorder="1" applyAlignment="1">
      <alignment horizontal="left"/>
    </xf>
    <xf numFmtId="168" fontId="7" fillId="3" borderId="2" xfId="0" applyNumberFormat="1" applyFont="1" applyFill="1" applyBorder="1" applyAlignment="1">
      <alignment horizontal="left"/>
    </xf>
    <xf numFmtId="3" fontId="10" fillId="0" borderId="34" xfId="0" applyNumberFormat="1" applyFont="1" applyFill="1" applyBorder="1" applyAlignment="1">
      <alignment horizontal="right" vertical="top"/>
    </xf>
    <xf numFmtId="166" fontId="9" fillId="0" borderId="35" xfId="0" applyNumberFormat="1" applyFont="1" applyBorder="1" applyAlignment="1">
      <alignment horizontal="right" vertical="top"/>
    </xf>
    <xf numFmtId="0" fontId="1" fillId="0" borderId="2" xfId="0" applyFont="1" applyBorder="1"/>
    <xf numFmtId="0" fontId="1" fillId="0" borderId="17" xfId="0" applyFont="1" applyBorder="1"/>
    <xf numFmtId="0" fontId="33" fillId="0" borderId="26" xfId="0" applyFont="1" applyFill="1" applyBorder="1" applyAlignment="1">
      <alignment horizontal="center" vertical="center"/>
    </xf>
    <xf numFmtId="0" fontId="33" fillId="0" borderId="27" xfId="0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left" vertical="center"/>
    </xf>
    <xf numFmtId="0" fontId="19" fillId="0" borderId="9" xfId="0" applyFont="1" applyFill="1" applyBorder="1" applyAlignment="1">
      <alignment horizontal="left" vertical="center"/>
    </xf>
    <xf numFmtId="0" fontId="19" fillId="0" borderId="2" xfId="0" applyFont="1" applyFill="1" applyBorder="1" applyAlignment="1">
      <alignment horizontal="left" vertical="center"/>
    </xf>
    <xf numFmtId="0" fontId="1" fillId="0" borderId="38" xfId="0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/>
    </xf>
    <xf numFmtId="0" fontId="21" fillId="0" borderId="9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0" fontId="10" fillId="0" borderId="17" xfId="0" applyFont="1" applyBorder="1" applyAlignment="1">
      <alignment vertical="top"/>
    </xf>
    <xf numFmtId="49" fontId="25" fillId="0" borderId="2" xfId="0" applyNumberFormat="1" applyFont="1" applyBorder="1" applyAlignment="1">
      <alignment horizontal="left" vertical="center"/>
    </xf>
    <xf numFmtId="0" fontId="10" fillId="0" borderId="17" xfId="0" applyFont="1" applyBorder="1" applyAlignment="1">
      <alignment vertical="center"/>
    </xf>
    <xf numFmtId="0" fontId="11" fillId="0" borderId="17" xfId="0" applyFont="1" applyBorder="1" applyAlignment="1">
      <alignment vertical="top" wrapText="1"/>
    </xf>
    <xf numFmtId="0" fontId="11" fillId="3" borderId="17" xfId="0" applyFont="1" applyFill="1" applyBorder="1"/>
    <xf numFmtId="0" fontId="1" fillId="0" borderId="2" xfId="0" applyFont="1" applyBorder="1" applyAlignment="1">
      <alignment vertical="top"/>
    </xf>
    <xf numFmtId="0" fontId="1" fillId="0" borderId="2" xfId="0" applyFont="1" applyBorder="1" applyAlignment="1"/>
    <xf numFmtId="0" fontId="1" fillId="0" borderId="17" xfId="0" applyFont="1" applyBorder="1" applyAlignment="1">
      <alignment vertical="top" wrapText="1"/>
    </xf>
    <xf numFmtId="0" fontId="1" fillId="0" borderId="48" xfId="0" applyFont="1" applyBorder="1" applyAlignment="1">
      <alignment vertical="top" wrapText="1"/>
    </xf>
    <xf numFmtId="0" fontId="10" fillId="0" borderId="27" xfId="10" applyFont="1" applyBorder="1"/>
    <xf numFmtId="168" fontId="18" fillId="0" borderId="1" xfId="10" applyNumberFormat="1" applyFont="1" applyFill="1" applyBorder="1" applyAlignment="1">
      <alignment horizontal="center"/>
    </xf>
    <xf numFmtId="168" fontId="18" fillId="0" borderId="0" xfId="10" applyNumberFormat="1" applyFont="1" applyFill="1" applyBorder="1" applyAlignment="1">
      <alignment horizontal="center"/>
    </xf>
    <xf numFmtId="166" fontId="5" fillId="0" borderId="0" xfId="10" applyNumberFormat="1" applyFont="1" applyFill="1" applyBorder="1" applyAlignment="1">
      <alignment horizontal="right"/>
    </xf>
    <xf numFmtId="168" fontId="21" fillId="0" borderId="0" xfId="10" applyNumberFormat="1" applyFont="1" applyFill="1"/>
    <xf numFmtId="0" fontId="1" fillId="0" borderId="0" xfId="10" applyFill="1" applyAlignment="1">
      <alignment horizontal="center"/>
    </xf>
    <xf numFmtId="0" fontId="1" fillId="0" borderId="0" xfId="10" applyFill="1"/>
    <xf numFmtId="3" fontId="1" fillId="0" borderId="0" xfId="10" applyNumberFormat="1" applyFill="1"/>
    <xf numFmtId="166" fontId="1" fillId="0" borderId="0" xfId="10" applyNumberFormat="1" applyFill="1" applyAlignment="1">
      <alignment horizontal="right"/>
    </xf>
    <xf numFmtId="0" fontId="37" fillId="0" borderId="0" xfId="10" applyFont="1" applyFill="1" applyAlignment="1"/>
    <xf numFmtId="0" fontId="49" fillId="0" borderId="0" xfId="10" applyFont="1" applyFill="1" applyAlignment="1"/>
    <xf numFmtId="0" fontId="74" fillId="0" borderId="0" xfId="10" applyFont="1" applyFill="1" applyAlignment="1">
      <alignment horizontal="left"/>
    </xf>
    <xf numFmtId="0" fontId="74" fillId="0" borderId="0" xfId="10" applyFont="1" applyFill="1" applyAlignment="1">
      <alignment horizontal="left" wrapText="1"/>
    </xf>
    <xf numFmtId="0" fontId="26" fillId="0" borderId="4" xfId="10" applyFont="1" applyFill="1" applyBorder="1" applyAlignment="1">
      <alignment horizontal="center" vertical="center"/>
    </xf>
    <xf numFmtId="0" fontId="26" fillId="0" borderId="5" xfId="10" applyFont="1" applyFill="1" applyBorder="1" applyAlignment="1">
      <alignment horizontal="center" vertical="center"/>
    </xf>
    <xf numFmtId="0" fontId="26" fillId="0" borderId="5" xfId="10" applyFont="1" applyFill="1" applyBorder="1" applyAlignment="1">
      <alignment vertical="center"/>
    </xf>
    <xf numFmtId="3" fontId="26" fillId="0" borderId="5" xfId="10" applyNumberFormat="1" applyFont="1" applyFill="1" applyBorder="1" applyAlignment="1">
      <alignment horizontal="center" vertical="center" wrapText="1"/>
    </xf>
    <xf numFmtId="3" fontId="26" fillId="0" borderId="37" xfId="10" applyNumberFormat="1" applyFont="1" applyFill="1" applyBorder="1" applyAlignment="1">
      <alignment horizontal="center" vertical="center" wrapText="1"/>
    </xf>
    <xf numFmtId="166" fontId="1" fillId="0" borderId="24" xfId="10" applyNumberFormat="1" applyFill="1" applyBorder="1" applyAlignment="1">
      <alignment horizontal="right" vertical="center"/>
    </xf>
    <xf numFmtId="3" fontId="33" fillId="0" borderId="5" xfId="10" applyNumberFormat="1" applyFont="1" applyFill="1" applyBorder="1" applyAlignment="1">
      <alignment horizontal="center" vertical="center" wrapText="1"/>
    </xf>
    <xf numFmtId="3" fontId="33" fillId="0" borderId="37" xfId="10" applyNumberFormat="1" applyFont="1" applyFill="1" applyBorder="1" applyAlignment="1">
      <alignment horizontal="center" vertical="center" wrapText="1"/>
    </xf>
    <xf numFmtId="166" fontId="33" fillId="0" borderId="24" xfId="10" applyNumberFormat="1" applyFont="1" applyFill="1" applyBorder="1" applyAlignment="1">
      <alignment horizontal="center" vertical="center"/>
    </xf>
    <xf numFmtId="0" fontId="1" fillId="0" borderId="6" xfId="10" applyFill="1" applyBorder="1" applyAlignment="1">
      <alignment horizontal="center"/>
    </xf>
    <xf numFmtId="0" fontId="1" fillId="0" borderId="2" xfId="10" applyFill="1" applyBorder="1" applyAlignment="1">
      <alignment horizontal="center"/>
    </xf>
    <xf numFmtId="0" fontId="1" fillId="0" borderId="9" xfId="10" applyFill="1" applyBorder="1" applyAlignment="1">
      <alignment horizontal="center"/>
    </xf>
    <xf numFmtId="0" fontId="35" fillId="0" borderId="2" xfId="10" applyFont="1" applyFill="1" applyBorder="1"/>
    <xf numFmtId="3" fontId="19" fillId="0" borderId="9" xfId="10" applyNumberFormat="1" applyFont="1" applyFill="1" applyBorder="1"/>
    <xf numFmtId="3" fontId="19" fillId="0" borderId="5" xfId="10" applyNumberFormat="1" applyFont="1" applyFill="1" applyBorder="1"/>
    <xf numFmtId="166" fontId="19" fillId="0" borderId="23" xfId="10" applyNumberFormat="1" applyFont="1" applyFill="1" applyBorder="1" applyAlignment="1">
      <alignment horizontal="center" vertical="center"/>
    </xf>
    <xf numFmtId="3" fontId="19" fillId="0" borderId="2" xfId="10" applyNumberFormat="1" applyFont="1" applyFill="1" applyBorder="1"/>
    <xf numFmtId="3" fontId="19" fillId="0" borderId="14" xfId="10" applyNumberFormat="1" applyFont="1" applyFill="1" applyBorder="1"/>
    <xf numFmtId="166" fontId="19" fillId="0" borderId="21" xfId="10" applyNumberFormat="1" applyFont="1" applyFill="1" applyBorder="1" applyAlignment="1">
      <alignment horizontal="center" vertical="center"/>
    </xf>
    <xf numFmtId="166" fontId="19" fillId="0" borderId="24" xfId="10" applyNumberFormat="1" applyFont="1" applyFill="1" applyBorder="1" applyAlignment="1">
      <alignment horizontal="center" vertical="center"/>
    </xf>
    <xf numFmtId="0" fontId="19" fillId="0" borderId="0" xfId="10" applyFont="1" applyFill="1" applyBorder="1" applyAlignment="1">
      <alignment horizontal="left"/>
    </xf>
    <xf numFmtId="3" fontId="19" fillId="0" borderId="0" xfId="10" applyNumberFormat="1" applyFont="1" applyFill="1" applyBorder="1"/>
    <xf numFmtId="166" fontId="19" fillId="0" borderId="0" xfId="10" applyNumberFormat="1" applyFont="1" applyFill="1" applyBorder="1" applyAlignment="1">
      <alignment horizontal="right" vertical="center"/>
    </xf>
    <xf numFmtId="0" fontId="1" fillId="0" borderId="0" xfId="10" applyFill="1" applyAlignment="1">
      <alignment horizontal="right"/>
    </xf>
    <xf numFmtId="0" fontId="1" fillId="0" borderId="14" xfId="10" applyFill="1" applyBorder="1" applyAlignment="1">
      <alignment horizontal="center"/>
    </xf>
    <xf numFmtId="166" fontId="19" fillId="0" borderId="42" xfId="10" applyNumberFormat="1" applyFont="1" applyFill="1" applyBorder="1" applyAlignment="1">
      <alignment horizontal="center" vertical="center"/>
    </xf>
    <xf numFmtId="0" fontId="19" fillId="0" borderId="0" xfId="10" applyFont="1" applyFill="1"/>
    <xf numFmtId="4" fontId="1" fillId="0" borderId="0" xfId="10" applyNumberFormat="1" applyFill="1"/>
    <xf numFmtId="0" fontId="1" fillId="0" borderId="38" xfId="10" applyFill="1" applyBorder="1" applyAlignment="1">
      <alignment horizontal="center"/>
    </xf>
    <xf numFmtId="0" fontId="35" fillId="0" borderId="14" xfId="10" applyFont="1" applyFill="1" applyBorder="1"/>
    <xf numFmtId="0" fontId="1" fillId="0" borderId="0" xfId="10" applyFill="1" applyAlignment="1"/>
    <xf numFmtId="0" fontId="19" fillId="0" borderId="9" xfId="10" applyFont="1" applyFill="1" applyBorder="1"/>
    <xf numFmtId="3" fontId="19" fillId="0" borderId="9" xfId="10" applyNumberFormat="1" applyFont="1" applyFill="1" applyBorder="1" applyAlignment="1">
      <alignment vertical="center"/>
    </xf>
    <xf numFmtId="4" fontId="26" fillId="0" borderId="5" xfId="10" applyNumberFormat="1" applyFont="1" applyFill="1" applyBorder="1" applyAlignment="1">
      <alignment horizontal="center" vertical="center" wrapText="1"/>
    </xf>
    <xf numFmtId="4" fontId="26" fillId="0" borderId="37" xfId="10" applyNumberFormat="1" applyFont="1" applyFill="1" applyBorder="1" applyAlignment="1">
      <alignment horizontal="center" vertical="center" wrapText="1"/>
    </xf>
    <xf numFmtId="3" fontId="1" fillId="0" borderId="24" xfId="10" applyNumberFormat="1" applyFill="1" applyBorder="1" applyAlignment="1">
      <alignment horizontal="center" vertical="center"/>
    </xf>
    <xf numFmtId="0" fontId="19" fillId="0" borderId="2" xfId="10" applyFont="1" applyFill="1" applyBorder="1" applyAlignment="1">
      <alignment vertical="center" wrapText="1"/>
    </xf>
    <xf numFmtId="0" fontId="19" fillId="0" borderId="7" xfId="10" applyFont="1" applyFill="1" applyBorder="1" applyAlignment="1"/>
    <xf numFmtId="0" fontId="19" fillId="0" borderId="8" xfId="10" applyFont="1" applyFill="1" applyBorder="1" applyAlignment="1"/>
    <xf numFmtId="0" fontId="19" fillId="0" borderId="56" xfId="10" applyFont="1" applyFill="1" applyBorder="1" applyAlignment="1"/>
    <xf numFmtId="0" fontId="1" fillId="0" borderId="33" xfId="10" applyFill="1" applyBorder="1" applyAlignment="1">
      <alignment horizontal="center"/>
    </xf>
    <xf numFmtId="0" fontId="1" fillId="0" borderId="34" xfId="10" applyFill="1" applyBorder="1" applyAlignment="1">
      <alignment horizontal="center"/>
    </xf>
    <xf numFmtId="0" fontId="19" fillId="0" borderId="14" xfId="10" applyFont="1" applyFill="1" applyBorder="1" applyAlignment="1">
      <alignment vertical="center" wrapText="1"/>
    </xf>
    <xf numFmtId="3" fontId="19" fillId="0" borderId="14" xfId="10" applyNumberFormat="1" applyFont="1" applyFill="1" applyBorder="1" applyAlignment="1">
      <alignment vertical="center"/>
    </xf>
    <xf numFmtId="0" fontId="1" fillId="0" borderId="38" xfId="10" applyFill="1" applyBorder="1" applyAlignment="1">
      <alignment horizontal="center" vertical="center"/>
    </xf>
    <xf numFmtId="0" fontId="1" fillId="0" borderId="9" xfId="10" applyFill="1" applyBorder="1" applyAlignment="1">
      <alignment horizontal="center" vertical="center"/>
    </xf>
    <xf numFmtId="3" fontId="19" fillId="0" borderId="2" xfId="10" applyNumberFormat="1" applyFont="1" applyFill="1" applyBorder="1" applyAlignment="1">
      <alignment vertical="center"/>
    </xf>
    <xf numFmtId="0" fontId="1" fillId="0" borderId="0" xfId="10" applyFill="1" applyAlignment="1">
      <alignment vertical="center"/>
    </xf>
    <xf numFmtId="0" fontId="1" fillId="0" borderId="50" xfId="10" applyFill="1" applyBorder="1" applyAlignment="1">
      <alignment horizontal="center"/>
    </xf>
    <xf numFmtId="0" fontId="1" fillId="0" borderId="38" xfId="10" applyFill="1" applyBorder="1" applyAlignment="1">
      <alignment horizontal="left" vertical="center"/>
    </xf>
    <xf numFmtId="3" fontId="19" fillId="0" borderId="14" xfId="10" applyNumberFormat="1" applyFont="1" applyFill="1" applyBorder="1" applyAlignment="1">
      <alignment horizontal="right" vertical="center"/>
    </xf>
    <xf numFmtId="0" fontId="19" fillId="0" borderId="0" xfId="10" applyFont="1" applyFill="1" applyBorder="1" applyAlignment="1"/>
    <xf numFmtId="166" fontId="19" fillId="0" borderId="0" xfId="10" applyNumberFormat="1" applyFont="1" applyFill="1" applyBorder="1" applyAlignment="1">
      <alignment horizontal="center" vertical="center"/>
    </xf>
    <xf numFmtId="166" fontId="33" fillId="0" borderId="24" xfId="10" applyNumberFormat="1" applyFont="1" applyFill="1" applyBorder="1" applyAlignment="1">
      <alignment horizontal="right" vertical="center"/>
    </xf>
    <xf numFmtId="166" fontId="19" fillId="0" borderId="21" xfId="10" applyNumberFormat="1" applyFont="1" applyFill="1" applyBorder="1" applyAlignment="1">
      <alignment horizontal="right" vertical="center"/>
    </xf>
    <xf numFmtId="0" fontId="1" fillId="0" borderId="0" xfId="10" applyFill="1" applyBorder="1"/>
    <xf numFmtId="0" fontId="1" fillId="0" borderId="6" xfId="10" applyFill="1" applyBorder="1" applyAlignment="1">
      <alignment horizontal="left" vertical="center"/>
    </xf>
    <xf numFmtId="3" fontId="19" fillId="0" borderId="9" xfId="10" applyNumberFormat="1" applyFont="1" applyFill="1" applyBorder="1" applyAlignment="1">
      <alignment horizontal="right" vertical="center"/>
    </xf>
    <xf numFmtId="3" fontId="19" fillId="0" borderId="2" xfId="10" applyNumberFormat="1" applyFont="1" applyFill="1" applyBorder="1" applyAlignment="1">
      <alignment horizontal="right" vertical="center"/>
    </xf>
    <xf numFmtId="0" fontId="1" fillId="0" borderId="50" xfId="10" applyFill="1" applyBorder="1" applyAlignment="1">
      <alignment horizontal="left" vertical="center"/>
    </xf>
    <xf numFmtId="0" fontId="1" fillId="0" borderId="0" xfId="10" applyAlignment="1"/>
    <xf numFmtId="0" fontId="1" fillId="0" borderId="33" xfId="10" applyFill="1" applyBorder="1" applyAlignment="1">
      <alignment horizontal="left" vertical="center"/>
    </xf>
    <xf numFmtId="0" fontId="33" fillId="0" borderId="9" xfId="10" applyFont="1" applyFill="1" applyBorder="1" applyAlignment="1">
      <alignment horizontal="center" vertical="center"/>
    </xf>
    <xf numFmtId="0" fontId="19" fillId="0" borderId="9" xfId="10" applyFont="1" applyFill="1" applyBorder="1" applyAlignment="1">
      <alignment vertical="center" wrapText="1"/>
    </xf>
    <xf numFmtId="0" fontId="33" fillId="0" borderId="2" xfId="10" applyFont="1" applyFill="1" applyBorder="1" applyAlignment="1">
      <alignment horizontal="center" vertical="center"/>
    </xf>
    <xf numFmtId="0" fontId="1" fillId="0" borderId="12" xfId="10" applyFill="1" applyBorder="1" applyAlignment="1">
      <alignment horizontal="left" vertical="center"/>
    </xf>
    <xf numFmtId="0" fontId="1" fillId="0" borderId="0" xfId="10" applyFill="1" applyBorder="1" applyAlignment="1">
      <alignment horizontal="center"/>
    </xf>
    <xf numFmtId="0" fontId="1" fillId="0" borderId="53" xfId="10" applyFill="1" applyBorder="1" applyAlignment="1">
      <alignment horizontal="center"/>
    </xf>
    <xf numFmtId="1" fontId="78" fillId="0" borderId="0" xfId="10" applyNumberFormat="1" applyFont="1" applyFill="1" applyBorder="1" applyAlignment="1">
      <alignment horizontal="left"/>
    </xf>
    <xf numFmtId="1" fontId="78" fillId="0" borderId="0" xfId="10" applyNumberFormat="1" applyFont="1" applyFill="1" applyBorder="1" applyAlignment="1">
      <alignment horizontal="center"/>
    </xf>
    <xf numFmtId="168" fontId="78" fillId="0" borderId="0" xfId="10" applyNumberFormat="1" applyFont="1" applyFill="1" applyBorder="1" applyAlignment="1">
      <alignment horizontal="center"/>
    </xf>
    <xf numFmtId="0" fontId="78" fillId="0" borderId="0" xfId="10" applyFont="1" applyFill="1" applyBorder="1"/>
    <xf numFmtId="3" fontId="49" fillId="0" borderId="0" xfId="10" applyNumberFormat="1" applyFont="1" applyFill="1"/>
    <xf numFmtId="166" fontId="3" fillId="0" borderId="0" xfId="10" applyNumberFormat="1" applyFont="1" applyFill="1" applyBorder="1" applyAlignment="1">
      <alignment horizontal="right"/>
    </xf>
    <xf numFmtId="4" fontId="49" fillId="0" borderId="0" xfId="10" applyNumberFormat="1" applyFont="1" applyFill="1"/>
    <xf numFmtId="0" fontId="51" fillId="0" borderId="0" xfId="10" applyFont="1" applyFill="1"/>
    <xf numFmtId="4" fontId="51" fillId="0" borderId="0" xfId="10" applyNumberFormat="1" applyFont="1" applyFill="1"/>
    <xf numFmtId="0" fontId="51" fillId="0" borderId="0" xfId="10" applyFont="1" applyFill="1" applyAlignment="1">
      <alignment horizontal="left"/>
    </xf>
    <xf numFmtId="166" fontId="51" fillId="0" borderId="0" xfId="10" applyNumberFormat="1" applyFont="1" applyFill="1" applyAlignment="1">
      <alignment horizontal="right"/>
    </xf>
    <xf numFmtId="166" fontId="14" fillId="0" borderId="10" xfId="10" applyNumberFormat="1" applyFont="1" applyFill="1" applyBorder="1" applyAlignment="1">
      <alignment horizontal="right" shrinkToFit="1"/>
    </xf>
    <xf numFmtId="0" fontId="79" fillId="0" borderId="0" xfId="10" applyFont="1" applyFill="1"/>
    <xf numFmtId="3" fontId="79" fillId="0" borderId="0" xfId="10" applyNumberFormat="1" applyFont="1" applyFill="1"/>
    <xf numFmtId="0" fontId="37" fillId="0" borderId="1" xfId="10" applyFont="1" applyFill="1" applyBorder="1" applyAlignment="1"/>
    <xf numFmtId="0" fontId="1" fillId="0" borderId="1" xfId="10" applyFill="1" applyBorder="1" applyAlignment="1"/>
    <xf numFmtId="0" fontId="37" fillId="0" borderId="0" xfId="10" applyFont="1" applyFill="1" applyAlignment="1">
      <alignment horizontal="right"/>
    </xf>
    <xf numFmtId="1" fontId="33" fillId="0" borderId="37" xfId="10" applyNumberFormat="1" applyFont="1" applyFill="1" applyBorder="1" applyAlignment="1">
      <alignment horizontal="center" vertical="center" wrapText="1"/>
    </xf>
    <xf numFmtId="0" fontId="19" fillId="0" borderId="4" xfId="10" applyFont="1" applyFill="1" applyBorder="1" applyAlignment="1">
      <alignment horizontal="left"/>
    </xf>
    <xf numFmtId="0" fontId="19" fillId="0" borderId="5" xfId="10" applyFont="1" applyFill="1" applyBorder="1" applyAlignment="1">
      <alignment horizontal="left"/>
    </xf>
    <xf numFmtId="0" fontId="1" fillId="0" borderId="0" xfId="10" applyFont="1" applyFill="1" applyAlignment="1">
      <alignment vertical="center"/>
    </xf>
    <xf numFmtId="167" fontId="15" fillId="0" borderId="0" xfId="10" applyNumberFormat="1" applyFont="1" applyFill="1" applyBorder="1" applyAlignment="1">
      <alignment horizontal="right"/>
    </xf>
    <xf numFmtId="4" fontId="49" fillId="0" borderId="0" xfId="10" applyNumberFormat="1" applyFont="1" applyFill="1" applyAlignment="1">
      <alignment vertical="center"/>
    </xf>
    <xf numFmtId="4" fontId="51" fillId="0" borderId="0" xfId="10" applyNumberFormat="1" applyFont="1" applyFill="1" applyAlignment="1">
      <alignment vertical="center"/>
    </xf>
    <xf numFmtId="167" fontId="14" fillId="0" borderId="10" xfId="10" applyNumberFormat="1" applyFont="1" applyFill="1" applyBorder="1" applyAlignment="1">
      <alignment horizontal="right" shrinkToFit="1"/>
    </xf>
    <xf numFmtId="167" fontId="9" fillId="0" borderId="0" xfId="10" applyNumberFormat="1" applyFont="1" applyFill="1" applyBorder="1" applyAlignment="1">
      <alignment horizontal="right"/>
    </xf>
    <xf numFmtId="167" fontId="11" fillId="0" borderId="0" xfId="10" applyNumberFormat="1" applyFont="1" applyFill="1" applyBorder="1" applyAlignment="1">
      <alignment horizontal="right"/>
    </xf>
    <xf numFmtId="3" fontId="19" fillId="0" borderId="15" xfId="10" applyNumberFormat="1" applyFont="1" applyFill="1" applyBorder="1" applyAlignment="1">
      <alignment vertical="center"/>
    </xf>
    <xf numFmtId="0" fontId="19" fillId="0" borderId="2" xfId="10" applyFont="1" applyFill="1" applyBorder="1"/>
    <xf numFmtId="169" fontId="1" fillId="0" borderId="2" xfId="10" applyNumberFormat="1" applyFill="1" applyBorder="1" applyAlignment="1">
      <alignment horizontal="center"/>
    </xf>
    <xf numFmtId="3" fontId="19" fillId="0" borderId="46" xfId="10" applyNumberFormat="1" applyFont="1" applyFill="1" applyBorder="1" applyAlignment="1">
      <alignment vertical="center"/>
    </xf>
    <xf numFmtId="169" fontId="1" fillId="0" borderId="0" xfId="10" applyNumberFormat="1" applyFill="1" applyBorder="1" applyAlignment="1">
      <alignment horizontal="center"/>
    </xf>
    <xf numFmtId="0" fontId="1" fillId="0" borderId="12" xfId="10" applyFill="1" applyBorder="1" applyAlignment="1">
      <alignment horizontal="center"/>
    </xf>
    <xf numFmtId="3" fontId="1" fillId="0" borderId="0" xfId="10" applyNumberFormat="1" applyFill="1" applyBorder="1" applyAlignment="1">
      <alignment horizontal="center" vertical="center"/>
    </xf>
    <xf numFmtId="4" fontId="1" fillId="0" borderId="0" xfId="10" applyNumberFormat="1" applyFill="1" applyAlignment="1">
      <alignment horizontal="right"/>
    </xf>
    <xf numFmtId="0" fontId="26" fillId="0" borderId="0" xfId="10" applyFont="1" applyFill="1" applyBorder="1" applyAlignment="1">
      <alignment horizontal="center" vertical="center"/>
    </xf>
    <xf numFmtId="4" fontId="26" fillId="0" borderId="0" xfId="10" applyNumberFormat="1" applyFont="1" applyFill="1" applyBorder="1" applyAlignment="1">
      <alignment horizontal="center" vertical="center" wrapText="1"/>
    </xf>
    <xf numFmtId="0" fontId="26" fillId="0" borderId="0" xfId="10" applyFont="1" applyFill="1" applyBorder="1" applyAlignment="1">
      <alignment vertical="center"/>
    </xf>
    <xf numFmtId="0" fontId="19" fillId="0" borderId="2" xfId="10" applyFont="1" applyFill="1" applyBorder="1" applyAlignment="1">
      <alignment horizontal="justify" vertical="justify" wrapText="1"/>
    </xf>
    <xf numFmtId="0" fontId="1" fillId="0" borderId="17" xfId="10" applyFill="1" applyBorder="1" applyAlignment="1">
      <alignment horizontal="center" vertical="center"/>
    </xf>
    <xf numFmtId="0" fontId="1" fillId="0" borderId="6" xfId="10" applyFill="1" applyBorder="1" applyAlignment="1">
      <alignment horizontal="center" vertical="center"/>
    </xf>
    <xf numFmtId="0" fontId="1" fillId="0" borderId="17" xfId="10" applyFill="1" applyBorder="1" applyAlignment="1">
      <alignment horizontal="center"/>
    </xf>
    <xf numFmtId="0" fontId="49" fillId="0" borderId="0" xfId="10" applyFont="1" applyFill="1"/>
    <xf numFmtId="0" fontId="1" fillId="0" borderId="0" xfId="10" applyFill="1" applyAlignment="1">
      <alignment horizontal="left"/>
    </xf>
    <xf numFmtId="3" fontId="1" fillId="0" borderId="1" xfId="10" applyNumberFormat="1" applyFont="1" applyFill="1" applyBorder="1" applyAlignment="1">
      <alignment horizontal="right"/>
    </xf>
    <xf numFmtId="3" fontId="33" fillId="0" borderId="24" xfId="10" applyNumberFormat="1" applyFont="1" applyFill="1" applyBorder="1" applyAlignment="1">
      <alignment horizontal="center" vertical="center"/>
    </xf>
    <xf numFmtId="173" fontId="1" fillId="0" borderId="9" xfId="10" applyNumberFormat="1" applyFill="1" applyBorder="1" applyAlignment="1">
      <alignment horizontal="center"/>
    </xf>
    <xf numFmtId="0" fontId="1" fillId="0" borderId="2" xfId="10" applyFill="1" applyBorder="1" applyAlignment="1">
      <alignment horizontal="center" vertical="center"/>
    </xf>
    <xf numFmtId="173" fontId="1" fillId="0" borderId="2" xfId="10" applyNumberFormat="1" applyFill="1" applyBorder="1" applyAlignment="1">
      <alignment horizontal="center" vertical="center"/>
    </xf>
    <xf numFmtId="0" fontId="19" fillId="0" borderId="2" xfId="10" applyFont="1" applyFill="1" applyBorder="1" applyAlignment="1">
      <alignment vertical="center"/>
    </xf>
    <xf numFmtId="0" fontId="1" fillId="0" borderId="6" xfId="10" applyFill="1" applyBorder="1" applyAlignment="1">
      <alignment horizontal="center" vertical="center" wrapText="1"/>
    </xf>
    <xf numFmtId="0" fontId="1" fillId="0" borderId="2" xfId="10" applyFill="1" applyBorder="1" applyAlignment="1">
      <alignment horizontal="center" vertical="center" wrapText="1"/>
    </xf>
    <xf numFmtId="173" fontId="1" fillId="0" borderId="2" xfId="10" applyNumberFormat="1" applyFill="1" applyBorder="1" applyAlignment="1">
      <alignment horizontal="center" vertical="center" wrapText="1"/>
    </xf>
    <xf numFmtId="0" fontId="1" fillId="0" borderId="0" xfId="10" applyFill="1" applyAlignment="1">
      <alignment vertical="center" wrapText="1"/>
    </xf>
    <xf numFmtId="3" fontId="19" fillId="0" borderId="0" xfId="10" applyNumberFormat="1" applyFont="1" applyFill="1" applyBorder="1" applyAlignment="1">
      <alignment vertical="center"/>
    </xf>
    <xf numFmtId="0" fontId="19" fillId="0" borderId="2" xfId="10" applyFont="1" applyFill="1" applyBorder="1" applyAlignment="1">
      <alignment vertical="justify" wrapText="1"/>
    </xf>
    <xf numFmtId="4" fontId="19" fillId="0" borderId="0" xfId="10" applyNumberFormat="1" applyFont="1" applyFill="1"/>
    <xf numFmtId="3" fontId="19" fillId="0" borderId="0" xfId="10" applyNumberFormat="1" applyFont="1" applyFill="1" applyBorder="1" applyAlignment="1">
      <alignment horizontal="right"/>
    </xf>
    <xf numFmtId="0" fontId="1" fillId="0" borderId="34" xfId="10" applyFill="1" applyBorder="1"/>
    <xf numFmtId="4" fontId="1" fillId="0" borderId="34" xfId="10" applyNumberFormat="1" applyFill="1" applyBorder="1"/>
    <xf numFmtId="4" fontId="1" fillId="0" borderId="0" xfId="10" applyNumberFormat="1" applyFill="1" applyBorder="1"/>
    <xf numFmtId="4" fontId="1" fillId="0" borderId="0" xfId="10" applyNumberFormat="1" applyFill="1" applyBorder="1" applyAlignment="1">
      <alignment vertical="center"/>
    </xf>
    <xf numFmtId="0" fontId="1" fillId="0" borderId="0" xfId="10" applyFont="1" applyFill="1" applyAlignment="1">
      <alignment horizontal="right"/>
    </xf>
    <xf numFmtId="0" fontId="19" fillId="0" borderId="17" xfId="10" applyFont="1" applyFill="1" applyBorder="1" applyAlignment="1">
      <alignment vertical="center" wrapText="1"/>
    </xf>
    <xf numFmtId="0" fontId="1" fillId="0" borderId="50" xfId="10" applyFill="1" applyBorder="1" applyAlignment="1">
      <alignment horizontal="center" vertical="center"/>
    </xf>
    <xf numFmtId="0" fontId="1" fillId="0" borderId="14" xfId="10" applyFill="1" applyBorder="1" applyAlignment="1">
      <alignment horizontal="center" vertical="center"/>
    </xf>
    <xf numFmtId="0" fontId="1" fillId="0" borderId="2" xfId="10" applyFont="1" applyBorder="1" applyAlignment="1">
      <alignment horizontal="center" vertical="center"/>
    </xf>
    <xf numFmtId="0" fontId="19" fillId="0" borderId="2" xfId="10" applyFont="1" applyBorder="1" applyAlignment="1">
      <alignment vertical="center" wrapText="1"/>
    </xf>
    <xf numFmtId="0" fontId="19" fillId="0" borderId="9" xfId="10" applyFont="1" applyBorder="1" applyAlignment="1">
      <alignment vertical="center" wrapText="1"/>
    </xf>
    <xf numFmtId="0" fontId="19" fillId="0" borderId="14" xfId="10" applyFont="1" applyBorder="1" applyAlignment="1">
      <alignment vertical="center" wrapText="1"/>
    </xf>
    <xf numFmtId="0" fontId="19" fillId="0" borderId="2" xfId="10" applyFont="1" applyFill="1" applyBorder="1" applyAlignment="1">
      <alignment wrapText="1"/>
    </xf>
    <xf numFmtId="0" fontId="1" fillId="0" borderId="2" xfId="10" applyBorder="1" applyAlignment="1">
      <alignment horizontal="center" vertical="center"/>
    </xf>
    <xf numFmtId="0" fontId="74" fillId="0" borderId="0" xfId="10" applyFont="1" applyAlignment="1">
      <alignment horizontal="left"/>
    </xf>
    <xf numFmtId="4" fontId="1" fillId="0" borderId="0" xfId="10" applyNumberFormat="1"/>
    <xf numFmtId="0" fontId="1" fillId="0" borderId="0" xfId="10" applyAlignment="1">
      <alignment horizontal="center"/>
    </xf>
    <xf numFmtId="0" fontId="1" fillId="0" borderId="0" xfId="10"/>
    <xf numFmtId="4" fontId="1" fillId="0" borderId="0" xfId="10" applyNumberFormat="1" applyAlignment="1">
      <alignment horizontal="right"/>
    </xf>
    <xf numFmtId="0" fontId="26" fillId="0" borderId="4" xfId="10" applyFont="1" applyBorder="1" applyAlignment="1">
      <alignment horizontal="center" vertical="center"/>
    </xf>
    <xf numFmtId="0" fontId="26" fillId="0" borderId="56" xfId="10" applyFont="1" applyBorder="1" applyAlignment="1">
      <alignment horizontal="center" vertical="center"/>
    </xf>
    <xf numFmtId="0" fontId="26" fillId="0" borderId="56" xfId="10" applyFont="1" applyBorder="1" applyAlignment="1">
      <alignment vertical="center"/>
    </xf>
    <xf numFmtId="4" fontId="26" fillId="0" borderId="56" xfId="10" applyNumberFormat="1" applyFont="1" applyBorder="1" applyAlignment="1">
      <alignment horizontal="center" vertical="center" wrapText="1"/>
    </xf>
    <xf numFmtId="4" fontId="26" fillId="0" borderId="8" xfId="10" applyNumberFormat="1" applyFont="1" applyBorder="1" applyAlignment="1">
      <alignment horizontal="center" vertical="center" wrapText="1"/>
    </xf>
    <xf numFmtId="3" fontId="1" fillId="0" borderId="24" xfId="10" applyNumberFormat="1" applyBorder="1" applyAlignment="1">
      <alignment horizontal="center" vertical="center"/>
    </xf>
    <xf numFmtId="0" fontId="33" fillId="0" borderId="50" xfId="10" applyFont="1" applyBorder="1" applyAlignment="1">
      <alignment horizontal="center" vertical="center"/>
    </xf>
    <xf numFmtId="0" fontId="33" fillId="0" borderId="48" xfId="10" applyFont="1" applyBorder="1" applyAlignment="1">
      <alignment horizontal="center" vertical="center"/>
    </xf>
    <xf numFmtId="1" fontId="33" fillId="0" borderId="48" xfId="10" applyNumberFormat="1" applyFont="1" applyBorder="1" applyAlignment="1">
      <alignment horizontal="center" vertical="center" wrapText="1"/>
    </xf>
    <xf numFmtId="1" fontId="33" fillId="0" borderId="34" xfId="10" applyNumberFormat="1" applyFont="1" applyBorder="1" applyAlignment="1">
      <alignment horizontal="center" vertical="center" wrapText="1"/>
    </xf>
    <xf numFmtId="166" fontId="33" fillId="0" borderId="42" xfId="10" applyNumberFormat="1" applyFont="1" applyBorder="1" applyAlignment="1">
      <alignment horizontal="center" vertical="center"/>
    </xf>
    <xf numFmtId="0" fontId="1" fillId="0" borderId="6" xfId="10" applyBorder="1" applyAlignment="1">
      <alignment horizontal="center" vertical="center"/>
    </xf>
    <xf numFmtId="0" fontId="1" fillId="0" borderId="17" xfId="10" applyBorder="1" applyAlignment="1">
      <alignment horizontal="center" vertical="center"/>
    </xf>
    <xf numFmtId="3" fontId="19" fillId="0" borderId="17" xfId="10" applyNumberFormat="1" applyFont="1" applyBorder="1" applyAlignment="1">
      <alignment vertical="center"/>
    </xf>
    <xf numFmtId="3" fontId="19" fillId="0" borderId="0" xfId="10" applyNumberFormat="1" applyFont="1" applyAlignment="1">
      <alignment vertical="center"/>
    </xf>
    <xf numFmtId="166" fontId="19" fillId="0" borderId="21" xfId="10" applyNumberFormat="1" applyFont="1" applyBorder="1" applyAlignment="1">
      <alignment horizontal="center" vertical="center"/>
    </xf>
    <xf numFmtId="0" fontId="19" fillId="0" borderId="7" xfId="10" applyFont="1" applyBorder="1"/>
    <xf numFmtId="0" fontId="19" fillId="0" borderId="8" xfId="10" applyFont="1" applyBorder="1"/>
    <xf numFmtId="0" fontId="19" fillId="0" borderId="56" xfId="10" applyFont="1" applyBorder="1"/>
    <xf numFmtId="3" fontId="19" fillId="0" borderId="56" xfId="10" applyNumberFormat="1" applyFont="1" applyBorder="1"/>
    <xf numFmtId="166" fontId="19" fillId="0" borderId="22" xfId="10" applyNumberFormat="1" applyFont="1" applyBorder="1" applyAlignment="1">
      <alignment horizontal="center" vertical="center"/>
    </xf>
    <xf numFmtId="0" fontId="19" fillId="0" borderId="17" xfId="10" applyFont="1" applyBorder="1" applyAlignment="1">
      <alignment vertical="center" wrapText="1"/>
    </xf>
    <xf numFmtId="0" fontId="1" fillId="0" borderId="12" xfId="10" applyFill="1" applyBorder="1" applyAlignment="1">
      <alignment horizontal="center" vertical="center"/>
    </xf>
    <xf numFmtId="0" fontId="1" fillId="0" borderId="15" xfId="10" applyFill="1" applyBorder="1" applyAlignment="1">
      <alignment horizontal="center" vertical="center"/>
    </xf>
    <xf numFmtId="0" fontId="1" fillId="0" borderId="0" xfId="10" applyFill="1" applyBorder="1" applyAlignment="1">
      <alignment horizontal="center" vertical="center"/>
    </xf>
    <xf numFmtId="0" fontId="19" fillId="0" borderId="17" xfId="10" applyFont="1" applyFill="1" applyBorder="1"/>
    <xf numFmtId="0" fontId="1" fillId="0" borderId="15" xfId="10" applyFill="1" applyBorder="1" applyAlignment="1">
      <alignment horizontal="center"/>
    </xf>
    <xf numFmtId="0" fontId="1" fillId="0" borderId="0" xfId="10" applyBorder="1" applyAlignment="1">
      <alignment horizontal="center" vertical="center"/>
    </xf>
    <xf numFmtId="3" fontId="19" fillId="0" borderId="2" xfId="10" applyNumberFormat="1" applyFont="1" applyBorder="1" applyAlignment="1">
      <alignment vertical="center"/>
    </xf>
    <xf numFmtId="0" fontId="1" fillId="0" borderId="50" xfId="10" applyBorder="1" applyAlignment="1">
      <alignment horizontal="center" vertical="center"/>
    </xf>
    <xf numFmtId="0" fontId="1" fillId="0" borderId="14" xfId="10" applyBorder="1" applyAlignment="1">
      <alignment horizontal="center" vertical="center"/>
    </xf>
    <xf numFmtId="3" fontId="19" fillId="0" borderId="14" xfId="10" applyNumberFormat="1" applyFont="1" applyBorder="1" applyAlignment="1">
      <alignment vertical="center"/>
    </xf>
    <xf numFmtId="4" fontId="19" fillId="0" borderId="0" xfId="10" applyNumberFormat="1" applyFont="1" applyFill="1" applyBorder="1"/>
    <xf numFmtId="49" fontId="1" fillId="0" borderId="2" xfId="10" applyNumberFormat="1" applyFont="1" applyFill="1" applyBorder="1" applyAlignment="1">
      <alignment horizontal="center" vertical="center"/>
    </xf>
    <xf numFmtId="49" fontId="1" fillId="0" borderId="2" xfId="10" applyNumberFormat="1" applyFill="1" applyBorder="1" applyAlignment="1">
      <alignment horizontal="center" vertical="center"/>
    </xf>
    <xf numFmtId="49" fontId="1" fillId="0" borderId="6" xfId="10" applyNumberFormat="1" applyFill="1" applyBorder="1" applyAlignment="1">
      <alignment horizontal="center" vertical="center"/>
    </xf>
    <xf numFmtId="49" fontId="1" fillId="0" borderId="2" xfId="10" applyNumberFormat="1" applyFill="1" applyBorder="1" applyAlignment="1">
      <alignment horizontal="center"/>
    </xf>
    <xf numFmtId="166" fontId="19" fillId="0" borderId="27" xfId="10" applyNumberFormat="1" applyFont="1" applyFill="1" applyBorder="1" applyAlignment="1">
      <alignment horizontal="center" vertical="center"/>
    </xf>
    <xf numFmtId="4" fontId="1" fillId="0" borderId="0" xfId="10" applyNumberFormat="1" applyFont="1" applyFill="1"/>
    <xf numFmtId="4" fontId="1" fillId="0" borderId="0" xfId="10" applyNumberFormat="1" applyFont="1" applyFill="1" applyAlignment="1">
      <alignment horizontal="right"/>
    </xf>
    <xf numFmtId="0" fontId="19" fillId="0" borderId="2" xfId="10" applyFont="1" applyFill="1" applyBorder="1" applyAlignment="1">
      <alignment horizontal="left" vertical="center" wrapText="1"/>
    </xf>
    <xf numFmtId="0" fontId="26" fillId="0" borderId="0" xfId="10" applyFont="1" applyFill="1" applyAlignment="1">
      <alignment horizontal="center" vertical="center"/>
    </xf>
    <xf numFmtId="49" fontId="1" fillId="0" borderId="2" xfId="10" applyNumberFormat="1" applyFont="1" applyFill="1" applyBorder="1" applyAlignment="1">
      <alignment horizontal="center"/>
    </xf>
    <xf numFmtId="0" fontId="1" fillId="0" borderId="2" xfId="10" applyNumberFormat="1" applyFill="1" applyBorder="1" applyAlignment="1">
      <alignment horizontal="center" vertical="center"/>
    </xf>
    <xf numFmtId="0" fontId="37" fillId="0" borderId="0" xfId="10" applyFont="1" applyFill="1" applyAlignment="1">
      <alignment horizontal="left" wrapText="1"/>
    </xf>
    <xf numFmtId="0" fontId="1" fillId="0" borderId="0" xfId="10" applyFill="1" applyAlignment="1">
      <alignment wrapText="1"/>
    </xf>
    <xf numFmtId="173" fontId="1" fillId="0" borderId="2" xfId="10" applyNumberFormat="1" applyFill="1" applyBorder="1" applyAlignment="1">
      <alignment horizontal="center"/>
    </xf>
    <xf numFmtId="173" fontId="1" fillId="0" borderId="14" xfId="10" applyNumberFormat="1" applyFill="1" applyBorder="1" applyAlignment="1">
      <alignment horizontal="center" vertical="center"/>
    </xf>
    <xf numFmtId="0" fontId="19" fillId="0" borderId="0" xfId="10" applyFont="1" applyFill="1" applyAlignment="1">
      <alignment horizontal="left"/>
    </xf>
    <xf numFmtId="0" fontId="74" fillId="0" borderId="0" xfId="10" applyFont="1" applyFill="1" applyAlignment="1"/>
    <xf numFmtId="0" fontId="19" fillId="0" borderId="0" xfId="10" applyFont="1" applyFill="1" applyAlignment="1"/>
    <xf numFmtId="0" fontId="74" fillId="0" borderId="0" xfId="10" applyFont="1" applyFill="1" applyBorder="1" applyAlignment="1"/>
    <xf numFmtId="0" fontId="21" fillId="0" borderId="0" xfId="10" applyFont="1" applyFill="1" applyAlignment="1">
      <alignment horizontal="center"/>
    </xf>
    <xf numFmtId="173" fontId="1" fillId="0" borderId="53" xfId="10" applyNumberFormat="1" applyFill="1" applyBorder="1" applyAlignment="1">
      <alignment horizontal="center" vertical="center" wrapText="1"/>
    </xf>
    <xf numFmtId="3" fontId="19" fillId="0" borderId="14" xfId="10" applyNumberFormat="1" applyFont="1" applyFill="1" applyBorder="1" applyAlignment="1">
      <alignment vertical="center" wrapText="1"/>
    </xf>
    <xf numFmtId="0" fontId="74" fillId="4" borderId="0" xfId="10" applyFont="1" applyFill="1" applyAlignment="1">
      <alignment horizontal="left"/>
    </xf>
    <xf numFmtId="1" fontId="5" fillId="4" borderId="1" xfId="10" applyNumberFormat="1" applyFont="1" applyFill="1" applyBorder="1" applyAlignment="1">
      <alignment horizontal="left"/>
    </xf>
    <xf numFmtId="0" fontId="16" fillId="4" borderId="1" xfId="10" applyFont="1" applyFill="1" applyBorder="1" applyAlignment="1">
      <alignment horizontal="center"/>
    </xf>
    <xf numFmtId="168" fontId="18" fillId="4" borderId="1" xfId="10" applyNumberFormat="1" applyFont="1" applyFill="1" applyBorder="1" applyAlignment="1">
      <alignment horizontal="center"/>
    </xf>
    <xf numFmtId="3" fontId="1" fillId="4" borderId="1" xfId="10" applyNumberFormat="1" applyFont="1" applyFill="1" applyBorder="1"/>
    <xf numFmtId="3" fontId="5" fillId="4" borderId="1" xfId="10" applyNumberFormat="1" applyFont="1" applyFill="1" applyBorder="1"/>
    <xf numFmtId="3" fontId="1" fillId="4" borderId="1" xfId="10" applyNumberFormat="1" applyFont="1" applyFill="1" applyBorder="1" applyAlignment="1">
      <alignment horizontal="right"/>
    </xf>
    <xf numFmtId="0" fontId="1" fillId="4" borderId="0" xfId="10" applyFill="1"/>
    <xf numFmtId="0" fontId="49" fillId="4" borderId="0" xfId="10" applyFont="1" applyFill="1" applyAlignment="1"/>
    <xf numFmtId="0" fontId="1" fillId="4" borderId="0" xfId="10" applyFill="1" applyAlignment="1"/>
    <xf numFmtId="0" fontId="37" fillId="4" borderId="0" xfId="10" applyFont="1" applyFill="1" applyAlignment="1">
      <alignment horizontal="right"/>
    </xf>
    <xf numFmtId="1" fontId="9" fillId="4" borderId="0" xfId="10" applyNumberFormat="1" applyFont="1" applyFill="1" applyBorder="1" applyAlignment="1">
      <alignment horizontal="left"/>
    </xf>
    <xf numFmtId="168" fontId="21" fillId="4" borderId="0" xfId="10" applyNumberFormat="1" applyFont="1" applyFill="1"/>
    <xf numFmtId="0" fontId="37" fillId="4" borderId="0" xfId="10" applyFont="1" applyFill="1" applyAlignment="1"/>
    <xf numFmtId="0" fontId="1" fillId="4" borderId="0" xfId="10" applyFill="1" applyAlignment="1">
      <alignment horizontal="center"/>
    </xf>
    <xf numFmtId="4" fontId="1" fillId="4" borderId="0" xfId="10" applyNumberFormat="1" applyFill="1"/>
    <xf numFmtId="4" fontId="1" fillId="4" borderId="0" xfId="10" applyNumberFormat="1" applyFill="1" applyAlignment="1">
      <alignment horizontal="right"/>
    </xf>
    <xf numFmtId="0" fontId="26" fillId="4" borderId="4" xfId="10" applyFont="1" applyFill="1" applyBorder="1" applyAlignment="1">
      <alignment horizontal="center" vertical="center"/>
    </xf>
    <xf numFmtId="0" fontId="26" fillId="4" borderId="5" xfId="10" applyFont="1" applyFill="1" applyBorder="1" applyAlignment="1">
      <alignment horizontal="center" vertical="center"/>
    </xf>
    <xf numFmtId="0" fontId="26" fillId="4" borderId="5" xfId="10" applyFont="1" applyFill="1" applyBorder="1" applyAlignment="1">
      <alignment vertical="center"/>
    </xf>
    <xf numFmtId="4" fontId="26" fillId="4" borderId="5" xfId="10" applyNumberFormat="1" applyFont="1" applyFill="1" applyBorder="1" applyAlignment="1">
      <alignment horizontal="center" vertical="center" wrapText="1"/>
    </xf>
    <xf numFmtId="4" fontId="26" fillId="4" borderId="37" xfId="10" applyNumberFormat="1" applyFont="1" applyFill="1" applyBorder="1" applyAlignment="1">
      <alignment horizontal="center" vertical="center" wrapText="1"/>
    </xf>
    <xf numFmtId="3" fontId="1" fillId="4" borderId="24" xfId="10" applyNumberFormat="1" applyFill="1" applyBorder="1" applyAlignment="1">
      <alignment horizontal="center" vertical="center"/>
    </xf>
    <xf numFmtId="0" fontId="33" fillId="4" borderId="4" xfId="10" applyFont="1" applyFill="1" applyBorder="1" applyAlignment="1">
      <alignment horizontal="center" vertical="center"/>
    </xf>
    <xf numFmtId="0" fontId="33" fillId="4" borderId="5" xfId="10" applyFont="1" applyFill="1" applyBorder="1" applyAlignment="1">
      <alignment horizontal="center" vertical="center"/>
    </xf>
    <xf numFmtId="1" fontId="33" fillId="4" borderId="5" xfId="10" applyNumberFormat="1" applyFont="1" applyFill="1" applyBorder="1" applyAlignment="1">
      <alignment horizontal="center" vertical="center" wrapText="1"/>
    </xf>
    <xf numFmtId="1" fontId="33" fillId="4" borderId="37" xfId="10" applyNumberFormat="1" applyFont="1" applyFill="1" applyBorder="1" applyAlignment="1">
      <alignment horizontal="center" vertical="center" wrapText="1"/>
    </xf>
    <xf numFmtId="3" fontId="33" fillId="4" borderId="24" xfId="10" applyNumberFormat="1" applyFont="1" applyFill="1" applyBorder="1" applyAlignment="1">
      <alignment horizontal="center" vertical="center"/>
    </xf>
    <xf numFmtId="0" fontId="1" fillId="4" borderId="38" xfId="10" applyFill="1" applyBorder="1" applyAlignment="1">
      <alignment horizontal="center" vertical="center"/>
    </xf>
    <xf numFmtId="0" fontId="1" fillId="4" borderId="9" xfId="10" applyFill="1" applyBorder="1" applyAlignment="1">
      <alignment horizontal="center" vertical="center"/>
    </xf>
    <xf numFmtId="0" fontId="19" fillId="4" borderId="9" xfId="10" applyFont="1" applyFill="1" applyBorder="1" applyAlignment="1">
      <alignment vertical="center" wrapText="1"/>
    </xf>
    <xf numFmtId="3" fontId="19" fillId="4" borderId="9" xfId="10" applyNumberFormat="1" applyFont="1" applyFill="1" applyBorder="1" applyAlignment="1">
      <alignment vertical="center"/>
    </xf>
    <xf numFmtId="166" fontId="19" fillId="4" borderId="23" xfId="10" applyNumberFormat="1" applyFont="1" applyFill="1" applyBorder="1" applyAlignment="1">
      <alignment horizontal="center" vertical="center"/>
    </xf>
    <xf numFmtId="0" fontId="1" fillId="4" borderId="6" xfId="10" applyFill="1" applyBorder="1" applyAlignment="1">
      <alignment horizontal="center" vertical="center"/>
    </xf>
    <xf numFmtId="0" fontId="1" fillId="4" borderId="2" xfId="10" applyFill="1" applyBorder="1" applyAlignment="1">
      <alignment horizontal="center" vertical="center"/>
    </xf>
    <xf numFmtId="0" fontId="19" fillId="4" borderId="2" xfId="10" applyFont="1" applyFill="1" applyBorder="1" applyAlignment="1">
      <alignment vertical="center" wrapText="1"/>
    </xf>
    <xf numFmtId="3" fontId="19" fillId="4" borderId="2" xfId="10" applyNumberFormat="1" applyFont="1" applyFill="1" applyBorder="1" applyAlignment="1">
      <alignment vertical="center"/>
    </xf>
    <xf numFmtId="166" fontId="19" fillId="4" borderId="21" xfId="10" applyNumberFormat="1" applyFont="1" applyFill="1" applyBorder="1" applyAlignment="1">
      <alignment horizontal="center" vertical="center"/>
    </xf>
    <xf numFmtId="173" fontId="1" fillId="4" borderId="2" xfId="10" applyNumberFormat="1" applyFill="1" applyBorder="1" applyAlignment="1">
      <alignment horizontal="center" vertical="center" wrapText="1"/>
    </xf>
    <xf numFmtId="166" fontId="19" fillId="4" borderId="42" xfId="10" applyNumberFormat="1" applyFont="1" applyFill="1" applyBorder="1" applyAlignment="1">
      <alignment horizontal="center" vertical="center"/>
    </xf>
    <xf numFmtId="3" fontId="19" fillId="4" borderId="5" xfId="10" applyNumberFormat="1" applyFont="1" applyFill="1" applyBorder="1"/>
    <xf numFmtId="166" fontId="19" fillId="4" borderId="24" xfId="10" applyNumberFormat="1" applyFont="1" applyFill="1" applyBorder="1" applyAlignment="1">
      <alignment horizontal="center" vertical="center"/>
    </xf>
    <xf numFmtId="166" fontId="33" fillId="4" borderId="24" xfId="10" applyNumberFormat="1" applyFont="1" applyFill="1" applyBorder="1" applyAlignment="1">
      <alignment horizontal="center" vertical="center"/>
    </xf>
    <xf numFmtId="3" fontId="19" fillId="4" borderId="46" xfId="10" applyNumberFormat="1" applyFont="1" applyFill="1" applyBorder="1" applyAlignment="1">
      <alignment vertical="center"/>
    </xf>
    <xf numFmtId="3" fontId="19" fillId="4" borderId="15" xfId="10" applyNumberFormat="1" applyFont="1" applyFill="1" applyBorder="1" applyAlignment="1">
      <alignment vertical="center"/>
    </xf>
    <xf numFmtId="0" fontId="19" fillId="4" borderId="7" xfId="10" applyFont="1" applyFill="1" applyBorder="1" applyAlignment="1"/>
    <xf numFmtId="0" fontId="19" fillId="4" borderId="8" xfId="10" applyFont="1" applyFill="1" applyBorder="1" applyAlignment="1"/>
    <xf numFmtId="0" fontId="19" fillId="4" borderId="56" xfId="10" applyFont="1" applyFill="1" applyBorder="1" applyAlignment="1"/>
    <xf numFmtId="0" fontId="1" fillId="4" borderId="12" xfId="10" applyFill="1" applyBorder="1" applyAlignment="1">
      <alignment horizontal="center" vertical="center"/>
    </xf>
    <xf numFmtId="0" fontId="1" fillId="4" borderId="15" xfId="10" applyFill="1" applyBorder="1" applyAlignment="1">
      <alignment horizontal="center" vertical="center"/>
    </xf>
    <xf numFmtId="0" fontId="19" fillId="4" borderId="17" xfId="10" applyFont="1" applyFill="1" applyBorder="1" applyAlignment="1">
      <alignment vertical="center" wrapText="1"/>
    </xf>
    <xf numFmtId="0" fontId="1" fillId="4" borderId="14" xfId="10" applyFill="1" applyBorder="1" applyAlignment="1">
      <alignment horizontal="center" vertical="center"/>
    </xf>
    <xf numFmtId="0" fontId="1" fillId="4" borderId="0" xfId="10" applyFill="1" applyBorder="1" applyAlignment="1">
      <alignment horizontal="center" vertical="center"/>
    </xf>
    <xf numFmtId="0" fontId="19" fillId="4" borderId="14" xfId="10" applyFont="1" applyFill="1" applyBorder="1" applyAlignment="1">
      <alignment vertical="center" wrapText="1"/>
    </xf>
    <xf numFmtId="0" fontId="1" fillId="4" borderId="6" xfId="10" applyFill="1" applyBorder="1" applyAlignment="1">
      <alignment horizontal="center"/>
    </xf>
    <xf numFmtId="0" fontId="1" fillId="4" borderId="2" xfId="10" applyFill="1" applyBorder="1" applyAlignment="1">
      <alignment horizontal="center"/>
    </xf>
    <xf numFmtId="0" fontId="19" fillId="4" borderId="2" xfId="10" applyFont="1" applyFill="1" applyBorder="1"/>
    <xf numFmtId="0" fontId="19" fillId="4" borderId="17" xfId="10" applyFont="1" applyFill="1" applyBorder="1"/>
    <xf numFmtId="0" fontId="1" fillId="4" borderId="50" xfId="10" applyFill="1" applyBorder="1" applyAlignment="1">
      <alignment horizontal="center"/>
    </xf>
    <xf numFmtId="0" fontId="1" fillId="4" borderId="14" xfId="10" applyFill="1" applyBorder="1" applyAlignment="1">
      <alignment horizontal="center"/>
    </xf>
    <xf numFmtId="0" fontId="19" fillId="4" borderId="2" xfId="10" applyFont="1" applyFill="1" applyBorder="1" applyAlignment="1">
      <alignment wrapText="1"/>
    </xf>
    <xf numFmtId="1" fontId="78" fillId="4" borderId="0" xfId="10" applyNumberFormat="1" applyFont="1" applyFill="1" applyBorder="1" applyAlignment="1">
      <alignment horizontal="left"/>
    </xf>
    <xf numFmtId="1" fontId="78" fillId="4" borderId="0" xfId="10" applyNumberFormat="1" applyFont="1" applyFill="1" applyBorder="1" applyAlignment="1">
      <alignment horizontal="center"/>
    </xf>
    <xf numFmtId="168" fontId="78" fillId="4" borderId="0" xfId="10" applyNumberFormat="1" applyFont="1" applyFill="1" applyBorder="1" applyAlignment="1">
      <alignment horizontal="center"/>
    </xf>
    <xf numFmtId="0" fontId="78" fillId="4" borderId="0" xfId="10" applyFont="1" applyFill="1" applyBorder="1"/>
    <xf numFmtId="3" fontId="49" fillId="4" borderId="0" xfId="10" applyNumberFormat="1" applyFont="1" applyFill="1"/>
    <xf numFmtId="167" fontId="11" fillId="4" borderId="0" xfId="10" applyNumberFormat="1" applyFont="1" applyFill="1" applyBorder="1" applyAlignment="1">
      <alignment horizontal="right"/>
    </xf>
    <xf numFmtId="4" fontId="49" fillId="4" borderId="0" xfId="10" applyNumberFormat="1" applyFont="1" applyFill="1"/>
    <xf numFmtId="0" fontId="65" fillId="4" borderId="0" xfId="10" applyFont="1" applyFill="1"/>
    <xf numFmtId="1" fontId="51" fillId="4" borderId="0" xfId="10" applyNumberFormat="1" applyFont="1" applyFill="1" applyAlignment="1">
      <alignment horizontal="center"/>
    </xf>
    <xf numFmtId="168" fontId="51" fillId="4" borderId="0" xfId="10" applyNumberFormat="1" applyFont="1" applyFill="1" applyAlignment="1">
      <alignment horizontal="center"/>
    </xf>
    <xf numFmtId="0" fontId="51" fillId="4" borderId="0" xfId="10" applyFont="1" applyFill="1"/>
    <xf numFmtId="3" fontId="51" fillId="4" borderId="0" xfId="10" applyNumberFormat="1" applyFont="1" applyFill="1"/>
    <xf numFmtId="167" fontId="9" fillId="4" borderId="0" xfId="10" applyNumberFormat="1" applyFont="1" applyFill="1" applyBorder="1" applyAlignment="1">
      <alignment horizontal="right"/>
    </xf>
    <xf numFmtId="4" fontId="51" fillId="4" borderId="0" xfId="10" applyNumberFormat="1" applyFont="1" applyFill="1"/>
    <xf numFmtId="1" fontId="51" fillId="4" borderId="0" xfId="10" applyNumberFormat="1" applyFont="1" applyFill="1" applyAlignment="1">
      <alignment horizontal="left"/>
    </xf>
    <xf numFmtId="0" fontId="51" fillId="4" borderId="0" xfId="10" applyFont="1" applyFill="1" applyAlignment="1">
      <alignment horizontal="left"/>
    </xf>
    <xf numFmtId="3" fontId="51" fillId="4" borderId="0" xfId="10" applyNumberFormat="1" applyFont="1" applyFill="1" applyAlignment="1">
      <alignment horizontal="right"/>
    </xf>
    <xf numFmtId="3" fontId="29" fillId="4" borderId="10" xfId="10" applyNumberFormat="1" applyFont="1" applyFill="1" applyBorder="1"/>
    <xf numFmtId="167" fontId="29" fillId="4" borderId="10" xfId="10" applyNumberFormat="1" applyFont="1" applyFill="1" applyBorder="1" applyAlignment="1">
      <alignment horizontal="right" shrinkToFit="1"/>
    </xf>
    <xf numFmtId="0" fontId="19" fillId="4" borderId="0" xfId="10" applyFont="1" applyFill="1" applyBorder="1" applyAlignment="1">
      <alignment horizontal="left"/>
    </xf>
    <xf numFmtId="3" fontId="19" fillId="4" borderId="0" xfId="10" applyNumberFormat="1" applyFont="1" applyFill="1" applyBorder="1"/>
    <xf numFmtId="166" fontId="19" fillId="4" borderId="0" xfId="10" applyNumberFormat="1" applyFont="1" applyFill="1" applyBorder="1" applyAlignment="1">
      <alignment horizontal="center" vertical="center"/>
    </xf>
    <xf numFmtId="0" fontId="19" fillId="4" borderId="2" xfId="10" applyFont="1" applyFill="1" applyBorder="1" applyAlignment="1">
      <alignment vertical="justify" wrapText="1"/>
    </xf>
    <xf numFmtId="0" fontId="1" fillId="4" borderId="12" xfId="10" applyFill="1" applyBorder="1" applyAlignment="1">
      <alignment horizontal="center"/>
    </xf>
    <xf numFmtId="49" fontId="1" fillId="4" borderId="2" xfId="10" applyNumberFormat="1" applyFill="1" applyBorder="1" applyAlignment="1">
      <alignment horizontal="center" vertical="center"/>
    </xf>
    <xf numFmtId="3" fontId="19" fillId="4" borderId="14" xfId="10" applyNumberFormat="1" applyFont="1" applyFill="1" applyBorder="1" applyAlignment="1">
      <alignment vertical="center"/>
    </xf>
    <xf numFmtId="3" fontId="1" fillId="4" borderId="0" xfId="10" applyNumberFormat="1" applyFill="1" applyBorder="1" applyAlignment="1">
      <alignment horizontal="center" vertical="center"/>
    </xf>
    <xf numFmtId="0" fontId="74" fillId="4" borderId="0" xfId="10" applyFont="1" applyFill="1" applyAlignment="1"/>
    <xf numFmtId="0" fontId="19" fillId="4" borderId="0" xfId="10" applyFont="1" applyFill="1" applyAlignment="1"/>
    <xf numFmtId="0" fontId="21" fillId="4" borderId="0" xfId="10" applyFont="1" applyFill="1" applyAlignment="1">
      <alignment horizontal="center"/>
    </xf>
    <xf numFmtId="0" fontId="26" fillId="4" borderId="0" xfId="10" applyFont="1" applyFill="1" applyAlignment="1">
      <alignment vertical="center"/>
    </xf>
    <xf numFmtId="173" fontId="1" fillId="4" borderId="2" xfId="10" applyNumberFormat="1" applyFill="1" applyBorder="1" applyAlignment="1">
      <alignment horizontal="center" vertical="center"/>
    </xf>
    <xf numFmtId="0" fontId="1" fillId="4" borderId="0" xfId="10" applyFill="1" applyAlignment="1">
      <alignment vertical="center" wrapText="1"/>
    </xf>
    <xf numFmtId="0" fontId="1" fillId="4" borderId="2" xfId="10" applyFill="1" applyBorder="1" applyAlignment="1">
      <alignment horizontal="center" vertical="center" wrapText="1"/>
    </xf>
    <xf numFmtId="0" fontId="1" fillId="4" borderId="0" xfId="10" applyFill="1" applyAlignment="1">
      <alignment vertical="center"/>
    </xf>
    <xf numFmtId="4" fontId="19" fillId="4" borderId="0" xfId="10" applyNumberFormat="1" applyFont="1" applyFill="1"/>
    <xf numFmtId="0" fontId="19" fillId="4" borderId="0" xfId="10" applyFont="1" applyFill="1"/>
    <xf numFmtId="0" fontId="1" fillId="4" borderId="34" xfId="10" applyFill="1" applyBorder="1" applyAlignment="1">
      <alignment horizontal="center"/>
    </xf>
    <xf numFmtId="0" fontId="1" fillId="4" borderId="34" xfId="10" applyFill="1" applyBorder="1"/>
    <xf numFmtId="4" fontId="1" fillId="4" borderId="34" xfId="10" applyNumberFormat="1" applyFill="1" applyBorder="1"/>
    <xf numFmtId="0" fontId="1" fillId="4" borderId="0" xfId="10" applyFill="1" applyBorder="1" applyAlignment="1">
      <alignment horizontal="center"/>
    </xf>
    <xf numFmtId="0" fontId="1" fillId="4" borderId="0" xfId="10" applyFill="1" applyBorder="1"/>
    <xf numFmtId="4" fontId="1" fillId="4" borderId="0" xfId="10" applyNumberFormat="1" applyFill="1" applyBorder="1"/>
    <xf numFmtId="169" fontId="1" fillId="4" borderId="2" xfId="10" applyNumberFormat="1" applyFill="1" applyBorder="1" applyAlignment="1">
      <alignment horizontal="center"/>
    </xf>
    <xf numFmtId="0" fontId="16" fillId="4" borderId="0" xfId="10" applyFont="1" applyFill="1" applyBorder="1" applyAlignment="1">
      <alignment horizontal="center"/>
    </xf>
    <xf numFmtId="0" fontId="1" fillId="4" borderId="0" xfId="10" applyFont="1" applyFill="1"/>
    <xf numFmtId="1" fontId="5" fillId="4" borderId="0" xfId="10" applyNumberFormat="1" applyFont="1" applyFill="1" applyBorder="1" applyAlignment="1">
      <alignment horizontal="left"/>
    </xf>
    <xf numFmtId="0" fontId="1" fillId="4" borderId="0" xfId="10" applyFill="1" applyAlignment="1">
      <alignment horizontal="right"/>
    </xf>
    <xf numFmtId="0" fontId="19" fillId="4" borderId="2" xfId="10" applyFont="1" applyFill="1" applyBorder="1" applyAlignment="1">
      <alignment horizontal="left" vertical="center" wrapText="1"/>
    </xf>
    <xf numFmtId="3" fontId="19" fillId="4" borderId="2" xfId="10" applyNumberFormat="1" applyFont="1" applyFill="1" applyBorder="1" applyAlignment="1">
      <alignment horizontal="center" vertical="center"/>
    </xf>
    <xf numFmtId="0" fontId="19" fillId="4" borderId="4" xfId="10" applyFont="1" applyFill="1" applyBorder="1" applyAlignment="1">
      <alignment horizontal="left"/>
    </xf>
    <xf numFmtId="0" fontId="19" fillId="4" borderId="5" xfId="10" applyFont="1" applyFill="1" applyBorder="1" applyAlignment="1">
      <alignment horizontal="left"/>
    </xf>
    <xf numFmtId="0" fontId="1" fillId="4" borderId="0" xfId="10" applyFont="1" applyFill="1" applyAlignment="1">
      <alignment vertical="center"/>
    </xf>
    <xf numFmtId="167" fontId="15" fillId="4" borderId="0" xfId="10" applyNumberFormat="1" applyFont="1" applyFill="1" applyBorder="1" applyAlignment="1">
      <alignment horizontal="right"/>
    </xf>
    <xf numFmtId="4" fontId="49" fillId="4" borderId="0" xfId="10" applyNumberFormat="1" applyFont="1" applyFill="1" applyAlignment="1">
      <alignment vertical="center"/>
    </xf>
    <xf numFmtId="167" fontId="3" fillId="4" borderId="0" xfId="10" applyNumberFormat="1" applyFont="1" applyFill="1" applyBorder="1" applyAlignment="1">
      <alignment horizontal="right"/>
    </xf>
    <xf numFmtId="4" fontId="51" fillId="4" borderId="0" xfId="10" applyNumberFormat="1" applyFont="1" applyFill="1" applyAlignment="1">
      <alignment vertical="center"/>
    </xf>
    <xf numFmtId="167" fontId="14" fillId="4" borderId="10" xfId="10" applyNumberFormat="1" applyFont="1" applyFill="1" applyBorder="1" applyAlignment="1">
      <alignment horizontal="right" shrinkToFit="1"/>
    </xf>
    <xf numFmtId="166" fontId="21" fillId="0" borderId="43" xfId="0" applyNumberFormat="1" applyFont="1" applyFill="1" applyBorder="1"/>
    <xf numFmtId="166" fontId="19" fillId="0" borderId="21" xfId="0" applyNumberFormat="1" applyFont="1" applyFill="1" applyBorder="1" applyAlignment="1">
      <alignment vertical="top"/>
    </xf>
    <xf numFmtId="166" fontId="19" fillId="0" borderId="21" xfId="0" applyNumberFormat="1" applyFont="1" applyFill="1" applyBorder="1" applyAlignment="1">
      <alignment vertical="center"/>
    </xf>
    <xf numFmtId="0" fontId="19" fillId="0" borderId="47" xfId="0" applyFont="1" applyFill="1" applyBorder="1" applyAlignment="1">
      <alignment wrapText="1"/>
    </xf>
    <xf numFmtId="0" fontId="19" fillId="0" borderId="6" xfId="0" applyFont="1" applyFill="1" applyBorder="1" applyAlignment="1">
      <alignment wrapText="1"/>
    </xf>
    <xf numFmtId="3" fontId="11" fillId="4" borderId="0" xfId="0" applyNumberFormat="1" applyFont="1" applyFill="1" applyBorder="1"/>
    <xf numFmtId="4" fontId="10" fillId="4" borderId="0" xfId="0" applyNumberFormat="1" applyFont="1" applyFill="1" applyBorder="1" applyAlignment="1">
      <alignment horizontal="justify"/>
    </xf>
    <xf numFmtId="4" fontId="1" fillId="0" borderId="0" xfId="0" applyNumberFormat="1" applyFont="1" applyFill="1" applyAlignment="1">
      <alignment horizontal="left"/>
    </xf>
    <xf numFmtId="4" fontId="1" fillId="0" borderId="0" xfId="0" applyNumberFormat="1" applyFont="1" applyFill="1" applyAlignment="1">
      <alignment horizontal="center"/>
    </xf>
    <xf numFmtId="164" fontId="1" fillId="0" borderId="0" xfId="0" applyNumberFormat="1" applyFont="1" applyFill="1" applyAlignment="1">
      <alignment horizontal="center"/>
    </xf>
    <xf numFmtId="164" fontId="35" fillId="0" borderId="9" xfId="0" applyNumberFormat="1" applyFont="1" applyFill="1" applyBorder="1" applyAlignment="1">
      <alignment horizontal="center"/>
    </xf>
    <xf numFmtId="166" fontId="19" fillId="0" borderId="23" xfId="0" applyNumberFormat="1" applyFont="1" applyFill="1" applyBorder="1"/>
    <xf numFmtId="164" fontId="1" fillId="0" borderId="17" xfId="0" applyNumberFormat="1" applyFont="1" applyFill="1" applyBorder="1" applyAlignment="1">
      <alignment horizontal="center"/>
    </xf>
    <xf numFmtId="164" fontId="1" fillId="0" borderId="3" xfId="0" applyNumberFormat="1" applyFont="1" applyFill="1" applyBorder="1" applyAlignment="1">
      <alignment horizontal="center"/>
    </xf>
    <xf numFmtId="164" fontId="35" fillId="0" borderId="41" xfId="0" applyNumberFormat="1" applyFont="1" applyFill="1" applyBorder="1" applyAlignment="1">
      <alignment horizontal="center"/>
    </xf>
    <xf numFmtId="3" fontId="19" fillId="0" borderId="41" xfId="0" applyNumberFormat="1" applyFont="1" applyFill="1" applyBorder="1"/>
    <xf numFmtId="4" fontId="72" fillId="0" borderId="12" xfId="0" applyNumberFormat="1" applyFont="1" applyFill="1" applyBorder="1"/>
    <xf numFmtId="3" fontId="19" fillId="0" borderId="0" xfId="0" applyNumberFormat="1" applyFont="1" applyFill="1" applyBorder="1"/>
    <xf numFmtId="3" fontId="1" fillId="0" borderId="2" xfId="0" applyNumberFormat="1" applyFont="1" applyFill="1" applyBorder="1" applyAlignment="1">
      <alignment horizontal="center"/>
    </xf>
    <xf numFmtId="3" fontId="1" fillId="0" borderId="17" xfId="0" applyNumberFormat="1" applyFont="1" applyFill="1" applyBorder="1" applyAlignment="1">
      <alignment horizontal="center"/>
    </xf>
    <xf numFmtId="3" fontId="35" fillId="0" borderId="41" xfId="0" applyNumberFormat="1" applyFont="1" applyFill="1" applyBorder="1" applyAlignment="1">
      <alignment horizontal="center"/>
    </xf>
    <xf numFmtId="3" fontId="35" fillId="0" borderId="13" xfId="0" applyNumberFormat="1" applyFont="1" applyFill="1" applyBorder="1" applyAlignment="1">
      <alignment horizontal="center"/>
    </xf>
    <xf numFmtId="3" fontId="19" fillId="0" borderId="13" xfId="0" applyNumberFormat="1" applyFont="1" applyFill="1" applyBorder="1"/>
    <xf numFmtId="4" fontId="96" fillId="0" borderId="19" xfId="0" applyNumberFormat="1" applyFont="1" applyFill="1" applyBorder="1"/>
    <xf numFmtId="3" fontId="35" fillId="0" borderId="55" xfId="0" applyNumberFormat="1" applyFont="1" applyFill="1" applyBorder="1" applyAlignment="1">
      <alignment horizontal="center"/>
    </xf>
    <xf numFmtId="3" fontId="19" fillId="0" borderId="2" xfId="0" applyNumberFormat="1" applyFont="1" applyFill="1" applyBorder="1" applyAlignment="1">
      <alignment vertical="top"/>
    </xf>
    <xf numFmtId="4" fontId="72" fillId="4" borderId="0" xfId="0" applyNumberFormat="1" applyFont="1" applyFill="1" applyBorder="1"/>
    <xf numFmtId="3" fontId="37" fillId="0" borderId="10" xfId="0" applyNumberFormat="1" applyFont="1" applyFill="1" applyBorder="1"/>
    <xf numFmtId="3" fontId="37" fillId="0" borderId="10" xfId="0" applyNumberFormat="1" applyFont="1" applyFill="1" applyBorder="1" applyAlignment="1">
      <alignment shrinkToFit="1"/>
    </xf>
    <xf numFmtId="166" fontId="37" fillId="0" borderId="10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164" fontId="19" fillId="0" borderId="0" xfId="0" applyNumberFormat="1" applyFont="1" applyFill="1" applyAlignment="1">
      <alignment horizontal="center"/>
    </xf>
    <xf numFmtId="0" fontId="19" fillId="0" borderId="0" xfId="0" applyFont="1" applyFill="1" applyBorder="1"/>
    <xf numFmtId="0" fontId="19" fillId="0" borderId="10" xfId="0" applyFont="1" applyFill="1" applyBorder="1"/>
    <xf numFmtId="164" fontId="19" fillId="0" borderId="10" xfId="0" applyNumberFormat="1" applyFont="1" applyFill="1" applyBorder="1" applyAlignment="1">
      <alignment horizontal="center"/>
    </xf>
    <xf numFmtId="3" fontId="19" fillId="0" borderId="10" xfId="0" applyNumberFormat="1" applyFont="1" applyFill="1" applyBorder="1"/>
    <xf numFmtId="164" fontId="35" fillId="0" borderId="0" xfId="0" applyNumberFormat="1" applyFont="1" applyFill="1" applyAlignment="1">
      <alignment horizontal="center"/>
    </xf>
    <xf numFmtId="164" fontId="35" fillId="0" borderId="10" xfId="0" applyNumberFormat="1" applyFont="1" applyFill="1" applyBorder="1" applyAlignment="1">
      <alignment horizontal="center"/>
    </xf>
    <xf numFmtId="4" fontId="96" fillId="0" borderId="34" xfId="0" applyNumberFormat="1" applyFont="1" applyFill="1" applyBorder="1"/>
    <xf numFmtId="4" fontId="19" fillId="0" borderId="51" xfId="0" applyNumberFormat="1" applyFont="1" applyFill="1" applyBorder="1"/>
    <xf numFmtId="4" fontId="102" fillId="0" borderId="0" xfId="0" applyNumberFormat="1" applyFont="1" applyFill="1" applyBorder="1"/>
    <xf numFmtId="0" fontId="10" fillId="0" borderId="0" xfId="0" applyFont="1" applyBorder="1" applyAlignment="1">
      <alignment wrapText="1"/>
    </xf>
    <xf numFmtId="166" fontId="9" fillId="3" borderId="35" xfId="0" applyNumberFormat="1" applyFont="1" applyFill="1" applyBorder="1" applyAlignment="1">
      <alignment horizontal="right"/>
    </xf>
    <xf numFmtId="0" fontId="103" fillId="0" borderId="0" xfId="0" applyFont="1" applyFill="1" applyBorder="1"/>
    <xf numFmtId="164" fontId="104" fillId="0" borderId="0" xfId="0" applyNumberFormat="1" applyFont="1" applyFill="1" applyBorder="1" applyAlignment="1">
      <alignment horizontal="center"/>
    </xf>
    <xf numFmtId="4" fontId="104" fillId="0" borderId="0" xfId="0" applyNumberFormat="1" applyFont="1" applyFill="1" applyBorder="1"/>
    <xf numFmtId="0" fontId="104" fillId="0" borderId="0" xfId="0" applyFont="1" applyFill="1"/>
    <xf numFmtId="4" fontId="106" fillId="0" borderId="0" xfId="0" applyNumberFormat="1" applyFont="1" applyFill="1" applyBorder="1"/>
    <xf numFmtId="4" fontId="107" fillId="0" borderId="0" xfId="0" applyNumberFormat="1" applyFont="1" applyFill="1" applyBorder="1"/>
    <xf numFmtId="0" fontId="108" fillId="0" borderId="0" xfId="0" applyFont="1" applyFill="1"/>
    <xf numFmtId="0" fontId="90" fillId="0" borderId="0" xfId="0" applyFont="1" applyFill="1"/>
    <xf numFmtId="4" fontId="107" fillId="0" borderId="19" xfId="0" applyNumberFormat="1" applyFont="1" applyFill="1" applyBorder="1"/>
    <xf numFmtId="4" fontId="90" fillId="0" borderId="0" xfId="0" applyNumberFormat="1" applyFont="1" applyFill="1" applyBorder="1"/>
    <xf numFmtId="4" fontId="109" fillId="0" borderId="0" xfId="0" applyNumberFormat="1" applyFont="1" applyFill="1" applyBorder="1"/>
    <xf numFmtId="2" fontId="107" fillId="0" borderId="19" xfId="0" applyNumberFormat="1" applyFont="1" applyFill="1" applyBorder="1"/>
    <xf numFmtId="3" fontId="110" fillId="0" borderId="0" xfId="0" applyNumberFormat="1" applyFont="1" applyFill="1" applyBorder="1"/>
    <xf numFmtId="4" fontId="110" fillId="0" borderId="0" xfId="0" applyNumberFormat="1" applyFont="1" applyFill="1" applyBorder="1"/>
    <xf numFmtId="4" fontId="111" fillId="0" borderId="0" xfId="0" applyNumberFormat="1" applyFont="1" applyFill="1" applyBorder="1"/>
    <xf numFmtId="0" fontId="112" fillId="0" borderId="0" xfId="0" applyFont="1" applyFill="1"/>
    <xf numFmtId="3" fontId="110" fillId="0" borderId="19" xfId="0" applyNumberFormat="1" applyFont="1" applyFill="1" applyBorder="1"/>
    <xf numFmtId="4" fontId="110" fillId="0" borderId="19" xfId="0" applyNumberFormat="1" applyFont="1" applyFill="1" applyBorder="1"/>
    <xf numFmtId="4" fontId="102" fillId="0" borderId="28" xfId="0" applyNumberFormat="1" applyFont="1" applyFill="1" applyBorder="1"/>
    <xf numFmtId="4" fontId="102" fillId="0" borderId="19" xfId="0" applyNumberFormat="1" applyFont="1" applyFill="1" applyBorder="1"/>
    <xf numFmtId="4" fontId="102" fillId="0" borderId="31" xfId="0" applyNumberFormat="1" applyFont="1" applyFill="1" applyBorder="1"/>
    <xf numFmtId="4" fontId="102" fillId="0" borderId="20" xfId="0" applyNumberFormat="1" applyFont="1" applyFill="1" applyBorder="1"/>
    <xf numFmtId="0" fontId="10" fillId="0" borderId="34" xfId="0" applyFont="1" applyBorder="1" applyAlignment="1">
      <alignment wrapText="1"/>
    </xf>
    <xf numFmtId="167" fontId="9" fillId="3" borderId="35" xfId="0" applyNumberFormat="1" applyFont="1" applyFill="1" applyBorder="1" applyAlignment="1">
      <alignment horizontal="right"/>
    </xf>
    <xf numFmtId="0" fontId="105" fillId="0" borderId="0" xfId="0" applyFont="1" applyFill="1"/>
    <xf numFmtId="4" fontId="113" fillId="0" borderId="0" xfId="0" applyNumberFormat="1" applyFont="1" applyFill="1" applyBorder="1"/>
    <xf numFmtId="0" fontId="114" fillId="0" borderId="0" xfId="0" applyFont="1" applyFill="1"/>
    <xf numFmtId="4" fontId="115" fillId="0" borderId="0" xfId="0" applyNumberFormat="1" applyFont="1" applyFill="1" applyBorder="1"/>
    <xf numFmtId="4" fontId="102" fillId="0" borderId="12" xfId="0" applyNumberFormat="1" applyFont="1" applyFill="1" applyBorder="1"/>
    <xf numFmtId="167" fontId="29" fillId="0" borderId="10" xfId="10" applyNumberFormat="1" applyFont="1" applyFill="1" applyBorder="1" applyAlignment="1">
      <alignment horizontal="right"/>
    </xf>
    <xf numFmtId="173" fontId="1" fillId="0" borderId="0" xfId="10" applyNumberFormat="1" applyFill="1" applyBorder="1" applyAlignment="1">
      <alignment horizontal="center" vertical="center"/>
    </xf>
    <xf numFmtId="0" fontId="19" fillId="0" borderId="0" xfId="10" applyFont="1" applyFill="1" applyBorder="1" applyAlignment="1">
      <alignment vertical="center" wrapText="1"/>
    </xf>
    <xf numFmtId="0" fontId="1" fillId="0" borderId="0" xfId="10" applyFill="1" applyBorder="1" applyAlignment="1">
      <alignment vertical="center"/>
    </xf>
    <xf numFmtId="0" fontId="1" fillId="0" borderId="2" xfId="0" applyFont="1" applyBorder="1" applyAlignment="1">
      <alignment horizontal="left" vertical="top" wrapText="1"/>
    </xf>
    <xf numFmtId="0" fontId="1" fillId="0" borderId="0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wrapText="1"/>
    </xf>
    <xf numFmtId="49" fontId="7" fillId="0" borderId="2" xfId="0" applyNumberFormat="1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 wrapText="1"/>
    </xf>
    <xf numFmtId="0" fontId="19" fillId="0" borderId="7" xfId="0" applyFont="1" applyFill="1" applyBorder="1" applyAlignment="1"/>
    <xf numFmtId="0" fontId="21" fillId="0" borderId="2" xfId="0" applyFont="1" applyBorder="1" applyAlignment="1">
      <alignment wrapText="1"/>
    </xf>
    <xf numFmtId="0" fontId="12" fillId="0" borderId="0" xfId="0" applyFont="1" applyFill="1" applyBorder="1" applyAlignment="1">
      <alignment vertical="top" wrapText="1"/>
    </xf>
    <xf numFmtId="0" fontId="10" fillId="0" borderId="2" xfId="0" applyFont="1" applyBorder="1" applyAlignment="1">
      <alignment wrapText="1"/>
    </xf>
    <xf numFmtId="3" fontId="106" fillId="0" borderId="0" xfId="0" applyNumberFormat="1" applyFont="1" applyFill="1" applyBorder="1"/>
    <xf numFmtId="4" fontId="111" fillId="0" borderId="0" xfId="0" applyNumberFormat="1" applyFont="1" applyFill="1"/>
    <xf numFmtId="4" fontId="102" fillId="0" borderId="0" xfId="0" applyNumberFormat="1" applyFont="1" applyFill="1"/>
    <xf numFmtId="4" fontId="108" fillId="0" borderId="0" xfId="0" applyNumberFormat="1" applyFont="1" applyFill="1" applyBorder="1"/>
    <xf numFmtId="0" fontId="116" fillId="0" borderId="0" xfId="0" applyFont="1" applyFill="1"/>
    <xf numFmtId="4" fontId="117" fillId="0" borderId="10" xfId="0" applyNumberFormat="1" applyFont="1" applyFill="1" applyBorder="1"/>
    <xf numFmtId="4" fontId="118" fillId="0" borderId="0" xfId="0" applyNumberFormat="1" applyFont="1" applyFill="1" applyBorder="1"/>
    <xf numFmtId="4" fontId="117" fillId="0" borderId="37" xfId="0" applyNumberFormat="1" applyFont="1" applyFill="1" applyBorder="1"/>
    <xf numFmtId="0" fontId="118" fillId="0" borderId="0" xfId="0" applyFont="1" applyFill="1"/>
    <xf numFmtId="164" fontId="90" fillId="0" borderId="0" xfId="0" applyNumberFormat="1" applyFont="1" applyFill="1" applyAlignment="1">
      <alignment horizontal="center"/>
    </xf>
    <xf numFmtId="3" fontId="118" fillId="0" borderId="0" xfId="0" applyNumberFormat="1" applyFont="1" applyFill="1"/>
    <xf numFmtId="4" fontId="118" fillId="0" borderId="0" xfId="0" applyNumberFormat="1" applyFont="1" applyFill="1"/>
    <xf numFmtId="0" fontId="118" fillId="0" borderId="20" xfId="0" applyFont="1" applyFill="1" applyBorder="1"/>
    <xf numFmtId="164" fontId="90" fillId="0" borderId="20" xfId="0" applyNumberFormat="1" applyFont="1" applyFill="1" applyBorder="1" applyAlignment="1">
      <alignment horizontal="center"/>
    </xf>
    <xf numFmtId="3" fontId="118" fillId="0" borderId="20" xfId="0" applyNumberFormat="1" applyFont="1" applyFill="1" applyBorder="1"/>
    <xf numFmtId="4" fontId="118" fillId="0" borderId="20" xfId="0" applyNumberFormat="1" applyFont="1" applyFill="1" applyBorder="1"/>
    <xf numFmtId="3" fontId="106" fillId="0" borderId="0" xfId="0" applyNumberFormat="1" applyFont="1" applyFill="1"/>
    <xf numFmtId="0" fontId="39" fillId="0" borderId="0" xfId="0" applyFont="1" applyFill="1" applyBorder="1" applyAlignment="1"/>
    <xf numFmtId="166" fontId="37" fillId="0" borderId="0" xfId="0" applyNumberFormat="1" applyFont="1" applyFill="1" applyBorder="1"/>
    <xf numFmtId="4" fontId="117" fillId="0" borderId="0" xfId="0" applyNumberFormat="1" applyFont="1" applyFill="1" applyBorder="1"/>
    <xf numFmtId="0" fontId="35" fillId="0" borderId="0" xfId="0" applyFont="1" applyFill="1" applyBorder="1" applyAlignment="1"/>
    <xf numFmtId="4" fontId="35" fillId="0" borderId="0" xfId="0" applyNumberFormat="1" applyFont="1" applyFill="1" applyBorder="1"/>
    <xf numFmtId="4" fontId="97" fillId="0" borderId="0" xfId="0" applyNumberFormat="1" applyFont="1" applyFill="1" applyBorder="1"/>
    <xf numFmtId="3" fontId="105" fillId="0" borderId="0" xfId="0" applyNumberFormat="1" applyFont="1" applyFill="1" applyBorder="1"/>
    <xf numFmtId="0" fontId="106" fillId="0" borderId="0" xfId="0" applyFont="1" applyFill="1"/>
    <xf numFmtId="164" fontId="104" fillId="0" borderId="0" xfId="0" applyNumberFormat="1" applyFont="1" applyFill="1" applyAlignment="1">
      <alignment horizontal="center"/>
    </xf>
    <xf numFmtId="4" fontId="106" fillId="0" borderId="0" xfId="0" applyNumberFormat="1" applyFont="1" applyFill="1"/>
    <xf numFmtId="0" fontId="106" fillId="0" borderId="20" xfId="0" applyFont="1" applyFill="1" applyBorder="1"/>
    <xf numFmtId="164" fontId="104" fillId="0" borderId="20" xfId="0" applyNumberFormat="1" applyFont="1" applyFill="1" applyBorder="1" applyAlignment="1">
      <alignment horizontal="center"/>
    </xf>
    <xf numFmtId="3" fontId="106" fillId="0" borderId="20" xfId="0" applyNumberFormat="1" applyFont="1" applyFill="1" applyBorder="1"/>
    <xf numFmtId="4" fontId="106" fillId="0" borderId="20" xfId="0" applyNumberFormat="1" applyFont="1" applyFill="1" applyBorder="1"/>
    <xf numFmtId="3" fontId="19" fillId="0" borderId="0" xfId="0" applyNumberFormat="1" applyFont="1" applyFill="1" applyAlignment="1">
      <alignment vertical="center" wrapText="1"/>
    </xf>
    <xf numFmtId="0" fontId="104" fillId="0" borderId="0" xfId="0" applyFont="1" applyFill="1" applyAlignment="1">
      <alignment horizontal="center" vertical="center"/>
    </xf>
    <xf numFmtId="0" fontId="119" fillId="0" borderId="0" xfId="0" applyFont="1" applyFill="1" applyAlignment="1">
      <alignment horizontal="center" vertical="center"/>
    </xf>
    <xf numFmtId="3" fontId="104" fillId="0" borderId="0" xfId="0" applyNumberFormat="1" applyFont="1" applyFill="1"/>
    <xf numFmtId="4" fontId="106" fillId="0" borderId="0" xfId="0" applyNumberFormat="1" applyFont="1" applyFill="1" applyAlignment="1">
      <alignment vertical="center" wrapText="1"/>
    </xf>
    <xf numFmtId="4" fontId="104" fillId="0" borderId="0" xfId="0" applyNumberFormat="1" applyFont="1" applyFill="1"/>
    <xf numFmtId="4" fontId="120" fillId="0" borderId="0" xfId="0" applyNumberFormat="1" applyFont="1" applyFill="1"/>
    <xf numFmtId="0" fontId="19" fillId="0" borderId="4" xfId="0" applyFont="1" applyFill="1" applyBorder="1" applyAlignment="1">
      <alignment vertical="top"/>
    </xf>
    <xf numFmtId="0" fontId="19" fillId="0" borderId="5" xfId="0" applyFont="1" applyFill="1" applyBorder="1" applyAlignment="1">
      <alignment vertical="top"/>
    </xf>
    <xf numFmtId="1" fontId="11" fillId="0" borderId="2" xfId="0" applyNumberFormat="1" applyFont="1" applyFill="1" applyBorder="1" applyAlignment="1">
      <alignment horizontal="right"/>
    </xf>
    <xf numFmtId="0" fontId="1" fillId="0" borderId="17" xfId="0" applyFont="1" applyFill="1" applyBorder="1" applyAlignment="1">
      <alignment horizontal="center" vertical="center"/>
    </xf>
    <xf numFmtId="3" fontId="11" fillId="0" borderId="15" xfId="0" applyNumberFormat="1" applyFont="1" applyFill="1" applyBorder="1"/>
    <xf numFmtId="0" fontId="21" fillId="0" borderId="17" xfId="0" applyFont="1" applyBorder="1"/>
    <xf numFmtId="49" fontId="7" fillId="0" borderId="53" xfId="0" applyNumberFormat="1" applyFont="1" applyBorder="1" applyAlignment="1">
      <alignment horizontal="left" vertical="top"/>
    </xf>
    <xf numFmtId="0" fontId="9" fillId="0" borderId="14" xfId="0" applyFont="1" applyBorder="1" applyAlignment="1">
      <alignment vertical="top"/>
    </xf>
    <xf numFmtId="0" fontId="1" fillId="0" borderId="6" xfId="0" applyFont="1" applyFill="1" applyBorder="1" applyAlignment="1"/>
    <xf numFmtId="3" fontId="6" fillId="0" borderId="18" xfId="0" applyNumberFormat="1" applyFont="1" applyFill="1" applyBorder="1"/>
    <xf numFmtId="0" fontId="21" fillId="0" borderId="2" xfId="0" applyFont="1" applyBorder="1" applyAlignment="1">
      <alignment vertical="top"/>
    </xf>
    <xf numFmtId="0" fontId="9" fillId="3" borderId="2" xfId="0" applyFont="1" applyFill="1" applyBorder="1"/>
    <xf numFmtId="49" fontId="7" fillId="3" borderId="17" xfId="0" applyNumberFormat="1" applyFont="1" applyFill="1" applyBorder="1" applyAlignment="1">
      <alignment horizontal="left" vertical="top"/>
    </xf>
    <xf numFmtId="0" fontId="21" fillId="0" borderId="2" xfId="0" applyFont="1" applyBorder="1" applyAlignment="1"/>
    <xf numFmtId="0" fontId="1" fillId="0" borderId="34" xfId="0" applyFont="1" applyFill="1" applyBorder="1"/>
    <xf numFmtId="49" fontId="7" fillId="0" borderId="34" xfId="0" applyNumberFormat="1" applyFont="1" applyFill="1" applyBorder="1" applyAlignment="1">
      <alignment horizontal="left"/>
    </xf>
    <xf numFmtId="1" fontId="9" fillId="0" borderId="34" xfId="0" applyNumberFormat="1" applyFont="1" applyFill="1" applyBorder="1" applyAlignment="1">
      <alignment horizontal="left"/>
    </xf>
    <xf numFmtId="3" fontId="12" fillId="0" borderId="34" xfId="0" applyNumberFormat="1" applyFont="1" applyFill="1" applyBorder="1"/>
    <xf numFmtId="0" fontId="21" fillId="0" borderId="14" xfId="0" applyFont="1" applyBorder="1" applyAlignment="1"/>
    <xf numFmtId="49" fontId="7" fillId="0" borderId="34" xfId="0" applyNumberFormat="1" applyFont="1" applyBorder="1" applyAlignment="1">
      <alignment horizontal="left" vertical="top"/>
    </xf>
    <xf numFmtId="0" fontId="21" fillId="0" borderId="34" xfId="0" applyFont="1" applyBorder="1" applyAlignment="1"/>
    <xf numFmtId="166" fontId="2" fillId="0" borderId="34" xfId="0" applyNumberFormat="1" applyFont="1" applyFill="1" applyBorder="1"/>
    <xf numFmtId="3" fontId="11" fillId="0" borderId="23" xfId="0" applyNumberFormat="1" applyFont="1" applyFill="1" applyBorder="1"/>
    <xf numFmtId="49" fontId="7" fillId="3" borderId="27" xfId="0" applyNumberFormat="1" applyFont="1" applyFill="1" applyBorder="1" applyAlignment="1">
      <alignment horizontal="left" vertical="top"/>
    </xf>
    <xf numFmtId="0" fontId="21" fillId="0" borderId="27" xfId="0" applyFont="1" applyBorder="1"/>
    <xf numFmtId="49" fontId="7" fillId="3" borderId="34" xfId="0" applyNumberFormat="1" applyFont="1" applyFill="1" applyBorder="1" applyAlignment="1">
      <alignment horizontal="left" vertical="top"/>
    </xf>
    <xf numFmtId="0" fontId="21" fillId="0" borderId="34" xfId="0" applyFont="1" applyBorder="1"/>
    <xf numFmtId="1" fontId="9" fillId="0" borderId="14" xfId="0" applyNumberFormat="1" applyFont="1" applyBorder="1" applyAlignment="1">
      <alignment horizontal="left"/>
    </xf>
    <xf numFmtId="3" fontId="9" fillId="0" borderId="12" xfId="0" applyNumberFormat="1" applyFont="1" applyFill="1" applyBorder="1"/>
    <xf numFmtId="0" fontId="1" fillId="0" borderId="17" xfId="0" applyFont="1" applyBorder="1" applyAlignment="1">
      <alignment horizontal="left" vertical="top" wrapText="1"/>
    </xf>
    <xf numFmtId="0" fontId="9" fillId="0" borderId="17" xfId="0" applyFont="1" applyBorder="1"/>
    <xf numFmtId="0" fontId="9" fillId="0" borderId="14" xfId="0" applyFont="1" applyFill="1" applyBorder="1"/>
    <xf numFmtId="0" fontId="10" fillId="0" borderId="0" xfId="0" applyFont="1" applyBorder="1" applyAlignment="1">
      <alignment wrapText="1"/>
    </xf>
    <xf numFmtId="49" fontId="7" fillId="0" borderId="48" xfId="0" applyNumberFormat="1" applyFont="1" applyFill="1" applyBorder="1" applyAlignment="1">
      <alignment horizontal="left"/>
    </xf>
    <xf numFmtId="3" fontId="12" fillId="0" borderId="48" xfId="0" applyNumberFormat="1" applyFont="1" applyFill="1" applyBorder="1" applyAlignment="1">
      <alignment vertical="top"/>
    </xf>
    <xf numFmtId="166" fontId="12" fillId="0" borderId="35" xfId="0" applyNumberFormat="1" applyFont="1" applyFill="1" applyBorder="1" applyAlignment="1">
      <alignment vertical="top"/>
    </xf>
    <xf numFmtId="166" fontId="9" fillId="0" borderId="0" xfId="0" applyNumberFormat="1" applyFont="1" applyFill="1" applyBorder="1"/>
    <xf numFmtId="49" fontId="7" fillId="0" borderId="48" xfId="0" applyNumberFormat="1" applyFont="1" applyFill="1" applyBorder="1" applyAlignment="1">
      <alignment horizontal="left" vertical="top"/>
    </xf>
    <xf numFmtId="1" fontId="9" fillId="0" borderId="48" xfId="0" applyNumberFormat="1" applyFont="1" applyFill="1" applyBorder="1" applyAlignment="1">
      <alignment horizontal="left" wrapText="1"/>
    </xf>
    <xf numFmtId="3" fontId="11" fillId="0" borderId="48" xfId="0" applyNumberFormat="1" applyFont="1" applyFill="1" applyBorder="1" applyAlignment="1">
      <alignment vertical="top"/>
    </xf>
    <xf numFmtId="3" fontId="9" fillId="0" borderId="48" xfId="0" applyNumberFormat="1" applyFont="1" applyFill="1" applyBorder="1" applyAlignment="1">
      <alignment vertical="top"/>
    </xf>
    <xf numFmtId="0" fontId="21" fillId="0" borderId="17" xfId="0" applyFont="1" applyBorder="1" applyAlignment="1"/>
    <xf numFmtId="3" fontId="11" fillId="0" borderId="17" xfId="0" applyNumberFormat="1" applyFont="1" applyFill="1" applyBorder="1" applyAlignment="1"/>
    <xf numFmtId="3" fontId="9" fillId="0" borderId="17" xfId="0" applyNumberFormat="1" applyFont="1" applyFill="1" applyBorder="1" applyAlignment="1"/>
    <xf numFmtId="166" fontId="12" fillId="0" borderId="25" xfId="0" applyNumberFormat="1" applyFont="1" applyFill="1" applyBorder="1" applyAlignment="1"/>
    <xf numFmtId="3" fontId="12" fillId="0" borderId="17" xfId="0" applyNumberFormat="1" applyFont="1" applyFill="1" applyBorder="1" applyAlignment="1"/>
    <xf numFmtId="0" fontId="21" fillId="0" borderId="0" xfId="0" applyFont="1" applyBorder="1" applyAlignment="1"/>
    <xf numFmtId="0" fontId="21" fillId="0" borderId="0" xfId="0" applyFont="1" applyBorder="1"/>
    <xf numFmtId="166" fontId="2" fillId="0" borderId="0" xfId="0" applyNumberFormat="1" applyFont="1" applyFill="1" applyBorder="1"/>
    <xf numFmtId="3" fontId="19" fillId="4" borderId="2" xfId="10" applyNumberFormat="1" applyFont="1" applyFill="1" applyBorder="1" applyAlignment="1">
      <alignment horizontal="right" vertical="center"/>
    </xf>
    <xf numFmtId="173" fontId="1" fillId="0" borderId="0" xfId="10" applyNumberFormat="1" applyFill="1" applyBorder="1" applyAlignment="1">
      <alignment horizontal="center"/>
    </xf>
    <xf numFmtId="173" fontId="1" fillId="4" borderId="0" xfId="10" applyNumberFormat="1" applyFill="1" applyBorder="1" applyAlignment="1">
      <alignment horizontal="center"/>
    </xf>
    <xf numFmtId="3" fontId="9" fillId="0" borderId="2" xfId="8" applyFont="1" applyBorder="1" applyAlignment="1">
      <alignment horizontal="right"/>
    </xf>
    <xf numFmtId="3" fontId="11" fillId="0" borderId="9" xfId="8" applyFont="1" applyBorder="1" applyAlignment="1">
      <alignment horizontal="right"/>
    </xf>
    <xf numFmtId="3" fontId="11" fillId="0" borderId="2" xfId="8" applyFont="1" applyBorder="1" applyAlignment="1">
      <alignment horizontal="right"/>
    </xf>
    <xf numFmtId="1" fontId="10" fillId="3" borderId="9" xfId="8" applyNumberFormat="1" applyFont="1" applyFill="1" applyBorder="1" applyAlignment="1">
      <alignment horizontal="center" vertical="center"/>
    </xf>
    <xf numFmtId="1" fontId="10" fillId="3" borderId="2" xfId="8" applyNumberFormat="1" applyFont="1" applyFill="1" applyBorder="1" applyAlignment="1">
      <alignment horizontal="center" vertical="center"/>
    </xf>
    <xf numFmtId="1" fontId="10" fillId="3" borderId="14" xfId="8" applyNumberFormat="1" applyFont="1" applyFill="1" applyBorder="1" applyAlignment="1">
      <alignment horizontal="center" vertical="center"/>
    </xf>
    <xf numFmtId="1" fontId="10" fillId="3" borderId="26" xfId="8" applyNumberFormat="1" applyFont="1" applyFill="1" applyBorder="1" applyAlignment="1">
      <alignment horizontal="center" vertical="center"/>
    </xf>
    <xf numFmtId="1" fontId="10" fillId="3" borderId="12" xfId="8" applyNumberFormat="1" applyFont="1" applyFill="1" applyBorder="1" applyAlignment="1">
      <alignment horizontal="center" vertical="center"/>
    </xf>
    <xf numFmtId="1" fontId="10" fillId="3" borderId="33" xfId="8" applyNumberFormat="1" applyFont="1" applyFill="1" applyBorder="1" applyAlignment="1">
      <alignment horizontal="center" vertical="center"/>
    </xf>
    <xf numFmtId="1" fontId="10" fillId="0" borderId="9" xfId="0" applyNumberFormat="1" applyFont="1" applyFill="1" applyBorder="1" applyAlignment="1">
      <alignment horizontal="center" vertical="center"/>
    </xf>
    <xf numFmtId="1" fontId="10" fillId="0" borderId="2" xfId="0" applyNumberFormat="1" applyFont="1" applyFill="1" applyBorder="1" applyAlignment="1">
      <alignment horizontal="center" vertical="center"/>
    </xf>
    <xf numFmtId="1" fontId="10" fillId="0" borderId="48" xfId="0" applyNumberFormat="1" applyFont="1" applyFill="1" applyBorder="1" applyAlignment="1">
      <alignment horizontal="center" vertical="center"/>
    </xf>
    <xf numFmtId="1" fontId="10" fillId="0" borderId="26" xfId="0" applyNumberFormat="1" applyFont="1" applyFill="1" applyBorder="1" applyAlignment="1">
      <alignment horizontal="center" vertical="center"/>
    </xf>
    <xf numFmtId="1" fontId="10" fillId="0" borderId="12" xfId="0" applyNumberFormat="1" applyFont="1" applyFill="1" applyBorder="1" applyAlignment="1">
      <alignment horizontal="center" vertical="center"/>
    </xf>
    <xf numFmtId="1" fontId="10" fillId="0" borderId="50" xfId="0" applyNumberFormat="1" applyFont="1" applyFill="1" applyBorder="1" applyAlignment="1">
      <alignment horizontal="center" vertical="center"/>
    </xf>
    <xf numFmtId="0" fontId="121" fillId="0" borderId="0" xfId="0" applyFont="1" applyFill="1"/>
    <xf numFmtId="164" fontId="121" fillId="0" borderId="0" xfId="0" applyNumberFormat="1" applyFont="1" applyFill="1" applyBorder="1" applyAlignment="1">
      <alignment horizontal="center"/>
    </xf>
    <xf numFmtId="3" fontId="122" fillId="0" borderId="0" xfId="0" applyNumberFormat="1" applyFont="1" applyFill="1" applyBorder="1"/>
    <xf numFmtId="166" fontId="121" fillId="0" borderId="0" xfId="0" applyNumberFormat="1" applyFont="1" applyFill="1" applyBorder="1"/>
    <xf numFmtId="0" fontId="123" fillId="0" borderId="0" xfId="0" applyFont="1" applyFill="1" applyBorder="1"/>
    <xf numFmtId="164" fontId="124" fillId="0" borderId="0" xfId="0" applyNumberFormat="1" applyFont="1" applyFill="1" applyBorder="1" applyAlignment="1">
      <alignment horizontal="center"/>
    </xf>
    <xf numFmtId="0" fontId="121" fillId="0" borderId="0" xfId="0" applyFont="1" applyFill="1" applyBorder="1"/>
    <xf numFmtId="3" fontId="125" fillId="0" borderId="0" xfId="0" applyNumberFormat="1" applyFont="1" applyFill="1" applyBorder="1" applyAlignment="1">
      <alignment horizontal="center"/>
    </xf>
    <xf numFmtId="3" fontId="124" fillId="0" borderId="0" xfId="0" applyNumberFormat="1" applyFont="1" applyFill="1" applyBorder="1"/>
    <xf numFmtId="166" fontId="124" fillId="0" borderId="0" xfId="0" applyNumberFormat="1" applyFont="1" applyFill="1" applyBorder="1"/>
    <xf numFmtId="0" fontId="126" fillId="0" borderId="0" xfId="0" applyFont="1" applyFill="1" applyBorder="1"/>
    <xf numFmtId="166" fontId="122" fillId="0" borderId="0" xfId="0" applyNumberFormat="1" applyFont="1" applyFill="1" applyBorder="1"/>
    <xf numFmtId="0" fontId="125" fillId="0" borderId="0" xfId="0" applyFont="1" applyFill="1" applyBorder="1"/>
    <xf numFmtId="0" fontId="127" fillId="0" borderId="0" xfId="0" applyFont="1" applyFill="1" applyBorder="1"/>
    <xf numFmtId="3" fontId="124" fillId="0" borderId="0" xfId="0" applyNumberFormat="1" applyFont="1" applyFill="1"/>
    <xf numFmtId="0" fontId="40" fillId="0" borderId="0" xfId="0" applyFont="1" applyFill="1" applyAlignment="1">
      <alignment horizontal="left"/>
    </xf>
    <xf numFmtId="0" fontId="0" fillId="0" borderId="0" xfId="0" applyFill="1" applyAlignment="1"/>
    <xf numFmtId="0" fontId="49" fillId="0" borderId="39" xfId="0" applyFont="1" applyFill="1" applyBorder="1" applyAlignment="1"/>
    <xf numFmtId="0" fontId="0" fillId="0" borderId="40" xfId="0" applyFill="1" applyBorder="1" applyAlignment="1"/>
    <xf numFmtId="1" fontId="15" fillId="0" borderId="39" xfId="0" applyNumberFormat="1" applyFont="1" applyFill="1" applyBorder="1" applyAlignment="1">
      <alignment horizontal="left" wrapText="1"/>
    </xf>
    <xf numFmtId="0" fontId="34" fillId="0" borderId="28" xfId="0" applyFont="1" applyFill="1" applyBorder="1" applyAlignment="1">
      <alignment wrapText="1"/>
    </xf>
    <xf numFmtId="0" fontId="0" fillId="0" borderId="16" xfId="0" applyFill="1" applyBorder="1" applyAlignment="1">
      <alignment wrapText="1"/>
    </xf>
    <xf numFmtId="0" fontId="0" fillId="0" borderId="0" xfId="0" applyFill="1" applyAlignment="1">
      <alignment wrapText="1"/>
    </xf>
    <xf numFmtId="0" fontId="33" fillId="0" borderId="7" xfId="0" applyFont="1" applyFill="1" applyBorder="1" applyAlignment="1">
      <alignment horizontal="center" vertical="center"/>
    </xf>
    <xf numFmtId="0" fontId="0" fillId="0" borderId="56" xfId="0" applyFill="1" applyBorder="1" applyAlignment="1">
      <alignment horizontal="center" vertical="center"/>
    </xf>
    <xf numFmtId="1" fontId="21" fillId="0" borderId="0" xfId="0" applyNumberFormat="1" applyFont="1" applyFill="1" applyAlignment="1">
      <alignment horizontal="justify" wrapText="1"/>
    </xf>
    <xf numFmtId="1" fontId="12" fillId="0" borderId="31" xfId="0" applyNumberFormat="1" applyFont="1" applyFill="1" applyBorder="1" applyAlignment="1">
      <alignment horizontal="left"/>
    </xf>
    <xf numFmtId="0" fontId="0" fillId="0" borderId="59" xfId="0" applyFill="1" applyBorder="1" applyAlignment="1"/>
    <xf numFmtId="0" fontId="33" fillId="0" borderId="7" xfId="0" applyFont="1" applyFill="1" applyBorder="1" applyAlignment="1">
      <alignment horizontal="center" vertical="center" wrapText="1"/>
    </xf>
    <xf numFmtId="0" fontId="0" fillId="0" borderId="56" xfId="0" applyFill="1" applyBorder="1" applyAlignment="1">
      <alignment wrapText="1"/>
    </xf>
    <xf numFmtId="0" fontId="34" fillId="0" borderId="26" xfId="0" applyFont="1" applyFill="1" applyBorder="1" applyAlignment="1">
      <alignment wrapText="1"/>
    </xf>
    <xf numFmtId="0" fontId="0" fillId="0" borderId="18" xfId="0" applyFill="1" applyBorder="1" applyAlignment="1">
      <alignment wrapText="1"/>
    </xf>
    <xf numFmtId="1" fontId="12" fillId="0" borderId="31" xfId="0" applyNumberFormat="1" applyFont="1" applyFill="1" applyBorder="1" applyAlignment="1">
      <alignment horizontal="left" wrapText="1"/>
    </xf>
    <xf numFmtId="0" fontId="0" fillId="0" borderId="59" xfId="0" applyFill="1" applyBorder="1" applyAlignment="1">
      <alignment wrapText="1"/>
    </xf>
    <xf numFmtId="0" fontId="49" fillId="0" borderId="39" xfId="0" applyFont="1" applyFill="1" applyBorder="1" applyAlignment="1">
      <alignment wrapText="1"/>
    </xf>
    <xf numFmtId="0" fontId="0" fillId="0" borderId="40" xfId="0" applyFill="1" applyBorder="1" applyAlignment="1">
      <alignment wrapText="1"/>
    </xf>
    <xf numFmtId="0" fontId="19" fillId="0" borderId="47" xfId="0" applyFont="1" applyFill="1" applyBorder="1" applyAlignment="1">
      <alignment wrapText="1"/>
    </xf>
    <xf numFmtId="0" fontId="1" fillId="0" borderId="6" xfId="0" applyFont="1" applyBorder="1" applyAlignment="1">
      <alignment wrapText="1"/>
    </xf>
    <xf numFmtId="0" fontId="19" fillId="0" borderId="6" xfId="0" applyFont="1" applyFill="1" applyBorder="1" applyAlignment="1">
      <alignment wrapText="1"/>
    </xf>
    <xf numFmtId="0" fontId="39" fillId="0" borderId="7" xfId="0" applyFont="1" applyFill="1" applyBorder="1" applyAlignment="1"/>
    <xf numFmtId="0" fontId="39" fillId="0" borderId="56" xfId="0" applyFont="1" applyFill="1" applyBorder="1" applyAlignment="1"/>
    <xf numFmtId="1" fontId="6" fillId="0" borderId="47" xfId="0" applyNumberFormat="1" applyFont="1" applyFill="1" applyBorder="1" applyAlignment="1">
      <alignment horizontal="left" wrapText="1"/>
    </xf>
    <xf numFmtId="1" fontId="10" fillId="0" borderId="0" xfId="0" applyNumberFormat="1" applyFont="1" applyFill="1" applyBorder="1" applyAlignment="1">
      <alignment horizontal="justify" wrapText="1"/>
    </xf>
    <xf numFmtId="0" fontId="1" fillId="0" borderId="0" xfId="0" applyFont="1" applyAlignment="1">
      <alignment horizontal="justify" wrapText="1"/>
    </xf>
    <xf numFmtId="0" fontId="1" fillId="0" borderId="0" xfId="0" applyFont="1" applyFill="1" applyAlignment="1">
      <alignment horizontal="left"/>
    </xf>
    <xf numFmtId="0" fontId="40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/>
    </xf>
    <xf numFmtId="0" fontId="19" fillId="0" borderId="47" xfId="0" applyFont="1" applyFill="1" applyBorder="1" applyAlignment="1">
      <alignment vertical="top" wrapText="1"/>
    </xf>
    <xf numFmtId="0" fontId="19" fillId="0" borderId="6" xfId="0" applyFont="1" applyFill="1" applyBorder="1" applyAlignment="1">
      <alignment vertical="top" wrapText="1"/>
    </xf>
    <xf numFmtId="0" fontId="11" fillId="0" borderId="2" xfId="10" applyFont="1" applyBorder="1" applyAlignment="1">
      <alignment wrapText="1"/>
    </xf>
    <xf numFmtId="0" fontId="19" fillId="0" borderId="2" xfId="0" applyFont="1" applyBorder="1" applyAlignment="1">
      <alignment wrapText="1"/>
    </xf>
    <xf numFmtId="0" fontId="11" fillId="0" borderId="0" xfId="10" applyFont="1" applyBorder="1" applyAlignment="1">
      <alignment wrapText="1"/>
    </xf>
    <xf numFmtId="2" fontId="1" fillId="0" borderId="2" xfId="10" applyNumberFormat="1" applyBorder="1" applyAlignment="1">
      <alignment vertical="center" wrapText="1"/>
    </xf>
    <xf numFmtId="0" fontId="1" fillId="0" borderId="2" xfId="10" applyBorder="1" applyAlignment="1">
      <alignment vertical="top" wrapText="1"/>
    </xf>
    <xf numFmtId="0" fontId="1" fillId="0" borderId="2" xfId="10" applyBorder="1" applyAlignment="1">
      <alignment wrapText="1"/>
    </xf>
    <xf numFmtId="49" fontId="7" fillId="0" borderId="2" xfId="10" applyNumberFormat="1" applyFont="1" applyBorder="1" applyAlignment="1">
      <alignment horizontal="left" vertical="top" wrapText="1"/>
    </xf>
    <xf numFmtId="0" fontId="1" fillId="0" borderId="2" xfId="10" applyBorder="1" applyAlignment="1">
      <alignment horizontal="left" vertical="top" wrapText="1"/>
    </xf>
    <xf numFmtId="0" fontId="1" fillId="0" borderId="14" xfId="10" applyBorder="1" applyAlignment="1">
      <alignment wrapText="1"/>
    </xf>
    <xf numFmtId="49" fontId="7" fillId="0" borderId="9" xfId="10" applyNumberFormat="1" applyFont="1" applyBorder="1" applyAlignment="1">
      <alignment horizontal="left" vertical="top" wrapText="1"/>
    </xf>
    <xf numFmtId="0" fontId="10" fillId="0" borderId="2" xfId="0" applyFont="1" applyBorder="1" applyAlignment="1">
      <alignment vertical="top" wrapText="1"/>
    </xf>
    <xf numFmtId="0" fontId="0" fillId="0" borderId="2" xfId="0" applyBorder="1" applyAlignment="1">
      <alignment vertical="top" wrapText="1"/>
    </xf>
    <xf numFmtId="49" fontId="7" fillId="0" borderId="2" xfId="0" applyNumberFormat="1" applyFont="1" applyBorder="1" applyAlignment="1">
      <alignment horizontal="left" vertical="top" wrapText="1"/>
    </xf>
    <xf numFmtId="0" fontId="0" fillId="0" borderId="2" xfId="0" applyBorder="1" applyAlignment="1">
      <alignment horizontal="left" vertical="top" wrapText="1"/>
    </xf>
    <xf numFmtId="0" fontId="29" fillId="0" borderId="10" xfId="0" applyFont="1" applyFill="1" applyBorder="1" applyAlignment="1">
      <alignment horizontal="left" wrapText="1"/>
    </xf>
    <xf numFmtId="0" fontId="58" fillId="0" borderId="10" xfId="0" applyFont="1" applyFill="1" applyBorder="1" applyAlignment="1">
      <alignment wrapText="1"/>
    </xf>
    <xf numFmtId="0" fontId="10" fillId="0" borderId="0" xfId="0" applyFont="1" applyBorder="1" applyAlignment="1">
      <alignment wrapText="1"/>
    </xf>
    <xf numFmtId="2" fontId="6" fillId="0" borderId="2" xfId="0" applyNumberFormat="1" applyFont="1" applyBorder="1" applyAlignment="1">
      <alignment wrapText="1"/>
    </xf>
    <xf numFmtId="2" fontId="0" fillId="0" borderId="2" xfId="0" applyNumberFormat="1" applyBorder="1" applyAlignment="1">
      <alignment wrapText="1"/>
    </xf>
    <xf numFmtId="0" fontId="58" fillId="0" borderId="10" xfId="0" applyFont="1" applyFill="1" applyBorder="1" applyAlignment="1"/>
    <xf numFmtId="167" fontId="66" fillId="2" borderId="60" xfId="0" applyNumberFormat="1" applyFont="1" applyFill="1" applyBorder="1" applyAlignment="1">
      <alignment wrapText="1"/>
    </xf>
    <xf numFmtId="0" fontId="0" fillId="0" borderId="34" xfId="0" applyBorder="1"/>
    <xf numFmtId="0" fontId="48" fillId="2" borderId="60" xfId="0" applyFont="1" applyFill="1" applyBorder="1" applyAlignment="1">
      <alignment horizontal="left" wrapText="1"/>
    </xf>
    <xf numFmtId="0" fontId="0" fillId="0" borderId="60" xfId="0" applyBorder="1"/>
    <xf numFmtId="3" fontId="29" fillId="2" borderId="60" xfId="0" applyNumberFormat="1" applyFont="1" applyFill="1" applyBorder="1" applyAlignment="1">
      <alignment wrapText="1"/>
    </xf>
    <xf numFmtId="0" fontId="19" fillId="2" borderId="4" xfId="0" applyFont="1" applyFill="1" applyBorder="1" applyAlignment="1"/>
    <xf numFmtId="0" fontId="19" fillId="2" borderId="5" xfId="0" applyFont="1" applyFill="1" applyBorder="1" applyAlignment="1"/>
    <xf numFmtId="1" fontId="39" fillId="3" borderId="0" xfId="0" applyNumberFormat="1" applyFont="1" applyFill="1" applyBorder="1" applyAlignment="1">
      <alignment horizontal="left" wrapText="1"/>
    </xf>
    <xf numFmtId="0" fontId="0" fillId="0" borderId="0" xfId="0" applyAlignment="1">
      <alignment wrapText="1"/>
    </xf>
    <xf numFmtId="0" fontId="19" fillId="2" borderId="50" xfId="0" applyFont="1" applyFill="1" applyBorder="1" applyAlignment="1"/>
    <xf numFmtId="0" fontId="19" fillId="2" borderId="14" xfId="0" applyFont="1" applyFill="1" applyBorder="1" applyAlignment="1"/>
    <xf numFmtId="0" fontId="29" fillId="2" borderId="10" xfId="0" applyFont="1" applyFill="1" applyBorder="1" applyAlignment="1">
      <alignment horizontal="left" wrapText="1"/>
    </xf>
    <xf numFmtId="0" fontId="58" fillId="0" borderId="10" xfId="0" applyFont="1" applyBorder="1" applyAlignment="1"/>
    <xf numFmtId="0" fontId="10" fillId="0" borderId="0" xfId="0" applyFont="1" applyBorder="1" applyAlignment="1">
      <alignment vertical="top" wrapText="1"/>
    </xf>
    <xf numFmtId="0" fontId="1" fillId="0" borderId="17" xfId="0" applyFont="1" applyBorder="1" applyAlignment="1">
      <alignment wrapText="1"/>
    </xf>
    <xf numFmtId="1" fontId="6" fillId="0" borderId="2" xfId="0" applyNumberFormat="1" applyFont="1" applyBorder="1" applyAlignment="1">
      <alignment horizontal="left" wrapText="1"/>
    </xf>
    <xf numFmtId="0" fontId="6" fillId="0" borderId="2" xfId="0" applyFont="1" applyBorder="1" applyAlignment="1">
      <alignment wrapText="1"/>
    </xf>
    <xf numFmtId="0" fontId="1" fillId="0" borderId="0" xfId="0" applyFont="1" applyFill="1" applyAlignment="1">
      <alignment wrapText="1"/>
    </xf>
    <xf numFmtId="0" fontId="1" fillId="0" borderId="2" xfId="0" applyFont="1" applyBorder="1" applyAlignment="1">
      <alignment horizontal="left" vertical="top" wrapText="1"/>
    </xf>
    <xf numFmtId="0" fontId="11" fillId="3" borderId="2" xfId="0" applyFont="1" applyFill="1" applyBorder="1" applyAlignment="1">
      <alignment wrapText="1"/>
    </xf>
    <xf numFmtId="0" fontId="1" fillId="0" borderId="2" xfId="0" applyFont="1" applyBorder="1" applyAlignment="1">
      <alignment wrapText="1"/>
    </xf>
    <xf numFmtId="0" fontId="1" fillId="0" borderId="2" xfId="0" applyFont="1" applyBorder="1" applyAlignment="1">
      <alignment vertical="top" wrapText="1"/>
    </xf>
    <xf numFmtId="2" fontId="1" fillId="0" borderId="2" xfId="0" applyNumberFormat="1" applyFont="1" applyBorder="1" applyAlignment="1">
      <alignment vertical="top" wrapText="1"/>
    </xf>
    <xf numFmtId="0" fontId="19" fillId="0" borderId="4" xfId="0" applyFont="1" applyFill="1" applyBorder="1" applyAlignment="1"/>
    <xf numFmtId="0" fontId="19" fillId="0" borderId="5" xfId="0" applyFont="1" applyFill="1" applyBorder="1" applyAlignment="1"/>
    <xf numFmtId="1" fontId="9" fillId="0" borderId="2" xfId="0" applyNumberFormat="1" applyFont="1" applyFill="1" applyBorder="1" applyAlignment="1">
      <alignment horizontal="left" wrapText="1"/>
    </xf>
    <xf numFmtId="0" fontId="1" fillId="0" borderId="2" xfId="0" applyFont="1" applyBorder="1" applyAlignment="1">
      <alignment horizontal="left" wrapText="1"/>
    </xf>
    <xf numFmtId="0" fontId="19" fillId="0" borderId="4" xfId="0" applyFont="1" applyFill="1" applyBorder="1" applyAlignment="1">
      <alignment vertical="top"/>
    </xf>
    <xf numFmtId="0" fontId="19" fillId="0" borderId="5" xfId="0" applyFont="1" applyFill="1" applyBorder="1" applyAlignment="1">
      <alignment vertical="top"/>
    </xf>
    <xf numFmtId="0" fontId="19" fillId="0" borderId="7" xfId="0" applyFont="1" applyFill="1" applyBorder="1" applyAlignment="1"/>
    <xf numFmtId="0" fontId="19" fillId="0" borderId="8" xfId="0" applyFont="1" applyFill="1" applyBorder="1" applyAlignment="1"/>
    <xf numFmtId="0" fontId="19" fillId="0" borderId="56" xfId="0" applyFont="1" applyFill="1" applyBorder="1" applyAlignment="1"/>
    <xf numFmtId="1" fontId="9" fillId="0" borderId="2" xfId="0" applyNumberFormat="1" applyFont="1" applyFill="1" applyBorder="1" applyAlignment="1">
      <alignment horizontal="left" vertical="top" wrapText="1"/>
    </xf>
    <xf numFmtId="0" fontId="19" fillId="0" borderId="61" xfId="0" applyFont="1" applyFill="1" applyBorder="1" applyAlignment="1"/>
    <xf numFmtId="0" fontId="19" fillId="0" borderId="14" xfId="0" applyFont="1" applyFill="1" applyBorder="1" applyAlignment="1"/>
    <xf numFmtId="0" fontId="19" fillId="0" borderId="50" xfId="0" applyFont="1" applyFill="1" applyBorder="1" applyAlignment="1"/>
    <xf numFmtId="0" fontId="12" fillId="0" borderId="0" xfId="0" applyFont="1" applyFill="1" applyBorder="1" applyAlignment="1">
      <alignment vertical="top" wrapText="1"/>
    </xf>
    <xf numFmtId="49" fontId="7" fillId="0" borderId="0" xfId="0" applyNumberFormat="1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1" fontId="9" fillId="0" borderId="0" xfId="0" applyNumberFormat="1" applyFont="1" applyFill="1" applyBorder="1" applyAlignment="1">
      <alignment horizontal="left" wrapText="1"/>
    </xf>
    <xf numFmtId="0" fontId="1" fillId="0" borderId="0" xfId="0" applyFont="1" applyBorder="1" applyAlignment="1">
      <alignment horizontal="left" wrapText="1"/>
    </xf>
    <xf numFmtId="0" fontId="19" fillId="0" borderId="7" xfId="0" applyFont="1" applyFill="1" applyBorder="1" applyAlignment="1">
      <alignment vertical="top"/>
    </xf>
    <xf numFmtId="0" fontId="19" fillId="0" borderId="8" xfId="0" applyFont="1" applyFill="1" applyBorder="1" applyAlignment="1">
      <alignment vertical="top"/>
    </xf>
    <xf numFmtId="0" fontId="19" fillId="0" borderId="56" xfId="0" applyFont="1" applyFill="1" applyBorder="1" applyAlignment="1">
      <alignment vertical="top"/>
    </xf>
    <xf numFmtId="0" fontId="21" fillId="0" borderId="2" xfId="0" applyFont="1" applyBorder="1" applyAlignment="1">
      <alignment vertical="top" wrapText="1"/>
    </xf>
    <xf numFmtId="0" fontId="19" fillId="0" borderId="14" xfId="0" applyFont="1" applyFill="1" applyBorder="1" applyAlignment="1">
      <alignment vertical="top"/>
    </xf>
    <xf numFmtId="167" fontId="39" fillId="0" borderId="60" xfId="0" applyNumberFormat="1" applyFont="1" applyFill="1" applyBorder="1" applyAlignment="1">
      <alignment wrapText="1"/>
    </xf>
    <xf numFmtId="0" fontId="35" fillId="0" borderId="34" xfId="0" applyFont="1" applyFill="1" applyBorder="1" applyAlignment="1">
      <alignment wrapText="1"/>
    </xf>
    <xf numFmtId="3" fontId="39" fillId="0" borderId="60" xfId="0" applyNumberFormat="1" applyFont="1" applyFill="1" applyBorder="1" applyAlignment="1">
      <alignment wrapText="1"/>
    </xf>
    <xf numFmtId="0" fontId="32" fillId="0" borderId="10" xfId="0" applyFont="1" applyFill="1" applyBorder="1" applyAlignment="1">
      <alignment horizontal="left" wrapText="1"/>
    </xf>
    <xf numFmtId="0" fontId="100" fillId="0" borderId="10" xfId="0" applyFont="1" applyFill="1" applyBorder="1" applyAlignment="1">
      <alignment wrapText="1"/>
    </xf>
    <xf numFmtId="1" fontId="39" fillId="0" borderId="60" xfId="0" applyNumberFormat="1" applyFont="1" applyFill="1" applyBorder="1" applyAlignment="1">
      <alignment horizontal="left" wrapText="1"/>
    </xf>
    <xf numFmtId="0" fontId="35" fillId="0" borderId="60" xfId="0" applyFont="1" applyFill="1" applyBorder="1" applyAlignment="1">
      <alignment wrapText="1"/>
    </xf>
    <xf numFmtId="0" fontId="10" fillId="0" borderId="2" xfId="0" applyFont="1" applyBorder="1" applyAlignment="1">
      <alignment horizontal="left" wrapText="1"/>
    </xf>
    <xf numFmtId="0" fontId="10" fillId="0" borderId="17" xfId="0" applyFont="1" applyFill="1" applyBorder="1" applyAlignment="1">
      <alignment wrapText="1"/>
    </xf>
    <xf numFmtId="0" fontId="10" fillId="0" borderId="48" xfId="0" applyFont="1" applyFill="1" applyBorder="1" applyAlignment="1">
      <alignment wrapText="1"/>
    </xf>
    <xf numFmtId="1" fontId="11" fillId="0" borderId="0" xfId="0" applyNumberFormat="1" applyFont="1" applyBorder="1" applyAlignment="1">
      <alignment horizontal="left" wrapText="1"/>
    </xf>
    <xf numFmtId="0" fontId="27" fillId="0" borderId="0" xfId="0" applyFont="1" applyBorder="1" applyAlignment="1">
      <alignment wrapText="1"/>
    </xf>
    <xf numFmtId="1" fontId="50" fillId="0" borderId="0" xfId="0" applyNumberFormat="1" applyFont="1" applyFill="1" applyBorder="1" applyAlignment="1">
      <alignment horizontal="left" wrapText="1"/>
    </xf>
    <xf numFmtId="1" fontId="50" fillId="0" borderId="60" xfId="0" applyNumberFormat="1" applyFont="1" applyFill="1" applyBorder="1" applyAlignment="1">
      <alignment horizontal="left" wrapText="1"/>
    </xf>
    <xf numFmtId="0" fontId="0" fillId="0" borderId="60" xfId="0" applyBorder="1" applyAlignment="1">
      <alignment wrapText="1"/>
    </xf>
    <xf numFmtId="0" fontId="0" fillId="0" borderId="34" xfId="0" applyBorder="1" applyAlignment="1">
      <alignment wrapText="1"/>
    </xf>
    <xf numFmtId="0" fontId="29" fillId="0" borderId="10" xfId="0" applyFont="1" applyFill="1" applyBorder="1" applyAlignment="1">
      <alignment horizontal="left" vertical="top" wrapText="1"/>
    </xf>
    <xf numFmtId="0" fontId="58" fillId="0" borderId="10" xfId="0" applyFont="1" applyFill="1" applyBorder="1" applyAlignment="1">
      <alignment vertical="top" wrapText="1"/>
    </xf>
    <xf numFmtId="0" fontId="10" fillId="0" borderId="0" xfId="0" applyFont="1" applyFill="1" applyAlignment="1">
      <alignment wrapText="1"/>
    </xf>
    <xf numFmtId="168" fontId="21" fillId="0" borderId="0" xfId="0" applyNumberFormat="1" applyFont="1" applyFill="1" applyAlignment="1">
      <alignment horizontal="left"/>
    </xf>
    <xf numFmtId="0" fontId="58" fillId="0" borderId="0" xfId="0" applyFont="1" applyFill="1" applyAlignment="1">
      <alignment horizontal="left"/>
    </xf>
    <xf numFmtId="1" fontId="39" fillId="0" borderId="0" xfId="0" applyNumberFormat="1" applyFont="1" applyFill="1" applyBorder="1" applyAlignment="1">
      <alignment horizontal="left" vertical="top" wrapText="1"/>
    </xf>
    <xf numFmtId="0" fontId="58" fillId="0" borderId="0" xfId="0" applyFont="1" applyFill="1" applyAlignment="1">
      <alignment vertical="top" wrapText="1"/>
    </xf>
    <xf numFmtId="0" fontId="58" fillId="0" borderId="34" xfId="0" applyFont="1" applyFill="1" applyBorder="1" applyAlignment="1">
      <alignment vertical="top" wrapText="1"/>
    </xf>
    <xf numFmtId="3" fontId="58" fillId="0" borderId="0" xfId="0" applyNumberFormat="1" applyFont="1" applyFill="1" applyBorder="1" applyAlignment="1">
      <alignment wrapText="1"/>
    </xf>
    <xf numFmtId="0" fontId="58" fillId="0" borderId="0" xfId="0" applyFont="1" applyFill="1" applyBorder="1" applyAlignment="1">
      <alignment wrapText="1"/>
    </xf>
    <xf numFmtId="1" fontId="49" fillId="0" borderId="0" xfId="0" applyNumberFormat="1" applyFont="1" applyFill="1" applyAlignment="1">
      <alignment horizontal="left" wrapText="1"/>
    </xf>
    <xf numFmtId="0" fontId="20" fillId="0" borderId="0" xfId="0" applyFont="1" applyFill="1" applyAlignment="1">
      <alignment wrapText="1"/>
    </xf>
    <xf numFmtId="0" fontId="11" fillId="0" borderId="2" xfId="0" applyFont="1" applyBorder="1" applyAlignment="1">
      <alignment wrapText="1"/>
    </xf>
    <xf numFmtId="1" fontId="38" fillId="0" borderId="0" xfId="0" applyNumberFormat="1" applyFont="1" applyFill="1" applyAlignment="1">
      <alignment wrapText="1"/>
    </xf>
    <xf numFmtId="0" fontId="58" fillId="0" borderId="0" xfId="0" applyFont="1" applyAlignment="1">
      <alignment wrapText="1"/>
    </xf>
    <xf numFmtId="1" fontId="41" fillId="0" borderId="34" xfId="0" applyNumberFormat="1" applyFont="1" applyFill="1" applyBorder="1" applyAlignment="1">
      <alignment wrapText="1"/>
    </xf>
    <xf numFmtId="0" fontId="58" fillId="0" borderId="34" xfId="0" applyFont="1" applyFill="1" applyBorder="1" applyAlignment="1">
      <alignment wrapText="1"/>
    </xf>
    <xf numFmtId="1" fontId="39" fillId="0" borderId="0" xfId="0" applyNumberFormat="1" applyFont="1" applyFill="1" applyBorder="1" applyAlignment="1">
      <alignment horizontal="left" wrapText="1"/>
    </xf>
    <xf numFmtId="0" fontId="58" fillId="0" borderId="0" xfId="0" applyFont="1" applyFill="1" applyAlignment="1">
      <alignment wrapText="1"/>
    </xf>
    <xf numFmtId="1" fontId="35" fillId="0" borderId="0" xfId="0" applyNumberFormat="1" applyFont="1" applyFill="1" applyAlignment="1">
      <alignment wrapText="1"/>
    </xf>
    <xf numFmtId="0" fontId="20" fillId="0" borderId="0" xfId="0" applyFont="1" applyAlignment="1">
      <alignment wrapText="1"/>
    </xf>
    <xf numFmtId="0" fontId="20" fillId="0" borderId="34" xfId="0" applyFont="1" applyBorder="1" applyAlignment="1">
      <alignment wrapText="1"/>
    </xf>
    <xf numFmtId="0" fontId="29" fillId="0" borderId="10" xfId="10" applyFont="1" applyFill="1" applyBorder="1" applyAlignment="1">
      <alignment horizontal="left" wrapText="1"/>
    </xf>
    <xf numFmtId="0" fontId="1" fillId="0" borderId="10" xfId="10" applyFill="1" applyBorder="1" applyAlignment="1">
      <alignment wrapText="1"/>
    </xf>
    <xf numFmtId="0" fontId="74" fillId="0" borderId="0" xfId="10" applyFont="1" applyFill="1" applyAlignment="1">
      <alignment horizontal="left" wrapText="1"/>
    </xf>
    <xf numFmtId="0" fontId="1" fillId="0" borderId="0" xfId="10" applyFill="1" applyAlignment="1">
      <alignment wrapText="1"/>
    </xf>
    <xf numFmtId="0" fontId="74" fillId="0" borderId="0" xfId="10" applyFont="1" applyFill="1" applyAlignment="1">
      <alignment wrapText="1"/>
    </xf>
    <xf numFmtId="0" fontId="1" fillId="0" borderId="0" xfId="10" applyAlignment="1">
      <alignment wrapText="1"/>
    </xf>
    <xf numFmtId="0" fontId="19" fillId="0" borderId="4" xfId="10" applyFont="1" applyFill="1" applyBorder="1" applyAlignment="1">
      <alignment horizontal="left"/>
    </xf>
    <xf numFmtId="0" fontId="19" fillId="0" borderId="5" xfId="10" applyFont="1" applyFill="1" applyBorder="1" applyAlignment="1">
      <alignment horizontal="left"/>
    </xf>
    <xf numFmtId="3" fontId="5" fillId="0" borderId="0" xfId="10" applyNumberFormat="1" applyFont="1" applyFill="1" applyBorder="1" applyAlignment="1">
      <alignment horizontal="right"/>
    </xf>
    <xf numFmtId="0" fontId="1" fillId="0" borderId="0" xfId="10" applyFont="1" applyFill="1" applyAlignment="1">
      <alignment horizontal="right"/>
    </xf>
    <xf numFmtId="0" fontId="19" fillId="0" borderId="4" xfId="0" applyFont="1" applyFill="1" applyBorder="1" applyAlignment="1">
      <alignment horizontal="left"/>
    </xf>
    <xf numFmtId="0" fontId="19" fillId="0" borderId="5" xfId="0" applyFont="1" applyFill="1" applyBorder="1" applyAlignment="1">
      <alignment horizontal="left"/>
    </xf>
    <xf numFmtId="0" fontId="0" fillId="0" borderId="10" xfId="0" applyFill="1" applyBorder="1" applyAlignment="1">
      <alignment wrapText="1"/>
    </xf>
    <xf numFmtId="3" fontId="37" fillId="0" borderId="0" xfId="0" applyNumberFormat="1" applyFont="1" applyFill="1" applyAlignment="1">
      <alignment horizontal="right"/>
    </xf>
    <xf numFmtId="3" fontId="0" fillId="0" borderId="0" xfId="0" applyNumberFormat="1" applyFill="1" applyAlignment="1">
      <alignment horizontal="right"/>
    </xf>
    <xf numFmtId="0" fontId="63" fillId="0" borderId="10" xfId="0" applyFont="1" applyFill="1" applyBorder="1" applyAlignment="1">
      <alignment wrapText="1"/>
    </xf>
    <xf numFmtId="0" fontId="37" fillId="0" borderId="1" xfId="0" applyFont="1" applyFill="1" applyBorder="1" applyAlignment="1">
      <alignment horizontal="left" wrapText="1"/>
    </xf>
    <xf numFmtId="0" fontId="0" fillId="0" borderId="1" xfId="0" applyFill="1" applyBorder="1" applyAlignment="1">
      <alignment wrapText="1"/>
    </xf>
    <xf numFmtId="1" fontId="5" fillId="0" borderId="1" xfId="10" applyNumberFormat="1" applyFont="1" applyFill="1" applyBorder="1" applyAlignment="1">
      <alignment horizontal="left" vertical="justify" wrapText="1"/>
    </xf>
    <xf numFmtId="0" fontId="29" fillId="4" borderId="10" xfId="10" applyFont="1" applyFill="1" applyBorder="1" applyAlignment="1">
      <alignment horizontal="left" wrapText="1"/>
    </xf>
    <xf numFmtId="0" fontId="1" fillId="4" borderId="10" xfId="10" applyFill="1" applyBorder="1" applyAlignment="1">
      <alignment wrapText="1"/>
    </xf>
    <xf numFmtId="0" fontId="1" fillId="0" borderId="10" xfId="10" applyFill="1" applyBorder="1" applyAlignment="1">
      <alignment horizontal="left" wrapText="1"/>
    </xf>
    <xf numFmtId="0" fontId="0" fillId="0" borderId="10" xfId="0" applyBorder="1" applyAlignment="1">
      <alignment wrapText="1"/>
    </xf>
    <xf numFmtId="0" fontId="19" fillId="2" borderId="4" xfId="0" applyFont="1" applyFill="1" applyBorder="1" applyAlignment="1">
      <alignment horizontal="left"/>
    </xf>
    <xf numFmtId="0" fontId="19" fillId="2" borderId="5" xfId="0" applyFont="1" applyFill="1" applyBorder="1" applyAlignment="1">
      <alignment horizontal="left"/>
    </xf>
    <xf numFmtId="0" fontId="19" fillId="4" borderId="4" xfId="10" applyFont="1" applyFill="1" applyBorder="1" applyAlignment="1">
      <alignment horizontal="left"/>
    </xf>
    <xf numFmtId="0" fontId="19" fillId="4" borderId="5" xfId="10" applyFont="1" applyFill="1" applyBorder="1" applyAlignment="1">
      <alignment horizontal="left"/>
    </xf>
    <xf numFmtId="0" fontId="1" fillId="0" borderId="10" xfId="10" applyBorder="1" applyAlignment="1">
      <alignment wrapText="1"/>
    </xf>
    <xf numFmtId="0" fontId="37" fillId="0" borderId="0" xfId="0" applyFont="1" applyFill="1" applyBorder="1" applyAlignment="1">
      <alignment horizontal="justify" wrapText="1"/>
    </xf>
    <xf numFmtId="0" fontId="0" fillId="0" borderId="0" xfId="0" applyFill="1" applyBorder="1" applyAlignment="1">
      <alignment horizontal="justify" wrapText="1"/>
    </xf>
    <xf numFmtId="0" fontId="0" fillId="0" borderId="0" xfId="0" applyFill="1" applyBorder="1" applyAlignment="1">
      <alignment wrapText="1"/>
    </xf>
    <xf numFmtId="0" fontId="0" fillId="0" borderId="1" xfId="0" applyFill="1" applyBorder="1" applyAlignment="1">
      <alignment horizontal="justify" wrapText="1"/>
    </xf>
    <xf numFmtId="0" fontId="77" fillId="0" borderId="0" xfId="0" applyFont="1" applyFill="1" applyAlignment="1">
      <alignment horizontal="justify" wrapText="1"/>
    </xf>
    <xf numFmtId="0" fontId="19" fillId="0" borderId="33" xfId="0" applyFont="1" applyFill="1" applyBorder="1" applyAlignment="1">
      <alignment horizontal="left"/>
    </xf>
    <xf numFmtId="0" fontId="19" fillId="0" borderId="34" xfId="0" applyFont="1" applyFill="1" applyBorder="1" applyAlignment="1">
      <alignment horizontal="left"/>
    </xf>
    <xf numFmtId="0" fontId="19" fillId="0" borderId="48" xfId="0" applyFont="1" applyFill="1" applyBorder="1" applyAlignment="1">
      <alignment horizontal="left"/>
    </xf>
    <xf numFmtId="0" fontId="21" fillId="0" borderId="0" xfId="0" applyFont="1" applyFill="1" applyAlignment="1">
      <alignment horizontal="justify" wrapText="1"/>
    </xf>
    <xf numFmtId="0" fontId="0" fillId="0" borderId="0" xfId="0" applyFill="1" applyAlignment="1">
      <alignment horizontal="justify" wrapText="1"/>
    </xf>
    <xf numFmtId="0" fontId="10" fillId="3" borderId="2" xfId="0" applyFont="1" applyFill="1" applyBorder="1" applyAlignment="1">
      <alignment wrapText="1"/>
    </xf>
    <xf numFmtId="0" fontId="10" fillId="3" borderId="3" xfId="0" applyFont="1" applyFill="1" applyBorder="1" applyAlignment="1">
      <alignment wrapText="1"/>
    </xf>
    <xf numFmtId="1" fontId="69" fillId="2" borderId="10" xfId="0" applyNumberFormat="1" applyFont="1" applyFill="1" applyBorder="1" applyAlignment="1">
      <alignment horizontal="left" wrapText="1"/>
    </xf>
    <xf numFmtId="0" fontId="70" fillId="0" borderId="10" xfId="0" applyFont="1" applyBorder="1" applyAlignment="1">
      <alignment wrapText="1"/>
    </xf>
    <xf numFmtId="0" fontId="10" fillId="0" borderId="2" xfId="0" applyFont="1" applyBorder="1" applyAlignment="1">
      <alignment wrapText="1"/>
    </xf>
    <xf numFmtId="0" fontId="0" fillId="0" borderId="2" xfId="0" applyBorder="1" applyAlignment="1">
      <alignment wrapText="1"/>
    </xf>
  </cellXfs>
  <cellStyles count="11">
    <cellStyle name="Normální" xfId="0" builtinId="0"/>
    <cellStyle name="Normální 2" xfId="1"/>
    <cellStyle name="Normální 2 2" xfId="10"/>
    <cellStyle name="Normální 3" xfId="9"/>
    <cellStyle name="normální_05" xfId="2"/>
    <cellStyle name="normální_10 - PO" xfId="3"/>
    <cellStyle name="normální_10 - soukr.šk." xfId="4"/>
    <cellStyle name="normální_11" xfId="5"/>
    <cellStyle name="normální_13" xfId="6"/>
    <cellStyle name="normální_14" xfId="7"/>
    <cellStyle name="normální_F - 99" xfId="8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00FF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" enableFormatConditionsCalculation="0">
    <tabColor rgb="FF00B0F0"/>
  </sheetPr>
  <dimension ref="A1:L37"/>
  <sheetViews>
    <sheetView showGridLines="0" view="pageBreakPreview" zoomScaleNormal="100" zoomScaleSheetLayoutView="100" workbookViewId="0">
      <selection activeCell="D14" sqref="D14"/>
    </sheetView>
  </sheetViews>
  <sheetFormatPr defaultRowHeight="12.75" x14ac:dyDescent="0.2"/>
  <cols>
    <col min="1" max="1" width="2.5703125" style="349" customWidth="1"/>
    <col min="2" max="2" width="40.5703125" style="349" customWidth="1"/>
    <col min="3" max="3" width="15.85546875" style="349" customWidth="1"/>
    <col min="4" max="4" width="15.5703125" style="349" customWidth="1"/>
    <col min="5" max="5" width="16.7109375" style="349" customWidth="1"/>
    <col min="6" max="6" width="8.85546875" style="349" customWidth="1"/>
    <col min="7" max="7" width="4.28515625" style="349" customWidth="1"/>
    <col min="8" max="8" width="19.28515625" style="2503" hidden="1" customWidth="1"/>
    <col min="9" max="9" width="21" style="2503" hidden="1" customWidth="1"/>
    <col min="10" max="10" width="20.7109375" style="2503" hidden="1" customWidth="1"/>
    <col min="11" max="11" width="0" style="349" hidden="1" customWidth="1"/>
    <col min="12" max="16384" width="9.140625" style="349"/>
  </cols>
  <sheetData>
    <row r="1" spans="1:12" ht="23.25" x14ac:dyDescent="0.35">
      <c r="A1" s="2662" t="s">
        <v>1905</v>
      </c>
      <c r="B1" s="2663"/>
      <c r="C1" s="2663"/>
      <c r="D1" s="2663"/>
      <c r="E1" s="2663"/>
      <c r="F1" s="2663"/>
      <c r="G1" s="2663"/>
    </row>
    <row r="3" spans="1:12" ht="18.75" customHeight="1" x14ac:dyDescent="0.2">
      <c r="A3" s="2672" t="s">
        <v>395</v>
      </c>
      <c r="B3" s="2669"/>
      <c r="C3" s="2669"/>
      <c r="D3" s="2669"/>
      <c r="E3" s="2669"/>
      <c r="F3" s="2669"/>
    </row>
    <row r="4" spans="1:12" x14ac:dyDescent="0.2">
      <c r="A4" s="2669"/>
      <c r="B4" s="2669"/>
      <c r="C4" s="2669"/>
      <c r="D4" s="2669"/>
      <c r="E4" s="2669"/>
      <c r="F4" s="2669"/>
    </row>
    <row r="5" spans="1:12" ht="13.5" customHeight="1" x14ac:dyDescent="0.2">
      <c r="A5" s="2669"/>
      <c r="B5" s="2669"/>
      <c r="C5" s="2669"/>
      <c r="D5" s="2669"/>
      <c r="E5" s="2669"/>
      <c r="F5" s="2669"/>
    </row>
    <row r="6" spans="1:12" ht="21" customHeight="1" x14ac:dyDescent="0.25">
      <c r="A6" s="525" t="s">
        <v>64</v>
      </c>
    </row>
    <row r="7" spans="1:12" ht="15" thickBot="1" x14ac:dyDescent="0.25">
      <c r="B7" s="526"/>
      <c r="C7" s="527"/>
      <c r="D7" s="515"/>
      <c r="E7" s="515"/>
      <c r="F7" s="385" t="s">
        <v>179</v>
      </c>
      <c r="G7" s="385"/>
    </row>
    <row r="8" spans="1:12" s="532" customFormat="1" ht="18.75" customHeight="1" thickTop="1" thickBot="1" x14ac:dyDescent="0.25">
      <c r="A8" s="2670" t="s">
        <v>1455</v>
      </c>
      <c r="B8" s="2671"/>
      <c r="C8" s="528" t="s">
        <v>700</v>
      </c>
      <c r="D8" s="528" t="s">
        <v>701</v>
      </c>
      <c r="E8" s="529" t="s">
        <v>986</v>
      </c>
      <c r="F8" s="530" t="s">
        <v>987</v>
      </c>
      <c r="G8" s="531"/>
      <c r="H8" s="2574"/>
      <c r="I8" s="2574"/>
      <c r="J8" s="2574"/>
    </row>
    <row r="9" spans="1:12" s="535" customFormat="1" ht="14.25" thickTop="1" thickBot="1" x14ac:dyDescent="0.25">
      <c r="A9" s="2670">
        <v>1</v>
      </c>
      <c r="B9" s="2671"/>
      <c r="C9" s="528">
        <v>2</v>
      </c>
      <c r="D9" s="528">
        <v>3</v>
      </c>
      <c r="E9" s="528">
        <v>4</v>
      </c>
      <c r="F9" s="533" t="s">
        <v>67</v>
      </c>
      <c r="G9" s="534"/>
      <c r="H9" s="2575"/>
      <c r="I9" s="2575"/>
      <c r="J9" s="2575"/>
    </row>
    <row r="10" spans="1:12" s="539" customFormat="1" ht="29.25" thickTop="1" x14ac:dyDescent="0.2">
      <c r="A10" s="536" t="s">
        <v>1148</v>
      </c>
      <c r="B10" s="537" t="s">
        <v>1146</v>
      </c>
      <c r="C10" s="433">
        <f>SUM('Odbor celkem'!C385)</f>
        <v>2544358</v>
      </c>
      <c r="D10" s="433">
        <f>SUM('Odbor celkem'!D385)</f>
        <v>6082142</v>
      </c>
      <c r="E10" s="433">
        <f>SUM('Odbor celkem'!E385)</f>
        <v>5676410</v>
      </c>
      <c r="F10" s="538">
        <f t="shared" ref="F10:F15" si="0">E10/D10*100</f>
        <v>93.329126482084774</v>
      </c>
      <c r="G10" s="1458"/>
      <c r="H10" s="2577">
        <f>SUM('Odbor celkem'!G385)</f>
        <v>2544358000</v>
      </c>
      <c r="I10" s="2577">
        <f>SUM('Odbor celkem'!H385)</f>
        <v>6082142201.0499992</v>
      </c>
      <c r="J10" s="2577">
        <f>SUM('Odbor celkem'!I385)</f>
        <v>5676410054.25</v>
      </c>
      <c r="K10" s="2573"/>
      <c r="L10" s="2573"/>
    </row>
    <row r="11" spans="1:12" s="539" customFormat="1" ht="15" x14ac:dyDescent="0.25">
      <c r="A11" s="444" t="s">
        <v>1147</v>
      </c>
      <c r="B11" s="540" t="s">
        <v>691</v>
      </c>
      <c r="C11" s="433">
        <f>SUM('Odbor celkem'!C386)</f>
        <v>1592830</v>
      </c>
      <c r="D11" s="433">
        <f>SUM('Odbor celkem'!D386)</f>
        <v>3850913</v>
      </c>
      <c r="E11" s="433">
        <f>SUM('Odbor celkem'!E386)</f>
        <v>3849897</v>
      </c>
      <c r="F11" s="541">
        <f t="shared" si="0"/>
        <v>99.973616646234291</v>
      </c>
      <c r="G11" s="1458"/>
      <c r="H11" s="2577">
        <f>SUM('Odbor celkem'!G386)</f>
        <v>1592830000</v>
      </c>
      <c r="I11" s="2577">
        <f>SUM('Odbor celkem'!H386)</f>
        <v>3850912594.77</v>
      </c>
      <c r="J11" s="2577">
        <f>SUM('Odbor celkem'!I386)</f>
        <v>3849896944.1700001</v>
      </c>
    </row>
    <row r="12" spans="1:12" s="340" customFormat="1" ht="15" x14ac:dyDescent="0.25">
      <c r="A12" s="444" t="s">
        <v>1147</v>
      </c>
      <c r="B12" s="540" t="s">
        <v>1456</v>
      </c>
      <c r="C12" s="433">
        <f>SUM('Odbor celkem'!C387)</f>
        <v>74876</v>
      </c>
      <c r="D12" s="433">
        <f>SUM('Odbor celkem'!D387)</f>
        <v>943754</v>
      </c>
      <c r="E12" s="433">
        <f>SUM('Odbor celkem'!E387)</f>
        <v>961137</v>
      </c>
      <c r="F12" s="541">
        <f t="shared" si="0"/>
        <v>101.84189947804194</v>
      </c>
      <c r="G12" s="1451"/>
      <c r="H12" s="2577">
        <f>SUM('Odbor celkem'!G387)</f>
        <v>74876000</v>
      </c>
      <c r="I12" s="2577">
        <f>SUM('Odbor celkem'!H387)</f>
        <v>943754577.37999988</v>
      </c>
      <c r="J12" s="2577">
        <f>SUM('Odbor celkem'!I387)</f>
        <v>961137206.38999987</v>
      </c>
    </row>
    <row r="13" spans="1:12" s="340" customFormat="1" ht="15" x14ac:dyDescent="0.25">
      <c r="A13" s="444" t="s">
        <v>1147</v>
      </c>
      <c r="B13" s="540" t="s">
        <v>150</v>
      </c>
      <c r="C13" s="1545">
        <f>SUM('Odbor celkem'!C388)</f>
        <v>6223</v>
      </c>
      <c r="D13" s="1545">
        <f>SUM('Odbor celkem'!D388)</f>
        <v>6995</v>
      </c>
      <c r="E13" s="1545">
        <f>SUM('Odbor celkem'!E388)</f>
        <v>5911</v>
      </c>
      <c r="F13" s="541">
        <f t="shared" si="0"/>
        <v>84.503216583273769</v>
      </c>
      <c r="G13" s="1451"/>
      <c r="H13" s="2577">
        <f>SUM('Odbor celkem'!G388)</f>
        <v>6223000</v>
      </c>
      <c r="I13" s="2577">
        <f>SUM('Odbor celkem'!H388)</f>
        <v>6994707.1399999997</v>
      </c>
      <c r="J13" s="2577">
        <f>SUM('Odbor celkem'!I388)</f>
        <v>5910384.5999999996</v>
      </c>
    </row>
    <row r="14" spans="1:12" s="539" customFormat="1" ht="42.75" x14ac:dyDescent="0.2">
      <c r="A14" s="1456" t="s">
        <v>1147</v>
      </c>
      <c r="B14" s="1457" t="s">
        <v>151</v>
      </c>
      <c r="C14" s="433">
        <f>SUM('Odbor celkem'!C389)</f>
        <v>40000</v>
      </c>
      <c r="D14" s="433">
        <f>SUM('Odbor celkem'!D389)</f>
        <v>74036</v>
      </c>
      <c r="E14" s="433">
        <f>SUM('Odbor celkem'!E389)</f>
        <v>54435</v>
      </c>
      <c r="F14" s="542">
        <f t="shared" si="0"/>
        <v>73.525041871521964</v>
      </c>
      <c r="G14" s="1458"/>
      <c r="H14" s="2577">
        <f>SUM('Odbor celkem'!G389)</f>
        <v>40000000</v>
      </c>
      <c r="I14" s="2577">
        <f>SUM('Odbor celkem'!H389)</f>
        <v>74036175.460000008</v>
      </c>
      <c r="J14" s="2577">
        <f>SUM('Odbor celkem'!I389)</f>
        <v>54435258.5</v>
      </c>
    </row>
    <row r="15" spans="1:12" ht="18.75" customHeight="1" thickBot="1" x14ac:dyDescent="0.3">
      <c r="A15" s="2664" t="s">
        <v>65</v>
      </c>
      <c r="B15" s="2665"/>
      <c r="C15" s="543">
        <f>SUM(C10:C14)</f>
        <v>4258287</v>
      </c>
      <c r="D15" s="543">
        <f t="shared" ref="D15:E15" si="1">SUM(D10:D14)</f>
        <v>10957840</v>
      </c>
      <c r="E15" s="543">
        <f t="shared" si="1"/>
        <v>10547790</v>
      </c>
      <c r="F15" s="544">
        <f t="shared" si="0"/>
        <v>96.257930395041356</v>
      </c>
      <c r="G15" s="1452"/>
      <c r="H15" s="2578">
        <f>SUM(H10:H14)</f>
        <v>4258287000</v>
      </c>
      <c r="I15" s="2578">
        <f t="shared" ref="I15:J15" si="2">SUM(I10:I14)</f>
        <v>10957840255.799997</v>
      </c>
      <c r="J15" s="2578">
        <f t="shared" si="2"/>
        <v>10547789847.91</v>
      </c>
      <c r="K15" s="449"/>
      <c r="L15" s="449"/>
    </row>
    <row r="16" spans="1:12" s="362" customFormat="1" ht="15.75" thickTop="1" x14ac:dyDescent="0.2">
      <c r="A16" s="2673" t="s">
        <v>1494</v>
      </c>
      <c r="B16" s="2674"/>
      <c r="C16" s="357">
        <f>SUM('Odbor celkem'!C391)</f>
        <v>6223</v>
      </c>
      <c r="D16" s="357">
        <f>SUM('Odbor celkem'!D391)</f>
        <v>6223</v>
      </c>
      <c r="E16" s="357">
        <f>SUM('Odbor celkem'!E391)</f>
        <v>217907</v>
      </c>
      <c r="F16" s="378">
        <f>(E16/D16)*100</f>
        <v>3501.6390808291826</v>
      </c>
      <c r="G16" s="1453"/>
      <c r="H16" s="2579">
        <f>SUM('Odbor celkem'!G391)</f>
        <v>6223000</v>
      </c>
      <c r="I16" s="2579">
        <f>SUM('Odbor celkem'!H391)</f>
        <v>6223000</v>
      </c>
      <c r="J16" s="2579">
        <f>SUM('Odbor celkem'!I391)</f>
        <v>217906940.10000002</v>
      </c>
    </row>
    <row r="17" spans="1:12" s="362" customFormat="1" ht="33.75" customHeight="1" thickBot="1" x14ac:dyDescent="0.3">
      <c r="A17" s="2666" t="s">
        <v>138</v>
      </c>
      <c r="B17" s="2665"/>
      <c r="C17" s="545">
        <f>C15-C16</f>
        <v>4252064</v>
      </c>
      <c r="D17" s="545">
        <f t="shared" ref="D17:E17" si="3">D15-D16</f>
        <v>10951617</v>
      </c>
      <c r="E17" s="545">
        <f t="shared" si="3"/>
        <v>10329883</v>
      </c>
      <c r="F17" s="546">
        <f>(E17/D17)*100</f>
        <v>94.32290227096145</v>
      </c>
      <c r="G17" s="1454"/>
      <c r="H17" s="2579">
        <f>H15-H16</f>
        <v>4252064000</v>
      </c>
      <c r="I17" s="2579">
        <f t="shared" ref="I17:K17" si="4">I15-I16</f>
        <v>10951617255.799997</v>
      </c>
      <c r="J17" s="2579">
        <f t="shared" si="4"/>
        <v>10329882907.809999</v>
      </c>
      <c r="K17" s="2579">
        <f t="shared" si="4"/>
        <v>0</v>
      </c>
    </row>
    <row r="18" spans="1:12" ht="22.5" customHeight="1" thickTop="1" x14ac:dyDescent="0.2">
      <c r="B18" s="67"/>
      <c r="C18" s="549"/>
      <c r="D18" s="550"/>
      <c r="E18" s="550"/>
      <c r="F18" s="551"/>
      <c r="G18" s="188"/>
      <c r="J18" s="2576"/>
      <c r="K18" s="449"/>
      <c r="L18" s="449"/>
    </row>
    <row r="19" spans="1:12" x14ac:dyDescent="0.2">
      <c r="B19" s="7"/>
      <c r="C19" s="552"/>
      <c r="D19" s="552"/>
      <c r="E19" s="552"/>
      <c r="F19" s="7"/>
      <c r="G19" s="7"/>
    </row>
    <row r="20" spans="1:12" x14ac:dyDescent="0.2">
      <c r="B20" s="7"/>
      <c r="C20" s="15"/>
      <c r="D20" s="15"/>
      <c r="E20" s="15"/>
      <c r="F20" s="7"/>
      <c r="G20" s="7"/>
    </row>
    <row r="21" spans="1:12" x14ac:dyDescent="0.2">
      <c r="B21" s="7"/>
      <c r="C21" s="15"/>
      <c r="D21" s="15"/>
      <c r="E21" s="15"/>
      <c r="F21" s="7"/>
      <c r="G21" s="7"/>
    </row>
    <row r="22" spans="1:12" ht="21" customHeight="1" x14ac:dyDescent="0.25">
      <c r="A22" s="525" t="s">
        <v>66</v>
      </c>
    </row>
    <row r="23" spans="1:12" ht="15" thickBot="1" x14ac:dyDescent="0.25">
      <c r="B23" s="526"/>
      <c r="C23" s="527"/>
      <c r="D23" s="515"/>
      <c r="E23" s="515"/>
      <c r="F23" s="385" t="s">
        <v>179</v>
      </c>
      <c r="G23" s="385"/>
    </row>
    <row r="24" spans="1:12" s="532" customFormat="1" ht="18.75" customHeight="1" thickTop="1" thickBot="1" x14ac:dyDescent="0.25">
      <c r="A24" s="2675" t="s">
        <v>1455</v>
      </c>
      <c r="B24" s="2676"/>
      <c r="C24" s="528" t="s">
        <v>700</v>
      </c>
      <c r="D24" s="528" t="s">
        <v>701</v>
      </c>
      <c r="E24" s="529" t="s">
        <v>986</v>
      </c>
      <c r="F24" s="530" t="s">
        <v>987</v>
      </c>
      <c r="G24" s="1449"/>
      <c r="H24" s="2574"/>
      <c r="I24" s="2574"/>
      <c r="J24" s="2574"/>
    </row>
    <row r="25" spans="1:12" s="535" customFormat="1" ht="14.25" thickTop="1" thickBot="1" x14ac:dyDescent="0.25">
      <c r="A25" s="2675">
        <v>1</v>
      </c>
      <c r="B25" s="2676"/>
      <c r="C25" s="528">
        <v>2</v>
      </c>
      <c r="D25" s="528">
        <v>3</v>
      </c>
      <c r="E25" s="528">
        <v>4</v>
      </c>
      <c r="F25" s="553" t="s">
        <v>67</v>
      </c>
      <c r="G25" s="1450"/>
      <c r="H25" s="2575"/>
      <c r="I25" s="2575"/>
      <c r="J25" s="2575"/>
    </row>
    <row r="26" spans="1:12" s="340" customFormat="1" ht="15.75" thickTop="1" x14ac:dyDescent="0.25">
      <c r="A26" s="2677" t="s">
        <v>55</v>
      </c>
      <c r="B26" s="2678"/>
      <c r="C26" s="356">
        <f>SUM('Odbor celkem'!C394)</f>
        <v>3293544</v>
      </c>
      <c r="D26" s="356">
        <f>SUM('Odbor celkem'!D394)</f>
        <v>9379315</v>
      </c>
      <c r="E26" s="356">
        <f>SUM('Odbor celkem'!E394)</f>
        <v>9092443</v>
      </c>
      <c r="F26" s="541">
        <f>E26/D26*100</f>
        <v>96.941439753329533</v>
      </c>
      <c r="G26" s="1451"/>
      <c r="H26" s="2568">
        <f>SUM('Odbor celkem'!G394)</f>
        <v>3293544000</v>
      </c>
      <c r="I26" s="2568">
        <f>SUM('Odbor celkem'!H394)</f>
        <v>9379314883.2699986</v>
      </c>
      <c r="J26" s="2568">
        <f>SUM('Odbor celkem'!I394)</f>
        <v>9092440756.8700008</v>
      </c>
    </row>
    <row r="27" spans="1:12" s="340" customFormat="1" ht="15" x14ac:dyDescent="0.25">
      <c r="A27" s="2667" t="s">
        <v>56</v>
      </c>
      <c r="B27" s="2668"/>
      <c r="C27" s="358">
        <f>SUM('Odbor celkem'!C395)</f>
        <v>964743</v>
      </c>
      <c r="D27" s="358">
        <f>SUM('Odbor celkem'!D395)</f>
        <v>1578525</v>
      </c>
      <c r="E27" s="358">
        <f>SUM('Odbor celkem'!E395)</f>
        <v>1455347</v>
      </c>
      <c r="F27" s="541">
        <f>E27/D27*100</f>
        <v>92.196639267670761</v>
      </c>
      <c r="G27" s="1451"/>
      <c r="H27" s="2568">
        <f>SUM('Odbor celkem'!G395)</f>
        <v>964743000</v>
      </c>
      <c r="I27" s="2568">
        <f>SUM('Odbor celkem'!H395)</f>
        <v>1578525372.53</v>
      </c>
      <c r="J27" s="2568">
        <f>SUM('Odbor celkem'!I395)</f>
        <v>1455349091.0400002</v>
      </c>
    </row>
    <row r="28" spans="1:12" ht="18.75" customHeight="1" thickBot="1" x14ac:dyDescent="0.3">
      <c r="A28" s="2681" t="s">
        <v>152</v>
      </c>
      <c r="B28" s="2682"/>
      <c r="C28" s="554">
        <f>SUM(C26:C27)</f>
        <v>4258287</v>
      </c>
      <c r="D28" s="554">
        <f t="shared" ref="D28" si="5">SUM(D26:D27)</f>
        <v>10957840</v>
      </c>
      <c r="E28" s="554">
        <f>SUM(E26:E27)</f>
        <v>10547790</v>
      </c>
      <c r="F28" s="544">
        <f>E28/D28*100</f>
        <v>96.257930395041356</v>
      </c>
      <c r="G28" s="1452"/>
      <c r="H28" s="2578">
        <f>SUM(H26:H27)</f>
        <v>4258287000</v>
      </c>
      <c r="I28" s="2578">
        <f t="shared" ref="I28:J28" si="6">SUM(I26:I27)</f>
        <v>10957840255.799999</v>
      </c>
      <c r="J28" s="2578">
        <f t="shared" si="6"/>
        <v>10547789847.910002</v>
      </c>
      <c r="K28" s="449"/>
      <c r="L28" s="449"/>
    </row>
    <row r="29" spans="1:12" s="362" customFormat="1" ht="15.75" thickTop="1" x14ac:dyDescent="0.2">
      <c r="A29" s="2679" t="s">
        <v>1494</v>
      </c>
      <c r="B29" s="2680"/>
      <c r="C29" s="357">
        <f>SUM('Odbor celkem'!C397)</f>
        <v>6223</v>
      </c>
      <c r="D29" s="357">
        <f>SUM('Odbor celkem'!D397)</f>
        <v>6223</v>
      </c>
      <c r="E29" s="357">
        <f>SUM('Odbor celkem'!E397)</f>
        <v>217907</v>
      </c>
      <c r="F29" s="378">
        <f>(E29/D29)*100</f>
        <v>3501.6390808291826</v>
      </c>
      <c r="G29" s="1453"/>
      <c r="H29" s="2579">
        <f>SUM('Odbor celkem'!G397)</f>
        <v>6223000</v>
      </c>
      <c r="I29" s="2579">
        <f>SUM('Odbor celkem'!H397)</f>
        <v>6223000</v>
      </c>
      <c r="J29" s="2579">
        <f>SUM('Odbor celkem'!I397)</f>
        <v>217906940.10000002</v>
      </c>
    </row>
    <row r="30" spans="1:12" s="362" customFormat="1" ht="33.75" customHeight="1" thickBot="1" x14ac:dyDescent="0.3">
      <c r="A30" s="2666" t="s">
        <v>138</v>
      </c>
      <c r="B30" s="2665"/>
      <c r="C30" s="545">
        <f>C28-C29</f>
        <v>4252064</v>
      </c>
      <c r="D30" s="545">
        <f t="shared" ref="D30:E30" si="7">D28-D29</f>
        <v>10951617</v>
      </c>
      <c r="E30" s="545">
        <f t="shared" si="7"/>
        <v>10329883</v>
      </c>
      <c r="F30" s="546">
        <f>(E30/D30)*100</f>
        <v>94.32290227096145</v>
      </c>
      <c r="G30" s="1454"/>
      <c r="H30" s="2579">
        <f>H28-H29</f>
        <v>4252064000</v>
      </c>
      <c r="I30" s="2579">
        <f t="shared" ref="I30:J30" si="8">I28-I29</f>
        <v>10951617255.799999</v>
      </c>
      <c r="J30" s="2579">
        <f t="shared" si="8"/>
        <v>10329882907.810001</v>
      </c>
    </row>
    <row r="31" spans="1:12" ht="13.5" thickTop="1" x14ac:dyDescent="0.2">
      <c r="E31" s="555"/>
      <c r="G31" s="1455"/>
    </row>
    <row r="32" spans="1:12" x14ac:dyDescent="0.2">
      <c r="A32" s="2669" t="s">
        <v>57</v>
      </c>
      <c r="B32" s="2669"/>
      <c r="C32" s="2669"/>
      <c r="D32" s="2669"/>
      <c r="E32" s="2669"/>
      <c r="F32" s="2669"/>
      <c r="G32" s="1455"/>
    </row>
    <row r="33" spans="1:7" x14ac:dyDescent="0.2">
      <c r="A33" s="2669"/>
      <c r="B33" s="2669"/>
      <c r="C33" s="2669"/>
      <c r="D33" s="2669"/>
      <c r="E33" s="2669"/>
      <c r="F33" s="2669"/>
      <c r="G33" s="1455"/>
    </row>
    <row r="34" spans="1:7" x14ac:dyDescent="0.2">
      <c r="G34" s="1455"/>
    </row>
    <row r="35" spans="1:7" x14ac:dyDescent="0.2">
      <c r="G35" s="1455"/>
    </row>
    <row r="36" spans="1:7" x14ac:dyDescent="0.2">
      <c r="G36" s="1455"/>
    </row>
    <row r="37" spans="1:7" x14ac:dyDescent="0.2">
      <c r="G37" s="1455"/>
    </row>
  </sheetData>
  <mergeCells count="15">
    <mergeCell ref="A1:G1"/>
    <mergeCell ref="A15:B15"/>
    <mergeCell ref="A17:B17"/>
    <mergeCell ref="A27:B27"/>
    <mergeCell ref="A32:F33"/>
    <mergeCell ref="A8:B8"/>
    <mergeCell ref="A9:B9"/>
    <mergeCell ref="A3:F5"/>
    <mergeCell ref="A16:B16"/>
    <mergeCell ref="A24:B24"/>
    <mergeCell ref="A25:B25"/>
    <mergeCell ref="A26:B26"/>
    <mergeCell ref="A29:B29"/>
    <mergeCell ref="A28:B28"/>
    <mergeCell ref="A30:B30"/>
  </mergeCells>
  <phoneticPr fontId="33" type="noConversion"/>
  <pageMargins left="0.98425196850393704" right="0.98425196850393704" top="0.98425196850393704" bottom="0.98425196850393704" header="0.51181102362204722" footer="0.51181102362204722"/>
  <pageSetup paperSize="9" scale="80" firstPageNumber="21" orientation="portrait" useFirstPageNumber="1" r:id="rId1"/>
  <headerFooter alignWithMargins="0">
    <oddFooter xml:space="preserve">&amp;L&amp;"Arial,Kurzíva"Zastupitelstvo Olomouckého kraje 28. 6. 2013
6.- Závěrečný  účet Olomuckého kraje za rok 2012
Příloha č. 3: Plnění rozpočtu výdajů Olomouckého kraje k 31.12.2012&amp;R&amp;"Arial,Kurzíva"Strana &amp;P (Celkem 484)
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 enableFormatConditionsCalculation="0">
    <tabColor rgb="FF92D050"/>
  </sheetPr>
  <dimension ref="A1:R138"/>
  <sheetViews>
    <sheetView showGridLines="0" view="pageBreakPreview" zoomScaleNormal="100" zoomScaleSheetLayoutView="100" workbookViewId="0">
      <selection activeCell="C3" sqref="C3:C4"/>
    </sheetView>
  </sheetViews>
  <sheetFormatPr defaultRowHeight="12.75" x14ac:dyDescent="0.2"/>
  <cols>
    <col min="1" max="1" width="4.7109375" style="669" customWidth="1"/>
    <col min="2" max="2" width="4.7109375" style="1021" customWidth="1"/>
    <col min="3" max="3" width="8.7109375" style="1022" customWidth="1"/>
    <col min="4" max="4" width="47.28515625" style="558" customWidth="1"/>
    <col min="5" max="5" width="12.140625" style="517" customWidth="1"/>
    <col min="6" max="6" width="14.140625" style="517" customWidth="1"/>
    <col min="7" max="7" width="13.5703125" style="517" customWidth="1"/>
    <col min="8" max="8" width="8.5703125" style="692" customWidth="1"/>
    <col min="9" max="9" width="9.140625" style="517"/>
    <col min="10" max="10" width="13.42578125" style="517" bestFit="1" customWidth="1"/>
    <col min="11" max="11" width="12.28515625" style="558" bestFit="1" customWidth="1"/>
    <col min="12" max="16384" width="9.140625" style="558"/>
  </cols>
  <sheetData>
    <row r="1" spans="1:10" ht="18.75" thickBot="1" x14ac:dyDescent="0.3">
      <c r="A1" s="487" t="s">
        <v>1300</v>
      </c>
      <c r="B1" s="488"/>
      <c r="C1" s="489"/>
      <c r="D1" s="499"/>
      <c r="E1" s="516"/>
      <c r="F1" s="491" t="s">
        <v>389</v>
      </c>
      <c r="I1" s="17"/>
    </row>
    <row r="2" spans="1:10" ht="12.75" customHeight="1" x14ac:dyDescent="0.25">
      <c r="A2" s="6"/>
      <c r="B2" s="28"/>
      <c r="C2" s="142"/>
      <c r="D2" s="10"/>
      <c r="E2" s="137"/>
      <c r="F2" s="137"/>
      <c r="G2" s="16"/>
      <c r="H2" s="194"/>
      <c r="I2" s="17"/>
    </row>
    <row r="3" spans="1:10" ht="12.75" customHeight="1" x14ac:dyDescent="0.25">
      <c r="A3" s="67" t="s">
        <v>404</v>
      </c>
      <c r="B3" s="28"/>
      <c r="C3" s="1970" t="s">
        <v>1736</v>
      </c>
      <c r="D3" s="653"/>
      <c r="E3" s="137"/>
      <c r="F3" s="16"/>
      <c r="G3" s="17"/>
      <c r="H3" s="194"/>
      <c r="I3" s="558"/>
      <c r="J3" s="558"/>
    </row>
    <row r="4" spans="1:10" ht="12.75" customHeight="1" x14ac:dyDescent="0.25">
      <c r="A4" s="6"/>
      <c r="B4" s="28"/>
      <c r="C4" s="1969" t="s">
        <v>1735</v>
      </c>
      <c r="D4" s="1962"/>
      <c r="E4" s="138"/>
      <c r="F4" s="16"/>
      <c r="G4" s="17"/>
      <c r="H4" s="194"/>
      <c r="I4" s="558"/>
      <c r="J4" s="558"/>
    </row>
    <row r="5" spans="1:10" ht="12.75" customHeight="1" x14ac:dyDescent="0.25">
      <c r="A5" s="6"/>
      <c r="B5" s="28"/>
      <c r="C5" s="142"/>
      <c r="D5" s="10"/>
      <c r="E5" s="137"/>
      <c r="F5" s="137"/>
      <c r="G5" s="16"/>
      <c r="H5" s="194"/>
      <c r="I5" s="17"/>
    </row>
    <row r="6" spans="1:10" ht="15.75" customHeight="1" x14ac:dyDescent="0.25">
      <c r="A6" s="33" t="s">
        <v>988</v>
      </c>
      <c r="B6" s="28"/>
      <c r="C6" s="142"/>
      <c r="D6" s="10"/>
      <c r="E6" s="137"/>
      <c r="F6" s="137"/>
      <c r="G6" s="16"/>
      <c r="I6" s="17"/>
    </row>
    <row r="7" spans="1:10" ht="13.5" thickBot="1" x14ac:dyDescent="0.25">
      <c r="A7" s="655"/>
      <c r="B7" s="655"/>
      <c r="C7" s="708"/>
      <c r="D7" s="656"/>
      <c r="G7" s="1014"/>
      <c r="H7" s="692" t="s">
        <v>179</v>
      </c>
    </row>
    <row r="8" spans="1:10" s="107" customFormat="1" ht="20.25" customHeight="1" thickTop="1" thickBot="1" x14ac:dyDescent="0.25">
      <c r="A8" s="657" t="s">
        <v>180</v>
      </c>
      <c r="B8" s="658" t="s">
        <v>181</v>
      </c>
      <c r="C8" s="702" t="s">
        <v>783</v>
      </c>
      <c r="D8" s="660" t="s">
        <v>182</v>
      </c>
      <c r="E8" s="660" t="s">
        <v>183</v>
      </c>
      <c r="F8" s="660" t="s">
        <v>985</v>
      </c>
      <c r="G8" s="660" t="s">
        <v>986</v>
      </c>
      <c r="H8" s="661" t="s">
        <v>987</v>
      </c>
      <c r="I8" s="979"/>
      <c r="J8" s="979"/>
    </row>
    <row r="9" spans="1:10" s="386" customFormat="1" ht="13.5" thickTop="1" thickBot="1" x14ac:dyDescent="0.25">
      <c r="A9" s="592">
        <v>1</v>
      </c>
      <c r="B9" s="593">
        <v>2</v>
      </c>
      <c r="C9" s="593">
        <v>3</v>
      </c>
      <c r="D9" s="593">
        <v>4</v>
      </c>
      <c r="E9" s="593">
        <v>5</v>
      </c>
      <c r="F9" s="567">
        <v>6</v>
      </c>
      <c r="G9" s="567">
        <v>7</v>
      </c>
      <c r="H9" s="662" t="s">
        <v>61</v>
      </c>
      <c r="I9" s="107"/>
    </row>
    <row r="10" spans="1:10" s="1219" customFormat="1" ht="14.25" customHeight="1" thickTop="1" x14ac:dyDescent="0.25">
      <c r="A10" s="223">
        <v>2141</v>
      </c>
      <c r="B10" s="96">
        <v>5221</v>
      </c>
      <c r="C10" s="1213"/>
      <c r="D10" s="1236" t="s">
        <v>1138</v>
      </c>
      <c r="E10" s="1231"/>
      <c r="F10" s="313">
        <v>100</v>
      </c>
      <c r="G10" s="315">
        <v>100</v>
      </c>
      <c r="H10" s="1183">
        <f t="shared" ref="H10:H45" si="0">(G10/F10)*100</f>
        <v>100</v>
      </c>
    </row>
    <row r="11" spans="1:10" s="1219" customFormat="1" ht="14.25" customHeight="1" x14ac:dyDescent="0.2">
      <c r="A11" s="223"/>
      <c r="B11" s="96"/>
      <c r="C11" s="1195" t="s">
        <v>272</v>
      </c>
      <c r="D11" s="1237" t="s">
        <v>348</v>
      </c>
      <c r="E11" s="1231"/>
      <c r="F11" s="314">
        <v>100</v>
      </c>
      <c r="G11" s="316">
        <v>100</v>
      </c>
      <c r="H11" s="1184">
        <f t="shared" si="0"/>
        <v>100</v>
      </c>
    </row>
    <row r="12" spans="1:10" s="1219" customFormat="1" ht="14.25" customHeight="1" x14ac:dyDescent="0.25">
      <c r="A12" s="223">
        <v>2141</v>
      </c>
      <c r="B12" s="96">
        <v>5222</v>
      </c>
      <c r="C12" s="1195"/>
      <c r="D12" s="1483" t="s">
        <v>1275</v>
      </c>
      <c r="E12" s="1231"/>
      <c r="F12" s="313">
        <v>100</v>
      </c>
      <c r="G12" s="315">
        <v>100</v>
      </c>
      <c r="H12" s="212">
        <f t="shared" si="0"/>
        <v>100</v>
      </c>
    </row>
    <row r="13" spans="1:10" s="1219" customFormat="1" ht="14.25" customHeight="1" x14ac:dyDescent="0.2">
      <c r="A13" s="223"/>
      <c r="B13" s="96"/>
      <c r="C13" s="1195" t="s">
        <v>272</v>
      </c>
      <c r="D13" s="1237" t="s">
        <v>348</v>
      </c>
      <c r="E13" s="1231"/>
      <c r="F13" s="314">
        <v>100</v>
      </c>
      <c r="G13" s="316">
        <v>100</v>
      </c>
      <c r="H13" s="1184">
        <f t="shared" si="0"/>
        <v>100</v>
      </c>
    </row>
    <row r="14" spans="1:10" s="1219" customFormat="1" ht="14.25" customHeight="1" x14ac:dyDescent="0.25">
      <c r="A14" s="223">
        <v>2141</v>
      </c>
      <c r="B14" s="96">
        <v>5229</v>
      </c>
      <c r="C14" s="1195"/>
      <c r="D14" s="1486" t="s">
        <v>1276</v>
      </c>
      <c r="E14" s="1231"/>
      <c r="F14" s="313">
        <v>50</v>
      </c>
      <c r="G14" s="315">
        <v>50</v>
      </c>
      <c r="H14" s="212">
        <f t="shared" si="0"/>
        <v>100</v>
      </c>
    </row>
    <row r="15" spans="1:10" s="1219" customFormat="1" ht="14.25" customHeight="1" x14ac:dyDescent="0.2">
      <c r="A15" s="223"/>
      <c r="B15" s="96"/>
      <c r="C15" s="1195" t="s">
        <v>272</v>
      </c>
      <c r="D15" s="1237" t="s">
        <v>348</v>
      </c>
      <c r="E15" s="1231"/>
      <c r="F15" s="314">
        <v>50</v>
      </c>
      <c r="G15" s="316">
        <v>50</v>
      </c>
      <c r="H15" s="1184">
        <f t="shared" si="0"/>
        <v>100</v>
      </c>
    </row>
    <row r="16" spans="1:10" s="1219" customFormat="1" ht="14.25" customHeight="1" x14ac:dyDescent="0.25">
      <c r="A16" s="223">
        <v>2212</v>
      </c>
      <c r="B16" s="96">
        <v>5321</v>
      </c>
      <c r="C16" s="1213"/>
      <c r="D16" s="1236" t="s">
        <v>1349</v>
      </c>
      <c r="E16" s="1231"/>
      <c r="F16" s="313">
        <v>4815</v>
      </c>
      <c r="G16" s="315">
        <v>4758</v>
      </c>
      <c r="H16" s="212">
        <f t="shared" si="0"/>
        <v>98.81619937694704</v>
      </c>
    </row>
    <row r="17" spans="1:8" s="1219" customFormat="1" ht="14.25" customHeight="1" x14ac:dyDescent="0.2">
      <c r="A17" s="223"/>
      <c r="B17" s="96"/>
      <c r="C17" s="1195" t="s">
        <v>1137</v>
      </c>
      <c r="D17" s="1237" t="s">
        <v>1156</v>
      </c>
      <c r="E17" s="1231"/>
      <c r="F17" s="314">
        <v>4815</v>
      </c>
      <c r="G17" s="316">
        <v>4758</v>
      </c>
      <c r="H17" s="1184">
        <f t="shared" si="0"/>
        <v>98.81619937694704</v>
      </c>
    </row>
    <row r="18" spans="1:8" s="1219" customFormat="1" ht="14.25" customHeight="1" x14ac:dyDescent="0.25">
      <c r="A18" s="223">
        <v>2219</v>
      </c>
      <c r="B18" s="96">
        <v>5321</v>
      </c>
      <c r="C18" s="1213"/>
      <c r="D18" s="1236" t="s">
        <v>1349</v>
      </c>
      <c r="E18" s="1231"/>
      <c r="F18" s="313">
        <v>3341</v>
      </c>
      <c r="G18" s="315">
        <v>3335</v>
      </c>
      <c r="H18" s="212">
        <f t="shared" si="0"/>
        <v>99.820413049985035</v>
      </c>
    </row>
    <row r="19" spans="1:8" s="1219" customFormat="1" ht="14.25" customHeight="1" x14ac:dyDescent="0.2">
      <c r="A19" s="223"/>
      <c r="B19" s="96"/>
      <c r="C19" s="1195" t="s">
        <v>1137</v>
      </c>
      <c r="D19" s="1237" t="s">
        <v>1156</v>
      </c>
      <c r="E19" s="1231"/>
      <c r="F19" s="314">
        <v>3341</v>
      </c>
      <c r="G19" s="316">
        <v>3335</v>
      </c>
      <c r="H19" s="1184">
        <f t="shared" si="0"/>
        <v>99.820413049985035</v>
      </c>
    </row>
    <row r="20" spans="1:8" s="1219" customFormat="1" ht="13.5" customHeight="1" x14ac:dyDescent="0.25">
      <c r="A20" s="223">
        <v>2251</v>
      </c>
      <c r="B20" s="96">
        <v>5213</v>
      </c>
      <c r="C20" s="1213"/>
      <c r="D20" s="1236" t="s">
        <v>231</v>
      </c>
      <c r="E20" s="60">
        <v>3000</v>
      </c>
      <c r="F20" s="313">
        <v>3000</v>
      </c>
      <c r="G20" s="315">
        <v>3000</v>
      </c>
      <c r="H20" s="1183">
        <f t="shared" si="0"/>
        <v>100</v>
      </c>
    </row>
    <row r="21" spans="1:8" s="1219" customFormat="1" ht="13.5" customHeight="1" x14ac:dyDescent="0.2">
      <c r="A21" s="223"/>
      <c r="B21" s="96"/>
      <c r="C21" s="1230" t="s">
        <v>385</v>
      </c>
      <c r="D21" s="1209" t="s">
        <v>996</v>
      </c>
      <c r="E21" s="124">
        <v>3000</v>
      </c>
      <c r="F21" s="314">
        <v>3000</v>
      </c>
      <c r="G21" s="316">
        <v>3000</v>
      </c>
      <c r="H21" s="1184">
        <f t="shared" si="0"/>
        <v>100</v>
      </c>
    </row>
    <row r="22" spans="1:8" s="1219" customFormat="1" ht="13.5" customHeight="1" x14ac:dyDescent="0.25">
      <c r="A22" s="223">
        <v>3121</v>
      </c>
      <c r="B22" s="96">
        <v>5331</v>
      </c>
      <c r="C22" s="1230"/>
      <c r="D22" s="854" t="s">
        <v>1066</v>
      </c>
      <c r="E22" s="124"/>
      <c r="F22" s="313">
        <v>477</v>
      </c>
      <c r="G22" s="315">
        <v>477</v>
      </c>
      <c r="H22" s="212">
        <f t="shared" si="0"/>
        <v>100</v>
      </c>
    </row>
    <row r="23" spans="1:8" s="1219" customFormat="1" ht="13.5" customHeight="1" x14ac:dyDescent="0.2">
      <c r="A23" s="223"/>
      <c r="B23" s="96"/>
      <c r="C23" s="1230" t="s">
        <v>385</v>
      </c>
      <c r="D23" s="1209" t="s">
        <v>996</v>
      </c>
      <c r="E23" s="124"/>
      <c r="F23" s="314">
        <v>477</v>
      </c>
      <c r="G23" s="316">
        <v>477</v>
      </c>
      <c r="H23" s="1184">
        <f t="shared" si="0"/>
        <v>100</v>
      </c>
    </row>
    <row r="24" spans="1:8" s="1219" customFormat="1" ht="13.5" customHeight="1" x14ac:dyDescent="0.25">
      <c r="A24" s="223">
        <v>3299</v>
      </c>
      <c r="B24" s="96">
        <v>5213</v>
      </c>
      <c r="C24" s="1230"/>
      <c r="D24" s="1236" t="s">
        <v>231</v>
      </c>
      <c r="E24" s="60">
        <v>2000</v>
      </c>
      <c r="F24" s="313">
        <v>2000</v>
      </c>
      <c r="G24" s="315">
        <v>2000</v>
      </c>
      <c r="H24" s="212">
        <f t="shared" si="0"/>
        <v>100</v>
      </c>
    </row>
    <row r="25" spans="1:8" s="1219" customFormat="1" ht="13.5" customHeight="1" x14ac:dyDescent="0.2">
      <c r="A25" s="223"/>
      <c r="B25" s="96"/>
      <c r="C25" s="1230" t="s">
        <v>385</v>
      </c>
      <c r="D25" s="1209" t="s">
        <v>996</v>
      </c>
      <c r="E25" s="124">
        <v>2000</v>
      </c>
      <c r="F25" s="314">
        <v>2000</v>
      </c>
      <c r="G25" s="316">
        <v>2000</v>
      </c>
      <c r="H25" s="1184">
        <f t="shared" si="0"/>
        <v>100</v>
      </c>
    </row>
    <row r="26" spans="1:8" s="1219" customFormat="1" ht="13.5" customHeight="1" x14ac:dyDescent="0.25">
      <c r="A26" s="223">
        <v>3349</v>
      </c>
      <c r="B26" s="96">
        <v>5213</v>
      </c>
      <c r="C26" s="1230"/>
      <c r="D26" s="1236" t="s">
        <v>231</v>
      </c>
      <c r="E26" s="60">
        <v>280</v>
      </c>
      <c r="F26" s="313">
        <v>780</v>
      </c>
      <c r="G26" s="315">
        <v>780</v>
      </c>
      <c r="H26" s="1183">
        <f t="shared" si="0"/>
        <v>100</v>
      </c>
    </row>
    <row r="27" spans="1:8" s="1219" customFormat="1" ht="13.5" customHeight="1" x14ac:dyDescent="0.2">
      <c r="A27" s="223"/>
      <c r="B27" s="96"/>
      <c r="C27" s="1230" t="s">
        <v>1732</v>
      </c>
      <c r="D27" s="1209" t="s">
        <v>1731</v>
      </c>
      <c r="E27" s="124">
        <v>280</v>
      </c>
      <c r="F27" s="314">
        <v>780</v>
      </c>
      <c r="G27" s="316">
        <v>780</v>
      </c>
      <c r="H27" s="1184">
        <f t="shared" si="0"/>
        <v>100</v>
      </c>
    </row>
    <row r="28" spans="1:8" s="1219" customFormat="1" ht="13.5" customHeight="1" x14ac:dyDescent="0.25">
      <c r="A28" s="223">
        <v>3349</v>
      </c>
      <c r="B28" s="96">
        <v>5321</v>
      </c>
      <c r="C28" s="1230"/>
      <c r="D28" s="1236" t="s">
        <v>1349</v>
      </c>
      <c r="E28" s="124"/>
      <c r="F28" s="313">
        <v>102</v>
      </c>
      <c r="G28" s="315">
        <v>102</v>
      </c>
      <c r="H28" s="212">
        <f t="shared" si="0"/>
        <v>100</v>
      </c>
    </row>
    <row r="29" spans="1:8" s="1219" customFormat="1" ht="13.5" customHeight="1" x14ac:dyDescent="0.2">
      <c r="A29" s="223"/>
      <c r="B29" s="96"/>
      <c r="C29" s="1195" t="s">
        <v>1137</v>
      </c>
      <c r="D29" s="1237" t="s">
        <v>1156</v>
      </c>
      <c r="E29" s="124"/>
      <c r="F29" s="314">
        <v>102</v>
      </c>
      <c r="G29" s="316">
        <v>102</v>
      </c>
      <c r="H29" s="1184">
        <f t="shared" si="0"/>
        <v>100</v>
      </c>
    </row>
    <row r="30" spans="1:8" s="1219" customFormat="1" ht="13.5" customHeight="1" x14ac:dyDescent="0.25">
      <c r="A30" s="223">
        <v>3399</v>
      </c>
      <c r="B30" s="96">
        <v>5212</v>
      </c>
      <c r="C30" s="1213"/>
      <c r="D30" s="1236" t="s">
        <v>1312</v>
      </c>
      <c r="E30" s="124"/>
      <c r="F30" s="313">
        <v>30</v>
      </c>
      <c r="G30" s="315">
        <v>30</v>
      </c>
      <c r="H30" s="212">
        <f t="shared" si="0"/>
        <v>100</v>
      </c>
    </row>
    <row r="31" spans="1:8" s="1219" customFormat="1" ht="13.5" customHeight="1" x14ac:dyDescent="0.2">
      <c r="A31" s="223"/>
      <c r="B31" s="96"/>
      <c r="C31" s="1195" t="s">
        <v>1350</v>
      </c>
      <c r="D31" s="1841" t="s">
        <v>1737</v>
      </c>
      <c r="E31" s="124"/>
      <c r="F31" s="314">
        <v>30</v>
      </c>
      <c r="G31" s="316">
        <v>30</v>
      </c>
      <c r="H31" s="1184">
        <f t="shared" si="0"/>
        <v>100</v>
      </c>
    </row>
    <row r="32" spans="1:8" s="1219" customFormat="1" ht="13.5" customHeight="1" x14ac:dyDescent="0.25">
      <c r="A32" s="223">
        <v>3399</v>
      </c>
      <c r="B32" s="96">
        <v>5213</v>
      </c>
      <c r="C32" s="1195"/>
      <c r="D32" s="1236" t="s">
        <v>231</v>
      </c>
      <c r="E32" s="124"/>
      <c r="F32" s="313">
        <v>25</v>
      </c>
      <c r="G32" s="315">
        <v>25</v>
      </c>
      <c r="H32" s="212">
        <f t="shared" si="0"/>
        <v>100</v>
      </c>
    </row>
    <row r="33" spans="1:10" s="1219" customFormat="1" ht="13.5" customHeight="1" x14ac:dyDescent="0.2">
      <c r="A33" s="223"/>
      <c r="B33" s="96"/>
      <c r="C33" s="1195" t="s">
        <v>1350</v>
      </c>
      <c r="D33" s="1841" t="s">
        <v>1737</v>
      </c>
      <c r="E33" s="124"/>
      <c r="F33" s="314">
        <v>25</v>
      </c>
      <c r="G33" s="316">
        <v>25</v>
      </c>
      <c r="H33" s="1184">
        <f t="shared" si="0"/>
        <v>100</v>
      </c>
    </row>
    <row r="34" spans="1:10" s="1219" customFormat="1" ht="13.5" customHeight="1" x14ac:dyDescent="0.25">
      <c r="A34" s="223">
        <v>3399</v>
      </c>
      <c r="B34" s="96">
        <v>5222</v>
      </c>
      <c r="C34" s="1195"/>
      <c r="D34" s="1483" t="s">
        <v>1275</v>
      </c>
      <c r="E34" s="124"/>
      <c r="F34" s="313">
        <v>320</v>
      </c>
      <c r="G34" s="315">
        <v>320</v>
      </c>
      <c r="H34" s="212">
        <f t="shared" si="0"/>
        <v>100</v>
      </c>
    </row>
    <row r="35" spans="1:10" s="1219" customFormat="1" ht="13.5" customHeight="1" x14ac:dyDescent="0.2">
      <c r="A35" s="223"/>
      <c r="B35" s="96"/>
      <c r="C35" s="1195" t="s">
        <v>1350</v>
      </c>
      <c r="D35" s="1841" t="s">
        <v>1737</v>
      </c>
      <c r="E35" s="124"/>
      <c r="F35" s="314">
        <v>20</v>
      </c>
      <c r="G35" s="316">
        <v>20</v>
      </c>
      <c r="H35" s="1184">
        <f t="shared" si="0"/>
        <v>100</v>
      </c>
    </row>
    <row r="36" spans="1:10" s="1219" customFormat="1" ht="13.5" customHeight="1" x14ac:dyDescent="0.2">
      <c r="A36" s="223"/>
      <c r="B36" s="96"/>
      <c r="C36" s="1195" t="s">
        <v>1137</v>
      </c>
      <c r="D36" s="1237" t="s">
        <v>1156</v>
      </c>
      <c r="E36" s="124"/>
      <c r="F36" s="314">
        <v>300</v>
      </c>
      <c r="G36" s="316">
        <v>300</v>
      </c>
      <c r="H36" s="1184">
        <f t="shared" si="0"/>
        <v>100</v>
      </c>
    </row>
    <row r="37" spans="1:10" s="1219" customFormat="1" ht="13.5" customHeight="1" x14ac:dyDescent="0.25">
      <c r="A37" s="223">
        <v>3399</v>
      </c>
      <c r="B37" s="96">
        <v>5329</v>
      </c>
      <c r="C37" s="1195"/>
      <c r="D37" s="1600" t="s">
        <v>1733</v>
      </c>
      <c r="E37" s="124"/>
      <c r="F37" s="313">
        <v>1298</v>
      </c>
      <c r="G37" s="315">
        <v>1231</v>
      </c>
      <c r="H37" s="212">
        <f t="shared" si="0"/>
        <v>94.83821263482281</v>
      </c>
    </row>
    <row r="38" spans="1:10" s="1219" customFormat="1" ht="13.5" customHeight="1" x14ac:dyDescent="0.2">
      <c r="A38" s="223"/>
      <c r="B38" s="96"/>
      <c r="C38" s="1195" t="s">
        <v>1137</v>
      </c>
      <c r="D38" s="1237" t="s">
        <v>1156</v>
      </c>
      <c r="E38" s="124"/>
      <c r="F38" s="314">
        <v>1298</v>
      </c>
      <c r="G38" s="316">
        <v>1231</v>
      </c>
      <c r="H38" s="1184">
        <f t="shared" si="0"/>
        <v>94.83821263482281</v>
      </c>
    </row>
    <row r="39" spans="1:10" s="1219" customFormat="1" ht="13.5" customHeight="1" x14ac:dyDescent="0.25">
      <c r="A39" s="223">
        <v>3419</v>
      </c>
      <c r="B39" s="96">
        <v>5329</v>
      </c>
      <c r="C39" s="1195"/>
      <c r="D39" s="1600" t="s">
        <v>1733</v>
      </c>
      <c r="E39" s="124"/>
      <c r="F39" s="313">
        <v>476</v>
      </c>
      <c r="G39" s="315">
        <v>476</v>
      </c>
      <c r="H39" s="212">
        <f t="shared" si="0"/>
        <v>100</v>
      </c>
    </row>
    <row r="40" spans="1:10" s="1219" customFormat="1" ht="13.5" customHeight="1" x14ac:dyDescent="0.2">
      <c r="A40" s="223"/>
      <c r="B40" s="96"/>
      <c r="C40" s="1195" t="s">
        <v>1137</v>
      </c>
      <c r="D40" s="1237" t="s">
        <v>1156</v>
      </c>
      <c r="E40" s="124"/>
      <c r="F40" s="314">
        <v>476</v>
      </c>
      <c r="G40" s="316">
        <v>476</v>
      </c>
      <c r="H40" s="1184">
        <f t="shared" si="0"/>
        <v>100</v>
      </c>
    </row>
    <row r="41" spans="1:10" s="1219" customFormat="1" ht="13.5" customHeight="1" x14ac:dyDescent="0.25">
      <c r="A41" s="223">
        <v>3429</v>
      </c>
      <c r="B41" s="96">
        <v>5329</v>
      </c>
      <c r="C41" s="1195"/>
      <c r="D41" s="1600" t="s">
        <v>1733</v>
      </c>
      <c r="E41" s="124"/>
      <c r="F41" s="313">
        <v>459</v>
      </c>
      <c r="G41" s="315">
        <v>451</v>
      </c>
      <c r="H41" s="212">
        <f t="shared" si="0"/>
        <v>98.257080610021788</v>
      </c>
    </row>
    <row r="42" spans="1:10" s="1219" customFormat="1" ht="13.5" customHeight="1" x14ac:dyDescent="0.2">
      <c r="A42" s="223"/>
      <c r="B42" s="96"/>
      <c r="C42" s="1195" t="s">
        <v>1137</v>
      </c>
      <c r="D42" s="1237" t="s">
        <v>1156</v>
      </c>
      <c r="E42" s="124"/>
      <c r="F42" s="314">
        <v>459</v>
      </c>
      <c r="G42" s="316">
        <v>451</v>
      </c>
      <c r="H42" s="1184">
        <f t="shared" si="0"/>
        <v>98.257080610021788</v>
      </c>
    </row>
    <row r="43" spans="1:10" s="1219" customFormat="1" ht="13.5" customHeight="1" x14ac:dyDescent="0.25">
      <c r="A43" s="223">
        <v>3631</v>
      </c>
      <c r="B43" s="96">
        <v>5321</v>
      </c>
      <c r="C43" s="1213"/>
      <c r="D43" s="1236" t="s">
        <v>1349</v>
      </c>
      <c r="E43" s="124"/>
      <c r="F43" s="313">
        <v>1983</v>
      </c>
      <c r="G43" s="315">
        <v>1816</v>
      </c>
      <c r="H43" s="212">
        <f>(G43/F43)*100</f>
        <v>91.578416540595057</v>
      </c>
    </row>
    <row r="44" spans="1:10" s="1219" customFormat="1" ht="13.5" customHeight="1" x14ac:dyDescent="0.2">
      <c r="A44" s="223"/>
      <c r="B44" s="96"/>
      <c r="C44" s="1195" t="s">
        <v>1137</v>
      </c>
      <c r="D44" s="1237" t="s">
        <v>1156</v>
      </c>
      <c r="E44" s="124"/>
      <c r="F44" s="314">
        <v>1983</v>
      </c>
      <c r="G44" s="316">
        <v>1816</v>
      </c>
      <c r="H44" s="1184">
        <f t="shared" si="0"/>
        <v>91.578416540595057</v>
      </c>
    </row>
    <row r="45" spans="1:10" s="1219" customFormat="1" ht="13.5" customHeight="1" x14ac:dyDescent="0.25">
      <c r="A45" s="223">
        <v>3635</v>
      </c>
      <c r="B45" s="96">
        <v>5136</v>
      </c>
      <c r="C45" s="1195"/>
      <c r="D45" s="1600" t="s">
        <v>676</v>
      </c>
      <c r="E45" s="124"/>
      <c r="F45" s="313">
        <v>30</v>
      </c>
      <c r="G45" s="315">
        <v>0</v>
      </c>
      <c r="H45" s="212">
        <f t="shared" si="0"/>
        <v>0</v>
      </c>
    </row>
    <row r="46" spans="1:10" s="1166" customFormat="1" ht="15" customHeight="1" x14ac:dyDescent="0.25">
      <c r="A46" s="50">
        <v>3635</v>
      </c>
      <c r="B46" s="19">
        <v>5166</v>
      </c>
      <c r="C46" s="1227"/>
      <c r="D46" s="1484" t="s">
        <v>677</v>
      </c>
      <c r="E46" s="48">
        <v>3250</v>
      </c>
      <c r="F46" s="168">
        <v>2750</v>
      </c>
      <c r="G46" s="315">
        <v>2505</v>
      </c>
      <c r="H46" s="1183">
        <f>(G46/F46)*100</f>
        <v>91.090909090909093</v>
      </c>
      <c r="J46" s="1201"/>
    </row>
    <row r="47" spans="1:10" s="1166" customFormat="1" ht="15" x14ac:dyDescent="0.25">
      <c r="A47" s="50">
        <v>3635</v>
      </c>
      <c r="B47" s="19">
        <v>5169</v>
      </c>
      <c r="C47" s="1227"/>
      <c r="D47" s="1236" t="s">
        <v>955</v>
      </c>
      <c r="E47" s="48">
        <v>700</v>
      </c>
      <c r="F47" s="168">
        <v>470</v>
      </c>
      <c r="G47" s="315">
        <v>135</v>
      </c>
      <c r="H47" s="1183">
        <f>(G47/F47)*100</f>
        <v>28.723404255319153</v>
      </c>
    </row>
    <row r="48" spans="1:10" s="1166" customFormat="1" ht="15" x14ac:dyDescent="0.25">
      <c r="A48" s="50">
        <v>3635</v>
      </c>
      <c r="B48" s="19">
        <v>5192</v>
      </c>
      <c r="C48" s="1227"/>
      <c r="D48" s="1236" t="s">
        <v>1380</v>
      </c>
      <c r="E48" s="48">
        <v>250</v>
      </c>
      <c r="F48" s="168">
        <v>250</v>
      </c>
      <c r="G48" s="315">
        <v>63</v>
      </c>
      <c r="H48" s="1183">
        <f>(G48/F48)*100</f>
        <v>25.2</v>
      </c>
    </row>
    <row r="49" spans="1:8" s="1166" customFormat="1" ht="15" x14ac:dyDescent="0.25">
      <c r="A49" s="50">
        <v>3636</v>
      </c>
      <c r="B49" s="19">
        <v>5175</v>
      </c>
      <c r="C49" s="1227"/>
      <c r="D49" s="1485" t="s">
        <v>740</v>
      </c>
      <c r="E49" s="48">
        <v>85</v>
      </c>
      <c r="F49" s="168">
        <v>85</v>
      </c>
      <c r="G49" s="315">
        <v>72</v>
      </c>
      <c r="H49" s="1183">
        <f t="shared" ref="H49:H62" si="1">(G49/F49)*100</f>
        <v>84.705882352941174</v>
      </c>
    </row>
    <row r="50" spans="1:8" s="1166" customFormat="1" ht="15" x14ac:dyDescent="0.25">
      <c r="A50" s="50">
        <v>3636</v>
      </c>
      <c r="B50" s="19">
        <v>5229</v>
      </c>
      <c r="C50" s="1487"/>
      <c r="D50" s="1486" t="s">
        <v>1276</v>
      </c>
      <c r="E50" s="48">
        <v>350</v>
      </c>
      <c r="F50" s="168">
        <v>350</v>
      </c>
      <c r="G50" s="315">
        <v>350</v>
      </c>
      <c r="H50" s="1183">
        <f t="shared" si="1"/>
        <v>100</v>
      </c>
    </row>
    <row r="51" spans="1:8" s="1166" customFormat="1" ht="14.25" x14ac:dyDescent="0.2">
      <c r="A51" s="50"/>
      <c r="B51" s="19"/>
      <c r="C51" s="1230" t="s">
        <v>385</v>
      </c>
      <c r="D51" s="1209" t="s">
        <v>996</v>
      </c>
      <c r="E51" s="55">
        <v>350</v>
      </c>
      <c r="F51" s="314">
        <v>350</v>
      </c>
      <c r="G51" s="316">
        <v>350</v>
      </c>
      <c r="H51" s="1184">
        <f t="shared" si="1"/>
        <v>100</v>
      </c>
    </row>
    <row r="52" spans="1:8" s="1166" customFormat="1" ht="15" x14ac:dyDescent="0.25">
      <c r="A52" s="50">
        <v>3636</v>
      </c>
      <c r="B52" s="19">
        <v>5321</v>
      </c>
      <c r="C52" s="1213"/>
      <c r="D52" s="1236" t="s">
        <v>1349</v>
      </c>
      <c r="E52" s="55"/>
      <c r="F52" s="313">
        <v>17036</v>
      </c>
      <c r="G52" s="315">
        <v>16619</v>
      </c>
      <c r="H52" s="1183">
        <f>(G52/F52)*100</f>
        <v>97.55224231040151</v>
      </c>
    </row>
    <row r="53" spans="1:8" s="1166" customFormat="1" ht="14.25" x14ac:dyDescent="0.2">
      <c r="A53" s="50"/>
      <c r="B53" s="19"/>
      <c r="C53" s="1195" t="s">
        <v>1137</v>
      </c>
      <c r="D53" s="1237" t="s">
        <v>1156</v>
      </c>
      <c r="E53" s="55"/>
      <c r="F53" s="314">
        <v>17036</v>
      </c>
      <c r="G53" s="316">
        <v>16619</v>
      </c>
      <c r="H53" s="1184">
        <f t="shared" si="1"/>
        <v>97.55224231040151</v>
      </c>
    </row>
    <row r="54" spans="1:8" s="1166" customFormat="1" ht="15" x14ac:dyDescent="0.25">
      <c r="A54" s="50">
        <v>3636</v>
      </c>
      <c r="B54" s="19">
        <v>5329</v>
      </c>
      <c r="C54" s="1195"/>
      <c r="D54" s="1600" t="s">
        <v>1733</v>
      </c>
      <c r="E54" s="55"/>
      <c r="F54" s="313">
        <v>940</v>
      </c>
      <c r="G54" s="315">
        <v>926</v>
      </c>
      <c r="H54" s="212">
        <f t="shared" si="1"/>
        <v>98.510638297872347</v>
      </c>
    </row>
    <row r="55" spans="1:8" s="1166" customFormat="1" ht="14.25" x14ac:dyDescent="0.2">
      <c r="A55" s="50"/>
      <c r="B55" s="19"/>
      <c r="C55" s="1195" t="s">
        <v>1137</v>
      </c>
      <c r="D55" s="1237" t="s">
        <v>1156</v>
      </c>
      <c r="E55" s="55"/>
      <c r="F55" s="314">
        <v>940</v>
      </c>
      <c r="G55" s="316">
        <v>926</v>
      </c>
      <c r="H55" s="1184">
        <f t="shared" si="1"/>
        <v>98.510638297872347</v>
      </c>
    </row>
    <row r="56" spans="1:8" s="1166" customFormat="1" ht="15" x14ac:dyDescent="0.25">
      <c r="A56" s="50">
        <v>3639</v>
      </c>
      <c r="B56" s="19">
        <v>5164</v>
      </c>
      <c r="C56" s="1195"/>
      <c r="D56" s="1238" t="s">
        <v>188</v>
      </c>
      <c r="E56" s="71">
        <v>25</v>
      </c>
      <c r="F56" s="313">
        <v>103</v>
      </c>
      <c r="G56" s="315">
        <v>78</v>
      </c>
      <c r="H56" s="212">
        <f t="shared" si="1"/>
        <v>75.728155339805824</v>
      </c>
    </row>
    <row r="57" spans="1:8" s="1166" customFormat="1" ht="14.25" x14ac:dyDescent="0.2">
      <c r="A57" s="50"/>
      <c r="B57" s="19"/>
      <c r="C57" s="1179" t="s">
        <v>838</v>
      </c>
      <c r="D57" s="1173" t="s">
        <v>1415</v>
      </c>
      <c r="E57" s="55">
        <v>25</v>
      </c>
      <c r="F57" s="314">
        <v>25</v>
      </c>
      <c r="G57" s="316">
        <v>0</v>
      </c>
      <c r="H57" s="1184">
        <f t="shared" si="1"/>
        <v>0</v>
      </c>
    </row>
    <row r="58" spans="1:8" s="1166" customFormat="1" ht="14.25" x14ac:dyDescent="0.2">
      <c r="A58" s="50"/>
      <c r="B58" s="19"/>
      <c r="C58" s="1230" t="s">
        <v>1732</v>
      </c>
      <c r="D58" s="1209" t="s">
        <v>1731</v>
      </c>
      <c r="E58" s="55"/>
      <c r="F58" s="314">
        <v>78</v>
      </c>
      <c r="G58" s="316">
        <v>78</v>
      </c>
      <c r="H58" s="1184">
        <f t="shared" si="1"/>
        <v>100</v>
      </c>
    </row>
    <row r="59" spans="1:8" s="1166" customFormat="1" ht="15" x14ac:dyDescent="0.25">
      <c r="A59" s="50">
        <v>3639</v>
      </c>
      <c r="B59" s="19">
        <v>5166</v>
      </c>
      <c r="C59" s="1227"/>
      <c r="D59" s="1236" t="s">
        <v>677</v>
      </c>
      <c r="E59" s="48">
        <v>5100</v>
      </c>
      <c r="F59" s="168">
        <v>650</v>
      </c>
      <c r="G59" s="315">
        <v>242</v>
      </c>
      <c r="H59" s="1183">
        <f t="shared" si="1"/>
        <v>37.230769230769226</v>
      </c>
    </row>
    <row r="60" spans="1:8" s="1166" customFormat="1" ht="15" x14ac:dyDescent="0.25">
      <c r="A60" s="50">
        <v>3639</v>
      </c>
      <c r="B60" s="19">
        <v>5169</v>
      </c>
      <c r="C60" s="1227"/>
      <c r="D60" s="1236" t="s">
        <v>955</v>
      </c>
      <c r="E60" s="48">
        <v>2360</v>
      </c>
      <c r="F60" s="168">
        <v>1521</v>
      </c>
      <c r="G60" s="315">
        <v>1023</v>
      </c>
      <c r="H60" s="1183">
        <f t="shared" si="1"/>
        <v>67.258382642998029</v>
      </c>
    </row>
    <row r="61" spans="1:8" s="1166" customFormat="1" ht="14.25" x14ac:dyDescent="0.2">
      <c r="A61" s="50"/>
      <c r="B61" s="19"/>
      <c r="C61" s="1179" t="s">
        <v>838</v>
      </c>
      <c r="D61" s="1173" t="s">
        <v>1415</v>
      </c>
      <c r="E61" s="55">
        <v>1030</v>
      </c>
      <c r="F61" s="314">
        <v>769</v>
      </c>
      <c r="G61" s="316">
        <v>521</v>
      </c>
      <c r="H61" s="1184">
        <f t="shared" si="1"/>
        <v>67.750325097529256</v>
      </c>
    </row>
    <row r="62" spans="1:8" s="1166" customFormat="1" ht="14.25" x14ac:dyDescent="0.2">
      <c r="A62" s="50"/>
      <c r="B62" s="19"/>
      <c r="C62" s="1230" t="s">
        <v>1732</v>
      </c>
      <c r="D62" s="1209" t="s">
        <v>1731</v>
      </c>
      <c r="E62" s="55">
        <v>1330</v>
      </c>
      <c r="F62" s="314">
        <v>752</v>
      </c>
      <c r="G62" s="316">
        <v>502</v>
      </c>
      <c r="H62" s="1184">
        <f t="shared" si="1"/>
        <v>66.755319148936167</v>
      </c>
    </row>
    <row r="63" spans="1:8" s="1166" customFormat="1" ht="15" x14ac:dyDescent="0.25">
      <c r="A63" s="50">
        <v>3639</v>
      </c>
      <c r="B63" s="19">
        <v>5212</v>
      </c>
      <c r="C63" s="1227"/>
      <c r="D63" s="1236" t="s">
        <v>1312</v>
      </c>
      <c r="E63" s="48">
        <v>50</v>
      </c>
      <c r="F63" s="168">
        <v>50</v>
      </c>
      <c r="G63" s="315">
        <v>50</v>
      </c>
      <c r="H63" s="1183">
        <f t="shared" ref="H63:H78" si="2">(G63/F63)*100</f>
        <v>100</v>
      </c>
    </row>
    <row r="64" spans="1:8" s="1166" customFormat="1" ht="14.25" x14ac:dyDescent="0.2">
      <c r="A64" s="50"/>
      <c r="B64" s="19"/>
      <c r="C64" s="1230" t="s">
        <v>1732</v>
      </c>
      <c r="D64" s="1209" t="s">
        <v>1731</v>
      </c>
      <c r="E64" s="55">
        <v>50</v>
      </c>
      <c r="F64" s="314">
        <v>50</v>
      </c>
      <c r="G64" s="316">
        <v>50</v>
      </c>
      <c r="H64" s="1184">
        <f t="shared" si="2"/>
        <v>100</v>
      </c>
    </row>
    <row r="65" spans="1:18" s="1166" customFormat="1" ht="15" x14ac:dyDescent="0.25">
      <c r="A65" s="50">
        <v>3639</v>
      </c>
      <c r="B65" s="19">
        <v>5213</v>
      </c>
      <c r="C65" s="1227"/>
      <c r="D65" s="1236" t="s">
        <v>231</v>
      </c>
      <c r="E65" s="48">
        <v>200</v>
      </c>
      <c r="F65" s="168">
        <v>850</v>
      </c>
      <c r="G65" s="315">
        <v>780</v>
      </c>
      <c r="H65" s="211">
        <f t="shared" si="2"/>
        <v>91.764705882352942</v>
      </c>
    </row>
    <row r="66" spans="1:18" s="1166" customFormat="1" ht="14.25" x14ac:dyDescent="0.2">
      <c r="A66" s="50"/>
      <c r="B66" s="19"/>
      <c r="C66" s="1195" t="s">
        <v>272</v>
      </c>
      <c r="D66" s="1237" t="s">
        <v>348</v>
      </c>
      <c r="E66" s="55"/>
      <c r="F66" s="314">
        <v>710</v>
      </c>
      <c r="G66" s="316">
        <v>710</v>
      </c>
      <c r="H66" s="1184">
        <f t="shared" si="2"/>
        <v>100</v>
      </c>
    </row>
    <row r="67" spans="1:18" s="1166" customFormat="1" ht="14.25" x14ac:dyDescent="0.2">
      <c r="A67" s="50"/>
      <c r="B67" s="19"/>
      <c r="C67" s="1230" t="s">
        <v>1732</v>
      </c>
      <c r="D67" s="1209" t="s">
        <v>1731</v>
      </c>
      <c r="E67" s="55">
        <v>200</v>
      </c>
      <c r="F67" s="314">
        <v>140</v>
      </c>
      <c r="G67" s="316">
        <v>70</v>
      </c>
      <c r="H67" s="1184">
        <f t="shared" si="2"/>
        <v>50</v>
      </c>
    </row>
    <row r="68" spans="1:18" s="1166" customFormat="1" ht="15" x14ac:dyDescent="0.25">
      <c r="A68" s="50">
        <v>3639</v>
      </c>
      <c r="B68" s="19">
        <v>5221</v>
      </c>
      <c r="C68" s="1230"/>
      <c r="D68" s="1236" t="s">
        <v>1138</v>
      </c>
      <c r="E68" s="71">
        <v>50</v>
      </c>
      <c r="F68" s="313">
        <v>50</v>
      </c>
      <c r="G68" s="315">
        <v>50</v>
      </c>
      <c r="H68" s="211">
        <f t="shared" si="2"/>
        <v>100</v>
      </c>
    </row>
    <row r="69" spans="1:18" s="1166" customFormat="1" ht="14.25" x14ac:dyDescent="0.2">
      <c r="A69" s="50"/>
      <c r="B69" s="19"/>
      <c r="C69" s="1230" t="s">
        <v>385</v>
      </c>
      <c r="D69" s="1209" t="s">
        <v>996</v>
      </c>
      <c r="E69" s="55">
        <v>50</v>
      </c>
      <c r="F69" s="314">
        <v>50</v>
      </c>
      <c r="G69" s="316">
        <v>50</v>
      </c>
      <c r="H69" s="1184">
        <f t="shared" si="2"/>
        <v>100</v>
      </c>
    </row>
    <row r="70" spans="1:18" s="1166" customFormat="1" ht="15" x14ac:dyDescent="0.25">
      <c r="A70" s="50">
        <v>3639</v>
      </c>
      <c r="B70" s="19">
        <v>5229</v>
      </c>
      <c r="C70" s="1487"/>
      <c r="D70" s="1486" t="s">
        <v>1276</v>
      </c>
      <c r="E70" s="71">
        <v>9700</v>
      </c>
      <c r="F70" s="313">
        <v>11484</v>
      </c>
      <c r="G70" s="315">
        <v>7764</v>
      </c>
      <c r="H70" s="211">
        <f t="shared" si="2"/>
        <v>67.607105538140019</v>
      </c>
    </row>
    <row r="71" spans="1:18" s="1166" customFormat="1" ht="15" x14ac:dyDescent="0.25">
      <c r="A71" s="50"/>
      <c r="B71" s="19"/>
      <c r="C71" s="1178" t="s">
        <v>22</v>
      </c>
      <c r="D71" s="1173" t="s">
        <v>1351</v>
      </c>
      <c r="E71" s="71"/>
      <c r="F71" s="314">
        <v>1724</v>
      </c>
      <c r="G71" s="316">
        <v>1724</v>
      </c>
      <c r="H71" s="1316">
        <f t="shared" si="2"/>
        <v>100</v>
      </c>
    </row>
    <row r="72" spans="1:18" s="1166" customFormat="1" ht="15" thickBot="1" x14ac:dyDescent="0.25">
      <c r="A72" s="1186"/>
      <c r="B72" s="1193"/>
      <c r="C72" s="1595" t="s">
        <v>1732</v>
      </c>
      <c r="D72" s="1596" t="s">
        <v>1731</v>
      </c>
      <c r="E72" s="1211">
        <v>7200</v>
      </c>
      <c r="F72" s="456">
        <v>7260</v>
      </c>
      <c r="G72" s="457">
        <v>3540</v>
      </c>
      <c r="H72" s="2499">
        <f t="shared" si="2"/>
        <v>48.760330578512395</v>
      </c>
      <c r="J72" s="1201">
        <f>E20+E24+E26+E46+E47+E48+E49+E50+E56+E59+E60+E63+E65+E68+E70</f>
        <v>27400</v>
      </c>
      <c r="K72" s="1201">
        <f>F10+F12+F14+F16+F18+F20+F22+F24+F26+F28+F30+F32+F34+F37+F39+F41+F43+F45+F46+F47+F48+F49+F50+F52+F54+F56+F59+F60+F63+F65+F68+F70</f>
        <v>55975</v>
      </c>
      <c r="L72" s="1201">
        <f>G10+G12+G14+G16+G18+G20+G22+G24+G26+G28+G30+G32+G34+G37+G39+G41+G43+G45+G46+G47+G48+G49+G50+G52+G54+G56+G59+G60+G63+G65+G68+G70</f>
        <v>49708</v>
      </c>
    </row>
    <row r="73" spans="1:18" ht="14.25" thickTop="1" thickBot="1" x14ac:dyDescent="0.25">
      <c r="A73" s="655"/>
      <c r="B73" s="655"/>
      <c r="C73" s="708"/>
      <c r="D73" s="656"/>
      <c r="G73" s="1014"/>
      <c r="H73" s="692" t="s">
        <v>179</v>
      </c>
    </row>
    <row r="74" spans="1:18" s="107" customFormat="1" ht="20.25" customHeight="1" thickTop="1" thickBot="1" x14ac:dyDescent="0.25">
      <c r="A74" s="657" t="s">
        <v>180</v>
      </c>
      <c r="B74" s="658" t="s">
        <v>181</v>
      </c>
      <c r="C74" s="702" t="s">
        <v>783</v>
      </c>
      <c r="D74" s="660" t="s">
        <v>182</v>
      </c>
      <c r="E74" s="660" t="s">
        <v>183</v>
      </c>
      <c r="F74" s="660" t="s">
        <v>985</v>
      </c>
      <c r="G74" s="660" t="s">
        <v>986</v>
      </c>
      <c r="H74" s="661" t="s">
        <v>987</v>
      </c>
      <c r="I74" s="979"/>
      <c r="J74" s="979"/>
    </row>
    <row r="75" spans="1:18" s="386" customFormat="1" ht="13.5" thickTop="1" thickBot="1" x14ac:dyDescent="0.25">
      <c r="A75" s="592">
        <v>1</v>
      </c>
      <c r="B75" s="593">
        <v>2</v>
      </c>
      <c r="C75" s="593">
        <v>3</v>
      </c>
      <c r="D75" s="593">
        <v>4</v>
      </c>
      <c r="E75" s="593">
        <v>5</v>
      </c>
      <c r="F75" s="567">
        <v>6</v>
      </c>
      <c r="G75" s="567">
        <v>7</v>
      </c>
      <c r="H75" s="662" t="s">
        <v>61</v>
      </c>
      <c r="I75" s="107"/>
    </row>
    <row r="76" spans="1:18" s="1166" customFormat="1" ht="15" thickTop="1" x14ac:dyDescent="0.2">
      <c r="A76" s="50"/>
      <c r="B76" s="19"/>
      <c r="C76" s="1179" t="s">
        <v>1353</v>
      </c>
      <c r="D76" s="1237" t="s">
        <v>1354</v>
      </c>
      <c r="E76" s="55">
        <v>2500</v>
      </c>
      <c r="F76" s="314">
        <v>2500</v>
      </c>
      <c r="G76" s="316">
        <v>2500</v>
      </c>
      <c r="H76" s="1316">
        <f t="shared" si="2"/>
        <v>100</v>
      </c>
    </row>
    <row r="77" spans="1:18" s="1166" customFormat="1" ht="13.5" customHeight="1" x14ac:dyDescent="0.25">
      <c r="A77" s="50">
        <v>3639</v>
      </c>
      <c r="B77" s="19">
        <v>5321</v>
      </c>
      <c r="C77" s="1227"/>
      <c r="D77" s="1236" t="s">
        <v>1349</v>
      </c>
      <c r="E77" s="48">
        <v>60500</v>
      </c>
      <c r="F77" s="168">
        <v>500</v>
      </c>
      <c r="G77" s="315">
        <v>500</v>
      </c>
      <c r="H77" s="211">
        <f t="shared" si="2"/>
        <v>100</v>
      </c>
      <c r="J77" s="1208"/>
      <c r="R77"/>
    </row>
    <row r="78" spans="1:18" s="1166" customFormat="1" ht="13.5" customHeight="1" x14ac:dyDescent="0.2">
      <c r="A78" s="50"/>
      <c r="B78" s="19"/>
      <c r="C78" s="1230" t="s">
        <v>385</v>
      </c>
      <c r="D78" s="1209" t="s">
        <v>996</v>
      </c>
      <c r="E78" s="1232">
        <v>500</v>
      </c>
      <c r="F78" s="464">
        <v>500</v>
      </c>
      <c r="G78" s="316">
        <v>500</v>
      </c>
      <c r="H78" s="1316">
        <f t="shared" si="2"/>
        <v>100</v>
      </c>
      <c r="J78" s="1181"/>
      <c r="R78"/>
    </row>
    <row r="79" spans="1:18" s="1166" customFormat="1" ht="14.25" customHeight="1" x14ac:dyDescent="0.2">
      <c r="A79" s="50"/>
      <c r="B79" s="19"/>
      <c r="C79" s="1195" t="s">
        <v>1137</v>
      </c>
      <c r="D79" s="1237" t="s">
        <v>1156</v>
      </c>
      <c r="E79" s="1232">
        <v>60000</v>
      </c>
      <c r="F79" s="464">
        <v>0</v>
      </c>
      <c r="G79" s="316">
        <v>0</v>
      </c>
      <c r="H79" s="1184">
        <v>0</v>
      </c>
      <c r="J79" s="1181"/>
      <c r="R79"/>
    </row>
    <row r="80" spans="1:18" s="1166" customFormat="1" ht="15.75" x14ac:dyDescent="0.25">
      <c r="A80" s="50">
        <v>3713</v>
      </c>
      <c r="B80" s="19">
        <v>5169</v>
      </c>
      <c r="C80" s="1227"/>
      <c r="D80" s="1236" t="s">
        <v>955</v>
      </c>
      <c r="E80" s="71">
        <v>1602</v>
      </c>
      <c r="F80" s="313">
        <v>1501</v>
      </c>
      <c r="G80" s="315">
        <v>1334</v>
      </c>
      <c r="H80" s="212">
        <f t="shared" ref="H80:H103" si="3">(G80/F80)*100</f>
        <v>88.874083944037309</v>
      </c>
      <c r="J80" s="1181"/>
      <c r="R80"/>
    </row>
    <row r="81" spans="1:18" s="1166" customFormat="1" ht="14.25" customHeight="1" x14ac:dyDescent="0.25">
      <c r="A81" s="50">
        <v>6222</v>
      </c>
      <c r="B81" s="19">
        <v>5169</v>
      </c>
      <c r="C81" s="1178"/>
      <c r="D81" s="1511" t="s">
        <v>955</v>
      </c>
      <c r="E81" s="71"/>
      <c r="F81" s="313">
        <v>459</v>
      </c>
      <c r="G81" s="315">
        <v>441</v>
      </c>
      <c r="H81" s="212">
        <f t="shared" si="3"/>
        <v>96.078431372549019</v>
      </c>
      <c r="J81" s="1181"/>
      <c r="R81"/>
    </row>
    <row r="82" spans="1:18" s="1166" customFormat="1" ht="14.25" customHeight="1" x14ac:dyDescent="0.25">
      <c r="A82" s="50"/>
      <c r="B82" s="19"/>
      <c r="C82" s="1179" t="s">
        <v>838</v>
      </c>
      <c r="D82" s="1173" t="s">
        <v>1415</v>
      </c>
      <c r="E82" s="71"/>
      <c r="F82" s="314">
        <v>20</v>
      </c>
      <c r="G82" s="316">
        <v>15</v>
      </c>
      <c r="H82" s="1184">
        <f t="shared" si="3"/>
        <v>75</v>
      </c>
      <c r="J82" s="1181"/>
      <c r="R82"/>
    </row>
    <row r="83" spans="1:18" s="1166" customFormat="1" ht="14.25" customHeight="1" x14ac:dyDescent="0.25">
      <c r="A83" s="50"/>
      <c r="B83" s="19"/>
      <c r="C83" s="1178" t="s">
        <v>331</v>
      </c>
      <c r="D83" s="1315" t="s">
        <v>719</v>
      </c>
      <c r="E83" s="71"/>
      <c r="F83" s="314">
        <v>439</v>
      </c>
      <c r="G83" s="316">
        <v>426</v>
      </c>
      <c r="H83" s="1184">
        <f t="shared" si="3"/>
        <v>97.038724373576315</v>
      </c>
      <c r="J83" s="1181"/>
      <c r="R83"/>
    </row>
    <row r="84" spans="1:18" s="1166" customFormat="1" ht="14.25" customHeight="1" x14ac:dyDescent="0.25">
      <c r="A84" s="50">
        <v>6222</v>
      </c>
      <c r="B84" s="19">
        <v>5173</v>
      </c>
      <c r="C84" s="1178"/>
      <c r="D84" s="1601" t="s">
        <v>1532</v>
      </c>
      <c r="E84" s="71"/>
      <c r="F84" s="313">
        <v>45</v>
      </c>
      <c r="G84" s="315">
        <v>31</v>
      </c>
      <c r="H84" s="212">
        <f t="shared" si="3"/>
        <v>68.888888888888886</v>
      </c>
      <c r="J84" s="1181"/>
      <c r="R84"/>
    </row>
    <row r="85" spans="1:18" s="1166" customFormat="1" ht="14.25" customHeight="1" x14ac:dyDescent="0.25">
      <c r="A85" s="50"/>
      <c r="B85" s="19"/>
      <c r="C85" s="1178" t="s">
        <v>331</v>
      </c>
      <c r="D85" s="1315" t="s">
        <v>719</v>
      </c>
      <c r="E85" s="71"/>
      <c r="F85" s="314">
        <v>45</v>
      </c>
      <c r="G85" s="316">
        <v>31</v>
      </c>
      <c r="H85" s="1184">
        <f t="shared" si="3"/>
        <v>68.888888888888886</v>
      </c>
      <c r="J85" s="1181"/>
      <c r="R85"/>
    </row>
    <row r="86" spans="1:18" s="1166" customFormat="1" ht="14.25" customHeight="1" x14ac:dyDescent="0.25">
      <c r="A86" s="50">
        <v>6222</v>
      </c>
      <c r="B86" s="19">
        <v>5175</v>
      </c>
      <c r="C86" s="1178"/>
      <c r="D86" s="1485" t="s">
        <v>740</v>
      </c>
      <c r="E86" s="71"/>
      <c r="F86" s="313">
        <v>15</v>
      </c>
      <c r="G86" s="315">
        <v>0</v>
      </c>
      <c r="H86" s="212">
        <f t="shared" si="3"/>
        <v>0</v>
      </c>
      <c r="J86" s="1181"/>
      <c r="R86"/>
    </row>
    <row r="87" spans="1:18" s="1166" customFormat="1" ht="14.25" customHeight="1" x14ac:dyDescent="0.25">
      <c r="A87" s="50"/>
      <c r="B87" s="19"/>
      <c r="C87" s="1178" t="s">
        <v>331</v>
      </c>
      <c r="D87" s="1315" t="s">
        <v>719</v>
      </c>
      <c r="E87" s="71"/>
      <c r="F87" s="314">
        <v>15</v>
      </c>
      <c r="G87" s="316">
        <v>0</v>
      </c>
      <c r="H87" s="1184">
        <f t="shared" si="3"/>
        <v>0</v>
      </c>
      <c r="J87" s="1181"/>
      <c r="R87"/>
    </row>
    <row r="88" spans="1:18" s="1166" customFormat="1" ht="14.25" customHeight="1" x14ac:dyDescent="0.25">
      <c r="A88" s="50">
        <v>6223</v>
      </c>
      <c r="B88" s="19">
        <v>5166</v>
      </c>
      <c r="C88" s="1178"/>
      <c r="D88" s="1236" t="s">
        <v>677</v>
      </c>
      <c r="E88" s="71"/>
      <c r="F88" s="315">
        <f>F89+F90+F91</f>
        <v>38</v>
      </c>
      <c r="G88" s="315">
        <f>G89+G90+G91</f>
        <v>15</v>
      </c>
      <c r="H88" s="212">
        <f t="shared" si="3"/>
        <v>39.473684210526315</v>
      </c>
      <c r="J88" s="1181"/>
      <c r="R88"/>
    </row>
    <row r="89" spans="1:18" s="1166" customFormat="1" ht="14.25" customHeight="1" x14ac:dyDescent="0.25">
      <c r="A89" s="50"/>
      <c r="B89" s="19"/>
      <c r="C89" s="1959">
        <v>41100880</v>
      </c>
      <c r="D89" s="1499" t="s">
        <v>1724</v>
      </c>
      <c r="E89" s="71"/>
      <c r="F89" s="314">
        <v>4</v>
      </c>
      <c r="G89" s="316">
        <v>1</v>
      </c>
      <c r="H89" s="1184">
        <f t="shared" si="3"/>
        <v>25</v>
      </c>
      <c r="J89" s="1181"/>
      <c r="R89"/>
    </row>
    <row r="90" spans="1:18" s="1166" customFormat="1" ht="14.25" customHeight="1" x14ac:dyDescent="0.25">
      <c r="A90" s="50"/>
      <c r="B90" s="19"/>
      <c r="C90" s="1959">
        <v>41100882</v>
      </c>
      <c r="D90" s="1499" t="s">
        <v>1725</v>
      </c>
      <c r="E90" s="71"/>
      <c r="F90" s="314">
        <v>2</v>
      </c>
      <c r="G90" s="316">
        <v>1</v>
      </c>
      <c r="H90" s="1184">
        <f t="shared" si="3"/>
        <v>50</v>
      </c>
      <c r="J90" s="1181"/>
      <c r="R90"/>
    </row>
    <row r="91" spans="1:18" s="1166" customFormat="1" ht="14.25" customHeight="1" x14ac:dyDescent="0.25">
      <c r="A91" s="50"/>
      <c r="B91" s="19"/>
      <c r="C91" s="1959">
        <v>41500881</v>
      </c>
      <c r="D91" s="1174" t="s">
        <v>1726</v>
      </c>
      <c r="E91" s="71"/>
      <c r="F91" s="314">
        <v>32</v>
      </c>
      <c r="G91" s="316">
        <v>13</v>
      </c>
      <c r="H91" s="1184">
        <f t="shared" si="3"/>
        <v>40.625</v>
      </c>
      <c r="J91" s="1181"/>
      <c r="R91"/>
    </row>
    <row r="92" spans="1:18" s="1166" customFormat="1" ht="14.25" customHeight="1" x14ac:dyDescent="0.25">
      <c r="A92" s="50">
        <v>6223</v>
      </c>
      <c r="B92" s="19">
        <v>5169</v>
      </c>
      <c r="C92" s="1178"/>
      <c r="D92" s="1511" t="s">
        <v>955</v>
      </c>
      <c r="E92" s="71">
        <v>166</v>
      </c>
      <c r="F92" s="315">
        <f>F93+F94+F95+F96+F97+F98</f>
        <v>146</v>
      </c>
      <c r="G92" s="315">
        <f>G93+G94+G95+G96+G97+G98</f>
        <v>76</v>
      </c>
      <c r="H92" s="212">
        <f t="shared" si="3"/>
        <v>52.054794520547944</v>
      </c>
      <c r="J92" s="1181"/>
      <c r="R92"/>
    </row>
    <row r="93" spans="1:18" s="1166" customFormat="1" ht="14.25" customHeight="1" x14ac:dyDescent="0.2">
      <c r="A93" s="50"/>
      <c r="B93" s="19"/>
      <c r="C93" s="1179" t="s">
        <v>838</v>
      </c>
      <c r="D93" s="1173" t="s">
        <v>1415</v>
      </c>
      <c r="E93" s="55">
        <v>166</v>
      </c>
      <c r="F93" s="314">
        <v>0</v>
      </c>
      <c r="G93" s="316">
        <v>0</v>
      </c>
      <c r="H93" s="1184">
        <v>0</v>
      </c>
      <c r="J93" s="1181"/>
      <c r="R93"/>
    </row>
    <row r="94" spans="1:18" s="1166" customFormat="1" ht="14.25" customHeight="1" x14ac:dyDescent="0.2">
      <c r="A94" s="50"/>
      <c r="B94" s="19"/>
      <c r="C94" s="1959">
        <v>41100880</v>
      </c>
      <c r="D94" s="1499" t="s">
        <v>1724</v>
      </c>
      <c r="E94" s="55"/>
      <c r="F94" s="314">
        <v>3</v>
      </c>
      <c r="G94" s="316">
        <v>1</v>
      </c>
      <c r="H94" s="1184">
        <f t="shared" si="3"/>
        <v>33.333333333333329</v>
      </c>
      <c r="J94" s="1181"/>
      <c r="R94"/>
    </row>
    <row r="95" spans="1:18" s="1166" customFormat="1" ht="14.25" customHeight="1" x14ac:dyDescent="0.2">
      <c r="A95" s="50"/>
      <c r="B95" s="19"/>
      <c r="C95" s="1959">
        <v>41100882</v>
      </c>
      <c r="D95" s="1499" t="s">
        <v>1725</v>
      </c>
      <c r="E95" s="55"/>
      <c r="F95" s="314">
        <v>2</v>
      </c>
      <c r="G95" s="316">
        <v>0</v>
      </c>
      <c r="H95" s="1184">
        <f t="shared" si="3"/>
        <v>0</v>
      </c>
      <c r="J95" s="1181"/>
      <c r="R95"/>
    </row>
    <row r="96" spans="1:18" s="1166" customFormat="1" ht="14.25" customHeight="1" x14ac:dyDescent="0.2">
      <c r="A96" s="50"/>
      <c r="B96" s="19"/>
      <c r="C96" s="1959">
        <v>41500881</v>
      </c>
      <c r="D96" s="1174" t="s">
        <v>1726</v>
      </c>
      <c r="E96" s="55"/>
      <c r="F96" s="314">
        <v>31</v>
      </c>
      <c r="G96" s="316">
        <v>5</v>
      </c>
      <c r="H96" s="1184">
        <f t="shared" si="3"/>
        <v>16.129032258064516</v>
      </c>
      <c r="J96" s="1181"/>
      <c r="R96"/>
    </row>
    <row r="97" spans="1:18" s="1166" customFormat="1" ht="14.25" customHeight="1" x14ac:dyDescent="0.2">
      <c r="A97" s="50"/>
      <c r="B97" s="19"/>
      <c r="C97" s="1959">
        <v>42100880</v>
      </c>
      <c r="D97" s="1499" t="s">
        <v>1724</v>
      </c>
      <c r="E97" s="55"/>
      <c r="F97" s="314">
        <v>16</v>
      </c>
      <c r="G97" s="316">
        <v>10</v>
      </c>
      <c r="H97" s="1184">
        <f t="shared" si="3"/>
        <v>62.5</v>
      </c>
      <c r="J97" s="1181"/>
      <c r="R97"/>
    </row>
    <row r="98" spans="1:18" s="1166" customFormat="1" ht="14.25" customHeight="1" x14ac:dyDescent="0.2">
      <c r="A98" s="50"/>
      <c r="B98" s="19"/>
      <c r="C98" s="1959">
        <v>42500881</v>
      </c>
      <c r="D98" s="1174" t="s">
        <v>1726</v>
      </c>
      <c r="E98" s="55"/>
      <c r="F98" s="314">
        <v>94</v>
      </c>
      <c r="G98" s="316">
        <v>60</v>
      </c>
      <c r="H98" s="1184">
        <f t="shared" si="3"/>
        <v>63.829787234042556</v>
      </c>
      <c r="J98" s="1181"/>
      <c r="R98"/>
    </row>
    <row r="99" spans="1:18" s="1166" customFormat="1" ht="14.25" customHeight="1" x14ac:dyDescent="0.25">
      <c r="A99" s="50">
        <v>6223</v>
      </c>
      <c r="B99" s="19">
        <v>5175</v>
      </c>
      <c r="C99" s="1178"/>
      <c r="D99" s="1485" t="s">
        <v>740</v>
      </c>
      <c r="E99" s="71"/>
      <c r="F99" s="313">
        <v>4</v>
      </c>
      <c r="G99" s="315">
        <v>4</v>
      </c>
      <c r="H99" s="212">
        <f t="shared" si="3"/>
        <v>100</v>
      </c>
      <c r="J99" s="1181"/>
      <c r="R99"/>
    </row>
    <row r="100" spans="1:18" s="1166" customFormat="1" ht="14.25" customHeight="1" x14ac:dyDescent="0.25">
      <c r="A100" s="50"/>
      <c r="B100" s="19"/>
      <c r="C100" s="1959">
        <v>41500881</v>
      </c>
      <c r="D100" s="1174" t="s">
        <v>1726</v>
      </c>
      <c r="E100" s="71"/>
      <c r="F100" s="314">
        <v>4</v>
      </c>
      <c r="G100" s="316">
        <v>4</v>
      </c>
      <c r="H100" s="1184">
        <f t="shared" si="3"/>
        <v>100</v>
      </c>
      <c r="J100" s="1181"/>
      <c r="R100"/>
    </row>
    <row r="101" spans="1:18" s="1166" customFormat="1" ht="14.25" customHeight="1" x14ac:dyDescent="0.25">
      <c r="A101" s="50">
        <v>6402</v>
      </c>
      <c r="B101" s="19">
        <v>5364</v>
      </c>
      <c r="C101" s="1178"/>
      <c r="D101" s="2713" t="s">
        <v>1734</v>
      </c>
      <c r="E101" s="71"/>
      <c r="F101" s="313">
        <v>20</v>
      </c>
      <c r="G101" s="315">
        <v>20</v>
      </c>
      <c r="H101" s="212">
        <f t="shared" si="3"/>
        <v>100</v>
      </c>
      <c r="J101" s="1181"/>
      <c r="R101"/>
    </row>
    <row r="102" spans="1:18" s="1166" customFormat="1" ht="14.25" customHeight="1" x14ac:dyDescent="0.25">
      <c r="A102" s="50"/>
      <c r="B102" s="19"/>
      <c r="C102" s="1178"/>
      <c r="D102" s="2714"/>
      <c r="E102" s="71"/>
      <c r="F102" s="313"/>
      <c r="G102" s="315"/>
      <c r="H102" s="212"/>
      <c r="J102" s="1181"/>
      <c r="R102"/>
    </row>
    <row r="103" spans="1:18" s="1166" customFormat="1" ht="14.25" customHeight="1" thickBot="1" x14ac:dyDescent="0.3">
      <c r="A103" s="50"/>
      <c r="B103" s="19"/>
      <c r="C103" s="1226" t="s">
        <v>638</v>
      </c>
      <c r="D103" s="1958" t="s">
        <v>494</v>
      </c>
      <c r="E103" s="71"/>
      <c r="F103" s="314">
        <v>20</v>
      </c>
      <c r="G103" s="316">
        <v>20</v>
      </c>
      <c r="H103" s="1184">
        <f t="shared" si="3"/>
        <v>100</v>
      </c>
      <c r="J103" s="1181">
        <f>E77+E80+E92</f>
        <v>62268</v>
      </c>
      <c r="K103" s="1201">
        <f>F77+F80+F81+F84+F86+F88+F92+F99+F101</f>
        <v>2728</v>
      </c>
      <c r="L103" s="1201">
        <f>G77+G80+G81+G84+G86+G88+G92+G99+G101</f>
        <v>2421</v>
      </c>
      <c r="R103"/>
    </row>
    <row r="104" spans="1:18" s="362" customFormat="1" ht="35.25" customHeight="1" thickTop="1" thickBot="1" x14ac:dyDescent="0.3">
      <c r="A104" s="663" t="s">
        <v>268</v>
      </c>
      <c r="B104" s="664"/>
      <c r="C104" s="665"/>
      <c r="D104" s="666"/>
      <c r="E104" s="667">
        <f>J72+J103</f>
        <v>89668</v>
      </c>
      <c r="F104" s="667">
        <f>K72+K103</f>
        <v>58703</v>
      </c>
      <c r="G104" s="667">
        <f>L72+L103</f>
        <v>52129</v>
      </c>
      <c r="H104" s="668">
        <f>(G104/F104)*100</f>
        <v>88.801253768972614</v>
      </c>
      <c r="J104" s="725"/>
      <c r="K104" s="725"/>
    </row>
    <row r="105" spans="1:18" s="139" customFormat="1" ht="15.75" thickTop="1" x14ac:dyDescent="0.25">
      <c r="A105" s="669"/>
      <c r="B105" s="655"/>
      <c r="C105" s="1015"/>
      <c r="D105" s="234"/>
      <c r="E105" s="1968"/>
      <c r="F105" s="1016"/>
      <c r="G105" s="1968"/>
      <c r="H105" s="1017"/>
      <c r="I105" s="137"/>
      <c r="J105" s="137"/>
    </row>
    <row r="106" spans="1:18" s="139" customFormat="1" ht="15.75" customHeight="1" x14ac:dyDescent="0.25">
      <c r="A106" s="33" t="s">
        <v>1403</v>
      </c>
      <c r="B106" s="28"/>
      <c r="C106" s="10"/>
      <c r="E106" s="137"/>
      <c r="F106" s="16"/>
      <c r="G106" s="17"/>
      <c r="H106" s="692"/>
      <c r="I106" s="137"/>
      <c r="J106" s="137"/>
    </row>
    <row r="107" spans="1:18" s="139" customFormat="1" ht="13.5" thickBot="1" x14ac:dyDescent="0.25">
      <c r="A107" s="655"/>
      <c r="B107" s="655"/>
      <c r="C107" s="656"/>
      <c r="D107" s="558"/>
      <c r="E107" s="517"/>
      <c r="F107" s="1014"/>
      <c r="G107" s="517"/>
      <c r="H107" s="692" t="s">
        <v>179</v>
      </c>
      <c r="I107" s="137"/>
      <c r="J107" s="137"/>
    </row>
    <row r="108" spans="1:18" s="107" customFormat="1" ht="20.25" customHeight="1" thickTop="1" thickBot="1" x14ac:dyDescent="0.25">
      <c r="A108" s="657" t="s">
        <v>180</v>
      </c>
      <c r="B108" s="658" t="s">
        <v>181</v>
      </c>
      <c r="C108" s="702" t="s">
        <v>783</v>
      </c>
      <c r="D108" s="835" t="s">
        <v>182</v>
      </c>
      <c r="E108" s="835" t="s">
        <v>183</v>
      </c>
      <c r="F108" s="660" t="s">
        <v>985</v>
      </c>
      <c r="G108" s="660" t="s">
        <v>986</v>
      </c>
      <c r="H108" s="661" t="s">
        <v>987</v>
      </c>
    </row>
    <row r="109" spans="1:18" s="386" customFormat="1" ht="13.5" thickTop="1" thickBot="1" x14ac:dyDescent="0.25">
      <c r="A109" s="592">
        <v>1</v>
      </c>
      <c r="B109" s="593">
        <v>2</v>
      </c>
      <c r="C109" s="593">
        <v>3</v>
      </c>
      <c r="D109" s="593">
        <v>4</v>
      </c>
      <c r="E109" s="593">
        <v>5</v>
      </c>
      <c r="F109" s="567">
        <v>6</v>
      </c>
      <c r="G109" s="567">
        <v>7</v>
      </c>
      <c r="H109" s="662" t="s">
        <v>61</v>
      </c>
      <c r="I109" s="107"/>
    </row>
    <row r="110" spans="1:18" s="1219" customFormat="1" ht="14.25" customHeight="1" thickTop="1" x14ac:dyDescent="0.25">
      <c r="A110" s="1280">
        <v>2212</v>
      </c>
      <c r="B110" s="268">
        <v>6341</v>
      </c>
      <c r="C110" s="1195"/>
      <c r="D110" s="1167" t="s">
        <v>271</v>
      </c>
      <c r="E110" s="1231"/>
      <c r="F110" s="313">
        <v>3287</v>
      </c>
      <c r="G110" s="315">
        <v>3259</v>
      </c>
      <c r="H110" s="203">
        <f t="shared" ref="H110:H127" si="4">(G110/F110)*100</f>
        <v>99.148159415880741</v>
      </c>
    </row>
    <row r="111" spans="1:18" s="1219" customFormat="1" ht="14.25" customHeight="1" x14ac:dyDescent="0.2">
      <c r="A111" s="1280"/>
      <c r="B111" s="268"/>
      <c r="C111" s="1195" t="s">
        <v>1137</v>
      </c>
      <c r="D111" s="1173" t="s">
        <v>1156</v>
      </c>
      <c r="E111" s="1231"/>
      <c r="F111" s="314">
        <v>3287</v>
      </c>
      <c r="G111" s="316">
        <v>3259</v>
      </c>
      <c r="H111" s="1175">
        <f t="shared" si="4"/>
        <v>99.148159415880741</v>
      </c>
    </row>
    <row r="112" spans="1:18" s="1219" customFormat="1" ht="14.25" customHeight="1" x14ac:dyDescent="0.25">
      <c r="A112" s="1280">
        <v>2219</v>
      </c>
      <c r="B112" s="268">
        <v>6341</v>
      </c>
      <c r="C112" s="1195"/>
      <c r="D112" s="1167" t="s">
        <v>271</v>
      </c>
      <c r="E112" s="1231"/>
      <c r="F112" s="313">
        <v>2904</v>
      </c>
      <c r="G112" s="315">
        <v>2713</v>
      </c>
      <c r="H112" s="203">
        <f t="shared" si="4"/>
        <v>93.4228650137741</v>
      </c>
    </row>
    <row r="113" spans="1:18" s="1219" customFormat="1" ht="14.25" customHeight="1" x14ac:dyDescent="0.2">
      <c r="A113" s="1280"/>
      <c r="B113" s="268"/>
      <c r="C113" s="1195" t="s">
        <v>1137</v>
      </c>
      <c r="D113" s="1173" t="s">
        <v>1156</v>
      </c>
      <c r="E113" s="1231"/>
      <c r="F113" s="314">
        <v>2904</v>
      </c>
      <c r="G113" s="316">
        <v>2713</v>
      </c>
      <c r="H113" s="1175">
        <f t="shared" si="4"/>
        <v>93.4228650137741</v>
      </c>
    </row>
    <row r="114" spans="1:18" s="1219" customFormat="1" ht="13.5" customHeight="1" x14ac:dyDescent="0.25">
      <c r="A114" s="1280">
        <v>2251</v>
      </c>
      <c r="B114" s="268">
        <v>6313</v>
      </c>
      <c r="C114" s="1230"/>
      <c r="D114" s="1167" t="s">
        <v>1453</v>
      </c>
      <c r="E114" s="60">
        <v>5000</v>
      </c>
      <c r="F114" s="313">
        <v>10000</v>
      </c>
      <c r="G114" s="315">
        <v>10000</v>
      </c>
      <c r="H114" s="1172">
        <f t="shared" si="4"/>
        <v>100</v>
      </c>
    </row>
    <row r="115" spans="1:18" s="1219" customFormat="1" ht="13.5" customHeight="1" x14ac:dyDescent="0.2">
      <c r="A115" s="1280"/>
      <c r="B115" s="268"/>
      <c r="C115" s="1230" t="s">
        <v>385</v>
      </c>
      <c r="D115" s="1174" t="s">
        <v>996</v>
      </c>
      <c r="E115" s="124">
        <v>5000</v>
      </c>
      <c r="F115" s="314">
        <v>10000</v>
      </c>
      <c r="G115" s="316">
        <v>10000</v>
      </c>
      <c r="H115" s="1175">
        <f t="shared" si="4"/>
        <v>100</v>
      </c>
    </row>
    <row r="116" spans="1:18" s="1219" customFormat="1" ht="13.5" customHeight="1" x14ac:dyDescent="0.25">
      <c r="A116" s="1280">
        <v>3299</v>
      </c>
      <c r="B116" s="268">
        <v>6322</v>
      </c>
      <c r="C116" s="1230"/>
      <c r="D116" s="1189" t="s">
        <v>1290</v>
      </c>
      <c r="E116" s="124"/>
      <c r="F116" s="313">
        <v>616</v>
      </c>
      <c r="G116" s="315">
        <v>566</v>
      </c>
      <c r="H116" s="203">
        <f t="shared" si="4"/>
        <v>91.883116883116884</v>
      </c>
    </row>
    <row r="117" spans="1:18" s="1219" customFormat="1" ht="13.5" customHeight="1" x14ac:dyDescent="0.2">
      <c r="A117" s="1280"/>
      <c r="B117" s="268"/>
      <c r="C117" s="1195" t="s">
        <v>1137</v>
      </c>
      <c r="D117" s="1173" t="s">
        <v>1156</v>
      </c>
      <c r="E117" s="124"/>
      <c r="F117" s="314">
        <v>616</v>
      </c>
      <c r="G117" s="316">
        <v>566</v>
      </c>
      <c r="H117" s="1175">
        <f t="shared" si="4"/>
        <v>91.883116883116884</v>
      </c>
    </row>
    <row r="118" spans="1:18" s="1219" customFormat="1" ht="13.5" customHeight="1" x14ac:dyDescent="0.25">
      <c r="A118" s="1280">
        <v>3419</v>
      </c>
      <c r="B118" s="268">
        <v>6349</v>
      </c>
      <c r="C118" s="1195"/>
      <c r="D118" s="1167" t="s">
        <v>1327</v>
      </c>
      <c r="E118" s="124"/>
      <c r="F118" s="313">
        <v>124</v>
      </c>
      <c r="G118" s="315">
        <v>124</v>
      </c>
      <c r="H118" s="203">
        <f t="shared" si="4"/>
        <v>100</v>
      </c>
    </row>
    <row r="119" spans="1:18" s="1219" customFormat="1" ht="13.5" customHeight="1" x14ac:dyDescent="0.2">
      <c r="A119" s="1280"/>
      <c r="B119" s="268"/>
      <c r="C119" s="1195" t="s">
        <v>1137</v>
      </c>
      <c r="D119" s="1173" t="s">
        <v>1156</v>
      </c>
      <c r="E119" s="124"/>
      <c r="F119" s="314">
        <v>124</v>
      </c>
      <c r="G119" s="316">
        <v>124</v>
      </c>
      <c r="H119" s="1175">
        <f t="shared" si="4"/>
        <v>100</v>
      </c>
    </row>
    <row r="120" spans="1:18" s="1219" customFormat="1" ht="13.5" customHeight="1" x14ac:dyDescent="0.25">
      <c r="A120" s="1280">
        <v>3429</v>
      </c>
      <c r="B120" s="268">
        <v>6349</v>
      </c>
      <c r="C120" s="1195"/>
      <c r="D120" s="1167" t="s">
        <v>1327</v>
      </c>
      <c r="E120" s="124"/>
      <c r="F120" s="313">
        <v>67</v>
      </c>
      <c r="G120" s="315">
        <v>67</v>
      </c>
      <c r="H120" s="203">
        <f t="shared" si="4"/>
        <v>100</v>
      </c>
    </row>
    <row r="121" spans="1:18" s="1219" customFormat="1" ht="13.5" customHeight="1" x14ac:dyDescent="0.2">
      <c r="A121" s="1280"/>
      <c r="B121" s="268"/>
      <c r="C121" s="1195" t="s">
        <v>1137</v>
      </c>
      <c r="D121" s="1173" t="s">
        <v>1156</v>
      </c>
      <c r="E121" s="124"/>
      <c r="F121" s="314">
        <v>67</v>
      </c>
      <c r="G121" s="316">
        <v>67</v>
      </c>
      <c r="H121" s="1175">
        <f t="shared" si="4"/>
        <v>100</v>
      </c>
    </row>
    <row r="122" spans="1:18" s="1219" customFormat="1" ht="13.5" customHeight="1" x14ac:dyDescent="0.25">
      <c r="A122" s="1280">
        <v>3631</v>
      </c>
      <c r="B122" s="268">
        <v>6341</v>
      </c>
      <c r="C122" s="1195"/>
      <c r="D122" s="1167" t="s">
        <v>271</v>
      </c>
      <c r="E122" s="124"/>
      <c r="F122" s="313">
        <v>2819</v>
      </c>
      <c r="G122" s="315">
        <v>2741</v>
      </c>
      <c r="H122" s="203">
        <f t="shared" si="4"/>
        <v>97.233061369279881</v>
      </c>
    </row>
    <row r="123" spans="1:18" s="1219" customFormat="1" ht="13.5" customHeight="1" x14ac:dyDescent="0.2">
      <c r="A123" s="1280"/>
      <c r="B123" s="268"/>
      <c r="C123" s="1195" t="s">
        <v>1137</v>
      </c>
      <c r="D123" s="1173" t="s">
        <v>1156</v>
      </c>
      <c r="E123" s="124"/>
      <c r="F123" s="314">
        <v>2819</v>
      </c>
      <c r="G123" s="316">
        <v>2741</v>
      </c>
      <c r="H123" s="1175">
        <f t="shared" si="4"/>
        <v>97.233061369279881</v>
      </c>
    </row>
    <row r="124" spans="1:18" s="1166" customFormat="1" ht="15" x14ac:dyDescent="0.25">
      <c r="A124" s="34">
        <v>3636</v>
      </c>
      <c r="B124" s="1199">
        <v>6341</v>
      </c>
      <c r="C124" s="1195"/>
      <c r="D124" s="1167" t="s">
        <v>271</v>
      </c>
      <c r="E124" s="55"/>
      <c r="F124" s="313">
        <v>18299</v>
      </c>
      <c r="G124" s="315">
        <v>17827</v>
      </c>
      <c r="H124" s="1172">
        <f t="shared" si="4"/>
        <v>97.420624077818459</v>
      </c>
    </row>
    <row r="125" spans="1:18" s="1166" customFormat="1" ht="14.25" x14ac:dyDescent="0.2">
      <c r="A125" s="34"/>
      <c r="B125" s="1199"/>
      <c r="C125" s="1195" t="s">
        <v>1137</v>
      </c>
      <c r="D125" s="1173" t="s">
        <v>1156</v>
      </c>
      <c r="E125" s="55"/>
      <c r="F125" s="314">
        <v>18299</v>
      </c>
      <c r="G125" s="316">
        <v>17827</v>
      </c>
      <c r="H125" s="1175">
        <f t="shared" si="4"/>
        <v>97.420624077818459</v>
      </c>
    </row>
    <row r="126" spans="1:18" s="1166" customFormat="1" ht="15" x14ac:dyDescent="0.25">
      <c r="A126" s="34">
        <v>3636</v>
      </c>
      <c r="B126" s="1199">
        <v>6349</v>
      </c>
      <c r="C126" s="1195"/>
      <c r="D126" s="1167" t="s">
        <v>1327</v>
      </c>
      <c r="E126" s="55"/>
      <c r="F126" s="313">
        <v>1134</v>
      </c>
      <c r="G126" s="315">
        <v>958</v>
      </c>
      <c r="H126" s="1172">
        <f t="shared" si="4"/>
        <v>84.479717813051153</v>
      </c>
    </row>
    <row r="127" spans="1:18" s="1166" customFormat="1" ht="14.25" x14ac:dyDescent="0.2">
      <c r="A127" s="34"/>
      <c r="B127" s="1199"/>
      <c r="C127" s="1195" t="s">
        <v>1137</v>
      </c>
      <c r="D127" s="1173" t="s">
        <v>1156</v>
      </c>
      <c r="E127" s="55"/>
      <c r="F127" s="314">
        <v>1134</v>
      </c>
      <c r="G127" s="316">
        <v>958</v>
      </c>
      <c r="H127" s="1175">
        <f t="shared" si="4"/>
        <v>84.479717813051153</v>
      </c>
    </row>
    <row r="128" spans="1:18" s="1166" customFormat="1" ht="16.5" thickBot="1" x14ac:dyDescent="0.3">
      <c r="A128" s="34">
        <v>3713</v>
      </c>
      <c r="B128" s="1199">
        <v>6122</v>
      </c>
      <c r="C128" s="1179"/>
      <c r="D128" s="1185" t="s">
        <v>672</v>
      </c>
      <c r="E128" s="71">
        <v>1627</v>
      </c>
      <c r="F128" s="313">
        <v>1627</v>
      </c>
      <c r="G128" s="315">
        <v>1624</v>
      </c>
      <c r="H128" s="203">
        <f>(G128/F128)*100</f>
        <v>99.815611555009227</v>
      </c>
      <c r="J128" s="1181"/>
      <c r="R128"/>
    </row>
    <row r="129" spans="1:10" s="362" customFormat="1" ht="35.25" customHeight="1" thickTop="1" thickBot="1" x14ac:dyDescent="0.3">
      <c r="A129" s="663" t="s">
        <v>267</v>
      </c>
      <c r="B129" s="1018"/>
      <c r="C129" s="707"/>
      <c r="D129" s="666"/>
      <c r="E129" s="667">
        <f>E114+E128</f>
        <v>6627</v>
      </c>
      <c r="F129" s="667">
        <f>F110+F112+F114+F116+F118+F120+F122+F124+F126+F128</f>
        <v>40877</v>
      </c>
      <c r="G129" s="667">
        <f>G110+G112+G114+G116+G118+G120+G122+G124+G126+G128</f>
        <v>39879</v>
      </c>
      <c r="H129" s="1019">
        <f>(G129/F129)*100</f>
        <v>97.558529246275413</v>
      </c>
      <c r="I129" s="1020"/>
    </row>
    <row r="130" spans="1:10" ht="13.5" thickTop="1" x14ac:dyDescent="0.2">
      <c r="A130" s="655"/>
      <c r="I130" s="1023"/>
      <c r="J130" s="558"/>
    </row>
    <row r="131" spans="1:10" x14ac:dyDescent="0.2">
      <c r="A131" s="655"/>
      <c r="I131" s="1023"/>
      <c r="J131" s="558"/>
    </row>
    <row r="132" spans="1:10" s="693" customFormat="1" ht="16.5" x14ac:dyDescent="0.25">
      <c r="A132" s="363" t="s">
        <v>662</v>
      </c>
      <c r="B132" s="364"/>
      <c r="C132" s="365"/>
      <c r="D132" s="365"/>
      <c r="E132" s="1008">
        <f>E133+E134+E135+E136</f>
        <v>96295</v>
      </c>
      <c r="F132" s="1008">
        <f>F133+F134+F135+F136</f>
        <v>99580</v>
      </c>
      <c r="G132" s="1008">
        <f>G133+G134+G135+G136</f>
        <v>92008</v>
      </c>
      <c r="H132" s="305">
        <f>G132/F132*100</f>
        <v>92.396063466559553</v>
      </c>
    </row>
    <row r="133" spans="1:10" s="1389" customFormat="1" ht="15" x14ac:dyDescent="0.2">
      <c r="A133" s="581" t="s">
        <v>288</v>
      </c>
      <c r="B133" s="611"/>
      <c r="C133" s="612"/>
      <c r="D133" s="612"/>
      <c r="E133" s="1009">
        <f>E104</f>
        <v>89668</v>
      </c>
      <c r="F133" s="1009">
        <f>F104-F135</f>
        <v>58204</v>
      </c>
      <c r="G133" s="1009">
        <f>G104-G135</f>
        <v>51672</v>
      </c>
      <c r="H133" s="306">
        <f>G133/F133*100</f>
        <v>88.77740361487183</v>
      </c>
    </row>
    <row r="134" spans="1:10" s="1389" customFormat="1" ht="15" x14ac:dyDescent="0.2">
      <c r="A134" s="581" t="s">
        <v>289</v>
      </c>
      <c r="B134" s="616"/>
      <c r="C134" s="612"/>
      <c r="D134" s="612"/>
      <c r="E134" s="1010">
        <f>E129</f>
        <v>6627</v>
      </c>
      <c r="F134" s="1010">
        <f>F129</f>
        <v>40877</v>
      </c>
      <c r="G134" s="1010">
        <f>G129</f>
        <v>39879</v>
      </c>
      <c r="H134" s="306">
        <f>G134/F134*100</f>
        <v>97.558529246275413</v>
      </c>
    </row>
    <row r="135" spans="1:10" s="1389" customFormat="1" ht="15" x14ac:dyDescent="0.2">
      <c r="A135" s="581" t="s">
        <v>227</v>
      </c>
      <c r="B135" s="616"/>
      <c r="C135" s="612"/>
      <c r="D135" s="612"/>
      <c r="E135" s="1009">
        <v>0</v>
      </c>
      <c r="F135" s="614">
        <f>F83+F85+F87</f>
        <v>499</v>
      </c>
      <c r="G135" s="614">
        <f>G83+G85+G87</f>
        <v>457</v>
      </c>
      <c r="H135" s="306">
        <v>0</v>
      </c>
    </row>
    <row r="136" spans="1:10" s="1389" customFormat="1" ht="15" x14ac:dyDescent="0.2">
      <c r="A136" s="581" t="s">
        <v>1291</v>
      </c>
      <c r="B136" s="616"/>
      <c r="C136" s="612"/>
      <c r="D136" s="612"/>
      <c r="E136" s="1009">
        <v>0</v>
      </c>
      <c r="F136" s="618">
        <v>0</v>
      </c>
      <c r="G136" s="618">
        <v>0</v>
      </c>
      <c r="H136" s="306">
        <v>0</v>
      </c>
    </row>
    <row r="137" spans="1:10" s="58" customFormat="1" ht="47.25" customHeight="1" thickBot="1" x14ac:dyDescent="0.4">
      <c r="A137" s="2710" t="s">
        <v>50</v>
      </c>
      <c r="B137" s="2715"/>
      <c r="C137" s="2715"/>
      <c r="D137" s="2715"/>
      <c r="E137" s="619">
        <f>E129+E104</f>
        <v>96295</v>
      </c>
      <c r="F137" s="619">
        <f>F129+F104</f>
        <v>99580</v>
      </c>
      <c r="G137" s="619">
        <f>G129+G104</f>
        <v>92008</v>
      </c>
      <c r="H137" s="802">
        <f>(G137/F137)*100</f>
        <v>92.396063466559553</v>
      </c>
      <c r="I137" s="115"/>
    </row>
    <row r="138" spans="1:10" s="670" customFormat="1" ht="13.5" thickTop="1" x14ac:dyDescent="0.2">
      <c r="A138" s="669"/>
      <c r="B138" s="655"/>
      <c r="C138" s="1024"/>
      <c r="E138" s="987"/>
      <c r="F138" s="1025"/>
      <c r="G138" s="1026"/>
      <c r="H138" s="1027"/>
      <c r="I138" s="987"/>
      <c r="J138" s="987"/>
    </row>
  </sheetData>
  <mergeCells count="2">
    <mergeCell ref="D101:D102"/>
    <mergeCell ref="A137:D137"/>
  </mergeCells>
  <phoneticPr fontId="0" type="noConversion"/>
  <pageMargins left="0.98425196850393704" right="0.98425196850393704" top="0.98425196850393704" bottom="0.98425196850393704" header="0.51181102362204722" footer="0.51181102362204722"/>
  <pageSetup paperSize="9" scale="70" firstPageNumber="40" orientation="portrait" useFirstPageNumber="1" r:id="rId1"/>
  <headerFooter alignWithMargins="0">
    <oddFooter xml:space="preserve">&amp;L&amp;"Arial,Kurzíva"Zastupitelstvo Olomouckého kraje 28. 6. 2013
6.- Závěrečný  účet Olomuckého kraje za rok 2012
Příloha č. 3: Plnění rozpočtu výdajů Olomouckého kraje k 31.12.2012&amp;R&amp;"Arial,Kurzíva"Strana &amp;P (Celkem 484)
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 enableFormatConditionsCalculation="0">
    <tabColor indexed="42"/>
  </sheetPr>
  <dimension ref="A1:O46"/>
  <sheetViews>
    <sheetView showGridLines="0" topLeftCell="A21" zoomScaleNormal="100" workbookViewId="0">
      <selection activeCell="G42" sqref="G42"/>
    </sheetView>
  </sheetViews>
  <sheetFormatPr defaultRowHeight="12.75" x14ac:dyDescent="0.2"/>
  <cols>
    <col min="1" max="1" width="5" style="75" customWidth="1"/>
    <col min="2" max="2" width="4.7109375" style="163" customWidth="1"/>
    <col min="3" max="3" width="6.28515625" style="136" hidden="1" customWidth="1"/>
    <col min="4" max="4" width="6.7109375" style="146" customWidth="1"/>
    <col min="5" max="5" width="47.140625" style="120" customWidth="1"/>
    <col min="6" max="6" width="12.5703125" style="121" customWidth="1"/>
    <col min="7" max="7" width="14" style="121" customWidth="1"/>
    <col min="8" max="8" width="13.7109375" style="121" customWidth="1"/>
    <col min="9" max="9" width="9.42578125" style="202" customWidth="1"/>
    <col min="10" max="16384" width="9.140625" style="120"/>
  </cols>
  <sheetData>
    <row r="1" spans="1:9" s="136" customFormat="1" ht="18.75" thickBot="1" x14ac:dyDescent="0.3">
      <c r="A1" s="76" t="s">
        <v>576</v>
      </c>
      <c r="B1" s="133"/>
      <c r="C1" s="134"/>
      <c r="D1" s="159"/>
      <c r="E1" s="162"/>
      <c r="F1" s="152"/>
      <c r="G1" s="79" t="s">
        <v>577</v>
      </c>
      <c r="H1" s="135"/>
      <c r="I1" s="201"/>
    </row>
    <row r="3" spans="1:9" ht="12.75" customHeight="1" x14ac:dyDescent="0.25">
      <c r="A3" s="67" t="s">
        <v>404</v>
      </c>
      <c r="B3" s="28"/>
      <c r="C3" s="143" t="s">
        <v>233</v>
      </c>
      <c r="D3" s="143" t="s">
        <v>233</v>
      </c>
      <c r="E3" s="14"/>
      <c r="F3" s="16"/>
      <c r="G3" s="17"/>
      <c r="H3" s="18"/>
    </row>
    <row r="4" spans="1:9" ht="12.75" customHeight="1" x14ac:dyDescent="0.25">
      <c r="A4" s="6"/>
      <c r="B4" s="28"/>
      <c r="C4" s="143" t="s">
        <v>578</v>
      </c>
      <c r="D4" s="143" t="s">
        <v>578</v>
      </c>
      <c r="E4" s="135"/>
      <c r="F4" s="16"/>
      <c r="G4" s="17"/>
      <c r="H4" s="18"/>
    </row>
    <row r="8" spans="1:9" ht="13.5" thickBot="1" x14ac:dyDescent="0.25">
      <c r="A8" s="70" t="s">
        <v>1142</v>
      </c>
      <c r="B8" s="1"/>
      <c r="C8" s="120"/>
      <c r="I8" s="202" t="s">
        <v>179</v>
      </c>
    </row>
    <row r="9" spans="1:9" s="24" customFormat="1" ht="20.25" customHeight="1" thickTop="1" thickBot="1" x14ac:dyDescent="0.25">
      <c r="A9" s="21" t="s">
        <v>180</v>
      </c>
      <c r="B9" s="23" t="s">
        <v>181</v>
      </c>
      <c r="C9" s="173" t="s">
        <v>783</v>
      </c>
      <c r="D9" s="173" t="s">
        <v>783</v>
      </c>
      <c r="E9" s="46" t="s">
        <v>182</v>
      </c>
      <c r="F9" s="47" t="s">
        <v>183</v>
      </c>
      <c r="G9" s="46" t="s">
        <v>985</v>
      </c>
      <c r="H9" s="46" t="s">
        <v>986</v>
      </c>
      <c r="I9" s="196" t="s">
        <v>987</v>
      </c>
    </row>
    <row r="10" spans="1:9" s="323" customFormat="1" ht="13.5" thickTop="1" thickBot="1" x14ac:dyDescent="0.25">
      <c r="A10" s="319">
        <v>1</v>
      </c>
      <c r="B10" s="320">
        <v>2</v>
      </c>
      <c r="C10" s="320">
        <v>3</v>
      </c>
      <c r="D10" s="320">
        <v>4</v>
      </c>
      <c r="E10" s="320">
        <v>5</v>
      </c>
      <c r="F10" s="321">
        <v>6</v>
      </c>
      <c r="G10" s="321">
        <v>7</v>
      </c>
      <c r="H10" s="322">
        <v>8</v>
      </c>
      <c r="I10" s="359" t="s">
        <v>848</v>
      </c>
    </row>
    <row r="11" spans="1:9" ht="15.75" customHeight="1" thickTop="1" x14ac:dyDescent="0.25">
      <c r="A11" s="222">
        <v>3636</v>
      </c>
      <c r="B11" s="241">
        <v>5212</v>
      </c>
      <c r="C11" s="155">
        <v>5213</v>
      </c>
      <c r="D11" s="242"/>
      <c r="E11" s="317" t="s">
        <v>981</v>
      </c>
      <c r="F11" s="38">
        <v>186</v>
      </c>
      <c r="G11" s="88">
        <v>2</v>
      </c>
      <c r="H11" s="233">
        <v>2</v>
      </c>
      <c r="I11" s="206">
        <f>(H11/G11)*100</f>
        <v>100</v>
      </c>
    </row>
    <row r="12" spans="1:9" ht="15.75" thickBot="1" x14ac:dyDescent="0.3">
      <c r="A12" s="50">
        <v>3636</v>
      </c>
      <c r="B12" s="31">
        <v>5213</v>
      </c>
      <c r="C12" s="154"/>
      <c r="D12" s="156"/>
      <c r="E12" s="87" t="s">
        <v>810</v>
      </c>
      <c r="F12" s="39">
        <v>153</v>
      </c>
      <c r="G12" s="71">
        <v>13</v>
      </c>
      <c r="H12" s="94">
        <v>13</v>
      </c>
      <c r="I12" s="198">
        <v>0</v>
      </c>
    </row>
    <row r="13" spans="1:9" ht="18" customHeight="1" thickTop="1" thickBot="1" x14ac:dyDescent="0.3">
      <c r="A13" s="2721" t="s">
        <v>268</v>
      </c>
      <c r="B13" s="2722"/>
      <c r="C13" s="2722"/>
      <c r="D13" s="2722"/>
      <c r="E13" s="2722"/>
      <c r="F13" s="64">
        <f>F11+F12</f>
        <v>339</v>
      </c>
      <c r="G13" s="64">
        <f>G11+G12</f>
        <v>15</v>
      </c>
      <c r="H13" s="64">
        <f>H11+H12</f>
        <v>15</v>
      </c>
      <c r="I13" s="207">
        <f>(H13/G13)*100</f>
        <v>100</v>
      </c>
    </row>
    <row r="14" spans="1:9" ht="15.75" thickTop="1" x14ac:dyDescent="0.25">
      <c r="A14" s="34">
        <v>3636</v>
      </c>
      <c r="B14" s="5">
        <v>6312</v>
      </c>
      <c r="C14" s="19"/>
      <c r="D14" s="129"/>
      <c r="E14" s="62" t="s">
        <v>811</v>
      </c>
      <c r="F14" s="310">
        <v>423</v>
      </c>
      <c r="G14" s="88">
        <v>96</v>
      </c>
      <c r="H14" s="86">
        <v>96</v>
      </c>
      <c r="I14" s="190">
        <f>(H14/G14)*100</f>
        <v>100</v>
      </c>
    </row>
    <row r="15" spans="1:9" ht="15.75" thickBot="1" x14ac:dyDescent="0.3">
      <c r="A15" s="180">
        <v>3636</v>
      </c>
      <c r="B15" s="19">
        <v>6313</v>
      </c>
      <c r="C15" s="19"/>
      <c r="D15" s="122"/>
      <c r="E15" s="72" t="s">
        <v>1315</v>
      </c>
      <c r="F15" s="165">
        <v>271</v>
      </c>
      <c r="G15" s="71">
        <v>387</v>
      </c>
      <c r="H15" s="86">
        <v>387</v>
      </c>
      <c r="I15" s="190">
        <f>(H15/G15)*100</f>
        <v>100</v>
      </c>
    </row>
    <row r="16" spans="1:9" ht="18" customHeight="1" thickTop="1" thickBot="1" x14ac:dyDescent="0.3">
      <c r="A16" s="2721" t="s">
        <v>267</v>
      </c>
      <c r="B16" s="2722"/>
      <c r="C16" s="2722"/>
      <c r="D16" s="2722"/>
      <c r="E16" s="2722"/>
      <c r="F16" s="64">
        <f>F14+F15</f>
        <v>694</v>
      </c>
      <c r="G16" s="64">
        <f>G14+G15</f>
        <v>483</v>
      </c>
      <c r="H16" s="64">
        <f>H14+H15</f>
        <v>483</v>
      </c>
      <c r="I16" s="207">
        <v>0</v>
      </c>
    </row>
    <row r="17" spans="1:9" ht="18" customHeight="1" thickTop="1" thickBot="1" x14ac:dyDescent="0.3">
      <c r="A17" s="2721" t="s">
        <v>794</v>
      </c>
      <c r="B17" s="2722"/>
      <c r="C17" s="2722"/>
      <c r="D17" s="2722"/>
      <c r="E17" s="2722"/>
      <c r="F17" s="111">
        <f>F13+F16</f>
        <v>1033</v>
      </c>
      <c r="G17" s="111">
        <f>G13+G16</f>
        <v>498</v>
      </c>
      <c r="H17" s="111">
        <f>H13+H16</f>
        <v>498</v>
      </c>
      <c r="I17" s="208">
        <f>(H17/G17)*100</f>
        <v>100</v>
      </c>
    </row>
    <row r="18" spans="1:9" ht="13.5" thickTop="1" x14ac:dyDescent="0.2"/>
    <row r="20" spans="1:9" ht="13.5" thickBot="1" x14ac:dyDescent="0.25">
      <c r="A20" s="70" t="s">
        <v>792</v>
      </c>
      <c r="B20" s="1"/>
      <c r="C20" s="120"/>
      <c r="I20" s="202" t="s">
        <v>179</v>
      </c>
    </row>
    <row r="21" spans="1:9" s="24" customFormat="1" ht="20.25" customHeight="1" thickTop="1" thickBot="1" x14ac:dyDescent="0.25">
      <c r="A21" s="21" t="s">
        <v>180</v>
      </c>
      <c r="B21" s="23" t="s">
        <v>181</v>
      </c>
      <c r="C21" s="169" t="s">
        <v>783</v>
      </c>
      <c r="D21" s="173" t="s">
        <v>783</v>
      </c>
      <c r="E21" s="46" t="s">
        <v>182</v>
      </c>
      <c r="F21" s="46" t="s">
        <v>183</v>
      </c>
      <c r="G21" s="46" t="s">
        <v>985</v>
      </c>
      <c r="H21" s="46" t="s">
        <v>986</v>
      </c>
      <c r="I21" s="197" t="s">
        <v>987</v>
      </c>
    </row>
    <row r="22" spans="1:9" s="323" customFormat="1" ht="13.5" thickTop="1" thickBot="1" x14ac:dyDescent="0.25">
      <c r="A22" s="319">
        <v>1</v>
      </c>
      <c r="B22" s="320">
        <v>2</v>
      </c>
      <c r="C22" s="320">
        <v>3</v>
      </c>
      <c r="D22" s="320">
        <v>4</v>
      </c>
      <c r="E22" s="320">
        <v>5</v>
      </c>
      <c r="F22" s="321">
        <v>6</v>
      </c>
      <c r="G22" s="321">
        <v>7</v>
      </c>
      <c r="H22" s="322">
        <v>8</v>
      </c>
      <c r="I22" s="359" t="s">
        <v>848</v>
      </c>
    </row>
    <row r="23" spans="1:9" s="164" customFormat="1" ht="15" customHeight="1" thickTop="1" thickBot="1" x14ac:dyDescent="0.3">
      <c r="A23" s="34">
        <v>3419</v>
      </c>
      <c r="B23" s="116">
        <v>6322</v>
      </c>
      <c r="C23" s="157"/>
      <c r="D23" s="158"/>
      <c r="E23" s="72" t="s">
        <v>1316</v>
      </c>
      <c r="F23" s="48">
        <v>690</v>
      </c>
      <c r="G23" s="71">
        <v>0</v>
      </c>
      <c r="H23" s="71">
        <v>0</v>
      </c>
      <c r="I23" s="199">
        <v>0</v>
      </c>
    </row>
    <row r="24" spans="1:9" ht="18" customHeight="1" thickTop="1" thickBot="1" x14ac:dyDescent="0.3">
      <c r="A24" s="2721" t="s">
        <v>267</v>
      </c>
      <c r="B24" s="2722"/>
      <c r="C24" s="2722"/>
      <c r="D24" s="2722"/>
      <c r="E24" s="2722"/>
      <c r="F24" s="64">
        <f t="shared" ref="F24:I25" si="0">F23</f>
        <v>690</v>
      </c>
      <c r="G24" s="64">
        <f t="shared" si="0"/>
        <v>0</v>
      </c>
      <c r="H24" s="64">
        <f t="shared" si="0"/>
        <v>0</v>
      </c>
      <c r="I24" s="380">
        <f t="shared" si="0"/>
        <v>0</v>
      </c>
    </row>
    <row r="25" spans="1:9" ht="18" customHeight="1" thickTop="1" thickBot="1" x14ac:dyDescent="0.3">
      <c r="A25" s="2725" t="s">
        <v>793</v>
      </c>
      <c r="B25" s="2726"/>
      <c r="C25" s="2726"/>
      <c r="D25" s="2726"/>
      <c r="E25" s="2726"/>
      <c r="F25" s="112">
        <f t="shared" si="0"/>
        <v>690</v>
      </c>
      <c r="G25" s="112">
        <f t="shared" si="0"/>
        <v>0</v>
      </c>
      <c r="H25" s="112">
        <f t="shared" si="0"/>
        <v>0</v>
      </c>
      <c r="I25" s="381">
        <f t="shared" si="0"/>
        <v>0</v>
      </c>
    </row>
    <row r="26" spans="1:9" ht="13.5" thickTop="1" x14ac:dyDescent="0.2"/>
    <row r="28" spans="1:9" ht="13.5" thickBot="1" x14ac:dyDescent="0.25">
      <c r="A28" s="243" t="s">
        <v>1143</v>
      </c>
      <c r="B28" s="1"/>
      <c r="C28" s="120"/>
      <c r="I28" s="202" t="s">
        <v>179</v>
      </c>
    </row>
    <row r="29" spans="1:9" s="24" customFormat="1" ht="20.25" customHeight="1" thickTop="1" thickBot="1" x14ac:dyDescent="0.25">
      <c r="A29" s="21" t="s">
        <v>180</v>
      </c>
      <c r="B29" s="23" t="s">
        <v>181</v>
      </c>
      <c r="C29" s="169" t="s">
        <v>783</v>
      </c>
      <c r="D29" s="173" t="s">
        <v>783</v>
      </c>
      <c r="E29" s="46" t="s">
        <v>182</v>
      </c>
      <c r="F29" s="46" t="s">
        <v>183</v>
      </c>
      <c r="G29" s="46" t="s">
        <v>985</v>
      </c>
      <c r="H29" s="46" t="s">
        <v>986</v>
      </c>
      <c r="I29" s="197" t="s">
        <v>987</v>
      </c>
    </row>
    <row r="30" spans="1:9" s="323" customFormat="1" ht="13.5" thickTop="1" thickBot="1" x14ac:dyDescent="0.25">
      <c r="A30" s="319">
        <v>1</v>
      </c>
      <c r="B30" s="320">
        <v>2</v>
      </c>
      <c r="C30" s="320">
        <v>3</v>
      </c>
      <c r="D30" s="320">
        <v>4</v>
      </c>
      <c r="E30" s="320">
        <v>5</v>
      </c>
      <c r="F30" s="321">
        <v>6</v>
      </c>
      <c r="G30" s="321">
        <v>7</v>
      </c>
      <c r="H30" s="322">
        <v>8</v>
      </c>
      <c r="I30" s="359" t="s">
        <v>848</v>
      </c>
    </row>
    <row r="31" spans="1:9" ht="16.5" thickTop="1" thickBot="1" x14ac:dyDescent="0.3">
      <c r="A31" s="34">
        <v>3636</v>
      </c>
      <c r="B31" s="116">
        <v>5222</v>
      </c>
      <c r="C31" s="244"/>
      <c r="D31" s="245"/>
      <c r="E31" s="72" t="s">
        <v>241</v>
      </c>
      <c r="F31" s="165">
        <v>277</v>
      </c>
      <c r="G31" s="84">
        <v>277</v>
      </c>
      <c r="H31" s="84">
        <v>277</v>
      </c>
      <c r="I31" s="199">
        <f>(H31/G31)*100</f>
        <v>100</v>
      </c>
    </row>
    <row r="32" spans="1:9" ht="18" customHeight="1" thickTop="1" thickBot="1" x14ac:dyDescent="0.3">
      <c r="A32" s="2721" t="s">
        <v>268</v>
      </c>
      <c r="B32" s="2722"/>
      <c r="C32" s="2722"/>
      <c r="D32" s="2722"/>
      <c r="E32" s="2722"/>
      <c r="F32" s="111">
        <f t="shared" ref="F32:H33" si="1">F31</f>
        <v>277</v>
      </c>
      <c r="G32" s="111">
        <f t="shared" si="1"/>
        <v>277</v>
      </c>
      <c r="H32" s="111">
        <f t="shared" si="1"/>
        <v>277</v>
      </c>
      <c r="I32" s="208">
        <f>(H32/G32)*100</f>
        <v>100</v>
      </c>
    </row>
    <row r="33" spans="1:15" ht="18" customHeight="1" thickTop="1" thickBot="1" x14ac:dyDescent="0.3">
      <c r="A33" s="2721" t="s">
        <v>689</v>
      </c>
      <c r="B33" s="2722"/>
      <c r="C33" s="2722"/>
      <c r="D33" s="2722"/>
      <c r="E33" s="2722"/>
      <c r="F33" s="111">
        <f t="shared" si="1"/>
        <v>277</v>
      </c>
      <c r="G33" s="111">
        <f t="shared" si="1"/>
        <v>277</v>
      </c>
      <c r="H33" s="111">
        <f t="shared" si="1"/>
        <v>277</v>
      </c>
      <c r="I33" s="208">
        <f>(H33/G33)*100</f>
        <v>100</v>
      </c>
    </row>
    <row r="34" spans="1:15" ht="13.5" thickTop="1" x14ac:dyDescent="0.2"/>
    <row r="36" spans="1:15" customFormat="1" ht="15.75" x14ac:dyDescent="0.25">
      <c r="A36" s="2723" t="s">
        <v>1135</v>
      </c>
      <c r="B36" s="2724"/>
      <c r="C36" s="2724"/>
      <c r="D36" s="2724"/>
      <c r="E36" s="2724"/>
      <c r="F36" s="304"/>
      <c r="G36" s="304"/>
      <c r="H36" s="305"/>
    </row>
    <row r="37" spans="1:15" customFormat="1" ht="15.75" x14ac:dyDescent="0.25">
      <c r="A37" s="2724"/>
      <c r="B37" s="2724"/>
      <c r="C37" s="2724"/>
      <c r="D37" s="2724"/>
      <c r="E37" s="2724"/>
      <c r="F37" s="304">
        <f>SUM(F38:F41)</f>
        <v>2000</v>
      </c>
      <c r="G37" s="304">
        <f>SUM(G38:G41)</f>
        <v>775</v>
      </c>
      <c r="H37" s="304">
        <f>SUM(H38:H41)</f>
        <v>775</v>
      </c>
      <c r="I37" s="209">
        <f>H37/G37*100</f>
        <v>100</v>
      </c>
    </row>
    <row r="38" spans="1:15" s="104" customFormat="1" ht="15" x14ac:dyDescent="0.2">
      <c r="A38" s="260" t="s">
        <v>288</v>
      </c>
      <c r="B38" s="110"/>
      <c r="D38" s="160"/>
      <c r="F38" s="261">
        <f>F32+F13</f>
        <v>616</v>
      </c>
      <c r="G38" s="261">
        <f>G32+G13</f>
        <v>292</v>
      </c>
      <c r="H38" s="261">
        <f>H32+H13</f>
        <v>292</v>
      </c>
      <c r="I38" s="215">
        <f>H38/G38*100</f>
        <v>100</v>
      </c>
      <c r="L38" s="246"/>
      <c r="M38" s="246"/>
      <c r="N38" s="246"/>
      <c r="O38" s="247"/>
    </row>
    <row r="39" spans="1:15" s="104" customFormat="1" ht="15" x14ac:dyDescent="0.2">
      <c r="A39" s="260" t="s">
        <v>289</v>
      </c>
      <c r="B39" s="110"/>
      <c r="D39" s="160"/>
      <c r="F39" s="261">
        <f>F24+F16</f>
        <v>1384</v>
      </c>
      <c r="G39" s="261">
        <f>G24+G16</f>
        <v>483</v>
      </c>
      <c r="H39" s="261">
        <f>H24+H16</f>
        <v>483</v>
      </c>
      <c r="I39" s="215">
        <f>H39/G39*100</f>
        <v>100</v>
      </c>
      <c r="L39" s="246"/>
      <c r="M39" s="246"/>
      <c r="N39" s="246"/>
      <c r="O39" s="247"/>
    </row>
    <row r="40" spans="1:15" s="104" customFormat="1" ht="15" x14ac:dyDescent="0.2">
      <c r="A40" s="260" t="s">
        <v>227</v>
      </c>
      <c r="B40" s="110"/>
      <c r="D40" s="160"/>
      <c r="F40" s="261">
        <v>0</v>
      </c>
      <c r="G40" s="261">
        <v>0</v>
      </c>
      <c r="H40" s="261">
        <v>0</v>
      </c>
      <c r="I40" s="215">
        <v>0</v>
      </c>
      <c r="L40" s="246"/>
      <c r="M40" s="246"/>
      <c r="N40" s="246"/>
      <c r="O40" s="247"/>
    </row>
    <row r="41" spans="1:15" s="104" customFormat="1" ht="15" x14ac:dyDescent="0.2">
      <c r="A41" s="260" t="s">
        <v>1291</v>
      </c>
      <c r="B41" s="110"/>
      <c r="D41" s="160"/>
      <c r="F41" s="261">
        <v>0</v>
      </c>
      <c r="G41" s="261">
        <v>0</v>
      </c>
      <c r="H41" s="261">
        <v>0</v>
      </c>
      <c r="I41" s="215">
        <v>0</v>
      </c>
      <c r="L41" s="246"/>
      <c r="M41" s="246"/>
      <c r="N41" s="246"/>
      <c r="O41" s="247"/>
    </row>
    <row r="42" spans="1:15" s="104" customFormat="1" ht="15.75" x14ac:dyDescent="0.25">
      <c r="A42" s="110"/>
      <c r="B42" s="110"/>
      <c r="D42" s="160"/>
      <c r="F42" s="100"/>
      <c r="G42" s="100"/>
      <c r="H42" s="100"/>
      <c r="I42" s="209"/>
      <c r="L42" s="246"/>
      <c r="M42" s="246"/>
      <c r="N42" s="246"/>
      <c r="O42" s="247"/>
    </row>
    <row r="44" spans="1:15" s="58" customFormat="1" ht="31.5" customHeight="1" x14ac:dyDescent="0.35">
      <c r="A44" s="2718" t="s">
        <v>174</v>
      </c>
      <c r="B44" s="2719"/>
      <c r="C44" s="2719"/>
      <c r="D44" s="2719"/>
      <c r="E44" s="2719"/>
      <c r="F44" s="2720">
        <f>F38+F39</f>
        <v>2000</v>
      </c>
      <c r="G44" s="2720">
        <f>G38+G39</f>
        <v>775</v>
      </c>
      <c r="H44" s="2720">
        <f>H38+H39</f>
        <v>775</v>
      </c>
      <c r="I44" s="2716">
        <f>(H44/G44)*100</f>
        <v>100</v>
      </c>
    </row>
    <row r="45" spans="1:15" ht="13.5" thickBot="1" x14ac:dyDescent="0.25">
      <c r="A45" s="2717"/>
      <c r="B45" s="2717"/>
      <c r="C45" s="2717"/>
      <c r="D45" s="2717"/>
      <c r="E45" s="2717"/>
      <c r="F45" s="2717"/>
      <c r="G45" s="2717"/>
      <c r="H45" s="2717"/>
      <c r="I45" s="2717"/>
    </row>
    <row r="46" spans="1:15" ht="13.5" thickTop="1" x14ac:dyDescent="0.2"/>
  </sheetData>
  <mergeCells count="13">
    <mergeCell ref="A24:E24"/>
    <mergeCell ref="A13:E13"/>
    <mergeCell ref="A16:E16"/>
    <mergeCell ref="A17:E17"/>
    <mergeCell ref="A36:E37"/>
    <mergeCell ref="A25:E25"/>
    <mergeCell ref="A32:E32"/>
    <mergeCell ref="A33:E33"/>
    <mergeCell ref="I44:I45"/>
    <mergeCell ref="A44:E45"/>
    <mergeCell ref="G44:G45"/>
    <mergeCell ref="F44:F45"/>
    <mergeCell ref="H44:H45"/>
  </mergeCells>
  <phoneticPr fontId="33" type="noConversion"/>
  <pageMargins left="0.98425196850393704" right="0.98425196850393704" top="0.98425196850393704" bottom="0.98425196850393704" header="0.51181102362204722" footer="0.51181102362204722"/>
  <pageSetup paperSize="9" scale="70" firstPageNumber="41" orientation="portrait" useFirstPageNumber="1" r:id="rId1"/>
  <headerFooter alignWithMargins="0">
    <oddFooter xml:space="preserve">&amp;L&amp;"Arial,Kurzíva"Zastupitelstvo Olomouckého kraje 21.4.2008
5. - Rozpočet Olomouckého kraje 2007- závěrečný účet
Příloha č. 3:Plnění rozpočtu výdajů Olomouckého kraje k 31.12.2007
&amp;R&amp;"Arial,Kurzíva"Strana &amp;P (celkem 414)
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 enableFormatConditionsCalculation="0">
    <tabColor indexed="33"/>
  </sheetPr>
  <dimension ref="A1:J48"/>
  <sheetViews>
    <sheetView showGridLines="0" zoomScaleNormal="100" workbookViewId="0">
      <selection activeCell="A5" sqref="A5"/>
    </sheetView>
  </sheetViews>
  <sheetFormatPr defaultRowHeight="12.75" x14ac:dyDescent="0.2"/>
  <cols>
    <col min="1" max="1" width="6.140625" style="1" customWidth="1"/>
    <col min="2" max="2" width="5.42578125" style="120" customWidth="1"/>
    <col min="3" max="3" width="6.7109375" style="146" customWidth="1"/>
    <col min="4" max="4" width="47.85546875" style="120" customWidth="1"/>
    <col min="5" max="5" width="12.140625" style="121" customWidth="1"/>
    <col min="6" max="6" width="12.7109375" style="121" customWidth="1"/>
    <col min="7" max="7" width="11.5703125" style="121" customWidth="1"/>
    <col min="8" max="8" width="8.7109375" style="202" customWidth="1"/>
    <col min="9" max="10" width="9.140625" style="121"/>
    <col min="11" max="16384" width="9.140625" style="120"/>
  </cols>
  <sheetData>
    <row r="1" spans="1:10" ht="18.75" thickBot="1" x14ac:dyDescent="0.3">
      <c r="A1" s="2" t="s">
        <v>139</v>
      </c>
      <c r="B1" s="26"/>
      <c r="C1" s="141"/>
      <c r="D1" s="9"/>
      <c r="E1" s="152"/>
      <c r="F1" s="11" t="s">
        <v>140</v>
      </c>
      <c r="I1" s="18"/>
    </row>
    <row r="2" spans="1:10" ht="12.75" customHeight="1" x14ac:dyDescent="0.25">
      <c r="A2" s="6"/>
      <c r="B2" s="28"/>
      <c r="C2" s="142"/>
      <c r="D2" s="10"/>
      <c r="E2" s="137"/>
      <c r="F2" s="137"/>
      <c r="G2" s="16"/>
      <c r="H2" s="194"/>
      <c r="I2" s="18"/>
    </row>
    <row r="3" spans="1:10" ht="12.75" customHeight="1" x14ac:dyDescent="0.25">
      <c r="A3" s="67" t="s">
        <v>404</v>
      </c>
      <c r="B3" s="28"/>
      <c r="C3" s="143" t="s">
        <v>233</v>
      </c>
      <c r="D3" s="14"/>
      <c r="E3" s="137"/>
      <c r="F3" s="16"/>
      <c r="G3" s="17"/>
      <c r="H3" s="195"/>
      <c r="I3" s="120"/>
      <c r="J3" s="120"/>
    </row>
    <row r="4" spans="1:10" ht="12.75" customHeight="1" x14ac:dyDescent="0.25">
      <c r="A4" s="6"/>
      <c r="B4" s="28"/>
      <c r="C4" s="143" t="s">
        <v>234</v>
      </c>
      <c r="D4" s="135"/>
      <c r="E4" s="138"/>
      <c r="F4" s="16"/>
      <c r="G4" s="17"/>
      <c r="H4" s="195"/>
      <c r="I4" s="120"/>
      <c r="J4" s="120"/>
    </row>
    <row r="5" spans="1:10" ht="12.75" customHeight="1" x14ac:dyDescent="0.25">
      <c r="A5" s="6"/>
      <c r="B5" s="28"/>
      <c r="C5" s="142"/>
      <c r="D5" s="10"/>
      <c r="E5" s="137"/>
      <c r="F5" s="137"/>
      <c r="G5" s="16"/>
      <c r="H5" s="194"/>
      <c r="I5" s="18"/>
    </row>
    <row r="6" spans="1:10" ht="18" x14ac:dyDescent="0.25">
      <c r="A6" s="33" t="s">
        <v>988</v>
      </c>
      <c r="B6" s="28"/>
      <c r="C6" s="142"/>
      <c r="D6" s="10"/>
      <c r="E6" s="137"/>
      <c r="F6" s="137"/>
      <c r="G6" s="16"/>
      <c r="H6" s="194"/>
      <c r="I6" s="18"/>
    </row>
    <row r="7" spans="1:10" ht="13.5" thickBot="1" x14ac:dyDescent="0.25">
      <c r="A7" s="25"/>
      <c r="B7" s="25"/>
      <c r="C7" s="144"/>
      <c r="D7" s="3"/>
      <c r="G7" s="140"/>
      <c r="H7" s="202" t="s">
        <v>179</v>
      </c>
    </row>
    <row r="8" spans="1:10" s="24" customFormat="1" ht="20.25" customHeight="1" thickTop="1" thickBot="1" x14ac:dyDescent="0.25">
      <c r="A8" s="21" t="s">
        <v>180</v>
      </c>
      <c r="B8" s="22" t="s">
        <v>181</v>
      </c>
      <c r="C8" s="173" t="s">
        <v>783</v>
      </c>
      <c r="D8" s="46" t="s">
        <v>182</v>
      </c>
      <c r="E8" s="46" t="s">
        <v>183</v>
      </c>
      <c r="F8" s="46" t="s">
        <v>985</v>
      </c>
      <c r="G8" s="46" t="s">
        <v>986</v>
      </c>
      <c r="H8" s="197" t="s">
        <v>987</v>
      </c>
      <c r="I8" s="54"/>
      <c r="J8" s="54"/>
    </row>
    <row r="9" spans="1:10" ht="15.75" thickTop="1" x14ac:dyDescent="0.25">
      <c r="A9" s="34">
        <v>6172</v>
      </c>
      <c r="B9" s="19">
        <v>5163</v>
      </c>
      <c r="C9" s="122"/>
      <c r="D9" s="128" t="s">
        <v>997</v>
      </c>
      <c r="E9" s="29"/>
      <c r="F9" s="148">
        <v>4</v>
      </c>
      <c r="G9" s="149">
        <v>3</v>
      </c>
      <c r="H9" s="190">
        <f>(G9/F9)*100</f>
        <v>75</v>
      </c>
    </row>
    <row r="10" spans="1:10" ht="18" x14ac:dyDescent="0.25">
      <c r="A10" s="34"/>
      <c r="B10" s="19"/>
      <c r="C10" s="122"/>
      <c r="D10" s="83" t="s">
        <v>428</v>
      </c>
      <c r="E10" s="29"/>
      <c r="F10" s="130"/>
      <c r="G10" s="150"/>
      <c r="H10" s="190"/>
    </row>
    <row r="11" spans="1:10" ht="15.75" thickBot="1" x14ac:dyDescent="0.3">
      <c r="A11" s="49"/>
      <c r="B11" s="20"/>
      <c r="C11" s="127"/>
      <c r="D11" s="32" t="s">
        <v>141</v>
      </c>
      <c r="E11" s="30"/>
      <c r="F11" s="97">
        <v>4</v>
      </c>
      <c r="G11" s="151"/>
      <c r="H11" s="193"/>
    </row>
    <row r="12" spans="1:10" s="8" customFormat="1" ht="35.25" customHeight="1" thickTop="1" thickBot="1" x14ac:dyDescent="0.3">
      <c r="A12" s="35" t="s">
        <v>268</v>
      </c>
      <c r="B12" s="51"/>
      <c r="C12" s="145"/>
      <c r="D12" s="36"/>
      <c r="E12" s="37">
        <v>0</v>
      </c>
      <c r="F12" s="37">
        <v>4</v>
      </c>
      <c r="G12" s="37">
        <v>3</v>
      </c>
      <c r="H12" s="191">
        <f>(G12/F12)*100</f>
        <v>75</v>
      </c>
    </row>
    <row r="13" spans="1:10" ht="13.5" thickTop="1" x14ac:dyDescent="0.2">
      <c r="A13" s="25"/>
      <c r="B13" s="27"/>
      <c r="I13" s="153"/>
      <c r="J13" s="120"/>
    </row>
    <row r="14" spans="1:10" x14ac:dyDescent="0.2">
      <c r="A14" s="25"/>
      <c r="B14" s="27"/>
      <c r="I14" s="153"/>
      <c r="J14" s="120"/>
    </row>
    <row r="15" spans="1:10" ht="15.75" x14ac:dyDescent="0.25">
      <c r="A15" s="161" t="s">
        <v>1280</v>
      </c>
      <c r="B15" s="27"/>
      <c r="I15" s="153"/>
      <c r="J15" s="120"/>
    </row>
    <row r="16" spans="1:10" x14ac:dyDescent="0.2">
      <c r="A16" s="25"/>
      <c r="B16" s="27"/>
      <c r="I16" s="153"/>
      <c r="J16" s="120"/>
    </row>
    <row r="17" spans="1:10" customFormat="1" ht="13.5" thickBot="1" x14ac:dyDescent="0.25">
      <c r="A17" s="70" t="s">
        <v>142</v>
      </c>
      <c r="B17" s="1"/>
      <c r="D17" s="146"/>
      <c r="F17" s="12"/>
      <c r="G17" s="12"/>
      <c r="H17" s="113" t="s">
        <v>179</v>
      </c>
      <c r="I17" s="12"/>
    </row>
    <row r="18" spans="1:10" s="24" customFormat="1" ht="20.25" customHeight="1" thickTop="1" thickBot="1" x14ac:dyDescent="0.25">
      <c r="A18" s="21" t="s">
        <v>180</v>
      </c>
      <c r="B18" s="22" t="s">
        <v>181</v>
      </c>
      <c r="C18" s="173" t="s">
        <v>783</v>
      </c>
      <c r="D18" s="46" t="s">
        <v>182</v>
      </c>
      <c r="E18" s="46" t="s">
        <v>183</v>
      </c>
      <c r="F18" s="46" t="s">
        <v>985</v>
      </c>
      <c r="G18" s="46" t="s">
        <v>986</v>
      </c>
      <c r="H18" s="197" t="s">
        <v>987</v>
      </c>
      <c r="I18" s="54"/>
      <c r="J18" s="54"/>
    </row>
    <row r="19" spans="1:10" ht="15.75" thickTop="1" x14ac:dyDescent="0.25">
      <c r="A19" s="34">
        <v>3314</v>
      </c>
      <c r="B19" s="19">
        <v>6119</v>
      </c>
      <c r="C19" s="122"/>
      <c r="D19" s="128" t="s">
        <v>143</v>
      </c>
      <c r="E19" s="29"/>
      <c r="F19" s="61">
        <v>346</v>
      </c>
      <c r="G19" s="59">
        <v>346</v>
      </c>
      <c r="H19" s="190">
        <f>(G19/F19)*100</f>
        <v>100</v>
      </c>
    </row>
    <row r="20" spans="1:10" ht="15" x14ac:dyDescent="0.25">
      <c r="A20" s="34"/>
      <c r="B20" s="19"/>
      <c r="C20" s="122"/>
      <c r="D20" s="83" t="s">
        <v>428</v>
      </c>
      <c r="E20" s="29"/>
      <c r="F20" s="125"/>
      <c r="G20" s="177"/>
      <c r="H20" s="190"/>
    </row>
    <row r="21" spans="1:10" ht="15.75" thickBot="1" x14ac:dyDescent="0.3">
      <c r="A21" s="49"/>
      <c r="B21" s="20"/>
      <c r="C21" s="127"/>
      <c r="D21" s="85" t="s">
        <v>144</v>
      </c>
      <c r="E21" s="30"/>
      <c r="F21" s="178">
        <v>346</v>
      </c>
      <c r="G21" s="179"/>
      <c r="H21" s="189"/>
    </row>
    <row r="22" spans="1:10" s="8" customFormat="1" ht="35.25" customHeight="1" thickTop="1" thickBot="1" x14ac:dyDescent="0.3">
      <c r="A22" s="35" t="s">
        <v>145</v>
      </c>
      <c r="B22" s="51"/>
      <c r="C22" s="145"/>
      <c r="D22" s="36"/>
      <c r="E22" s="37">
        <v>0</v>
      </c>
      <c r="F22" s="37">
        <v>346</v>
      </c>
      <c r="G22" s="37">
        <v>346</v>
      </c>
      <c r="H22" s="191">
        <f>(G22/F22)*100</f>
        <v>100</v>
      </c>
    </row>
    <row r="23" spans="1:10" ht="13.5" thickTop="1" x14ac:dyDescent="0.2">
      <c r="A23" s="25"/>
      <c r="B23" s="27"/>
      <c r="I23" s="153"/>
      <c r="J23" s="120"/>
    </row>
    <row r="24" spans="1:10" x14ac:dyDescent="0.2">
      <c r="A24" s="25"/>
      <c r="B24" s="27"/>
      <c r="I24" s="153"/>
      <c r="J24" s="120"/>
    </row>
    <row r="25" spans="1:10" customFormat="1" ht="13.5" thickBot="1" x14ac:dyDescent="0.25">
      <c r="A25" s="70" t="s">
        <v>1061</v>
      </c>
      <c r="B25" s="1"/>
      <c r="D25" s="146"/>
      <c r="F25" s="12"/>
      <c r="G25" s="12"/>
      <c r="H25" s="113" t="s">
        <v>179</v>
      </c>
      <c r="I25" s="12"/>
    </row>
    <row r="26" spans="1:10" s="24" customFormat="1" ht="20.25" customHeight="1" thickTop="1" thickBot="1" x14ac:dyDescent="0.25">
      <c r="A26" s="21" t="s">
        <v>180</v>
      </c>
      <c r="B26" s="22" t="s">
        <v>181</v>
      </c>
      <c r="C26" s="173" t="s">
        <v>783</v>
      </c>
      <c r="D26" s="46" t="s">
        <v>182</v>
      </c>
      <c r="E26" s="46" t="s">
        <v>183</v>
      </c>
      <c r="F26" s="46" t="s">
        <v>985</v>
      </c>
      <c r="G26" s="46" t="s">
        <v>986</v>
      </c>
      <c r="H26" s="197" t="s">
        <v>987</v>
      </c>
      <c r="I26" s="54"/>
      <c r="J26" s="54"/>
    </row>
    <row r="27" spans="1:10" ht="15.75" thickTop="1" x14ac:dyDescent="0.25">
      <c r="A27" s="34">
        <v>2140</v>
      </c>
      <c r="B27" s="19">
        <v>5169</v>
      </c>
      <c r="C27" s="122"/>
      <c r="D27" s="128" t="s">
        <v>955</v>
      </c>
      <c r="E27" s="29"/>
      <c r="F27" s="61">
        <v>251</v>
      </c>
      <c r="G27" s="59">
        <v>251</v>
      </c>
      <c r="H27" s="190">
        <f>(G27/F27)*100</f>
        <v>100</v>
      </c>
    </row>
    <row r="28" spans="1:10" ht="15" x14ac:dyDescent="0.25">
      <c r="A28" s="34"/>
      <c r="B28" s="19"/>
      <c r="C28" s="122"/>
      <c r="D28" s="83" t="s">
        <v>428</v>
      </c>
      <c r="E28" s="29"/>
      <c r="F28" s="125"/>
      <c r="G28" s="177"/>
      <c r="H28" s="190"/>
    </row>
    <row r="29" spans="1:10" ht="15.75" thickBot="1" x14ac:dyDescent="0.3">
      <c r="A29" s="49"/>
      <c r="B29" s="20"/>
      <c r="C29" s="127">
        <v>4</v>
      </c>
      <c r="D29" s="85" t="s">
        <v>1062</v>
      </c>
      <c r="E29" s="30"/>
      <c r="F29" s="178">
        <v>251</v>
      </c>
      <c r="G29" s="179">
        <v>251</v>
      </c>
      <c r="H29" s="189">
        <f>(G29/F29)*100</f>
        <v>100</v>
      </c>
    </row>
    <row r="30" spans="1:10" s="8" customFormat="1" ht="35.25" customHeight="1" thickTop="1" thickBot="1" x14ac:dyDescent="0.3">
      <c r="A30" s="35" t="s">
        <v>1281</v>
      </c>
      <c r="B30" s="51"/>
      <c r="C30" s="145"/>
      <c r="D30" s="36"/>
      <c r="E30" s="37">
        <v>0</v>
      </c>
      <c r="F30" s="37">
        <v>251</v>
      </c>
      <c r="G30" s="37">
        <v>251</v>
      </c>
      <c r="H30" s="191">
        <f>(G30/F30)*100</f>
        <v>100</v>
      </c>
    </row>
    <row r="31" spans="1:10" ht="13.5" thickTop="1" x14ac:dyDescent="0.2">
      <c r="A31" s="25"/>
      <c r="B31" s="27"/>
      <c r="I31" s="153"/>
      <c r="J31" s="120"/>
    </row>
    <row r="32" spans="1:10" x14ac:dyDescent="0.2">
      <c r="A32" s="25"/>
      <c r="B32" s="27"/>
      <c r="I32" s="153"/>
      <c r="J32" s="120"/>
    </row>
    <row r="33" spans="1:10" customFormat="1" ht="13.5" thickBot="1" x14ac:dyDescent="0.25">
      <c r="A33" s="70" t="s">
        <v>1278</v>
      </c>
      <c r="B33" s="1"/>
      <c r="D33" s="146"/>
      <c r="F33" s="12"/>
      <c r="G33" s="12"/>
      <c r="H33" s="113" t="s">
        <v>179</v>
      </c>
      <c r="I33" s="12"/>
    </row>
    <row r="34" spans="1:10" s="24" customFormat="1" ht="20.25" customHeight="1" thickTop="1" thickBot="1" x14ac:dyDescent="0.25">
      <c r="A34" s="21" t="s">
        <v>180</v>
      </c>
      <c r="B34" s="22" t="s">
        <v>181</v>
      </c>
      <c r="C34" s="173" t="s">
        <v>783</v>
      </c>
      <c r="D34" s="46" t="s">
        <v>182</v>
      </c>
      <c r="E34" s="46" t="s">
        <v>183</v>
      </c>
      <c r="F34" s="46" t="s">
        <v>985</v>
      </c>
      <c r="G34" s="46" t="s">
        <v>986</v>
      </c>
      <c r="H34" s="197" t="s">
        <v>987</v>
      </c>
      <c r="I34" s="54"/>
      <c r="J34" s="54"/>
    </row>
    <row r="35" spans="1:10" ht="15.75" thickTop="1" x14ac:dyDescent="0.25">
      <c r="A35" s="34">
        <v>2212</v>
      </c>
      <c r="B35" s="19">
        <v>6121</v>
      </c>
      <c r="C35" s="122"/>
      <c r="D35" s="128" t="s">
        <v>671</v>
      </c>
      <c r="E35" s="29"/>
      <c r="F35" s="148">
        <v>123</v>
      </c>
      <c r="G35" s="149">
        <v>123</v>
      </c>
      <c r="H35" s="190">
        <f>(G35/F35)*100</f>
        <v>100</v>
      </c>
    </row>
    <row r="36" spans="1:10" ht="18" x14ac:dyDescent="0.25">
      <c r="A36" s="34"/>
      <c r="B36" s="19"/>
      <c r="C36" s="122"/>
      <c r="D36" s="83" t="s">
        <v>428</v>
      </c>
      <c r="E36" s="29"/>
      <c r="F36" s="130"/>
      <c r="G36" s="150"/>
      <c r="H36" s="190"/>
    </row>
    <row r="37" spans="1:10" ht="15.75" thickBot="1" x14ac:dyDescent="0.3">
      <c r="A37" s="49"/>
      <c r="B37" s="20"/>
      <c r="C37" s="127"/>
      <c r="D37" s="85" t="s">
        <v>1279</v>
      </c>
      <c r="E37" s="30"/>
      <c r="F37" s="97">
        <v>123</v>
      </c>
      <c r="G37" s="151"/>
      <c r="H37" s="193"/>
    </row>
    <row r="38" spans="1:10" s="8" customFormat="1" ht="35.25" customHeight="1" thickTop="1" thickBot="1" x14ac:dyDescent="0.3">
      <c r="A38" s="35" t="s">
        <v>145</v>
      </c>
      <c r="B38" s="51"/>
      <c r="C38" s="145"/>
      <c r="D38" s="36"/>
      <c r="E38" s="37">
        <v>0</v>
      </c>
      <c r="F38" s="37">
        <v>123</v>
      </c>
      <c r="G38" s="37">
        <v>123</v>
      </c>
      <c r="H38" s="191">
        <f>(G38/F38)*100</f>
        <v>100</v>
      </c>
    </row>
    <row r="39" spans="1:10" ht="13.5" thickTop="1" x14ac:dyDescent="0.2">
      <c r="A39" s="25"/>
      <c r="B39" s="27"/>
      <c r="I39" s="153"/>
      <c r="J39" s="120"/>
    </row>
    <row r="40" spans="1:10" s="99" customFormat="1" ht="15.75" x14ac:dyDescent="0.25">
      <c r="A40" s="101" t="s">
        <v>148</v>
      </c>
      <c r="B40" s="102"/>
      <c r="C40" s="103"/>
      <c r="D40" s="104"/>
      <c r="E40" s="100"/>
      <c r="F40" s="100">
        <f>SUM(F12)</f>
        <v>4</v>
      </c>
      <c r="G40" s="100">
        <f>SUM(G12)</f>
        <v>3</v>
      </c>
      <c r="H40" s="209">
        <f>G40/F40*100</f>
        <v>75</v>
      </c>
    </row>
    <row r="41" spans="1:10" s="99" customFormat="1" ht="15.75" x14ac:dyDescent="0.25">
      <c r="A41" s="101" t="s">
        <v>1282</v>
      </c>
      <c r="B41" s="101"/>
      <c r="C41" s="105"/>
      <c r="D41" s="106"/>
      <c r="E41" s="100"/>
      <c r="F41" s="100">
        <f>SUM(F30)</f>
        <v>251</v>
      </c>
      <c r="G41" s="100">
        <f>SUM(G30)</f>
        <v>251</v>
      </c>
      <c r="H41" s="209">
        <f>G41/F41*100</f>
        <v>100</v>
      </c>
    </row>
    <row r="42" spans="1:10" s="99" customFormat="1" ht="15.75" x14ac:dyDescent="0.25">
      <c r="A42" s="101" t="s">
        <v>1283</v>
      </c>
      <c r="B42" s="101"/>
      <c r="C42" s="105"/>
      <c r="D42" s="106"/>
      <c r="E42" s="100"/>
      <c r="F42" s="100">
        <f>SUM(F22,F38)</f>
        <v>469</v>
      </c>
      <c r="G42" s="100">
        <f>SUM(G22,G38)</f>
        <v>469</v>
      </c>
      <c r="H42" s="209">
        <f>G42/F42*100</f>
        <v>100</v>
      </c>
    </row>
    <row r="43" spans="1:10" x14ac:dyDescent="0.2">
      <c r="A43" s="25"/>
      <c r="B43" s="27"/>
      <c r="I43" s="153"/>
      <c r="J43" s="120"/>
    </row>
    <row r="44" spans="1:10" x14ac:dyDescent="0.2">
      <c r="A44" s="25"/>
      <c r="B44" s="27"/>
      <c r="I44" s="153"/>
      <c r="J44" s="120"/>
    </row>
    <row r="45" spans="1:10" x14ac:dyDescent="0.2">
      <c r="A45" s="25"/>
      <c r="B45" s="27"/>
      <c r="I45" s="153"/>
      <c r="J45" s="120"/>
    </row>
    <row r="46" spans="1:10" x14ac:dyDescent="0.2">
      <c r="A46" s="25"/>
      <c r="B46" s="27"/>
      <c r="I46" s="153"/>
      <c r="J46" s="120"/>
    </row>
    <row r="47" spans="1:10" s="58" customFormat="1" ht="47.25" customHeight="1" thickBot="1" x14ac:dyDescent="0.4">
      <c r="A47" s="2727" t="s">
        <v>796</v>
      </c>
      <c r="B47" s="2728"/>
      <c r="C47" s="2728"/>
      <c r="D47" s="2728"/>
      <c r="E47" s="44">
        <v>0</v>
      </c>
      <c r="F47" s="44">
        <f>SUM(F40,F41,F42)</f>
        <v>724</v>
      </c>
      <c r="G47" s="44">
        <f>SUM(G40,G41,G42)</f>
        <v>723</v>
      </c>
      <c r="H47" s="192">
        <f>(G47/F47)*100</f>
        <v>99.861878453038671</v>
      </c>
      <c r="I47" s="115"/>
    </row>
    <row r="48" spans="1:10" s="4" customFormat="1" ht="13.5" thickTop="1" x14ac:dyDescent="0.2">
      <c r="A48" s="1"/>
      <c r="B48" s="1"/>
      <c r="C48" s="147"/>
      <c r="E48" s="53"/>
      <c r="F48" s="56"/>
      <c r="G48" s="13"/>
      <c r="H48" s="205"/>
      <c r="I48" s="53"/>
      <c r="J48" s="53"/>
    </row>
  </sheetData>
  <mergeCells count="1">
    <mergeCell ref="A47:D47"/>
  </mergeCells>
  <phoneticPr fontId="33" type="noConversion"/>
  <pageMargins left="0.59055118110236227" right="0.39370078740157483" top="0.98425196850393704" bottom="0.98425196850393704" header="0.51181102362204722" footer="0.51181102362204722"/>
  <pageSetup paperSize="9" scale="85" firstPageNumber="69" orientation="portrait" r:id="rId1"/>
  <headerFooter alignWithMargins="0">
    <oddFooter xml:space="preserve">&amp;L&amp;"Arial,Kurzíva"Zastupitelstvo Olomouckého kraje 22.4.2005
5-Rozpočet Olomouckého kraje 2004 - závěrečný účet Olomouckého kraje za rok 2004
Příloha č. 2: Plnění rozpočtu výdajů OK k 31.12.2004&amp;R&amp;"Arial,Kurzíva"Stránka &amp;P (celkem 700)
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/>
  <dimension ref="A1"/>
  <sheetViews>
    <sheetView workbookViewId="0"/>
  </sheetViews>
  <sheetFormatPr defaultRowHeight="12.75" x14ac:dyDescent="0.2"/>
  <sheetData/>
  <phoneticPr fontId="33" type="noConversion"/>
  <pageMargins left="0.78740157499999996" right="0.78740157499999996" top="0.984251969" bottom="0.984251969" header="0.4921259845" footer="0.4921259845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" enableFormatConditionsCalculation="0">
    <tabColor rgb="FF92D050"/>
  </sheetPr>
  <dimension ref="A1:L131"/>
  <sheetViews>
    <sheetView showGridLines="0" view="pageBreakPreview" zoomScaleNormal="100" zoomScaleSheetLayoutView="100" workbookViewId="0">
      <selection activeCell="F22" sqref="F22"/>
    </sheetView>
  </sheetViews>
  <sheetFormatPr defaultRowHeight="14.25" x14ac:dyDescent="0.2"/>
  <cols>
    <col min="1" max="1" width="4.7109375" style="669" customWidth="1"/>
    <col min="2" max="2" width="4.7109375" style="558" customWidth="1"/>
    <col min="3" max="3" width="8.85546875" style="691" customWidth="1"/>
    <col min="4" max="4" width="47.28515625" style="558" customWidth="1"/>
    <col min="5" max="5" width="12.7109375" style="515" customWidth="1"/>
    <col min="6" max="7" width="13.140625" style="515" customWidth="1"/>
    <col min="8" max="8" width="8.5703125" style="882" customWidth="1"/>
    <col min="9" max="9" width="9.140625" style="693"/>
    <col min="10" max="11" width="9.42578125" style="693" bestFit="1" customWidth="1"/>
    <col min="12" max="16384" width="9.140625" style="693"/>
  </cols>
  <sheetData>
    <row r="1" spans="1:10" s="558" customFormat="1" ht="18.75" thickBot="1" x14ac:dyDescent="0.3">
      <c r="A1" s="487" t="s">
        <v>787</v>
      </c>
      <c r="B1" s="488"/>
      <c r="C1" s="489"/>
      <c r="D1" s="499"/>
      <c r="E1" s="514"/>
      <c r="F1" s="491" t="s">
        <v>788</v>
      </c>
      <c r="G1" s="515"/>
      <c r="H1" s="882"/>
      <c r="I1" s="17"/>
      <c r="J1" s="517"/>
    </row>
    <row r="2" spans="1:10" s="558" customFormat="1" ht="12.75" customHeight="1" x14ac:dyDescent="0.25">
      <c r="A2" s="6"/>
      <c r="B2" s="28"/>
      <c r="C2" s="142"/>
      <c r="D2" s="10"/>
      <c r="E2" s="167"/>
      <c r="F2" s="167"/>
      <c r="G2" s="168"/>
      <c r="H2" s="210"/>
      <c r="I2" s="17"/>
      <c r="J2" s="517"/>
    </row>
    <row r="3" spans="1:10" s="558" customFormat="1" ht="12.75" customHeight="1" x14ac:dyDescent="0.25">
      <c r="A3" s="67" t="s">
        <v>404</v>
      </c>
      <c r="B3" s="28"/>
      <c r="C3" s="696" t="s">
        <v>437</v>
      </c>
      <c r="D3" s="653"/>
      <c r="E3" s="167"/>
      <c r="F3" s="168"/>
      <c r="G3" s="181"/>
      <c r="H3" s="210"/>
    </row>
    <row r="4" spans="1:10" s="558" customFormat="1" ht="12.75" customHeight="1" x14ac:dyDescent="0.25">
      <c r="A4" s="6"/>
      <c r="B4" s="28"/>
      <c r="C4" s="696" t="s">
        <v>438</v>
      </c>
      <c r="D4" s="699"/>
      <c r="E4" s="167"/>
      <c r="F4" s="168"/>
      <c r="G4" s="181"/>
      <c r="H4" s="210"/>
    </row>
    <row r="5" spans="1:10" s="558" customFormat="1" ht="12.75" customHeight="1" x14ac:dyDescent="0.25">
      <c r="A5" s="6"/>
      <c r="B5" s="28"/>
      <c r="C5" s="142"/>
      <c r="D5" s="10"/>
      <c r="E5" s="167"/>
      <c r="F5" s="167"/>
      <c r="G5" s="168"/>
      <c r="H5" s="210"/>
      <c r="I5" s="17"/>
      <c r="J5" s="517"/>
    </row>
    <row r="6" spans="1:10" s="558" customFormat="1" ht="18" x14ac:dyDescent="0.25">
      <c r="A6" s="33" t="s">
        <v>988</v>
      </c>
      <c r="B6" s="28"/>
      <c r="C6" s="142"/>
      <c r="D6" s="10"/>
      <c r="E6" s="167"/>
      <c r="F6" s="167"/>
      <c r="G6" s="168"/>
      <c r="H6" s="210"/>
      <c r="I6" s="17"/>
      <c r="J6" s="517"/>
    </row>
    <row r="7" spans="1:10" ht="12" customHeight="1" thickBot="1" x14ac:dyDescent="0.25">
      <c r="A7" s="655"/>
      <c r="B7" s="655"/>
      <c r="C7" s="708"/>
      <c r="D7" s="656"/>
      <c r="G7" s="886"/>
      <c r="H7" s="882" t="s">
        <v>179</v>
      </c>
      <c r="I7" s="699"/>
      <c r="J7" s="699"/>
    </row>
    <row r="8" spans="1:10" s="107" customFormat="1" ht="20.25" customHeight="1" thickTop="1" thickBot="1" x14ac:dyDescent="0.25">
      <c r="A8" s="657" t="s">
        <v>180</v>
      </c>
      <c r="B8" s="658" t="s">
        <v>181</v>
      </c>
      <c r="C8" s="702" t="s">
        <v>783</v>
      </c>
      <c r="D8" s="660" t="s">
        <v>182</v>
      </c>
      <c r="E8" s="660" t="s">
        <v>183</v>
      </c>
      <c r="F8" s="660" t="s">
        <v>985</v>
      </c>
      <c r="G8" s="660" t="s">
        <v>986</v>
      </c>
      <c r="H8" s="888" t="s">
        <v>987</v>
      </c>
      <c r="I8" s="979"/>
      <c r="J8" s="979"/>
    </row>
    <row r="9" spans="1:10" s="386" customFormat="1" ht="13.5" thickTop="1" thickBot="1" x14ac:dyDescent="0.25">
      <c r="A9" s="592">
        <v>1</v>
      </c>
      <c r="B9" s="593">
        <v>2</v>
      </c>
      <c r="C9" s="593">
        <v>3</v>
      </c>
      <c r="D9" s="593">
        <v>4</v>
      </c>
      <c r="E9" s="593">
        <v>5</v>
      </c>
      <c r="F9" s="567">
        <v>6</v>
      </c>
      <c r="G9" s="567">
        <v>7</v>
      </c>
      <c r="H9" s="662" t="s">
        <v>61</v>
      </c>
      <c r="I9" s="107"/>
    </row>
    <row r="10" spans="1:10" s="1219" customFormat="1" ht="15.75" customHeight="1" thickTop="1" x14ac:dyDescent="0.25">
      <c r="A10" s="34">
        <v>1014</v>
      </c>
      <c r="B10" s="1199">
        <v>5321</v>
      </c>
      <c r="C10" s="1195"/>
      <c r="D10" s="1167" t="s">
        <v>1349</v>
      </c>
      <c r="E10" s="60">
        <v>200</v>
      </c>
      <c r="F10" s="313">
        <v>0</v>
      </c>
      <c r="G10" s="315">
        <v>0</v>
      </c>
      <c r="H10" s="203">
        <v>0</v>
      </c>
    </row>
    <row r="11" spans="1:10" s="1219" customFormat="1" ht="15.75" customHeight="1" x14ac:dyDescent="0.25">
      <c r="A11" s="34">
        <v>1019</v>
      </c>
      <c r="B11" s="1199">
        <v>5169</v>
      </c>
      <c r="C11" s="1195"/>
      <c r="D11" s="1167" t="s">
        <v>955</v>
      </c>
      <c r="E11" s="60">
        <v>150</v>
      </c>
      <c r="F11" s="313">
        <v>215</v>
      </c>
      <c r="G11" s="315">
        <v>215</v>
      </c>
      <c r="H11" s="203">
        <f t="shared" ref="H11" si="0">(G11/F11)*100</f>
        <v>100</v>
      </c>
    </row>
    <row r="12" spans="1:10" s="1219" customFormat="1" ht="12" customHeight="1" x14ac:dyDescent="0.25">
      <c r="A12" s="34">
        <v>1019</v>
      </c>
      <c r="B12" s="1199">
        <v>5213</v>
      </c>
      <c r="C12" s="1195"/>
      <c r="D12" s="1167" t="s">
        <v>682</v>
      </c>
      <c r="E12" s="60"/>
      <c r="F12" s="313">
        <v>350</v>
      </c>
      <c r="G12" s="315">
        <v>350</v>
      </c>
      <c r="H12" s="203">
        <f t="shared" ref="H12:H39" si="1">(G12/F12)*100</f>
        <v>100</v>
      </c>
    </row>
    <row r="13" spans="1:10" s="1219" customFormat="1" ht="12.75" customHeight="1" x14ac:dyDescent="0.25">
      <c r="A13" s="34"/>
      <c r="B13" s="1199"/>
      <c r="C13" s="1195" t="s">
        <v>272</v>
      </c>
      <c r="D13" s="1173" t="s">
        <v>348</v>
      </c>
      <c r="E13" s="60"/>
      <c r="F13" s="314">
        <v>350</v>
      </c>
      <c r="G13" s="316">
        <v>350</v>
      </c>
      <c r="H13" s="1175">
        <f t="shared" si="1"/>
        <v>100</v>
      </c>
    </row>
    <row r="14" spans="1:10" s="1219" customFormat="1" ht="15.75" customHeight="1" x14ac:dyDescent="0.25">
      <c r="A14" s="34">
        <v>1019</v>
      </c>
      <c r="B14" s="1199">
        <v>5222</v>
      </c>
      <c r="C14" s="1195"/>
      <c r="D14" s="1279" t="s">
        <v>358</v>
      </c>
      <c r="E14" s="60"/>
      <c r="F14" s="315">
        <v>90</v>
      </c>
      <c r="G14" s="315">
        <v>90</v>
      </c>
      <c r="H14" s="203">
        <f t="shared" si="1"/>
        <v>100</v>
      </c>
    </row>
    <row r="15" spans="1:10" s="1219" customFormat="1" ht="15.75" customHeight="1" x14ac:dyDescent="0.25">
      <c r="A15" s="34"/>
      <c r="B15" s="1199"/>
      <c r="C15" s="1195" t="s">
        <v>1350</v>
      </c>
      <c r="D15" s="1841" t="s">
        <v>1737</v>
      </c>
      <c r="E15" s="60"/>
      <c r="F15" s="314">
        <v>90</v>
      </c>
      <c r="G15" s="316">
        <v>90</v>
      </c>
      <c r="H15" s="1175">
        <f t="shared" si="1"/>
        <v>100</v>
      </c>
    </row>
    <row r="16" spans="1:10" s="1166" customFormat="1" ht="15" x14ac:dyDescent="0.25">
      <c r="A16" s="34">
        <v>1032</v>
      </c>
      <c r="B16" s="1199">
        <v>5165</v>
      </c>
      <c r="C16" s="1488"/>
      <c r="D16" s="1167" t="s">
        <v>1067</v>
      </c>
      <c r="E16" s="48">
        <v>2</v>
      </c>
      <c r="F16" s="168">
        <v>2</v>
      </c>
      <c r="G16" s="315">
        <v>1</v>
      </c>
      <c r="H16" s="203">
        <f>(G16/F16)*100</f>
        <v>50</v>
      </c>
    </row>
    <row r="17" spans="1:8" s="1166" customFormat="1" ht="15" x14ac:dyDescent="0.25">
      <c r="A17" s="34">
        <v>1036</v>
      </c>
      <c r="B17" s="1199">
        <v>5134</v>
      </c>
      <c r="C17" s="1488"/>
      <c r="D17" s="1167" t="s">
        <v>675</v>
      </c>
      <c r="E17" s="48">
        <v>60</v>
      </c>
      <c r="F17" s="168">
        <v>53</v>
      </c>
      <c r="G17" s="315">
        <v>53</v>
      </c>
      <c r="H17" s="203">
        <f>(G17/F17)*100</f>
        <v>100</v>
      </c>
    </row>
    <row r="18" spans="1:8" s="1166" customFormat="1" ht="15" x14ac:dyDescent="0.25">
      <c r="A18" s="34">
        <v>1036</v>
      </c>
      <c r="B18" s="1199">
        <v>5169</v>
      </c>
      <c r="C18" s="1488"/>
      <c r="D18" s="1167" t="s">
        <v>955</v>
      </c>
      <c r="E18" s="48">
        <v>45</v>
      </c>
      <c r="F18" s="168">
        <v>45</v>
      </c>
      <c r="G18" s="315">
        <v>45</v>
      </c>
      <c r="H18" s="203">
        <f t="shared" si="1"/>
        <v>100</v>
      </c>
    </row>
    <row r="19" spans="1:8" s="1166" customFormat="1" ht="15" x14ac:dyDescent="0.25">
      <c r="A19" s="34">
        <v>1037</v>
      </c>
      <c r="B19" s="1199">
        <v>5164</v>
      </c>
      <c r="C19" s="1488"/>
      <c r="D19" s="1511" t="s">
        <v>188</v>
      </c>
      <c r="E19" s="48"/>
      <c r="F19" s="168">
        <v>5</v>
      </c>
      <c r="G19" s="315">
        <v>5</v>
      </c>
      <c r="H19" s="203">
        <f t="shared" si="1"/>
        <v>100</v>
      </c>
    </row>
    <row r="20" spans="1:8" s="1166" customFormat="1" ht="15" x14ac:dyDescent="0.25">
      <c r="A20" s="34">
        <v>1037</v>
      </c>
      <c r="B20" s="1199">
        <v>5169</v>
      </c>
      <c r="C20" s="1488"/>
      <c r="D20" s="1167" t="s">
        <v>955</v>
      </c>
      <c r="E20" s="48">
        <v>150</v>
      </c>
      <c r="F20" s="168">
        <v>145</v>
      </c>
      <c r="G20" s="315">
        <v>81</v>
      </c>
      <c r="H20" s="203">
        <f t="shared" si="1"/>
        <v>55.862068965517238</v>
      </c>
    </row>
    <row r="21" spans="1:8" s="1166" customFormat="1" ht="15" x14ac:dyDescent="0.25">
      <c r="A21" s="34">
        <v>1037</v>
      </c>
      <c r="B21" s="1199">
        <v>5212</v>
      </c>
      <c r="C21" s="1488"/>
      <c r="D21" s="1167" t="s">
        <v>679</v>
      </c>
      <c r="E21" s="48"/>
      <c r="F21" s="168">
        <v>928</v>
      </c>
      <c r="G21" s="315">
        <v>928</v>
      </c>
      <c r="H21" s="203">
        <f t="shared" si="1"/>
        <v>100</v>
      </c>
    </row>
    <row r="22" spans="1:8" s="1166" customFormat="1" ht="15" x14ac:dyDescent="0.25">
      <c r="A22" s="34"/>
      <c r="B22" s="1199"/>
      <c r="C22" s="1179" t="s">
        <v>680</v>
      </c>
      <c r="D22" s="1173" t="s">
        <v>681</v>
      </c>
      <c r="E22" s="48"/>
      <c r="F22" s="314">
        <v>928</v>
      </c>
      <c r="G22" s="316">
        <v>928</v>
      </c>
      <c r="H22" s="1175">
        <f t="shared" si="1"/>
        <v>100</v>
      </c>
    </row>
    <row r="23" spans="1:8" s="1166" customFormat="1" ht="15" x14ac:dyDescent="0.25">
      <c r="A23" s="34">
        <v>1037</v>
      </c>
      <c r="B23" s="1199">
        <v>5213</v>
      </c>
      <c r="C23" s="122"/>
      <c r="D23" s="1167" t="s">
        <v>682</v>
      </c>
      <c r="E23" s="48">
        <v>10000</v>
      </c>
      <c r="F23" s="462">
        <v>5656</v>
      </c>
      <c r="G23" s="462">
        <v>5656</v>
      </c>
      <c r="H23" s="203">
        <f t="shared" si="1"/>
        <v>100</v>
      </c>
    </row>
    <row r="24" spans="1:8" s="1166" customFormat="1" x14ac:dyDescent="0.2">
      <c r="A24" s="34"/>
      <c r="B24" s="1199"/>
      <c r="C24" s="1179" t="s">
        <v>680</v>
      </c>
      <c r="D24" s="1173" t="s">
        <v>681</v>
      </c>
      <c r="E24" s="55">
        <v>10000</v>
      </c>
      <c r="F24" s="314">
        <v>5656</v>
      </c>
      <c r="G24" s="316">
        <v>5656</v>
      </c>
      <c r="H24" s="1175">
        <f t="shared" si="1"/>
        <v>100</v>
      </c>
    </row>
    <row r="25" spans="1:8" s="1166" customFormat="1" ht="15" x14ac:dyDescent="0.25">
      <c r="A25" s="34">
        <v>1037</v>
      </c>
      <c r="B25" s="1199">
        <v>5321</v>
      </c>
      <c r="C25" s="1179"/>
      <c r="D25" s="1167" t="s">
        <v>1349</v>
      </c>
      <c r="E25" s="55"/>
      <c r="F25" s="313">
        <v>2426</v>
      </c>
      <c r="G25" s="315">
        <v>2426</v>
      </c>
      <c r="H25" s="203">
        <f t="shared" si="1"/>
        <v>100</v>
      </c>
    </row>
    <row r="26" spans="1:8" s="1166" customFormat="1" x14ac:dyDescent="0.2">
      <c r="A26" s="34"/>
      <c r="B26" s="1199"/>
      <c r="C26" s="1179" t="s">
        <v>680</v>
      </c>
      <c r="D26" s="1173" t="s">
        <v>681</v>
      </c>
      <c r="E26" s="55"/>
      <c r="F26" s="314">
        <v>2426</v>
      </c>
      <c r="G26" s="316">
        <v>2426</v>
      </c>
      <c r="H26" s="1175">
        <f t="shared" si="1"/>
        <v>100</v>
      </c>
    </row>
    <row r="27" spans="1:8" s="1166" customFormat="1" ht="15" x14ac:dyDescent="0.25">
      <c r="A27" s="34">
        <v>1037</v>
      </c>
      <c r="B27" s="1199">
        <v>5331</v>
      </c>
      <c r="C27" s="1179"/>
      <c r="D27" s="1167" t="s">
        <v>1026</v>
      </c>
      <c r="E27" s="55"/>
      <c r="F27" s="313">
        <v>592</v>
      </c>
      <c r="G27" s="315">
        <v>592</v>
      </c>
      <c r="H27" s="203">
        <f t="shared" si="1"/>
        <v>100</v>
      </c>
    </row>
    <row r="28" spans="1:8" s="1166" customFormat="1" x14ac:dyDescent="0.2">
      <c r="A28" s="34"/>
      <c r="B28" s="1199"/>
      <c r="C28" s="1179" t="s">
        <v>680</v>
      </c>
      <c r="D28" s="1173" t="s">
        <v>681</v>
      </c>
      <c r="E28" s="55"/>
      <c r="F28" s="314">
        <v>592</v>
      </c>
      <c r="G28" s="316">
        <v>592</v>
      </c>
      <c r="H28" s="1175">
        <f t="shared" si="1"/>
        <v>100</v>
      </c>
    </row>
    <row r="29" spans="1:8" s="1166" customFormat="1" ht="15" x14ac:dyDescent="0.25">
      <c r="A29" s="34">
        <v>1037</v>
      </c>
      <c r="B29" s="1199">
        <v>5493</v>
      </c>
      <c r="C29" s="1179"/>
      <c r="D29" s="309" t="s">
        <v>768</v>
      </c>
      <c r="E29" s="55"/>
      <c r="F29" s="313">
        <v>399</v>
      </c>
      <c r="G29" s="315">
        <v>399</v>
      </c>
      <c r="H29" s="203">
        <f t="shared" si="1"/>
        <v>100</v>
      </c>
    </row>
    <row r="30" spans="1:8" s="1166" customFormat="1" x14ac:dyDescent="0.2">
      <c r="A30" s="34"/>
      <c r="B30" s="1199"/>
      <c r="C30" s="1179" t="s">
        <v>680</v>
      </c>
      <c r="D30" s="1173" t="s">
        <v>681</v>
      </c>
      <c r="E30" s="55"/>
      <c r="F30" s="314">
        <v>399</v>
      </c>
      <c r="G30" s="316">
        <v>399</v>
      </c>
      <c r="H30" s="1175">
        <f t="shared" si="1"/>
        <v>100</v>
      </c>
    </row>
    <row r="31" spans="1:8" s="1166" customFormat="1" ht="15" x14ac:dyDescent="0.25">
      <c r="A31" s="34">
        <v>1039</v>
      </c>
      <c r="B31" s="1199">
        <v>5169</v>
      </c>
      <c r="C31" s="1179"/>
      <c r="D31" s="1167" t="s">
        <v>955</v>
      </c>
      <c r="E31" s="55"/>
      <c r="F31" s="313">
        <v>68</v>
      </c>
      <c r="G31" s="315">
        <v>40</v>
      </c>
      <c r="H31" s="203">
        <f t="shared" si="1"/>
        <v>58.82352941176471</v>
      </c>
    </row>
    <row r="32" spans="1:8" s="1166" customFormat="1" ht="15" x14ac:dyDescent="0.25">
      <c r="A32" s="34">
        <v>1039</v>
      </c>
      <c r="B32" s="1199">
        <v>5222</v>
      </c>
      <c r="C32" s="1179"/>
      <c r="D32" s="1279" t="s">
        <v>358</v>
      </c>
      <c r="E32" s="55"/>
      <c r="F32" s="313">
        <v>65</v>
      </c>
      <c r="G32" s="315">
        <v>65</v>
      </c>
      <c r="H32" s="203">
        <f t="shared" si="1"/>
        <v>100</v>
      </c>
    </row>
    <row r="33" spans="1:8" s="1166" customFormat="1" x14ac:dyDescent="0.2">
      <c r="A33" s="34"/>
      <c r="B33" s="1199"/>
      <c r="C33" s="1195" t="s">
        <v>1350</v>
      </c>
      <c r="D33" s="1841" t="s">
        <v>1737</v>
      </c>
      <c r="E33" s="55"/>
      <c r="F33" s="314">
        <v>65</v>
      </c>
      <c r="G33" s="316">
        <v>65</v>
      </c>
      <c r="H33" s="1175">
        <f t="shared" si="1"/>
        <v>100</v>
      </c>
    </row>
    <row r="34" spans="1:8" s="1166" customFormat="1" ht="15" x14ac:dyDescent="0.25">
      <c r="A34" s="34">
        <v>1070</v>
      </c>
      <c r="B34" s="1199">
        <v>5222</v>
      </c>
      <c r="C34" s="1195"/>
      <c r="D34" s="1279" t="s">
        <v>358</v>
      </c>
      <c r="E34" s="55"/>
      <c r="F34" s="313">
        <v>480</v>
      </c>
      <c r="G34" s="315">
        <v>480</v>
      </c>
      <c r="H34" s="203">
        <f t="shared" si="1"/>
        <v>100</v>
      </c>
    </row>
    <row r="35" spans="1:8" s="1166" customFormat="1" x14ac:dyDescent="0.2">
      <c r="A35" s="34"/>
      <c r="B35" s="1199"/>
      <c r="C35" s="1195" t="s">
        <v>272</v>
      </c>
      <c r="D35" s="1173" t="s">
        <v>348</v>
      </c>
      <c r="E35" s="55"/>
      <c r="F35" s="314">
        <v>450</v>
      </c>
      <c r="G35" s="316">
        <v>450</v>
      </c>
      <c r="H35" s="1175">
        <f t="shared" si="1"/>
        <v>100</v>
      </c>
    </row>
    <row r="36" spans="1:8" s="1166" customFormat="1" x14ac:dyDescent="0.2">
      <c r="A36" s="34"/>
      <c r="B36" s="1199"/>
      <c r="C36" s="1195" t="s">
        <v>1350</v>
      </c>
      <c r="D36" s="1841" t="s">
        <v>1737</v>
      </c>
      <c r="E36" s="55"/>
      <c r="F36" s="314">
        <v>30</v>
      </c>
      <c r="G36" s="316">
        <v>30</v>
      </c>
      <c r="H36" s="1175">
        <f t="shared" si="1"/>
        <v>100</v>
      </c>
    </row>
    <row r="37" spans="1:8" s="1166" customFormat="1" ht="15" x14ac:dyDescent="0.25">
      <c r="A37" s="34">
        <v>1099</v>
      </c>
      <c r="B37" s="1199">
        <v>5164</v>
      </c>
      <c r="C37" s="1195"/>
      <c r="D37" s="1511" t="s">
        <v>188</v>
      </c>
      <c r="E37" s="55"/>
      <c r="F37" s="313">
        <v>20</v>
      </c>
      <c r="G37" s="315">
        <v>20</v>
      </c>
      <c r="H37" s="203">
        <f t="shared" si="1"/>
        <v>100</v>
      </c>
    </row>
    <row r="38" spans="1:8" s="1166" customFormat="1" ht="15" x14ac:dyDescent="0.25">
      <c r="A38" s="34">
        <v>1099</v>
      </c>
      <c r="B38" s="1199">
        <v>5166</v>
      </c>
      <c r="C38" s="1195"/>
      <c r="D38" s="1167" t="s">
        <v>677</v>
      </c>
      <c r="E38" s="71">
        <v>100</v>
      </c>
      <c r="F38" s="313">
        <v>2</v>
      </c>
      <c r="G38" s="315">
        <v>2</v>
      </c>
      <c r="H38" s="203">
        <f t="shared" si="1"/>
        <v>100</v>
      </c>
    </row>
    <row r="39" spans="1:8" s="1166" customFormat="1" ht="15" x14ac:dyDescent="0.25">
      <c r="A39" s="34">
        <v>1099</v>
      </c>
      <c r="B39" s="1199">
        <v>5169</v>
      </c>
      <c r="C39" s="1195"/>
      <c r="D39" s="1167" t="s">
        <v>955</v>
      </c>
      <c r="E39" s="71"/>
      <c r="F39" s="313">
        <v>10</v>
      </c>
      <c r="G39" s="315">
        <v>10</v>
      </c>
      <c r="H39" s="203">
        <f t="shared" si="1"/>
        <v>100</v>
      </c>
    </row>
    <row r="40" spans="1:8" s="1166" customFormat="1" ht="15" x14ac:dyDescent="0.25">
      <c r="A40" s="34">
        <v>1099</v>
      </c>
      <c r="B40" s="1199">
        <v>5192</v>
      </c>
      <c r="C40" s="122"/>
      <c r="D40" s="1167" t="s">
        <v>1380</v>
      </c>
      <c r="E40" s="71">
        <v>400</v>
      </c>
      <c r="F40" s="313">
        <v>300</v>
      </c>
      <c r="G40" s="315">
        <v>272</v>
      </c>
      <c r="H40" s="203">
        <f t="shared" ref="H40:H51" si="2">(G40/F40)*100</f>
        <v>90.666666666666657</v>
      </c>
    </row>
    <row r="41" spans="1:8" s="1166" customFormat="1" ht="15" x14ac:dyDescent="0.25">
      <c r="A41" s="34">
        <v>1099</v>
      </c>
      <c r="B41" s="1199">
        <v>5222</v>
      </c>
      <c r="C41" s="1179"/>
      <c r="D41" s="1279" t="s">
        <v>358</v>
      </c>
      <c r="E41" s="71"/>
      <c r="F41" s="313">
        <v>50</v>
      </c>
      <c r="G41" s="315">
        <v>50</v>
      </c>
      <c r="H41" s="203">
        <f t="shared" si="2"/>
        <v>100</v>
      </c>
    </row>
    <row r="42" spans="1:8" s="1166" customFormat="1" ht="15" x14ac:dyDescent="0.25">
      <c r="A42" s="34"/>
      <c r="B42" s="1199"/>
      <c r="C42" s="1195" t="s">
        <v>1350</v>
      </c>
      <c r="D42" s="1841" t="s">
        <v>1737</v>
      </c>
      <c r="E42" s="71"/>
      <c r="F42" s="314">
        <v>50</v>
      </c>
      <c r="G42" s="316">
        <v>50</v>
      </c>
      <c r="H42" s="1175">
        <f t="shared" si="2"/>
        <v>100</v>
      </c>
    </row>
    <row r="43" spans="1:8" s="1166" customFormat="1" ht="15" x14ac:dyDescent="0.25">
      <c r="A43" s="34">
        <v>1099</v>
      </c>
      <c r="B43" s="1199">
        <v>5493</v>
      </c>
      <c r="C43" s="1195"/>
      <c r="D43" s="309" t="s">
        <v>768</v>
      </c>
      <c r="E43" s="71">
        <v>400</v>
      </c>
      <c r="F43" s="313">
        <v>786</v>
      </c>
      <c r="G43" s="315">
        <v>680</v>
      </c>
      <c r="H43" s="203">
        <f t="shared" si="2"/>
        <v>86.513994910941477</v>
      </c>
    </row>
    <row r="44" spans="1:8" s="1166" customFormat="1" x14ac:dyDescent="0.2">
      <c r="A44" s="34"/>
      <c r="B44" s="1199"/>
      <c r="C44" s="1179" t="s">
        <v>1533</v>
      </c>
      <c r="D44" s="1173" t="s">
        <v>1534</v>
      </c>
      <c r="E44" s="55">
        <v>400</v>
      </c>
      <c r="F44" s="314">
        <v>786</v>
      </c>
      <c r="G44" s="316">
        <v>680</v>
      </c>
      <c r="H44" s="1175">
        <f t="shared" si="2"/>
        <v>86.513994910941477</v>
      </c>
    </row>
    <row r="45" spans="1:8" s="1166" customFormat="1" ht="15" x14ac:dyDescent="0.25">
      <c r="A45" s="34">
        <v>2219</v>
      </c>
      <c r="B45" s="1199">
        <v>5222</v>
      </c>
      <c r="C45" s="1179"/>
      <c r="D45" s="1279" t="s">
        <v>358</v>
      </c>
      <c r="E45" s="55"/>
      <c r="F45" s="313">
        <v>600</v>
      </c>
      <c r="G45" s="315">
        <v>600</v>
      </c>
      <c r="H45" s="203">
        <f t="shared" si="2"/>
        <v>100</v>
      </c>
    </row>
    <row r="46" spans="1:8" s="1166" customFormat="1" x14ac:dyDescent="0.2">
      <c r="A46" s="34"/>
      <c r="B46" s="1199"/>
      <c r="C46" s="1195" t="s">
        <v>272</v>
      </c>
      <c r="D46" s="1173" t="s">
        <v>348</v>
      </c>
      <c r="E46" s="55"/>
      <c r="F46" s="314">
        <v>600</v>
      </c>
      <c r="G46" s="316">
        <v>600</v>
      </c>
      <c r="H46" s="1175">
        <f t="shared" si="2"/>
        <v>100</v>
      </c>
    </row>
    <row r="47" spans="1:8" s="1166" customFormat="1" ht="15" x14ac:dyDescent="0.25">
      <c r="A47" s="34">
        <v>2310</v>
      </c>
      <c r="B47" s="1199">
        <v>5321</v>
      </c>
      <c r="C47" s="122"/>
      <c r="D47" s="1167" t="s">
        <v>1349</v>
      </c>
      <c r="E47" s="71">
        <v>5300</v>
      </c>
      <c r="F47" s="313">
        <v>1840</v>
      </c>
      <c r="G47" s="315">
        <v>1840</v>
      </c>
      <c r="H47" s="203">
        <f t="shared" si="2"/>
        <v>100</v>
      </c>
    </row>
    <row r="48" spans="1:8" s="1166" customFormat="1" x14ac:dyDescent="0.2">
      <c r="A48" s="34"/>
      <c r="B48" s="1199"/>
      <c r="C48" s="1179" t="s">
        <v>683</v>
      </c>
      <c r="D48" s="1173" t="s">
        <v>684</v>
      </c>
      <c r="E48" s="55">
        <v>5300</v>
      </c>
      <c r="F48" s="314">
        <v>1840</v>
      </c>
      <c r="G48" s="316">
        <v>1840</v>
      </c>
      <c r="H48" s="1175">
        <f t="shared" si="2"/>
        <v>100</v>
      </c>
    </row>
    <row r="49" spans="1:8" s="1166" customFormat="1" ht="15" x14ac:dyDescent="0.25">
      <c r="A49" s="34">
        <v>2321</v>
      </c>
      <c r="B49" s="1199">
        <v>5321</v>
      </c>
      <c r="C49" s="122"/>
      <c r="D49" s="1167" t="s">
        <v>1349</v>
      </c>
      <c r="E49" s="71"/>
      <c r="F49" s="313">
        <v>251</v>
      </c>
      <c r="G49" s="315">
        <v>251</v>
      </c>
      <c r="H49" s="203">
        <f t="shared" si="2"/>
        <v>100</v>
      </c>
    </row>
    <row r="50" spans="1:8" s="1166" customFormat="1" ht="15" x14ac:dyDescent="0.25">
      <c r="A50" s="34"/>
      <c r="B50" s="1199"/>
      <c r="C50" s="1179" t="s">
        <v>683</v>
      </c>
      <c r="D50" s="1173" t="s">
        <v>684</v>
      </c>
      <c r="E50" s="71"/>
      <c r="F50" s="314">
        <v>251</v>
      </c>
      <c r="G50" s="316">
        <v>251</v>
      </c>
      <c r="H50" s="1175">
        <f t="shared" si="2"/>
        <v>100</v>
      </c>
    </row>
    <row r="51" spans="1:8" s="1166" customFormat="1" ht="15" x14ac:dyDescent="0.25">
      <c r="A51" s="34">
        <v>2369</v>
      </c>
      <c r="B51" s="1199">
        <v>5166</v>
      </c>
      <c r="C51" s="1488"/>
      <c r="D51" s="1167" t="s">
        <v>677</v>
      </c>
      <c r="E51" s="48">
        <v>50</v>
      </c>
      <c r="F51" s="168">
        <v>50</v>
      </c>
      <c r="G51" s="315">
        <v>0</v>
      </c>
      <c r="H51" s="203">
        <f t="shared" si="2"/>
        <v>0</v>
      </c>
    </row>
    <row r="52" spans="1:8" s="1166" customFormat="1" ht="15" x14ac:dyDescent="0.25">
      <c r="A52" s="34">
        <v>3421</v>
      </c>
      <c r="B52" s="1199">
        <v>5222</v>
      </c>
      <c r="C52" s="1195"/>
      <c r="D52" s="1279" t="s">
        <v>358</v>
      </c>
      <c r="E52" s="48"/>
      <c r="F52" s="313">
        <v>30</v>
      </c>
      <c r="G52" s="315">
        <v>30</v>
      </c>
      <c r="H52" s="203">
        <f t="shared" ref="H52:H62" si="3">(G52/F52)*100</f>
        <v>100</v>
      </c>
    </row>
    <row r="53" spans="1:8" s="1166" customFormat="1" ht="15" x14ac:dyDescent="0.25">
      <c r="A53" s="34"/>
      <c r="B53" s="1199"/>
      <c r="C53" s="1195" t="s">
        <v>1350</v>
      </c>
      <c r="D53" s="1841" t="s">
        <v>1737</v>
      </c>
      <c r="E53" s="48"/>
      <c r="F53" s="314">
        <v>30</v>
      </c>
      <c r="G53" s="316">
        <v>30</v>
      </c>
      <c r="H53" s="1175">
        <f t="shared" si="3"/>
        <v>100</v>
      </c>
    </row>
    <row r="54" spans="1:8" s="1166" customFormat="1" ht="15" x14ac:dyDescent="0.25">
      <c r="A54" s="34">
        <v>3429</v>
      </c>
      <c r="B54" s="1199">
        <v>5212</v>
      </c>
      <c r="C54" s="1195"/>
      <c r="D54" s="1167" t="s">
        <v>679</v>
      </c>
      <c r="E54" s="48"/>
      <c r="F54" s="313">
        <v>80</v>
      </c>
      <c r="G54" s="315">
        <v>80</v>
      </c>
      <c r="H54" s="203">
        <f t="shared" si="3"/>
        <v>100</v>
      </c>
    </row>
    <row r="55" spans="1:8" s="1166" customFormat="1" ht="15" x14ac:dyDescent="0.25">
      <c r="A55" s="34"/>
      <c r="B55" s="1199"/>
      <c r="C55" s="1195" t="s">
        <v>1350</v>
      </c>
      <c r="D55" s="1841" t="s">
        <v>1737</v>
      </c>
      <c r="E55" s="48"/>
      <c r="F55" s="314">
        <v>80</v>
      </c>
      <c r="G55" s="316">
        <v>80</v>
      </c>
      <c r="H55" s="1175">
        <f t="shared" si="3"/>
        <v>100</v>
      </c>
    </row>
    <row r="56" spans="1:8" s="1166" customFormat="1" ht="15" x14ac:dyDescent="0.25">
      <c r="A56" s="34">
        <v>3429</v>
      </c>
      <c r="B56" s="1199">
        <v>5221</v>
      </c>
      <c r="C56" s="1195"/>
      <c r="D56" s="87" t="s">
        <v>1535</v>
      </c>
      <c r="E56" s="48"/>
      <c r="F56" s="313">
        <v>30</v>
      </c>
      <c r="G56" s="315">
        <v>30</v>
      </c>
      <c r="H56" s="203">
        <f t="shared" si="3"/>
        <v>100</v>
      </c>
    </row>
    <row r="57" spans="1:8" s="1166" customFormat="1" ht="15" x14ac:dyDescent="0.25">
      <c r="A57" s="34"/>
      <c r="B57" s="1199"/>
      <c r="C57" s="1195" t="s">
        <v>1350</v>
      </c>
      <c r="D57" s="1841" t="s">
        <v>1737</v>
      </c>
      <c r="E57" s="48"/>
      <c r="F57" s="314">
        <v>30</v>
      </c>
      <c r="G57" s="316">
        <v>30</v>
      </c>
      <c r="H57" s="1175">
        <f t="shared" si="3"/>
        <v>100</v>
      </c>
    </row>
    <row r="58" spans="1:8" s="1166" customFormat="1" ht="15" x14ac:dyDescent="0.25">
      <c r="A58" s="34">
        <v>3429</v>
      </c>
      <c r="B58" s="1199">
        <v>5222</v>
      </c>
      <c r="C58" s="1195"/>
      <c r="D58" s="1279" t="s">
        <v>358</v>
      </c>
      <c r="E58" s="48"/>
      <c r="F58" s="313">
        <v>550</v>
      </c>
      <c r="G58" s="315">
        <v>550</v>
      </c>
      <c r="H58" s="203">
        <f t="shared" si="3"/>
        <v>100</v>
      </c>
    </row>
    <row r="59" spans="1:8" s="1166" customFormat="1" ht="15" x14ac:dyDescent="0.25">
      <c r="A59" s="34"/>
      <c r="B59" s="1199"/>
      <c r="C59" s="1195" t="s">
        <v>1350</v>
      </c>
      <c r="D59" s="1841" t="s">
        <v>1737</v>
      </c>
      <c r="E59" s="48"/>
      <c r="F59" s="314">
        <v>550</v>
      </c>
      <c r="G59" s="316">
        <v>550</v>
      </c>
      <c r="H59" s="1175">
        <f t="shared" si="3"/>
        <v>100</v>
      </c>
    </row>
    <row r="60" spans="1:8" s="1166" customFormat="1" ht="15" x14ac:dyDescent="0.25">
      <c r="A60" s="34">
        <v>3429</v>
      </c>
      <c r="B60" s="1199">
        <v>5493</v>
      </c>
      <c r="C60" s="1195"/>
      <c r="D60" s="309" t="s">
        <v>768</v>
      </c>
      <c r="E60" s="48"/>
      <c r="F60" s="313">
        <v>80</v>
      </c>
      <c r="G60" s="315">
        <v>80</v>
      </c>
      <c r="H60" s="203">
        <f t="shared" si="3"/>
        <v>100</v>
      </c>
    </row>
    <row r="61" spans="1:8" s="1166" customFormat="1" ht="15" x14ac:dyDescent="0.25">
      <c r="A61" s="34"/>
      <c r="B61" s="1199"/>
      <c r="C61" s="1195" t="s">
        <v>1350</v>
      </c>
      <c r="D61" s="1841" t="s">
        <v>1737</v>
      </c>
      <c r="E61" s="48"/>
      <c r="F61" s="314">
        <v>80</v>
      </c>
      <c r="G61" s="316">
        <v>80</v>
      </c>
      <c r="H61" s="1175">
        <f t="shared" si="3"/>
        <v>100</v>
      </c>
    </row>
    <row r="62" spans="1:8" s="1166" customFormat="1" ht="15" x14ac:dyDescent="0.25">
      <c r="A62" s="34">
        <v>3719</v>
      </c>
      <c r="B62" s="1199">
        <v>5164</v>
      </c>
      <c r="C62" s="1195"/>
      <c r="D62" s="1511" t="s">
        <v>188</v>
      </c>
      <c r="E62" s="48"/>
      <c r="F62" s="313">
        <v>9</v>
      </c>
      <c r="G62" s="315">
        <v>7</v>
      </c>
      <c r="H62" s="203">
        <f t="shared" si="3"/>
        <v>77.777777777777786</v>
      </c>
    </row>
    <row r="63" spans="1:8" s="1166" customFormat="1" ht="15" x14ac:dyDescent="0.25">
      <c r="A63" s="34">
        <v>3719</v>
      </c>
      <c r="B63" s="1199">
        <v>5166</v>
      </c>
      <c r="C63" s="1488"/>
      <c r="D63" s="1167" t="s">
        <v>677</v>
      </c>
      <c r="E63" s="48">
        <v>400</v>
      </c>
      <c r="F63" s="168">
        <v>348</v>
      </c>
      <c r="G63" s="315">
        <v>348</v>
      </c>
      <c r="H63" s="203">
        <f t="shared" ref="H63:H75" si="4">(G63/F63)*100</f>
        <v>100</v>
      </c>
    </row>
    <row r="64" spans="1:8" s="1166" customFormat="1" ht="15" x14ac:dyDescent="0.25">
      <c r="A64" s="34">
        <v>3719</v>
      </c>
      <c r="B64" s="1199">
        <v>5168</v>
      </c>
      <c r="C64" s="1488"/>
      <c r="D64" s="1167" t="s">
        <v>191</v>
      </c>
      <c r="E64" s="48">
        <v>100</v>
      </c>
      <c r="F64" s="168">
        <v>0</v>
      </c>
      <c r="G64" s="315">
        <v>0</v>
      </c>
      <c r="H64" s="203">
        <v>0</v>
      </c>
    </row>
    <row r="65" spans="1:12" s="1166" customFormat="1" ht="15" x14ac:dyDescent="0.25">
      <c r="A65" s="34">
        <v>3725</v>
      </c>
      <c r="B65" s="1199">
        <v>5169</v>
      </c>
      <c r="C65" s="1488"/>
      <c r="D65" s="1167" t="s">
        <v>955</v>
      </c>
      <c r="E65" s="48">
        <v>700</v>
      </c>
      <c r="F65" s="168">
        <v>1087</v>
      </c>
      <c r="G65" s="315">
        <v>1038</v>
      </c>
      <c r="H65" s="203">
        <f t="shared" si="4"/>
        <v>95.492180312787482</v>
      </c>
    </row>
    <row r="66" spans="1:12" s="1166" customFormat="1" ht="12.75" customHeight="1" x14ac:dyDescent="0.25">
      <c r="A66" s="34">
        <v>3729</v>
      </c>
      <c r="B66" s="1199">
        <v>5166</v>
      </c>
      <c r="C66" s="1488"/>
      <c r="D66" s="1167" t="s">
        <v>677</v>
      </c>
      <c r="E66" s="48">
        <v>450</v>
      </c>
      <c r="F66" s="168">
        <v>840</v>
      </c>
      <c r="G66" s="315">
        <v>812</v>
      </c>
      <c r="H66" s="203">
        <f t="shared" si="4"/>
        <v>96.666666666666671</v>
      </c>
    </row>
    <row r="67" spans="1:12" s="1166" customFormat="1" ht="12.75" customHeight="1" x14ac:dyDescent="0.2">
      <c r="A67" s="34"/>
      <c r="B67" s="1199"/>
      <c r="C67" s="1179" t="s">
        <v>838</v>
      </c>
      <c r="D67" s="1173" t="s">
        <v>1415</v>
      </c>
      <c r="E67" s="55">
        <v>450</v>
      </c>
      <c r="F67" s="314">
        <v>320</v>
      </c>
      <c r="G67" s="316">
        <v>292</v>
      </c>
      <c r="H67" s="1175">
        <f t="shared" si="4"/>
        <v>91.25</v>
      </c>
    </row>
    <row r="68" spans="1:12" s="1166" customFormat="1" ht="12.75" customHeight="1" x14ac:dyDescent="0.2">
      <c r="A68" s="34"/>
      <c r="B68" s="1199"/>
      <c r="C68" s="1179" t="s">
        <v>1739</v>
      </c>
      <c r="D68" s="1971" t="s">
        <v>1738</v>
      </c>
      <c r="E68" s="55"/>
      <c r="F68" s="314">
        <v>520</v>
      </c>
      <c r="G68" s="316">
        <v>520</v>
      </c>
      <c r="H68" s="1175">
        <f t="shared" si="4"/>
        <v>100</v>
      </c>
    </row>
    <row r="69" spans="1:12" s="1166" customFormat="1" ht="12.75" customHeight="1" x14ac:dyDescent="0.25">
      <c r="A69" s="34">
        <v>3729</v>
      </c>
      <c r="B69" s="1199">
        <v>5169</v>
      </c>
      <c r="C69" s="1179"/>
      <c r="D69" s="1167" t="s">
        <v>955</v>
      </c>
      <c r="E69" s="55"/>
      <c r="F69" s="313">
        <v>20</v>
      </c>
      <c r="G69" s="315">
        <v>20</v>
      </c>
      <c r="H69" s="203">
        <f t="shared" si="4"/>
        <v>100</v>
      </c>
      <c r="J69" s="1201">
        <f>E10+E11+E16+E17+E18+E20+E23+E38+E40+E43+E47+E51+E63+E64+E65+E66</f>
        <v>18507</v>
      </c>
      <c r="K69" s="1201">
        <f>F10+F11+F12+F14+F16+F17+F18+F19+F20+F21+F23+F25+F27+F29+F31+F32+F34+F37+F38+F39+F40+F41+F43+F45+F47+F49+F51+F52+F54+F56+F58+F60+F62+F63+F64+F65+F66+F69+F70</f>
        <v>18524</v>
      </c>
      <c r="L69" s="1201">
        <f>G10+G11+G12+G14+G16+G17+G18+G19+G20+G21+G23+G25+G27+G29+G31+G32+G34+G37+G38+G39+G40+G41+G43+G45+G47+G49+G51+G52+G54+G56+G58+G60+G62+G63+G64+G65+G66+G69+G70</f>
        <v>18156</v>
      </c>
    </row>
    <row r="70" spans="1:12" s="1166" customFormat="1" ht="12.75" customHeight="1" thickBot="1" x14ac:dyDescent="0.3">
      <c r="A70" s="1206">
        <v>3729</v>
      </c>
      <c r="B70" s="1203">
        <v>5173</v>
      </c>
      <c r="C70" s="1192"/>
      <c r="D70" s="1187" t="s">
        <v>1532</v>
      </c>
      <c r="E70" s="1211"/>
      <c r="F70" s="460">
        <v>22</v>
      </c>
      <c r="G70" s="458">
        <v>10</v>
      </c>
      <c r="H70" s="1476">
        <f t="shared" si="4"/>
        <v>45.454545454545453</v>
      </c>
    </row>
    <row r="71" spans="1:12" s="1166" customFormat="1" ht="12.75" customHeight="1" thickTop="1" x14ac:dyDescent="0.25">
      <c r="A71" s="1199"/>
      <c r="B71" s="1199"/>
      <c r="C71" s="1169"/>
      <c r="D71" s="1167"/>
      <c r="E71" s="1401"/>
      <c r="F71" s="313"/>
      <c r="G71" s="313"/>
      <c r="H71" s="431"/>
    </row>
    <row r="72" spans="1:12" ht="12" customHeight="1" thickBot="1" x14ac:dyDescent="0.25">
      <c r="A72" s="655"/>
      <c r="B72" s="655"/>
      <c r="C72" s="708"/>
      <c r="D72" s="656"/>
      <c r="G72" s="886"/>
      <c r="H72" s="882" t="s">
        <v>179</v>
      </c>
      <c r="I72" s="699"/>
      <c r="J72" s="699"/>
    </row>
    <row r="73" spans="1:12" s="107" customFormat="1" ht="20.25" customHeight="1" thickTop="1" thickBot="1" x14ac:dyDescent="0.25">
      <c r="A73" s="657" t="s">
        <v>180</v>
      </c>
      <c r="B73" s="658" t="s">
        <v>181</v>
      </c>
      <c r="C73" s="702" t="s">
        <v>783</v>
      </c>
      <c r="D73" s="660" t="s">
        <v>182</v>
      </c>
      <c r="E73" s="660" t="s">
        <v>183</v>
      </c>
      <c r="F73" s="660" t="s">
        <v>985</v>
      </c>
      <c r="G73" s="660" t="s">
        <v>986</v>
      </c>
      <c r="H73" s="888" t="s">
        <v>987</v>
      </c>
      <c r="I73" s="979"/>
      <c r="J73" s="979"/>
    </row>
    <row r="74" spans="1:12" s="386" customFormat="1" ht="13.5" thickTop="1" thickBot="1" x14ac:dyDescent="0.25">
      <c r="A74" s="592">
        <v>1</v>
      </c>
      <c r="B74" s="593">
        <v>2</v>
      </c>
      <c r="C74" s="593">
        <v>3</v>
      </c>
      <c r="D74" s="593">
        <v>4</v>
      </c>
      <c r="E74" s="593">
        <v>5</v>
      </c>
      <c r="F74" s="567">
        <v>6</v>
      </c>
      <c r="G74" s="567">
        <v>7</v>
      </c>
      <c r="H74" s="662" t="s">
        <v>61</v>
      </c>
      <c r="I74" s="107"/>
    </row>
    <row r="75" spans="1:12" s="1166" customFormat="1" ht="15.75" thickTop="1" x14ac:dyDescent="0.25">
      <c r="A75" s="1205">
        <v>3741</v>
      </c>
      <c r="B75" s="1283">
        <v>5164</v>
      </c>
      <c r="C75" s="1972"/>
      <c r="D75" s="1229" t="s">
        <v>188</v>
      </c>
      <c r="E75" s="1182"/>
      <c r="F75" s="1460">
        <v>5</v>
      </c>
      <c r="G75" s="372">
        <v>5</v>
      </c>
      <c r="H75" s="1472">
        <f t="shared" si="4"/>
        <v>100</v>
      </c>
      <c r="J75" s="1201"/>
      <c r="K75" s="1201"/>
      <c r="L75" s="1201"/>
    </row>
    <row r="76" spans="1:12" s="1166" customFormat="1" ht="15" x14ac:dyDescent="0.25">
      <c r="A76" s="50">
        <v>3741</v>
      </c>
      <c r="B76" s="19">
        <v>5169</v>
      </c>
      <c r="C76" s="1488"/>
      <c r="D76" s="1167" t="s">
        <v>955</v>
      </c>
      <c r="E76" s="48">
        <v>250</v>
      </c>
      <c r="F76" s="168">
        <v>250</v>
      </c>
      <c r="G76" s="315">
        <v>250</v>
      </c>
      <c r="H76" s="203">
        <f>(G76/F76)*100</f>
        <v>100</v>
      </c>
    </row>
    <row r="77" spans="1:12" s="1166" customFormat="1" ht="15" x14ac:dyDescent="0.25">
      <c r="A77" s="50">
        <v>3741</v>
      </c>
      <c r="B77" s="19">
        <v>5173</v>
      </c>
      <c r="C77" s="1488"/>
      <c r="D77" s="1167" t="s">
        <v>1532</v>
      </c>
      <c r="E77" s="48"/>
      <c r="F77" s="168">
        <v>2</v>
      </c>
      <c r="G77" s="315">
        <v>2</v>
      </c>
      <c r="H77" s="212">
        <f t="shared" ref="H77:H91" si="5">(G77/F77)*100</f>
        <v>100</v>
      </c>
    </row>
    <row r="78" spans="1:12" s="1166" customFormat="1" ht="15" x14ac:dyDescent="0.25">
      <c r="A78" s="50">
        <v>3741</v>
      </c>
      <c r="B78" s="19">
        <v>5222</v>
      </c>
      <c r="C78" s="1488"/>
      <c r="D78" s="1279" t="s">
        <v>358</v>
      </c>
      <c r="E78" s="48"/>
      <c r="F78" s="168">
        <v>60</v>
      </c>
      <c r="G78" s="315">
        <v>60</v>
      </c>
      <c r="H78" s="212">
        <f t="shared" si="5"/>
        <v>100</v>
      </c>
    </row>
    <row r="79" spans="1:12" s="1166" customFormat="1" ht="15" x14ac:dyDescent="0.25">
      <c r="A79" s="50"/>
      <c r="B79" s="19"/>
      <c r="C79" s="1195" t="s">
        <v>1350</v>
      </c>
      <c r="D79" s="1841" t="s">
        <v>1737</v>
      </c>
      <c r="E79" s="48"/>
      <c r="F79" s="314">
        <v>60</v>
      </c>
      <c r="G79" s="316">
        <v>60</v>
      </c>
      <c r="H79" s="1184">
        <f t="shared" si="5"/>
        <v>100</v>
      </c>
    </row>
    <row r="80" spans="1:12" s="1166" customFormat="1" ht="15" x14ac:dyDescent="0.25">
      <c r="A80" s="50">
        <v>3742</v>
      </c>
      <c r="B80" s="19">
        <v>5166</v>
      </c>
      <c r="C80" s="1488"/>
      <c r="D80" s="1167" t="s">
        <v>677</v>
      </c>
      <c r="E80" s="48">
        <v>200</v>
      </c>
      <c r="F80" s="168">
        <v>193</v>
      </c>
      <c r="G80" s="315">
        <v>9</v>
      </c>
      <c r="H80" s="212">
        <f t="shared" si="5"/>
        <v>4.6632124352331603</v>
      </c>
    </row>
    <row r="81" spans="1:12" s="1166" customFormat="1" ht="15" x14ac:dyDescent="0.25">
      <c r="A81" s="50">
        <v>3742</v>
      </c>
      <c r="B81" s="19">
        <v>5169</v>
      </c>
      <c r="C81" s="1488"/>
      <c r="D81" s="1167" t="s">
        <v>955</v>
      </c>
      <c r="E81" s="48">
        <v>3000</v>
      </c>
      <c r="F81" s="168">
        <v>3000</v>
      </c>
      <c r="G81" s="315">
        <v>2942</v>
      </c>
      <c r="H81" s="212">
        <f t="shared" si="5"/>
        <v>98.066666666666663</v>
      </c>
    </row>
    <row r="82" spans="1:12" s="1166" customFormat="1" ht="15" x14ac:dyDescent="0.25">
      <c r="A82" s="50">
        <v>3742</v>
      </c>
      <c r="B82" s="19">
        <v>5222</v>
      </c>
      <c r="C82" s="1488"/>
      <c r="D82" s="1279" t="s">
        <v>358</v>
      </c>
      <c r="E82" s="48"/>
      <c r="F82" s="168">
        <v>50</v>
      </c>
      <c r="G82" s="315">
        <v>50</v>
      </c>
      <c r="H82" s="212">
        <f t="shared" si="5"/>
        <v>100</v>
      </c>
    </row>
    <row r="83" spans="1:12" s="1166" customFormat="1" ht="15" x14ac:dyDescent="0.25">
      <c r="A83" s="50"/>
      <c r="B83" s="19"/>
      <c r="C83" s="1195" t="s">
        <v>272</v>
      </c>
      <c r="D83" s="1173" t="s">
        <v>348</v>
      </c>
      <c r="E83" s="48"/>
      <c r="F83" s="314">
        <v>50</v>
      </c>
      <c r="G83" s="316">
        <v>50</v>
      </c>
      <c r="H83" s="1184">
        <f t="shared" si="5"/>
        <v>100</v>
      </c>
    </row>
    <row r="84" spans="1:12" s="1166" customFormat="1" ht="15" x14ac:dyDescent="0.25">
      <c r="A84" s="50">
        <v>3745</v>
      </c>
      <c r="B84" s="19">
        <v>5321</v>
      </c>
      <c r="C84" s="1195"/>
      <c r="D84" s="1167" t="s">
        <v>1349</v>
      </c>
      <c r="E84" s="48"/>
      <c r="F84" s="313">
        <v>400</v>
      </c>
      <c r="G84" s="315">
        <v>400</v>
      </c>
      <c r="H84" s="212">
        <f t="shared" si="5"/>
        <v>100</v>
      </c>
    </row>
    <row r="85" spans="1:12" s="1166" customFormat="1" ht="15" x14ac:dyDescent="0.25">
      <c r="A85" s="50"/>
      <c r="B85" s="19"/>
      <c r="C85" s="1195" t="s">
        <v>272</v>
      </c>
      <c r="D85" s="1173" t="s">
        <v>348</v>
      </c>
      <c r="E85" s="48"/>
      <c r="F85" s="314">
        <v>400</v>
      </c>
      <c r="G85" s="316">
        <v>400</v>
      </c>
      <c r="H85" s="1184">
        <f t="shared" si="5"/>
        <v>100</v>
      </c>
    </row>
    <row r="86" spans="1:12" s="1166" customFormat="1" ht="15" x14ac:dyDescent="0.25">
      <c r="A86" s="50">
        <v>3745</v>
      </c>
      <c r="B86" s="19">
        <v>5493</v>
      </c>
      <c r="C86" s="1195"/>
      <c r="D86" s="309" t="s">
        <v>768</v>
      </c>
      <c r="E86" s="48"/>
      <c r="F86" s="313">
        <v>25</v>
      </c>
      <c r="G86" s="315">
        <v>25</v>
      </c>
      <c r="H86" s="212">
        <f t="shared" si="5"/>
        <v>100</v>
      </c>
    </row>
    <row r="87" spans="1:12" s="1166" customFormat="1" ht="15" x14ac:dyDescent="0.25">
      <c r="A87" s="50"/>
      <c r="B87" s="19"/>
      <c r="C87" s="1195" t="s">
        <v>1350</v>
      </c>
      <c r="D87" s="1841" t="s">
        <v>1737</v>
      </c>
      <c r="E87" s="48"/>
      <c r="F87" s="314">
        <v>25</v>
      </c>
      <c r="G87" s="316">
        <v>25</v>
      </c>
      <c r="H87" s="1184">
        <f t="shared" si="5"/>
        <v>100</v>
      </c>
    </row>
    <row r="88" spans="1:12" s="1166" customFormat="1" ht="15" x14ac:dyDescent="0.25">
      <c r="A88" s="50">
        <v>3769</v>
      </c>
      <c r="B88" s="19">
        <v>5166</v>
      </c>
      <c r="C88" s="1488"/>
      <c r="D88" s="1167" t="s">
        <v>677</v>
      </c>
      <c r="E88" s="48">
        <v>380</v>
      </c>
      <c r="F88" s="168">
        <v>280</v>
      </c>
      <c r="G88" s="315">
        <v>87</v>
      </c>
      <c r="H88" s="212">
        <f t="shared" si="5"/>
        <v>31.071428571428573</v>
      </c>
    </row>
    <row r="89" spans="1:12" s="1166" customFormat="1" ht="15" x14ac:dyDescent="0.25">
      <c r="A89" s="50">
        <v>3769</v>
      </c>
      <c r="B89" s="19">
        <v>5169</v>
      </c>
      <c r="C89" s="1488"/>
      <c r="D89" s="1167" t="s">
        <v>955</v>
      </c>
      <c r="E89" s="48">
        <v>20</v>
      </c>
      <c r="F89" s="168">
        <v>20</v>
      </c>
      <c r="G89" s="315">
        <v>8</v>
      </c>
      <c r="H89" s="212">
        <f t="shared" si="5"/>
        <v>40</v>
      </c>
    </row>
    <row r="90" spans="1:12" s="1166" customFormat="1" ht="15" x14ac:dyDescent="0.25">
      <c r="A90" s="50">
        <v>3769</v>
      </c>
      <c r="B90" s="19">
        <v>5192</v>
      </c>
      <c r="C90" s="1488"/>
      <c r="D90" s="1167" t="s">
        <v>1380</v>
      </c>
      <c r="E90" s="48"/>
      <c r="F90" s="168">
        <v>6327</v>
      </c>
      <c r="G90" s="315">
        <v>6327</v>
      </c>
      <c r="H90" s="212">
        <f t="shared" si="5"/>
        <v>100</v>
      </c>
    </row>
    <row r="91" spans="1:12" s="1166" customFormat="1" ht="15.75" thickBot="1" x14ac:dyDescent="0.3">
      <c r="A91" s="34"/>
      <c r="B91" s="154"/>
      <c r="C91" s="1179" t="s">
        <v>685</v>
      </c>
      <c r="D91" s="1174" t="s">
        <v>686</v>
      </c>
      <c r="E91" s="48"/>
      <c r="F91" s="314">
        <v>6327</v>
      </c>
      <c r="G91" s="316">
        <v>6327</v>
      </c>
      <c r="H91" s="1184">
        <f t="shared" si="5"/>
        <v>100</v>
      </c>
      <c r="J91" s="1201"/>
      <c r="K91" s="1201"/>
    </row>
    <row r="92" spans="1:12" s="362" customFormat="1" ht="35.25" customHeight="1" thickTop="1" thickBot="1" x14ac:dyDescent="0.3">
      <c r="A92" s="663" t="s">
        <v>268</v>
      </c>
      <c r="B92" s="664"/>
      <c r="C92" s="707"/>
      <c r="D92" s="666"/>
      <c r="E92" s="667">
        <f>J69+J92</f>
        <v>22357</v>
      </c>
      <c r="F92" s="667">
        <f>K69+K92</f>
        <v>29136</v>
      </c>
      <c r="G92" s="667">
        <f>L69+L92</f>
        <v>28321</v>
      </c>
      <c r="H92" s="1006">
        <f>(G92/F92)*100</f>
        <v>97.202773201537624</v>
      </c>
      <c r="J92" s="725">
        <f>E76+E80+E81+E88+E89</f>
        <v>3850</v>
      </c>
      <c r="K92" s="725">
        <f>F75+F76+F77+F78+F80+F81+F82+F84+F86+F88+F89+F90</f>
        <v>10612</v>
      </c>
      <c r="L92" s="725">
        <f>G75+G76+G77+G78+G80+G81+G82+G84+G86+G88+G89+G90</f>
        <v>10165</v>
      </c>
    </row>
    <row r="93" spans="1:12" s="362" customFormat="1" ht="18.75" customHeight="1" thickTop="1" x14ac:dyDescent="0.25">
      <c r="A93" s="360"/>
      <c r="B93" s="361"/>
      <c r="C93" s="142"/>
      <c r="D93" s="361"/>
      <c r="E93" s="181"/>
      <c r="F93" s="181"/>
      <c r="G93" s="181"/>
      <c r="H93" s="210"/>
    </row>
    <row r="94" spans="1:12" s="362" customFormat="1" ht="18.75" customHeight="1" x14ac:dyDescent="0.25">
      <c r="A94" s="360"/>
      <c r="B94" s="361"/>
      <c r="C94" s="142"/>
      <c r="D94" s="361"/>
      <c r="E94" s="181"/>
      <c r="F94" s="181"/>
      <c r="G94" s="181"/>
      <c r="H94" s="210"/>
    </row>
    <row r="95" spans="1:12" s="362" customFormat="1" ht="18.75" customHeight="1" x14ac:dyDescent="0.25">
      <c r="A95" s="360"/>
      <c r="B95" s="361"/>
      <c r="C95" s="142"/>
      <c r="D95" s="361"/>
      <c r="E95" s="181"/>
      <c r="F95" s="181"/>
      <c r="G95" s="181"/>
      <c r="H95" s="210"/>
    </row>
    <row r="96" spans="1:12" s="558" customFormat="1" ht="15.75" x14ac:dyDescent="0.25">
      <c r="A96" s="33" t="s">
        <v>1403</v>
      </c>
      <c r="B96" s="669"/>
      <c r="C96" s="708"/>
      <c r="D96" s="709"/>
      <c r="E96" s="710"/>
      <c r="F96" s="711"/>
      <c r="G96" s="712"/>
      <c r="H96" s="713"/>
    </row>
    <row r="97" spans="1:9" s="558" customFormat="1" ht="15.75" thickBot="1" x14ac:dyDescent="0.3">
      <c r="A97" s="669"/>
      <c r="B97" s="669"/>
      <c r="C97" s="708"/>
      <c r="D97" s="709"/>
      <c r="E97" s="710"/>
      <c r="F97" s="711"/>
      <c r="G97" s="712"/>
      <c r="H97" s="882" t="s">
        <v>179</v>
      </c>
    </row>
    <row r="98" spans="1:9" s="107" customFormat="1" ht="20.25" customHeight="1" thickTop="1" thickBot="1" x14ac:dyDescent="0.25">
      <c r="A98" s="657" t="s">
        <v>180</v>
      </c>
      <c r="B98" s="658" t="s">
        <v>181</v>
      </c>
      <c r="C98" s="702" t="s">
        <v>783</v>
      </c>
      <c r="D98" s="835" t="s">
        <v>182</v>
      </c>
      <c r="E98" s="660" t="s">
        <v>183</v>
      </c>
      <c r="F98" s="660" t="s">
        <v>985</v>
      </c>
      <c r="G98" s="660" t="s">
        <v>986</v>
      </c>
      <c r="H98" s="888" t="s">
        <v>987</v>
      </c>
    </row>
    <row r="99" spans="1:9" s="386" customFormat="1" ht="13.5" thickTop="1" thickBot="1" x14ac:dyDescent="0.25">
      <c r="A99" s="592">
        <v>1</v>
      </c>
      <c r="B99" s="593">
        <v>2</v>
      </c>
      <c r="C99" s="593">
        <v>3</v>
      </c>
      <c r="D99" s="593">
        <v>4</v>
      </c>
      <c r="E99" s="593">
        <v>5</v>
      </c>
      <c r="F99" s="567">
        <v>6</v>
      </c>
      <c r="G99" s="567">
        <v>7</v>
      </c>
      <c r="H99" s="662" t="s">
        <v>61</v>
      </c>
      <c r="I99" s="107"/>
    </row>
    <row r="100" spans="1:9" s="1166" customFormat="1" ht="15.75" thickTop="1" x14ac:dyDescent="0.25">
      <c r="A100" s="1205">
        <v>1037</v>
      </c>
      <c r="B100" s="1283">
        <v>6313</v>
      </c>
      <c r="C100" s="1196"/>
      <c r="D100" s="1302" t="s">
        <v>1390</v>
      </c>
      <c r="E100" s="1300"/>
      <c r="F100" s="465">
        <v>3942</v>
      </c>
      <c r="G100" s="372">
        <v>3942</v>
      </c>
      <c r="H100" s="203">
        <f>(G100/F100)*100</f>
        <v>100</v>
      </c>
    </row>
    <row r="101" spans="1:9" s="1166" customFormat="1" x14ac:dyDescent="0.2">
      <c r="A101" s="34"/>
      <c r="B101" s="1199"/>
      <c r="C101" s="1178" t="s">
        <v>1149</v>
      </c>
      <c r="D101" s="2729" t="s">
        <v>1391</v>
      </c>
      <c r="E101" s="55"/>
      <c r="F101" s="314">
        <v>3942</v>
      </c>
      <c r="G101" s="316">
        <v>3942</v>
      </c>
      <c r="H101" s="1175">
        <f>(G101/F101)*100</f>
        <v>100</v>
      </c>
    </row>
    <row r="102" spans="1:9" s="1166" customFormat="1" x14ac:dyDescent="0.2">
      <c r="A102" s="34"/>
      <c r="B102" s="1199"/>
      <c r="C102" s="1178"/>
      <c r="D102" s="2729"/>
      <c r="E102" s="55"/>
      <c r="F102" s="314"/>
      <c r="G102" s="316"/>
      <c r="H102" s="1175"/>
    </row>
    <row r="103" spans="1:9" s="1166" customFormat="1" ht="15" x14ac:dyDescent="0.25">
      <c r="A103" s="34">
        <v>1070</v>
      </c>
      <c r="B103" s="1199">
        <v>6322</v>
      </c>
      <c r="C103" s="1195"/>
      <c r="D103" s="309" t="s">
        <v>1290</v>
      </c>
      <c r="E103" s="55"/>
      <c r="F103" s="313">
        <v>200</v>
      </c>
      <c r="G103" s="315">
        <v>200</v>
      </c>
      <c r="H103" s="203">
        <f t="shared" ref="H103:H120" si="6">(G103/F103)*100</f>
        <v>100</v>
      </c>
    </row>
    <row r="104" spans="1:9" s="1166" customFormat="1" x14ac:dyDescent="0.2">
      <c r="A104" s="34"/>
      <c r="B104" s="1199"/>
      <c r="C104" s="1195" t="s">
        <v>272</v>
      </c>
      <c r="D104" s="1173" t="s">
        <v>348</v>
      </c>
      <c r="E104" s="55"/>
      <c r="F104" s="314">
        <v>200</v>
      </c>
      <c r="G104" s="316">
        <v>200</v>
      </c>
      <c r="H104" s="1175">
        <f t="shared" si="6"/>
        <v>100</v>
      </c>
    </row>
    <row r="105" spans="1:9" s="1166" customFormat="1" ht="15" x14ac:dyDescent="0.25">
      <c r="A105" s="34">
        <v>2310</v>
      </c>
      <c r="B105" s="1199">
        <v>6341</v>
      </c>
      <c r="C105" s="1488"/>
      <c r="D105" s="1167" t="s">
        <v>271</v>
      </c>
      <c r="E105" s="55"/>
      <c r="F105" s="313">
        <v>249</v>
      </c>
      <c r="G105" s="315">
        <v>249</v>
      </c>
      <c r="H105" s="203">
        <f t="shared" si="6"/>
        <v>100</v>
      </c>
    </row>
    <row r="106" spans="1:9" s="1166" customFormat="1" x14ac:dyDescent="0.2">
      <c r="A106" s="34"/>
      <c r="B106" s="1199"/>
      <c r="C106" s="1179" t="s">
        <v>683</v>
      </c>
      <c r="D106" s="1173" t="s">
        <v>684</v>
      </c>
      <c r="E106" s="55"/>
      <c r="F106" s="314">
        <v>249</v>
      </c>
      <c r="G106" s="316">
        <v>249</v>
      </c>
      <c r="H106" s="1175">
        <f t="shared" si="6"/>
        <v>100</v>
      </c>
    </row>
    <row r="107" spans="1:9" s="1166" customFormat="1" ht="15" x14ac:dyDescent="0.25">
      <c r="A107" s="34">
        <v>2321</v>
      </c>
      <c r="B107" s="1199">
        <v>6313</v>
      </c>
      <c r="C107" s="1179"/>
      <c r="D107" s="309" t="s">
        <v>1390</v>
      </c>
      <c r="E107" s="71"/>
      <c r="F107" s="313">
        <v>3244</v>
      </c>
      <c r="G107" s="315">
        <v>3244</v>
      </c>
      <c r="H107" s="203">
        <f t="shared" si="6"/>
        <v>100</v>
      </c>
    </row>
    <row r="108" spans="1:9" s="1166" customFormat="1" ht="15" x14ac:dyDescent="0.25">
      <c r="A108" s="34"/>
      <c r="B108" s="1199"/>
      <c r="C108" s="1178" t="s">
        <v>22</v>
      </c>
      <c r="D108" s="1173" t="s">
        <v>1351</v>
      </c>
      <c r="E108" s="71"/>
      <c r="F108" s="314">
        <v>3244</v>
      </c>
      <c r="G108" s="316">
        <v>3244</v>
      </c>
      <c r="H108" s="1175">
        <f t="shared" si="6"/>
        <v>100</v>
      </c>
    </row>
    <row r="109" spans="1:9" s="1166" customFormat="1" ht="15" x14ac:dyDescent="0.25">
      <c r="A109" s="34">
        <v>2321</v>
      </c>
      <c r="B109" s="1199">
        <v>6341</v>
      </c>
      <c r="C109" s="1488"/>
      <c r="D109" s="1167" t="s">
        <v>271</v>
      </c>
      <c r="E109" s="48"/>
      <c r="F109" s="168">
        <v>3415</v>
      </c>
      <c r="G109" s="315">
        <v>3415</v>
      </c>
      <c r="H109" s="203">
        <f t="shared" si="6"/>
        <v>100</v>
      </c>
    </row>
    <row r="110" spans="1:9" s="1166" customFormat="1" x14ac:dyDescent="0.2">
      <c r="A110" s="34"/>
      <c r="B110" s="1199"/>
      <c r="C110" s="1179" t="s">
        <v>683</v>
      </c>
      <c r="D110" s="1173" t="s">
        <v>684</v>
      </c>
      <c r="E110" s="55"/>
      <c r="F110" s="314">
        <v>3415</v>
      </c>
      <c r="G110" s="316">
        <v>3415</v>
      </c>
      <c r="H110" s="1175">
        <f t="shared" si="6"/>
        <v>100</v>
      </c>
    </row>
    <row r="111" spans="1:9" s="1166" customFormat="1" ht="15" x14ac:dyDescent="0.25">
      <c r="A111" s="34">
        <v>2399</v>
      </c>
      <c r="B111" s="1199">
        <v>6313</v>
      </c>
      <c r="C111" s="1179"/>
      <c r="D111" s="309" t="s">
        <v>1390</v>
      </c>
      <c r="E111" s="71">
        <v>1000</v>
      </c>
      <c r="F111" s="313">
        <v>180</v>
      </c>
      <c r="G111" s="315">
        <v>180</v>
      </c>
      <c r="H111" s="203">
        <f t="shared" si="6"/>
        <v>100</v>
      </c>
    </row>
    <row r="112" spans="1:9" s="1166" customFormat="1" ht="15" x14ac:dyDescent="0.25">
      <c r="A112" s="34">
        <v>2399</v>
      </c>
      <c r="B112" s="1199">
        <v>6341</v>
      </c>
      <c r="C112" s="1179"/>
      <c r="D112" s="1167" t="s">
        <v>271</v>
      </c>
      <c r="E112" s="55"/>
      <c r="F112" s="313">
        <v>3500</v>
      </c>
      <c r="G112" s="315">
        <v>3500</v>
      </c>
      <c r="H112" s="203">
        <f t="shared" si="6"/>
        <v>100</v>
      </c>
    </row>
    <row r="113" spans="1:8" s="1166" customFormat="1" x14ac:dyDescent="0.2">
      <c r="A113" s="34"/>
      <c r="B113" s="1199"/>
      <c r="C113" s="1195" t="s">
        <v>272</v>
      </c>
      <c r="D113" s="1173" t="s">
        <v>348</v>
      </c>
      <c r="E113" s="55"/>
      <c r="F113" s="314">
        <v>3500</v>
      </c>
      <c r="G113" s="316">
        <v>3500</v>
      </c>
      <c r="H113" s="1175">
        <f t="shared" si="6"/>
        <v>100</v>
      </c>
    </row>
    <row r="114" spans="1:8" s="1166" customFormat="1" ht="15" x14ac:dyDescent="0.25">
      <c r="A114" s="34">
        <v>3429</v>
      </c>
      <c r="B114" s="1199">
        <v>6322</v>
      </c>
      <c r="C114" s="1195"/>
      <c r="D114" s="87" t="s">
        <v>71</v>
      </c>
      <c r="E114" s="48"/>
      <c r="F114" s="313">
        <v>180</v>
      </c>
      <c r="G114" s="315">
        <v>180</v>
      </c>
      <c r="H114" s="203">
        <f t="shared" si="6"/>
        <v>100</v>
      </c>
    </row>
    <row r="115" spans="1:8" s="1166" customFormat="1" ht="15" x14ac:dyDescent="0.25">
      <c r="A115" s="34"/>
      <c r="B115" s="1199"/>
      <c r="C115" s="1195" t="s">
        <v>272</v>
      </c>
      <c r="D115" s="1173" t="s">
        <v>348</v>
      </c>
      <c r="E115" s="48"/>
      <c r="F115" s="314">
        <v>180</v>
      </c>
      <c r="G115" s="316">
        <v>180</v>
      </c>
      <c r="H115" s="1175">
        <f t="shared" si="6"/>
        <v>100</v>
      </c>
    </row>
    <row r="116" spans="1:8" s="1166" customFormat="1" ht="15" x14ac:dyDescent="0.25">
      <c r="A116" s="34">
        <v>3739</v>
      </c>
      <c r="B116" s="1199">
        <v>6341</v>
      </c>
      <c r="C116" s="1195"/>
      <c r="D116" s="1167" t="s">
        <v>271</v>
      </c>
      <c r="E116" s="48"/>
      <c r="F116" s="313">
        <v>300</v>
      </c>
      <c r="G116" s="315">
        <v>300</v>
      </c>
      <c r="H116" s="203">
        <f t="shared" si="6"/>
        <v>100</v>
      </c>
    </row>
    <row r="117" spans="1:8" s="1166" customFormat="1" ht="15" x14ac:dyDescent="0.25">
      <c r="A117" s="34"/>
      <c r="B117" s="1199"/>
      <c r="C117" s="1179" t="s">
        <v>683</v>
      </c>
      <c r="D117" s="1173" t="s">
        <v>684</v>
      </c>
      <c r="E117" s="48"/>
      <c r="F117" s="314">
        <v>300</v>
      </c>
      <c r="G117" s="316">
        <v>300</v>
      </c>
      <c r="H117" s="1175">
        <f t="shared" si="6"/>
        <v>100</v>
      </c>
    </row>
    <row r="118" spans="1:8" s="1166" customFormat="1" ht="15" x14ac:dyDescent="0.25">
      <c r="A118" s="34">
        <v>3741</v>
      </c>
      <c r="B118" s="1199">
        <v>6341</v>
      </c>
      <c r="C118" s="1195"/>
      <c r="D118" s="1167" t="s">
        <v>271</v>
      </c>
      <c r="E118" s="48"/>
      <c r="F118" s="168">
        <v>1580</v>
      </c>
      <c r="G118" s="315">
        <v>1580</v>
      </c>
      <c r="H118" s="203">
        <f t="shared" si="6"/>
        <v>100</v>
      </c>
    </row>
    <row r="119" spans="1:8" s="1166" customFormat="1" ht="15.75" thickBot="1" x14ac:dyDescent="0.3">
      <c r="A119" s="1206"/>
      <c r="B119" s="1203"/>
      <c r="C119" s="1234" t="s">
        <v>272</v>
      </c>
      <c r="D119" s="1215" t="s">
        <v>348</v>
      </c>
      <c r="E119" s="1194"/>
      <c r="F119" s="456">
        <v>1580</v>
      </c>
      <c r="G119" s="457">
        <v>1580</v>
      </c>
      <c r="H119" s="1602">
        <f t="shared" si="6"/>
        <v>100</v>
      </c>
    </row>
    <row r="120" spans="1:8" s="362" customFormat="1" ht="35.25" customHeight="1" thickTop="1" thickBot="1" x14ac:dyDescent="0.3">
      <c r="A120" s="720" t="s">
        <v>267</v>
      </c>
      <c r="B120" s="721"/>
      <c r="C120" s="722"/>
      <c r="D120" s="721"/>
      <c r="E120" s="723">
        <f>E111</f>
        <v>1000</v>
      </c>
      <c r="F120" s="723">
        <f>F100+F103+F105+F107+F109+F111+F112+F114+F116+F118</f>
        <v>16790</v>
      </c>
      <c r="G120" s="723">
        <f>G100+G103+G105+G107+G109+G111+G112+G114+G116+G118</f>
        <v>16790</v>
      </c>
      <c r="H120" s="1007">
        <f t="shared" si="6"/>
        <v>100</v>
      </c>
    </row>
    <row r="121" spans="1:8" s="558" customFormat="1" ht="15.75" thickTop="1" x14ac:dyDescent="0.25">
      <c r="A121" s="669"/>
      <c r="B121" s="669"/>
      <c r="C121" s="708"/>
      <c r="D121" s="709"/>
      <c r="E121" s="710"/>
      <c r="F121" s="711"/>
      <c r="G121" s="712"/>
      <c r="H121" s="713"/>
    </row>
    <row r="122" spans="1:8" s="558" customFormat="1" ht="15" x14ac:dyDescent="0.25">
      <c r="A122" s="669"/>
      <c r="B122" s="669"/>
      <c r="C122" s="708"/>
      <c r="D122" s="709"/>
      <c r="E122" s="710"/>
      <c r="F122" s="711"/>
      <c r="G122" s="712"/>
      <c r="H122" s="713"/>
    </row>
    <row r="123" spans="1:8" ht="16.5" x14ac:dyDescent="0.25">
      <c r="A123" s="363" t="s">
        <v>220</v>
      </c>
      <c r="B123" s="364"/>
      <c r="C123" s="365"/>
      <c r="D123" s="365"/>
      <c r="E123" s="1008">
        <f>E124+E125+E126+E127</f>
        <v>23357</v>
      </c>
      <c r="F123" s="1008">
        <f>F124+F125+F126+F127</f>
        <v>45926</v>
      </c>
      <c r="G123" s="1008">
        <f>G124+G125+G126+G127</f>
        <v>45111</v>
      </c>
      <c r="H123" s="305">
        <f>G123/F123*100</f>
        <v>98.225406088054697</v>
      </c>
    </row>
    <row r="124" spans="1:8" s="1389" customFormat="1" ht="15" x14ac:dyDescent="0.2">
      <c r="A124" s="581" t="s">
        <v>288</v>
      </c>
      <c r="B124" s="611"/>
      <c r="C124" s="612"/>
      <c r="D124" s="612"/>
      <c r="E124" s="1009">
        <f>E92</f>
        <v>22357</v>
      </c>
      <c r="F124" s="1009">
        <f>F92-F126</f>
        <v>22289</v>
      </c>
      <c r="G124" s="1009">
        <f>G92-G126</f>
        <v>21474</v>
      </c>
      <c r="H124" s="306">
        <f>G124/F124*100</f>
        <v>96.343487819103586</v>
      </c>
    </row>
    <row r="125" spans="1:8" s="1389" customFormat="1" ht="15" x14ac:dyDescent="0.2">
      <c r="A125" s="581" t="s">
        <v>289</v>
      </c>
      <c r="B125" s="616"/>
      <c r="C125" s="612"/>
      <c r="D125" s="612"/>
      <c r="E125" s="1010">
        <f>E120</f>
        <v>1000</v>
      </c>
      <c r="F125" s="1010">
        <f>F120-F127</f>
        <v>12848</v>
      </c>
      <c r="G125" s="1010">
        <f>G120-G127</f>
        <v>12848</v>
      </c>
      <c r="H125" s="306">
        <f>G125/F125*100</f>
        <v>100</v>
      </c>
    </row>
    <row r="126" spans="1:8" s="1389" customFormat="1" ht="15" x14ac:dyDescent="0.2">
      <c r="A126" s="581" t="s">
        <v>227</v>
      </c>
      <c r="B126" s="616"/>
      <c r="C126" s="612"/>
      <c r="D126" s="612"/>
      <c r="E126" s="1009">
        <v>0</v>
      </c>
      <c r="F126" s="1009">
        <f>F68+F91</f>
        <v>6847</v>
      </c>
      <c r="G126" s="1009">
        <f>G68+G91</f>
        <v>6847</v>
      </c>
      <c r="H126" s="306">
        <f>G126/F126*100</f>
        <v>100</v>
      </c>
    </row>
    <row r="127" spans="1:8" s="1389" customFormat="1" ht="15" x14ac:dyDescent="0.2">
      <c r="A127" s="581" t="s">
        <v>1291</v>
      </c>
      <c r="B127" s="616"/>
      <c r="C127" s="612"/>
      <c r="D127" s="612"/>
      <c r="E127" s="1009">
        <v>0</v>
      </c>
      <c r="F127" s="618">
        <f>F101</f>
        <v>3942</v>
      </c>
      <c r="G127" s="618">
        <f>G101</f>
        <v>3942</v>
      </c>
      <c r="H127" s="306">
        <f>G127/F127*100</f>
        <v>100</v>
      </c>
    </row>
    <row r="128" spans="1:8" s="1389" customFormat="1" ht="15" x14ac:dyDescent="0.2">
      <c r="A128" s="581"/>
      <c r="B128" s="616"/>
      <c r="C128" s="612"/>
      <c r="D128" s="612"/>
      <c r="E128" s="1009"/>
      <c r="F128" s="618"/>
      <c r="G128" s="618"/>
      <c r="H128" s="306"/>
    </row>
    <row r="129" spans="1:8" s="558" customFormat="1" x14ac:dyDescent="0.2">
      <c r="A129" s="803"/>
      <c r="B129" s="1011"/>
      <c r="C129" s="1012"/>
      <c r="D129" s="108"/>
      <c r="E129" s="464"/>
      <c r="F129" s="464"/>
      <c r="G129" s="464"/>
      <c r="H129" s="964"/>
    </row>
    <row r="130" spans="1:8" s="58" customFormat="1" ht="47.25" customHeight="1" thickBot="1" x14ac:dyDescent="0.4">
      <c r="A130" s="2710" t="s">
        <v>1334</v>
      </c>
      <c r="B130" s="2711"/>
      <c r="C130" s="2711"/>
      <c r="D130" s="2711"/>
      <c r="E130" s="619">
        <f>E120+E92</f>
        <v>23357</v>
      </c>
      <c r="F130" s="619">
        <f>F120+F92</f>
        <v>45926</v>
      </c>
      <c r="G130" s="619">
        <f>G120+G92</f>
        <v>45111</v>
      </c>
      <c r="H130" s="1013">
        <f>(G130/F130)*100</f>
        <v>98.225406088054697</v>
      </c>
    </row>
    <row r="131" spans="1:8" ht="15" thickTop="1" x14ac:dyDescent="0.2"/>
  </sheetData>
  <mergeCells count="2">
    <mergeCell ref="A130:D130"/>
    <mergeCell ref="D101:D102"/>
  </mergeCells>
  <phoneticPr fontId="0" type="noConversion"/>
  <pageMargins left="0.98425196850393704" right="0.98425196850393704" top="0.98425196850393704" bottom="0.98425196850393704" header="0.51181102362204722" footer="0.51181102362204722"/>
  <pageSetup paperSize="9" scale="70" firstPageNumber="42" orientation="portrait" useFirstPageNumber="1" r:id="rId1"/>
  <headerFooter alignWithMargins="0">
    <oddFooter xml:space="preserve">&amp;L&amp;"Arial,Kurzíva"Zastupitelstvo Olomouckého kraje 28. 6. 2013
6.- Závěrečný  účet Olomuckého kraje za rok 2012
Příloha č. 3: Plnění rozpočtu výdajů Olomouckého kraje k 31.12.2012&amp;R&amp;"Arial,Kurzíva"Strana &amp;P (Celkem 484)
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 enableFormatConditionsCalculation="0">
    <tabColor rgb="FF92D050"/>
  </sheetPr>
  <dimension ref="A1:U291"/>
  <sheetViews>
    <sheetView showGridLines="0" view="pageBreakPreview" topLeftCell="D1" zoomScaleNormal="100" zoomScaleSheetLayoutView="100" workbookViewId="0">
      <selection activeCell="B103" sqref="B103"/>
    </sheetView>
  </sheetViews>
  <sheetFormatPr defaultRowHeight="14.25" x14ac:dyDescent="0.2"/>
  <cols>
    <col min="1" max="1" width="5.28515625" style="669" customWidth="1"/>
    <col min="2" max="2" width="5.28515625" style="384" customWidth="1"/>
    <col min="3" max="3" width="8.85546875" style="691" customWidth="1"/>
    <col min="4" max="4" width="47.140625" style="384" customWidth="1"/>
    <col min="5" max="5" width="12.42578125" style="548" customWidth="1"/>
    <col min="6" max="6" width="14.85546875" style="548" customWidth="1"/>
    <col min="7" max="7" width="14.5703125" style="548" customWidth="1"/>
    <col min="8" max="8" width="8.28515625" style="825" customWidth="1"/>
    <col min="9" max="9" width="11.42578125" style="384" bestFit="1" customWidth="1"/>
    <col min="10" max="10" width="11.7109375" style="384" customWidth="1"/>
    <col min="11" max="11" width="14" style="384" customWidth="1"/>
    <col min="12" max="12" width="14.5703125" style="384" customWidth="1"/>
    <col min="13" max="13" width="10" style="384" bestFit="1" customWidth="1"/>
    <col min="14" max="16384" width="9.140625" style="384"/>
  </cols>
  <sheetData>
    <row r="1" spans="1:9" ht="18.75" thickBot="1" x14ac:dyDescent="0.3">
      <c r="A1" s="487" t="s">
        <v>789</v>
      </c>
      <c r="B1" s="488"/>
      <c r="C1" s="489"/>
      <c r="D1" s="499"/>
      <c r="E1" s="1647"/>
      <c r="F1" s="491" t="s">
        <v>790</v>
      </c>
    </row>
    <row r="2" spans="1:9" ht="12.75" customHeight="1" x14ac:dyDescent="0.25">
      <c r="A2" s="6"/>
      <c r="B2" s="28"/>
      <c r="C2" s="142"/>
      <c r="D2" s="10"/>
      <c r="E2" s="485"/>
      <c r="F2" s="485"/>
      <c r="G2" s="168"/>
      <c r="H2" s="213"/>
    </row>
    <row r="3" spans="1:9" ht="12.75" customHeight="1" x14ac:dyDescent="0.25">
      <c r="A3" s="67" t="s">
        <v>404</v>
      </c>
      <c r="B3" s="308"/>
      <c r="C3" s="1648" t="s">
        <v>235</v>
      </c>
      <c r="D3" s="653"/>
      <c r="E3" s="485"/>
      <c r="F3" s="168"/>
      <c r="G3" s="181"/>
      <c r="H3" s="213"/>
    </row>
    <row r="4" spans="1:9" ht="12.75" customHeight="1" x14ac:dyDescent="0.25">
      <c r="A4" s="6"/>
      <c r="B4" s="28"/>
      <c r="C4" s="1648" t="s">
        <v>507</v>
      </c>
      <c r="D4" s="385"/>
      <c r="E4" s="485"/>
      <c r="F4" s="168"/>
      <c r="G4" s="181"/>
      <c r="H4" s="213"/>
    </row>
    <row r="5" spans="1:9" ht="6" customHeight="1" x14ac:dyDescent="0.25">
      <c r="A5" s="6"/>
      <c r="B5" s="28"/>
      <c r="C5" s="142"/>
      <c r="D5" s="10"/>
      <c r="E5" s="485"/>
      <c r="F5" s="485"/>
      <c r="G5" s="168"/>
      <c r="H5" s="213"/>
    </row>
    <row r="6" spans="1:9" ht="15.75" x14ac:dyDescent="0.25">
      <c r="A6" s="98" t="s">
        <v>988</v>
      </c>
      <c r="B6" s="28"/>
      <c r="C6" s="142"/>
      <c r="D6" s="10"/>
      <c r="E6" s="485"/>
      <c r="F6" s="485"/>
      <c r="G6" s="168"/>
    </row>
    <row r="7" spans="1:9" ht="12.75" customHeight="1" thickBot="1" x14ac:dyDescent="0.3">
      <c r="A7" s="98"/>
      <c r="B7" s="28"/>
      <c r="C7" s="142"/>
      <c r="D7" s="10"/>
      <c r="E7" s="485"/>
      <c r="F7" s="485"/>
      <c r="G7" s="168"/>
      <c r="H7" s="2025" t="s">
        <v>179</v>
      </c>
    </row>
    <row r="8" spans="1:9" s="107" customFormat="1" ht="20.25" customHeight="1" thickTop="1" thickBot="1" x14ac:dyDescent="0.25">
      <c r="A8" s="657" t="s">
        <v>180</v>
      </c>
      <c r="B8" s="658" t="s">
        <v>181</v>
      </c>
      <c r="C8" s="702" t="s">
        <v>783</v>
      </c>
      <c r="D8" s="660" t="s">
        <v>182</v>
      </c>
      <c r="E8" s="660" t="s">
        <v>183</v>
      </c>
      <c r="F8" s="660" t="s">
        <v>985</v>
      </c>
      <c r="G8" s="660" t="s">
        <v>986</v>
      </c>
      <c r="H8" s="661" t="s">
        <v>987</v>
      </c>
    </row>
    <row r="9" spans="1:9" s="386" customFormat="1" ht="13.5" thickTop="1" thickBot="1" x14ac:dyDescent="0.25">
      <c r="A9" s="592">
        <v>1</v>
      </c>
      <c r="B9" s="593">
        <v>2</v>
      </c>
      <c r="C9" s="593">
        <v>3</v>
      </c>
      <c r="D9" s="593">
        <v>4</v>
      </c>
      <c r="E9" s="593">
        <v>5</v>
      </c>
      <c r="F9" s="567">
        <v>6</v>
      </c>
      <c r="G9" s="567">
        <v>7</v>
      </c>
      <c r="H9" s="662" t="s">
        <v>61</v>
      </c>
      <c r="I9" s="107"/>
    </row>
    <row r="10" spans="1:9" s="386" customFormat="1" ht="15.75" thickTop="1" x14ac:dyDescent="0.25">
      <c r="A10" s="223">
        <v>3113</v>
      </c>
      <c r="B10" s="96">
        <v>5321</v>
      </c>
      <c r="C10" s="1505"/>
      <c r="D10" s="1511" t="s">
        <v>1349</v>
      </c>
      <c r="E10" s="60"/>
      <c r="F10" s="313">
        <v>131</v>
      </c>
      <c r="G10" s="315">
        <v>131</v>
      </c>
      <c r="H10" s="1172">
        <f>(G10/F10)*100</f>
        <v>100</v>
      </c>
      <c r="I10" s="107"/>
    </row>
    <row r="11" spans="1:9" s="386" customFormat="1" ht="15" x14ac:dyDescent="0.25">
      <c r="A11" s="223"/>
      <c r="B11" s="96"/>
      <c r="C11" s="1169" t="s">
        <v>385</v>
      </c>
      <c r="D11" s="117" t="s">
        <v>996</v>
      </c>
      <c r="E11" s="60"/>
      <c r="F11" s="314">
        <v>131</v>
      </c>
      <c r="G11" s="316">
        <v>131</v>
      </c>
      <c r="H11" s="1175">
        <f>(G11/F11)*100</f>
        <v>100</v>
      </c>
      <c r="I11" s="107"/>
    </row>
    <row r="12" spans="1:9" s="386" customFormat="1" ht="15" x14ac:dyDescent="0.25">
      <c r="A12" s="223">
        <v>3269</v>
      </c>
      <c r="B12" s="96">
        <v>5019</v>
      </c>
      <c r="C12" s="1505"/>
      <c r="D12" s="68" t="s">
        <v>1381</v>
      </c>
      <c r="E12" s="60">
        <v>8</v>
      </c>
      <c r="F12" s="313">
        <v>0</v>
      </c>
      <c r="G12" s="315">
        <v>0</v>
      </c>
      <c r="H12" s="1503">
        <v>0</v>
      </c>
      <c r="I12" s="107"/>
    </row>
    <row r="13" spans="1:9" s="386" customFormat="1" ht="15" x14ac:dyDescent="0.25">
      <c r="A13" s="223">
        <v>3269</v>
      </c>
      <c r="B13" s="96">
        <v>5039</v>
      </c>
      <c r="C13" s="1505"/>
      <c r="D13" s="68" t="s">
        <v>1009</v>
      </c>
      <c r="E13" s="60">
        <v>2</v>
      </c>
      <c r="F13" s="313">
        <v>0</v>
      </c>
      <c r="G13" s="315">
        <v>0</v>
      </c>
      <c r="H13" s="1503">
        <v>0</v>
      </c>
      <c r="I13" s="107"/>
    </row>
    <row r="14" spans="1:9" s="386" customFormat="1" ht="15" x14ac:dyDescent="0.25">
      <c r="A14" s="223">
        <v>3269</v>
      </c>
      <c r="B14" s="96">
        <v>5139</v>
      </c>
      <c r="C14" s="1505"/>
      <c r="D14" s="68" t="s">
        <v>693</v>
      </c>
      <c r="E14" s="60">
        <v>35</v>
      </c>
      <c r="F14" s="315">
        <v>161</v>
      </c>
      <c r="G14" s="315">
        <v>139</v>
      </c>
      <c r="H14" s="1172">
        <f>(G14/F14)*100</f>
        <v>86.335403726708066</v>
      </c>
      <c r="I14" s="107"/>
    </row>
    <row r="15" spans="1:9" s="1219" customFormat="1" ht="14.25" customHeight="1" x14ac:dyDescent="0.25">
      <c r="A15" s="223">
        <v>3269</v>
      </c>
      <c r="B15" s="96">
        <v>5162</v>
      </c>
      <c r="C15" s="1505"/>
      <c r="D15" s="68" t="s">
        <v>149</v>
      </c>
      <c r="E15" s="60">
        <v>5</v>
      </c>
      <c r="F15" s="313">
        <v>1</v>
      </c>
      <c r="G15" s="315">
        <v>1</v>
      </c>
      <c r="H15" s="1172">
        <v>0</v>
      </c>
    </row>
    <row r="16" spans="1:9" s="1219" customFormat="1" ht="14.25" customHeight="1" x14ac:dyDescent="0.25">
      <c r="A16" s="223">
        <v>3269</v>
      </c>
      <c r="B16" s="96">
        <v>5164</v>
      </c>
      <c r="C16" s="1505"/>
      <c r="D16" s="68" t="s">
        <v>188</v>
      </c>
      <c r="E16" s="60">
        <v>64</v>
      </c>
      <c r="F16" s="313">
        <f>F17+F18</f>
        <v>79</v>
      </c>
      <c r="G16" s="315">
        <v>66</v>
      </c>
      <c r="H16" s="1172">
        <f>(G16/F16)*100</f>
        <v>83.544303797468359</v>
      </c>
    </row>
    <row r="17" spans="1:21" s="1219" customFormat="1" ht="14.25" customHeight="1" x14ac:dyDescent="0.2">
      <c r="A17" s="223"/>
      <c r="B17" s="96"/>
      <c r="C17" s="1179" t="s">
        <v>838</v>
      </c>
      <c r="D17" s="1173" t="s">
        <v>1415</v>
      </c>
      <c r="E17" s="124">
        <v>64</v>
      </c>
      <c r="F17" s="314">
        <v>64</v>
      </c>
      <c r="G17" s="316">
        <v>51</v>
      </c>
      <c r="H17" s="1175">
        <f>(G17/F17)*100</f>
        <v>79.6875</v>
      </c>
    </row>
    <row r="18" spans="1:21" s="1219" customFormat="1" ht="14.25" customHeight="1" x14ac:dyDescent="0.25">
      <c r="A18" s="223"/>
      <c r="B18" s="96"/>
      <c r="C18" s="1523" t="s">
        <v>407</v>
      </c>
      <c r="D18" s="225" t="s">
        <v>1499</v>
      </c>
      <c r="E18" s="60"/>
      <c r="F18" s="314">
        <v>15</v>
      </c>
      <c r="G18" s="316">
        <v>15</v>
      </c>
      <c r="H18" s="1175">
        <f>(G18/F18)*100</f>
        <v>100</v>
      </c>
    </row>
    <row r="19" spans="1:21" s="1219" customFormat="1" ht="14.25" customHeight="1" x14ac:dyDescent="0.25">
      <c r="A19" s="50">
        <v>3269</v>
      </c>
      <c r="B19" s="19">
        <v>5169</v>
      </c>
      <c r="C19" s="1522"/>
      <c r="D19" s="72" t="s">
        <v>955</v>
      </c>
      <c r="E19" s="71">
        <v>14100</v>
      </c>
      <c r="F19" s="315">
        <f>F20+F21</f>
        <v>13189</v>
      </c>
      <c r="G19" s="315">
        <v>13106</v>
      </c>
      <c r="H19" s="1172">
        <f t="shared" ref="H19:H25" si="0">(G19/F19)*100</f>
        <v>99.370687694290694</v>
      </c>
      <c r="I19" s="1166"/>
      <c r="J19" s="1166"/>
      <c r="K19" s="1166"/>
      <c r="L19" s="1166"/>
      <c r="M19" s="1166"/>
      <c r="N19" s="1166"/>
      <c r="O19" s="1166"/>
      <c r="P19" s="1166"/>
      <c r="Q19" s="1166"/>
      <c r="R19" s="1166"/>
      <c r="S19" s="1166"/>
      <c r="T19" s="1166"/>
      <c r="U19" s="1166"/>
    </row>
    <row r="20" spans="1:21" s="1219" customFormat="1" ht="14.25" customHeight="1" x14ac:dyDescent="0.2">
      <c r="A20" s="50"/>
      <c r="B20" s="19"/>
      <c r="C20" s="1179" t="s">
        <v>838</v>
      </c>
      <c r="D20" s="1173" t="s">
        <v>1415</v>
      </c>
      <c r="E20" s="55">
        <v>14100</v>
      </c>
      <c r="F20" s="314">
        <v>13126</v>
      </c>
      <c r="G20" s="316">
        <v>13043</v>
      </c>
      <c r="H20" s="1175">
        <f t="shared" si="0"/>
        <v>99.367667225354268</v>
      </c>
      <c r="I20" s="1166"/>
      <c r="J20" s="1166"/>
      <c r="K20" s="1166"/>
      <c r="L20" s="1166"/>
      <c r="M20" s="1166"/>
      <c r="N20" s="1166"/>
      <c r="O20" s="1166"/>
      <c r="P20" s="1166"/>
      <c r="Q20" s="1166"/>
      <c r="R20" s="1166"/>
      <c r="S20" s="1166"/>
      <c r="T20" s="1166"/>
      <c r="U20" s="1166"/>
    </row>
    <row r="21" spans="1:21" s="1219" customFormat="1" ht="14.25" customHeight="1" x14ac:dyDescent="0.25">
      <c r="A21" s="50"/>
      <c r="B21" s="19"/>
      <c r="C21" s="1523" t="s">
        <v>407</v>
      </c>
      <c r="D21" s="225" t="s">
        <v>1499</v>
      </c>
      <c r="E21" s="71"/>
      <c r="F21" s="314">
        <v>63</v>
      </c>
      <c r="G21" s="316">
        <v>63</v>
      </c>
      <c r="H21" s="1175">
        <f t="shared" si="0"/>
        <v>100</v>
      </c>
      <c r="I21" s="1166"/>
      <c r="J21" s="1166"/>
      <c r="K21" s="1166"/>
      <c r="L21" s="1166"/>
      <c r="M21" s="1166"/>
      <c r="N21" s="1166"/>
      <c r="O21" s="1166"/>
      <c r="P21" s="1166"/>
      <c r="Q21" s="1166"/>
      <c r="R21" s="1166"/>
      <c r="S21" s="1166"/>
      <c r="T21" s="1166"/>
      <c r="U21" s="1166"/>
    </row>
    <row r="22" spans="1:21" s="1219" customFormat="1" ht="14.25" customHeight="1" x14ac:dyDescent="0.25">
      <c r="A22" s="50">
        <v>3269</v>
      </c>
      <c r="B22" s="19">
        <v>5175</v>
      </c>
      <c r="C22" s="1522"/>
      <c r="D22" s="1511" t="s">
        <v>740</v>
      </c>
      <c r="E22" s="48">
        <v>80</v>
      </c>
      <c r="F22" s="313">
        <f>F23+F24</f>
        <v>134</v>
      </c>
      <c r="G22" s="315">
        <v>116</v>
      </c>
      <c r="H22" s="1172">
        <f t="shared" si="0"/>
        <v>86.567164179104466</v>
      </c>
      <c r="I22" s="1166"/>
      <c r="J22" s="1166"/>
      <c r="K22" s="1166"/>
      <c r="L22" s="1166"/>
      <c r="M22" s="1166"/>
      <c r="N22" s="1166"/>
      <c r="O22" s="1166"/>
      <c r="P22" s="1166"/>
      <c r="Q22" s="1166"/>
      <c r="R22" s="1166"/>
      <c r="S22" s="1166"/>
      <c r="T22" s="1166"/>
      <c r="U22" s="1166"/>
    </row>
    <row r="23" spans="1:21" s="1219" customFormat="1" ht="14.25" customHeight="1" x14ac:dyDescent="0.2">
      <c r="A23" s="50"/>
      <c r="B23" s="19"/>
      <c r="C23" s="1179" t="s">
        <v>838</v>
      </c>
      <c r="D23" s="1173" t="s">
        <v>1415</v>
      </c>
      <c r="E23" s="55">
        <v>80</v>
      </c>
      <c r="F23" s="314">
        <v>94</v>
      </c>
      <c r="G23" s="316">
        <v>76</v>
      </c>
      <c r="H23" s="1175">
        <f t="shared" si="0"/>
        <v>80.851063829787222</v>
      </c>
      <c r="I23" s="1166"/>
      <c r="J23" s="1166"/>
      <c r="K23" s="1166"/>
      <c r="L23" s="1166"/>
      <c r="M23" s="1166"/>
      <c r="N23" s="1166"/>
      <c r="O23" s="1166"/>
      <c r="P23" s="1166"/>
      <c r="Q23" s="1166"/>
      <c r="R23" s="1166"/>
      <c r="S23" s="1166"/>
      <c r="T23" s="1166"/>
      <c r="U23" s="1166"/>
    </row>
    <row r="24" spans="1:21" s="1219" customFormat="1" ht="14.25" customHeight="1" x14ac:dyDescent="0.25">
      <c r="A24" s="50"/>
      <c r="B24" s="19"/>
      <c r="C24" s="1523" t="s">
        <v>407</v>
      </c>
      <c r="D24" s="225" t="s">
        <v>1499</v>
      </c>
      <c r="E24" s="48"/>
      <c r="F24" s="314">
        <v>40</v>
      </c>
      <c r="G24" s="316">
        <v>40</v>
      </c>
      <c r="H24" s="1175">
        <f t="shared" si="0"/>
        <v>100</v>
      </c>
      <c r="I24" s="1166"/>
      <c r="J24" s="1166"/>
      <c r="K24" s="1166"/>
      <c r="L24" s="1166"/>
      <c r="M24" s="1166"/>
      <c r="N24" s="1166"/>
      <c r="O24" s="1166"/>
      <c r="P24" s="1166"/>
      <c r="Q24" s="1166"/>
      <c r="R24" s="1166"/>
      <c r="S24" s="1166"/>
      <c r="T24" s="1166"/>
      <c r="U24" s="1166"/>
    </row>
    <row r="25" spans="1:21" s="1219" customFormat="1" ht="12.75" customHeight="1" x14ac:dyDescent="0.25">
      <c r="A25" s="50">
        <v>3269</v>
      </c>
      <c r="B25" s="19">
        <v>5194</v>
      </c>
      <c r="C25" s="1522"/>
      <c r="D25" s="1511" t="s">
        <v>667</v>
      </c>
      <c r="E25" s="48">
        <v>500</v>
      </c>
      <c r="F25" s="313">
        <v>453</v>
      </c>
      <c r="G25" s="315">
        <v>453</v>
      </c>
      <c r="H25" s="203">
        <f t="shared" si="0"/>
        <v>100</v>
      </c>
      <c r="I25" s="1166"/>
      <c r="J25" s="1166"/>
      <c r="K25" s="1166"/>
      <c r="L25" s="1166"/>
      <c r="M25" s="1166"/>
      <c r="N25" s="1166"/>
      <c r="O25" s="1166"/>
      <c r="P25" s="1166"/>
      <c r="Q25" s="1166"/>
      <c r="R25" s="1166"/>
      <c r="S25" s="1166"/>
      <c r="T25" s="1166"/>
      <c r="U25" s="1166"/>
    </row>
    <row r="26" spans="1:21" s="1166" customFormat="1" ht="15" x14ac:dyDescent="0.25">
      <c r="A26" s="50">
        <v>3269</v>
      </c>
      <c r="B26" s="19">
        <v>5493</v>
      </c>
      <c r="C26" s="1523"/>
      <c r="D26" s="383" t="s">
        <v>768</v>
      </c>
      <c r="E26" s="71">
        <v>400</v>
      </c>
      <c r="F26" s="313">
        <v>0</v>
      </c>
      <c r="G26" s="315">
        <v>0</v>
      </c>
      <c r="H26" s="203">
        <v>0</v>
      </c>
    </row>
    <row r="27" spans="1:21" s="1166" customFormat="1" x14ac:dyDescent="0.2">
      <c r="A27" s="50"/>
      <c r="B27" s="19"/>
      <c r="C27" s="1523" t="s">
        <v>407</v>
      </c>
      <c r="D27" s="225" t="s">
        <v>1499</v>
      </c>
      <c r="E27" s="55">
        <v>400</v>
      </c>
      <c r="F27" s="314">
        <v>0</v>
      </c>
      <c r="G27" s="316">
        <v>0</v>
      </c>
      <c r="H27" s="1175">
        <v>0</v>
      </c>
    </row>
    <row r="28" spans="1:21" s="1166" customFormat="1" ht="15" x14ac:dyDescent="0.25">
      <c r="A28" s="50">
        <v>3269</v>
      </c>
      <c r="B28" s="19">
        <v>5494</v>
      </c>
      <c r="C28" s="1523"/>
      <c r="D28" s="68" t="s">
        <v>1032</v>
      </c>
      <c r="E28" s="55"/>
      <c r="F28" s="313">
        <v>162</v>
      </c>
      <c r="G28" s="315">
        <v>162</v>
      </c>
      <c r="H28" s="1172">
        <f>(G28/F28)*100</f>
        <v>100</v>
      </c>
    </row>
    <row r="29" spans="1:21" s="1166" customFormat="1" x14ac:dyDescent="0.2">
      <c r="A29" s="50"/>
      <c r="B29" s="19"/>
      <c r="C29" s="1523" t="s">
        <v>407</v>
      </c>
      <c r="D29" s="225" t="s">
        <v>1499</v>
      </c>
      <c r="E29" s="55"/>
      <c r="F29" s="314">
        <v>162</v>
      </c>
      <c r="G29" s="316">
        <v>162</v>
      </c>
      <c r="H29" s="1175">
        <f>(G29/F29)*100</f>
        <v>100</v>
      </c>
    </row>
    <row r="30" spans="1:21" s="1219" customFormat="1" ht="14.25" customHeight="1" x14ac:dyDescent="0.25">
      <c r="A30" s="50">
        <v>3269</v>
      </c>
      <c r="B30" s="19">
        <v>5499</v>
      </c>
      <c r="C30" s="1522"/>
      <c r="D30" s="1511" t="s">
        <v>797</v>
      </c>
      <c r="E30" s="48">
        <v>35</v>
      </c>
      <c r="F30" s="168">
        <v>35</v>
      </c>
      <c r="G30" s="315">
        <v>17</v>
      </c>
      <c r="H30" s="203">
        <f>(G30/F30)*100</f>
        <v>48.571428571428569</v>
      </c>
      <c r="I30" s="1166"/>
      <c r="J30" s="1166"/>
      <c r="K30" s="1166"/>
      <c r="L30" s="1166"/>
      <c r="M30" s="1166"/>
      <c r="N30" s="1166"/>
      <c r="O30" s="1166"/>
      <c r="P30" s="1166"/>
      <c r="Q30" s="1166"/>
      <c r="R30" s="1166"/>
      <c r="S30" s="1166"/>
      <c r="T30" s="1166"/>
      <c r="U30" s="1166"/>
    </row>
    <row r="31" spans="1:21" s="1219" customFormat="1" ht="14.25" customHeight="1" x14ac:dyDescent="0.25">
      <c r="A31" s="50">
        <v>3299</v>
      </c>
      <c r="B31" s="31">
        <v>5221</v>
      </c>
      <c r="C31" s="1505"/>
      <c r="D31" s="2731" t="s">
        <v>765</v>
      </c>
      <c r="E31" s="48"/>
      <c r="F31" s="168"/>
      <c r="G31" s="462"/>
      <c r="H31" s="203"/>
      <c r="I31" s="1166"/>
      <c r="J31" s="1166"/>
      <c r="K31" s="1166"/>
      <c r="L31" s="1166"/>
      <c r="M31" s="1166"/>
      <c r="N31" s="1166"/>
      <c r="O31" s="1166"/>
      <c r="P31" s="1166"/>
      <c r="Q31" s="1166"/>
      <c r="R31" s="1166"/>
      <c r="S31" s="1166"/>
      <c r="T31" s="1166"/>
      <c r="U31" s="1166"/>
    </row>
    <row r="32" spans="1:21" s="1219" customFormat="1" ht="14.25" customHeight="1" x14ac:dyDescent="0.25">
      <c r="A32" s="50"/>
      <c r="B32" s="31"/>
      <c r="C32" s="1505"/>
      <c r="D32" s="2731"/>
      <c r="E32" s="48"/>
      <c r="F32" s="462">
        <f>F33+F35+F34</f>
        <v>12300</v>
      </c>
      <c r="G32" s="462">
        <f>G33+G35+G34</f>
        <v>12300</v>
      </c>
      <c r="H32" s="1172">
        <f t="shared" ref="H32:H39" si="1">(G32/F32)*100</f>
        <v>100</v>
      </c>
      <c r="I32" s="1166"/>
      <c r="J32" s="1166"/>
      <c r="K32" s="1166"/>
      <c r="L32" s="1166"/>
      <c r="M32" s="1166"/>
      <c r="N32" s="1166"/>
      <c r="O32" s="1166"/>
      <c r="P32" s="1166"/>
      <c r="Q32" s="1166"/>
      <c r="R32" s="1166"/>
      <c r="S32" s="1166"/>
      <c r="T32" s="1166"/>
      <c r="U32" s="1166"/>
    </row>
    <row r="33" spans="1:21" s="1219" customFormat="1" ht="14.25" customHeight="1" x14ac:dyDescent="0.25">
      <c r="A33" s="50"/>
      <c r="B33" s="31"/>
      <c r="C33" s="1523" t="s">
        <v>272</v>
      </c>
      <c r="D33" s="117" t="s">
        <v>348</v>
      </c>
      <c r="E33" s="48"/>
      <c r="F33" s="464">
        <v>1000</v>
      </c>
      <c r="G33" s="316">
        <v>1000</v>
      </c>
      <c r="H33" s="1175">
        <f t="shared" si="1"/>
        <v>100</v>
      </c>
      <c r="I33" s="1166"/>
      <c r="J33" s="1166"/>
      <c r="K33" s="1166"/>
      <c r="L33" s="1166"/>
      <c r="M33" s="1166"/>
      <c r="N33" s="1166"/>
      <c r="O33" s="1166"/>
      <c r="P33" s="1166"/>
      <c r="Q33" s="1166"/>
      <c r="R33" s="1166"/>
      <c r="S33" s="1166"/>
      <c r="T33" s="1166"/>
      <c r="U33" s="1166"/>
    </row>
    <row r="34" spans="1:21" s="1219" customFormat="1" ht="14.25" customHeight="1" x14ac:dyDescent="0.25">
      <c r="A34" s="50"/>
      <c r="B34" s="31"/>
      <c r="C34" s="1230" t="s">
        <v>1732</v>
      </c>
      <c r="D34" s="2116" t="s">
        <v>1731</v>
      </c>
      <c r="E34" s="48"/>
      <c r="F34" s="464">
        <v>5200</v>
      </c>
      <c r="G34" s="316">
        <v>5200</v>
      </c>
      <c r="H34" s="1175">
        <f t="shared" si="1"/>
        <v>100</v>
      </c>
      <c r="I34" s="1166"/>
      <c r="J34" s="1166"/>
      <c r="K34" s="1166"/>
      <c r="L34" s="1166"/>
      <c r="M34" s="1166"/>
      <c r="N34" s="1166"/>
      <c r="O34" s="1166"/>
      <c r="P34" s="1166"/>
      <c r="Q34" s="1166"/>
      <c r="R34" s="1166"/>
      <c r="S34" s="1166"/>
      <c r="T34" s="1166"/>
      <c r="U34" s="1166"/>
    </row>
    <row r="35" spans="1:21" s="1219" customFormat="1" ht="14.25" customHeight="1" x14ac:dyDescent="0.25">
      <c r="A35" s="50"/>
      <c r="B35" s="19"/>
      <c r="C35" s="1169" t="s">
        <v>1649</v>
      </c>
      <c r="D35" s="117" t="s">
        <v>1648</v>
      </c>
      <c r="E35" s="48"/>
      <c r="F35" s="464">
        <v>6100</v>
      </c>
      <c r="G35" s="316">
        <v>6100</v>
      </c>
      <c r="H35" s="1175">
        <f t="shared" si="1"/>
        <v>100</v>
      </c>
      <c r="I35" s="1166"/>
      <c r="J35" s="1166"/>
      <c r="K35" s="1166"/>
      <c r="L35" s="1166"/>
      <c r="M35" s="1166"/>
      <c r="N35" s="1166"/>
      <c r="O35" s="1166"/>
      <c r="P35" s="1166"/>
      <c r="Q35" s="1166"/>
      <c r="R35" s="1166"/>
      <c r="S35" s="1166"/>
      <c r="T35" s="1166"/>
      <c r="U35" s="1166"/>
    </row>
    <row r="36" spans="1:21" s="1219" customFormat="1" ht="14.25" customHeight="1" x14ac:dyDescent="0.25">
      <c r="A36" s="50">
        <v>3299</v>
      </c>
      <c r="B36" s="19">
        <v>5321</v>
      </c>
      <c r="C36" s="1169"/>
      <c r="D36" s="1511" t="s">
        <v>1349</v>
      </c>
      <c r="E36" s="48"/>
      <c r="F36" s="313">
        <v>8</v>
      </c>
      <c r="G36" s="315">
        <v>8</v>
      </c>
      <c r="H36" s="203">
        <f t="shared" si="1"/>
        <v>100</v>
      </c>
      <c r="I36" s="1166"/>
      <c r="J36" s="1166"/>
      <c r="K36" s="1166"/>
      <c r="L36" s="1166"/>
      <c r="M36" s="1166"/>
      <c r="N36" s="1166"/>
      <c r="O36" s="1166"/>
      <c r="P36" s="1166"/>
      <c r="Q36" s="1166"/>
      <c r="R36" s="1166"/>
      <c r="S36" s="1166"/>
      <c r="T36" s="1166"/>
      <c r="U36" s="1166"/>
    </row>
    <row r="37" spans="1:21" s="1219" customFormat="1" ht="14.25" customHeight="1" x14ac:dyDescent="0.25">
      <c r="A37" s="50"/>
      <c r="B37" s="19"/>
      <c r="C37" s="1523" t="s">
        <v>407</v>
      </c>
      <c r="D37" s="225" t="s">
        <v>1499</v>
      </c>
      <c r="E37" s="48"/>
      <c r="F37" s="464">
        <v>8</v>
      </c>
      <c r="G37" s="316">
        <v>8</v>
      </c>
      <c r="H37" s="1175">
        <f t="shared" si="1"/>
        <v>100</v>
      </c>
      <c r="I37" s="1166"/>
      <c r="J37" s="1166"/>
      <c r="K37" s="1166"/>
      <c r="L37" s="1166"/>
      <c r="M37" s="1166"/>
      <c r="N37" s="1166"/>
      <c r="O37" s="1166"/>
      <c r="P37" s="1166"/>
      <c r="Q37" s="1166"/>
      <c r="R37" s="1166"/>
      <c r="S37" s="1166"/>
      <c r="T37" s="1166"/>
      <c r="U37" s="1166"/>
    </row>
    <row r="38" spans="1:21" s="1219" customFormat="1" ht="14.25" customHeight="1" x14ac:dyDescent="0.25">
      <c r="A38" s="50">
        <v>3299</v>
      </c>
      <c r="B38" s="19">
        <v>5339</v>
      </c>
      <c r="C38" s="1169"/>
      <c r="D38" s="1269" t="s">
        <v>1389</v>
      </c>
      <c r="E38" s="48">
        <v>1500</v>
      </c>
      <c r="F38" s="313">
        <v>25</v>
      </c>
      <c r="G38" s="315">
        <v>25</v>
      </c>
      <c r="H38" s="1172">
        <f t="shared" si="1"/>
        <v>100</v>
      </c>
      <c r="I38" s="1166"/>
      <c r="J38" s="1166"/>
      <c r="K38" s="1166"/>
      <c r="L38" s="1166"/>
      <c r="M38" s="1166"/>
      <c r="N38" s="1166"/>
      <c r="O38" s="1166"/>
      <c r="P38" s="1166"/>
      <c r="Q38" s="1166"/>
      <c r="R38" s="1166"/>
      <c r="S38" s="1166"/>
      <c r="T38" s="1166"/>
      <c r="U38" s="1166"/>
    </row>
    <row r="39" spans="1:21" s="1219" customFormat="1" ht="14.25" customHeight="1" x14ac:dyDescent="0.25">
      <c r="A39" s="50"/>
      <c r="B39" s="19"/>
      <c r="C39" s="1195" t="s">
        <v>1350</v>
      </c>
      <c r="D39" s="1841" t="s">
        <v>1737</v>
      </c>
      <c r="E39" s="48"/>
      <c r="F39" s="314">
        <v>25</v>
      </c>
      <c r="G39" s="316">
        <v>25</v>
      </c>
      <c r="H39" s="1175">
        <f t="shared" si="1"/>
        <v>100</v>
      </c>
      <c r="I39" s="1166"/>
      <c r="J39" s="1166"/>
      <c r="K39" s="1166"/>
      <c r="L39" s="1166"/>
      <c r="M39" s="1166"/>
      <c r="N39" s="1166"/>
      <c r="O39" s="1166"/>
      <c r="P39" s="1166"/>
      <c r="Q39" s="1166"/>
      <c r="R39" s="1166"/>
      <c r="S39" s="1166"/>
      <c r="T39" s="1166"/>
      <c r="U39" s="1166"/>
    </row>
    <row r="40" spans="1:21" s="1219" customFormat="1" ht="14.25" customHeight="1" x14ac:dyDescent="0.2">
      <c r="A40" s="50"/>
      <c r="B40" s="19"/>
      <c r="C40" s="1230" t="s">
        <v>1732</v>
      </c>
      <c r="D40" s="2116" t="s">
        <v>1731</v>
      </c>
      <c r="E40" s="55">
        <v>1500</v>
      </c>
      <c r="F40" s="314">
        <v>0</v>
      </c>
      <c r="G40" s="316">
        <v>0</v>
      </c>
      <c r="H40" s="1175">
        <v>0</v>
      </c>
      <c r="I40" s="1166"/>
      <c r="J40" s="1166"/>
      <c r="K40" s="1166"/>
      <c r="L40" s="1166"/>
      <c r="M40" s="1166"/>
      <c r="N40" s="1166"/>
      <c r="O40" s="1166"/>
      <c r="P40" s="1166"/>
      <c r="Q40" s="1166"/>
      <c r="R40" s="1166"/>
      <c r="S40" s="1166"/>
      <c r="T40" s="1166"/>
      <c r="U40" s="1166"/>
    </row>
    <row r="41" spans="1:21" s="1219" customFormat="1" ht="14.25" customHeight="1" x14ac:dyDescent="0.25">
      <c r="A41" s="50">
        <v>3299</v>
      </c>
      <c r="B41" s="19">
        <v>5493</v>
      </c>
      <c r="C41" s="1522"/>
      <c r="D41" s="1511" t="s">
        <v>1033</v>
      </c>
      <c r="E41" s="48">
        <v>2000</v>
      </c>
      <c r="F41" s="313">
        <f>F42+F43+F44</f>
        <v>1666</v>
      </c>
      <c r="G41" s="315">
        <v>1225</v>
      </c>
      <c r="H41" s="203">
        <f t="shared" ref="H41:H93" si="2">(G41/F41)*100</f>
        <v>73.529411764705884</v>
      </c>
      <c r="I41" s="1166"/>
      <c r="J41" s="1166"/>
      <c r="K41" s="1166"/>
      <c r="L41" s="1166"/>
      <c r="M41" s="1166"/>
      <c r="N41" s="1166"/>
      <c r="O41" s="1166"/>
      <c r="P41" s="1166"/>
      <c r="Q41" s="1166"/>
      <c r="R41" s="1166"/>
      <c r="S41" s="1166"/>
      <c r="T41" s="1166"/>
      <c r="U41" s="1166"/>
    </row>
    <row r="42" spans="1:21" s="1219" customFormat="1" ht="14.25" customHeight="1" x14ac:dyDescent="0.2">
      <c r="A42" s="50"/>
      <c r="B42" s="19"/>
      <c r="C42" s="1195" t="s">
        <v>1350</v>
      </c>
      <c r="D42" s="1841" t="s">
        <v>1737</v>
      </c>
      <c r="E42" s="55"/>
      <c r="F42" s="314">
        <v>30</v>
      </c>
      <c r="G42" s="316">
        <v>30</v>
      </c>
      <c r="H42" s="1175">
        <f t="shared" si="2"/>
        <v>100</v>
      </c>
      <c r="I42" s="1166"/>
      <c r="J42" s="1166"/>
      <c r="K42" s="1166"/>
      <c r="L42" s="1166"/>
      <c r="M42" s="1166"/>
      <c r="N42" s="1166"/>
      <c r="O42" s="1166"/>
      <c r="P42" s="1166"/>
      <c r="Q42" s="1166"/>
      <c r="R42" s="1166"/>
      <c r="S42" s="1166"/>
      <c r="T42" s="1166"/>
      <c r="U42" s="1166"/>
    </row>
    <row r="43" spans="1:21" s="1219" customFormat="1" ht="14.25" customHeight="1" x14ac:dyDescent="0.2">
      <c r="A43" s="50"/>
      <c r="B43" s="19"/>
      <c r="C43" s="1230" t="s">
        <v>1732</v>
      </c>
      <c r="D43" s="2116" t="s">
        <v>1731</v>
      </c>
      <c r="E43" s="55">
        <v>500</v>
      </c>
      <c r="F43" s="314">
        <v>500</v>
      </c>
      <c r="G43" s="316">
        <v>69</v>
      </c>
      <c r="H43" s="1175">
        <f t="shared" si="2"/>
        <v>13.8</v>
      </c>
      <c r="I43" s="1166"/>
      <c r="J43" s="1166"/>
      <c r="K43" s="1166"/>
      <c r="L43" s="1166"/>
      <c r="M43" s="1166"/>
      <c r="N43" s="1166"/>
      <c r="O43" s="1166"/>
      <c r="P43" s="1166"/>
      <c r="Q43" s="1166"/>
      <c r="R43" s="1166"/>
      <c r="S43" s="1166"/>
      <c r="T43" s="1166"/>
      <c r="U43" s="1166"/>
    </row>
    <row r="44" spans="1:21" s="1219" customFormat="1" ht="14.25" customHeight="1" x14ac:dyDescent="0.2">
      <c r="A44" s="50"/>
      <c r="B44" s="19"/>
      <c r="C44" s="1179" t="s">
        <v>355</v>
      </c>
      <c r="D44" s="1237" t="s">
        <v>356</v>
      </c>
      <c r="E44" s="55">
        <v>1500</v>
      </c>
      <c r="F44" s="314">
        <v>1136</v>
      </c>
      <c r="G44" s="316">
        <v>1126</v>
      </c>
      <c r="H44" s="1175">
        <f t="shared" si="2"/>
        <v>99.119718309859152</v>
      </c>
      <c r="I44" s="1166"/>
      <c r="J44" s="1166"/>
      <c r="K44" s="1166"/>
      <c r="L44" s="1166"/>
      <c r="M44" s="1166"/>
      <c r="N44" s="1166"/>
      <c r="O44" s="1166"/>
      <c r="P44" s="1166"/>
      <c r="Q44" s="1166"/>
      <c r="R44" s="1166"/>
      <c r="S44" s="1166"/>
      <c r="T44" s="1166"/>
      <c r="U44" s="1166"/>
    </row>
    <row r="45" spans="1:21" s="1219" customFormat="1" ht="14.25" customHeight="1" x14ac:dyDescent="0.25">
      <c r="A45" s="50">
        <v>3319</v>
      </c>
      <c r="B45" s="19">
        <v>5222</v>
      </c>
      <c r="C45" s="1179"/>
      <c r="D45" s="2119" t="s">
        <v>358</v>
      </c>
      <c r="E45" s="55"/>
      <c r="F45" s="313">
        <v>11</v>
      </c>
      <c r="G45" s="315">
        <v>11</v>
      </c>
      <c r="H45" s="203">
        <f t="shared" si="2"/>
        <v>100</v>
      </c>
      <c r="I45" s="1166"/>
      <c r="J45" s="1166"/>
      <c r="K45" s="1166"/>
      <c r="L45" s="1166"/>
      <c r="M45" s="1166"/>
      <c r="N45" s="1166"/>
      <c r="O45" s="1166"/>
      <c r="P45" s="1166"/>
      <c r="Q45" s="1166"/>
      <c r="R45" s="1166"/>
      <c r="S45" s="1166"/>
      <c r="T45" s="1166"/>
      <c r="U45" s="1166"/>
    </row>
    <row r="46" spans="1:21" s="1219" customFormat="1" ht="14.25" customHeight="1" x14ac:dyDescent="0.2">
      <c r="A46" s="50"/>
      <c r="B46" s="19"/>
      <c r="C46" s="1195" t="s">
        <v>1350</v>
      </c>
      <c r="D46" s="1841" t="s">
        <v>1737</v>
      </c>
      <c r="E46" s="55"/>
      <c r="F46" s="314">
        <v>11</v>
      </c>
      <c r="G46" s="316">
        <v>11</v>
      </c>
      <c r="H46" s="1175">
        <f t="shared" si="2"/>
        <v>100</v>
      </c>
      <c r="I46" s="1166"/>
      <c r="J46" s="1166"/>
      <c r="K46" s="1166"/>
      <c r="L46" s="1166"/>
      <c r="M46" s="1166"/>
      <c r="N46" s="1166"/>
      <c r="O46" s="1166"/>
      <c r="P46" s="1166"/>
      <c r="Q46" s="1166"/>
      <c r="R46" s="1166"/>
      <c r="S46" s="1166"/>
      <c r="T46" s="1166"/>
      <c r="U46" s="1166"/>
    </row>
    <row r="47" spans="1:21" s="1219" customFormat="1" ht="15.75" customHeight="1" x14ac:dyDescent="0.25">
      <c r="A47" s="50">
        <v>3419</v>
      </c>
      <c r="B47" s="19">
        <v>5212</v>
      </c>
      <c r="C47" s="1179"/>
      <c r="D47" s="704" t="s">
        <v>748</v>
      </c>
      <c r="E47" s="55"/>
      <c r="F47" s="315">
        <f>F48+F49</f>
        <v>230</v>
      </c>
      <c r="G47" s="315">
        <f>G48+G49</f>
        <v>230</v>
      </c>
      <c r="H47" s="203">
        <f t="shared" si="2"/>
        <v>100</v>
      </c>
      <c r="I47" s="1166"/>
      <c r="J47" s="1166"/>
      <c r="K47" s="1166"/>
      <c r="L47" s="1166"/>
      <c r="M47" s="1166"/>
      <c r="N47" s="1166"/>
      <c r="O47" s="1166"/>
      <c r="P47" s="1166"/>
      <c r="Q47" s="1166"/>
      <c r="R47" s="1166"/>
      <c r="S47" s="1166"/>
      <c r="T47" s="1166"/>
      <c r="U47" s="1166"/>
    </row>
    <row r="48" spans="1:21" s="1219" customFormat="1" ht="15.75" customHeight="1" x14ac:dyDescent="0.2">
      <c r="A48" s="50"/>
      <c r="B48" s="19"/>
      <c r="C48" s="1195" t="s">
        <v>272</v>
      </c>
      <c r="D48" s="1237" t="s">
        <v>348</v>
      </c>
      <c r="E48" s="55"/>
      <c r="F48" s="314">
        <v>150</v>
      </c>
      <c r="G48" s="316">
        <v>150</v>
      </c>
      <c r="H48" s="1175">
        <f t="shared" si="2"/>
        <v>100</v>
      </c>
      <c r="I48" s="1166"/>
      <c r="J48" s="1166"/>
      <c r="K48" s="1166"/>
      <c r="L48" s="1166"/>
      <c r="M48" s="1166"/>
      <c r="N48" s="1166"/>
      <c r="O48" s="1166"/>
      <c r="P48" s="1166"/>
      <c r="Q48" s="1166"/>
      <c r="R48" s="1166"/>
      <c r="S48" s="1166"/>
      <c r="T48" s="1166"/>
      <c r="U48" s="1166"/>
    </row>
    <row r="49" spans="1:21" s="1219" customFormat="1" ht="15.75" customHeight="1" x14ac:dyDescent="0.2">
      <c r="A49" s="50"/>
      <c r="B49" s="19"/>
      <c r="C49" s="1195" t="s">
        <v>1350</v>
      </c>
      <c r="D49" s="1841" t="s">
        <v>1737</v>
      </c>
      <c r="E49" s="55"/>
      <c r="F49" s="314">
        <v>80</v>
      </c>
      <c r="G49" s="316">
        <v>80</v>
      </c>
      <c r="H49" s="1175">
        <f t="shared" si="2"/>
        <v>100</v>
      </c>
      <c r="I49" s="1166"/>
      <c r="J49" s="1166"/>
      <c r="K49" s="1166"/>
      <c r="L49" s="1166"/>
      <c r="M49" s="1166"/>
      <c r="N49" s="1166"/>
      <c r="O49" s="1166"/>
      <c r="P49" s="1166"/>
      <c r="Q49" s="1166"/>
      <c r="R49" s="1166"/>
      <c r="S49" s="1166"/>
      <c r="T49" s="1166"/>
      <c r="U49" s="1166"/>
    </row>
    <row r="50" spans="1:21" s="1219" customFormat="1" ht="15.75" customHeight="1" x14ac:dyDescent="0.25">
      <c r="A50" s="50">
        <v>3419</v>
      </c>
      <c r="B50" s="19">
        <v>5213</v>
      </c>
      <c r="C50" s="1195"/>
      <c r="D50" s="1483" t="s">
        <v>359</v>
      </c>
      <c r="E50" s="71"/>
      <c r="F50" s="315">
        <f>F51+F52+F53</f>
        <v>3715</v>
      </c>
      <c r="G50" s="315">
        <f>G51+G52+G53</f>
        <v>3715</v>
      </c>
      <c r="H50" s="1172">
        <f t="shared" si="2"/>
        <v>100</v>
      </c>
      <c r="I50" s="1166"/>
      <c r="J50" s="1166"/>
      <c r="K50" s="1166"/>
      <c r="L50" s="1166"/>
      <c r="M50" s="1166"/>
      <c r="N50" s="1166"/>
      <c r="O50" s="1166"/>
      <c r="P50" s="1166"/>
      <c r="Q50" s="1166"/>
      <c r="R50" s="1166"/>
      <c r="S50" s="1166"/>
      <c r="T50" s="1166"/>
      <c r="U50" s="1166"/>
    </row>
    <row r="51" spans="1:21" s="1219" customFormat="1" ht="15.75" customHeight="1" x14ac:dyDescent="0.2">
      <c r="A51" s="50"/>
      <c r="B51" s="19"/>
      <c r="C51" s="1195" t="s">
        <v>272</v>
      </c>
      <c r="D51" s="1237" t="s">
        <v>348</v>
      </c>
      <c r="E51" s="55"/>
      <c r="F51" s="314">
        <v>310</v>
      </c>
      <c r="G51" s="316">
        <v>310</v>
      </c>
      <c r="H51" s="1175">
        <f t="shared" si="2"/>
        <v>100</v>
      </c>
      <c r="I51" s="1166"/>
      <c r="J51" s="1166"/>
      <c r="K51" s="1166"/>
      <c r="L51" s="1166"/>
      <c r="M51" s="1166"/>
      <c r="N51" s="1166"/>
      <c r="O51" s="1166"/>
      <c r="P51" s="1166"/>
      <c r="Q51" s="1166"/>
      <c r="R51" s="1166"/>
      <c r="S51" s="1166"/>
      <c r="T51" s="1166"/>
      <c r="U51" s="1166"/>
    </row>
    <row r="52" spans="1:21" s="1219" customFormat="1" ht="15.75" customHeight="1" x14ac:dyDescent="0.2">
      <c r="A52" s="50"/>
      <c r="B52" s="19"/>
      <c r="C52" s="1195" t="s">
        <v>1350</v>
      </c>
      <c r="D52" s="1841" t="s">
        <v>1737</v>
      </c>
      <c r="E52" s="55"/>
      <c r="F52" s="314">
        <v>210</v>
      </c>
      <c r="G52" s="316">
        <v>210</v>
      </c>
      <c r="H52" s="1175">
        <f t="shared" si="2"/>
        <v>100</v>
      </c>
      <c r="I52" s="1166"/>
      <c r="J52" s="1166"/>
      <c r="K52" s="1166"/>
      <c r="L52" s="1166"/>
      <c r="M52" s="1166"/>
      <c r="N52" s="1166"/>
      <c r="O52" s="1166"/>
      <c r="P52" s="1166"/>
      <c r="Q52" s="1166"/>
      <c r="R52" s="1166"/>
      <c r="S52" s="1166"/>
      <c r="T52" s="1166"/>
      <c r="U52" s="1166"/>
    </row>
    <row r="53" spans="1:21" s="1219" customFormat="1" ht="15.75" customHeight="1" x14ac:dyDescent="0.2">
      <c r="A53" s="50"/>
      <c r="B53" s="19"/>
      <c r="C53" s="1179" t="s">
        <v>357</v>
      </c>
      <c r="D53" s="2099" t="s">
        <v>767</v>
      </c>
      <c r="E53" s="55"/>
      <c r="F53" s="314">
        <v>3195</v>
      </c>
      <c r="G53" s="316">
        <v>3195</v>
      </c>
      <c r="H53" s="1175">
        <f t="shared" si="2"/>
        <v>100</v>
      </c>
      <c r="I53" s="1166"/>
      <c r="J53" s="1166"/>
      <c r="K53" s="1166"/>
      <c r="L53" s="1166"/>
      <c r="M53" s="1166"/>
      <c r="N53" s="1166"/>
      <c r="O53" s="1166"/>
      <c r="P53" s="1166"/>
      <c r="Q53" s="1166"/>
      <c r="R53" s="1166"/>
      <c r="S53" s="1166"/>
      <c r="T53" s="1166"/>
      <c r="U53" s="1166"/>
    </row>
    <row r="54" spans="1:21" s="1166" customFormat="1" ht="15" x14ac:dyDescent="0.25">
      <c r="A54" s="50">
        <v>3419</v>
      </c>
      <c r="B54" s="19">
        <v>5222</v>
      </c>
      <c r="C54" s="1197"/>
      <c r="D54" s="2119" t="s">
        <v>358</v>
      </c>
      <c r="E54" s="71">
        <f>E58</f>
        <v>37367</v>
      </c>
      <c r="F54" s="313">
        <f>F55+F56+F57+F58</f>
        <v>43801</v>
      </c>
      <c r="G54" s="315">
        <f>G55+G56+G57+G58</f>
        <v>43785</v>
      </c>
      <c r="H54" s="1172">
        <f t="shared" si="2"/>
        <v>99.963471153626628</v>
      </c>
    </row>
    <row r="55" spans="1:21" s="1166" customFormat="1" ht="15" x14ac:dyDescent="0.25">
      <c r="A55" s="50"/>
      <c r="B55" s="19"/>
      <c r="C55" s="1195" t="s">
        <v>272</v>
      </c>
      <c r="D55" s="1237" t="s">
        <v>348</v>
      </c>
      <c r="E55" s="71"/>
      <c r="F55" s="314">
        <v>6300</v>
      </c>
      <c r="G55" s="316">
        <v>6300</v>
      </c>
      <c r="H55" s="1175">
        <f t="shared" si="2"/>
        <v>100</v>
      </c>
    </row>
    <row r="56" spans="1:21" s="1166" customFormat="1" ht="15" x14ac:dyDescent="0.25">
      <c r="A56" s="50"/>
      <c r="B56" s="19"/>
      <c r="C56" s="1195" t="s">
        <v>1350</v>
      </c>
      <c r="D56" s="1841" t="s">
        <v>1737</v>
      </c>
      <c r="E56" s="71"/>
      <c r="F56" s="314">
        <v>3229</v>
      </c>
      <c r="G56" s="316">
        <v>3213</v>
      </c>
      <c r="H56" s="1175">
        <f t="shared" si="2"/>
        <v>99.504490554351193</v>
      </c>
    </row>
    <row r="57" spans="1:21" s="1166" customFormat="1" ht="15" x14ac:dyDescent="0.25">
      <c r="A57" s="50"/>
      <c r="B57" s="19"/>
      <c r="C57" s="1179" t="s">
        <v>385</v>
      </c>
      <c r="D57" s="1237" t="s">
        <v>996</v>
      </c>
      <c r="E57" s="71"/>
      <c r="F57" s="314">
        <v>100</v>
      </c>
      <c r="G57" s="316">
        <v>100</v>
      </c>
      <c r="H57" s="1175">
        <f t="shared" si="2"/>
        <v>100</v>
      </c>
    </row>
    <row r="58" spans="1:21" s="1166" customFormat="1" x14ac:dyDescent="0.2">
      <c r="A58" s="50"/>
      <c r="B58" s="19"/>
      <c r="C58" s="1179" t="s">
        <v>357</v>
      </c>
      <c r="D58" s="2099" t="s">
        <v>767</v>
      </c>
      <c r="E58" s="55">
        <v>37367</v>
      </c>
      <c r="F58" s="314">
        <v>34172</v>
      </c>
      <c r="G58" s="316">
        <v>34172</v>
      </c>
      <c r="H58" s="1175">
        <f t="shared" si="2"/>
        <v>100</v>
      </c>
    </row>
    <row r="59" spans="1:21" s="1166" customFormat="1" ht="15" x14ac:dyDescent="0.25">
      <c r="A59" s="50">
        <v>3419</v>
      </c>
      <c r="B59" s="19">
        <v>5229</v>
      </c>
      <c r="C59" s="1179"/>
      <c r="D59" s="1483" t="s">
        <v>1276</v>
      </c>
      <c r="E59" s="71">
        <v>200</v>
      </c>
      <c r="F59" s="313">
        <v>150</v>
      </c>
      <c r="G59" s="315">
        <v>150</v>
      </c>
      <c r="H59" s="203">
        <f t="shared" si="2"/>
        <v>100</v>
      </c>
    </row>
    <row r="60" spans="1:21" s="1166" customFormat="1" x14ac:dyDescent="0.2">
      <c r="A60" s="50"/>
      <c r="B60" s="19"/>
      <c r="C60" s="1179" t="s">
        <v>385</v>
      </c>
      <c r="D60" s="1237" t="s">
        <v>996</v>
      </c>
      <c r="E60" s="55">
        <v>200</v>
      </c>
      <c r="F60" s="316">
        <v>150</v>
      </c>
      <c r="G60" s="461">
        <v>150</v>
      </c>
      <c r="H60" s="1175">
        <f t="shared" si="2"/>
        <v>100</v>
      </c>
    </row>
    <row r="61" spans="1:21" s="1166" customFormat="1" ht="15" x14ac:dyDescent="0.25">
      <c r="A61" s="50">
        <v>3419</v>
      </c>
      <c r="B61" s="19">
        <v>5493</v>
      </c>
      <c r="C61" s="1179"/>
      <c r="D61" s="1350" t="s">
        <v>768</v>
      </c>
      <c r="E61" s="55"/>
      <c r="F61" s="315">
        <f>F62+F63</f>
        <v>995</v>
      </c>
      <c r="G61" s="315">
        <f>G62+G63</f>
        <v>975</v>
      </c>
      <c r="H61" s="1172">
        <f t="shared" si="2"/>
        <v>97.989949748743726</v>
      </c>
    </row>
    <row r="62" spans="1:21" s="1166" customFormat="1" x14ac:dyDescent="0.2">
      <c r="A62" s="50"/>
      <c r="B62" s="19"/>
      <c r="C62" s="1195" t="s">
        <v>272</v>
      </c>
      <c r="D62" s="1237" t="s">
        <v>348</v>
      </c>
      <c r="E62" s="55"/>
      <c r="F62" s="314">
        <v>150</v>
      </c>
      <c r="G62" s="316">
        <v>150</v>
      </c>
      <c r="H62" s="1175">
        <f t="shared" si="2"/>
        <v>100</v>
      </c>
    </row>
    <row r="63" spans="1:21" s="1166" customFormat="1" x14ac:dyDescent="0.2">
      <c r="A63" s="50"/>
      <c r="B63" s="19"/>
      <c r="C63" s="1195" t="s">
        <v>1350</v>
      </c>
      <c r="D63" s="1841" t="s">
        <v>1737</v>
      </c>
      <c r="E63" s="55"/>
      <c r="F63" s="314">
        <v>845</v>
      </c>
      <c r="G63" s="316">
        <v>825</v>
      </c>
      <c r="H63" s="1175">
        <f t="shared" si="2"/>
        <v>97.633136094674555</v>
      </c>
    </row>
    <row r="64" spans="1:21" s="1166" customFormat="1" ht="15" x14ac:dyDescent="0.25">
      <c r="A64" s="50">
        <v>3429</v>
      </c>
      <c r="B64" s="19">
        <v>5212</v>
      </c>
      <c r="C64" s="1195"/>
      <c r="D64" s="704" t="s">
        <v>748</v>
      </c>
      <c r="E64" s="55"/>
      <c r="F64" s="313">
        <v>60</v>
      </c>
      <c r="G64" s="315">
        <v>60</v>
      </c>
      <c r="H64" s="203">
        <f t="shared" si="2"/>
        <v>100</v>
      </c>
    </row>
    <row r="65" spans="1:11" s="1166" customFormat="1" x14ac:dyDescent="0.2">
      <c r="A65" s="50"/>
      <c r="B65" s="19"/>
      <c r="C65" s="1523" t="s">
        <v>1350</v>
      </c>
      <c r="D65" s="1841" t="s">
        <v>1737</v>
      </c>
      <c r="E65" s="55"/>
      <c r="F65" s="314">
        <v>60</v>
      </c>
      <c r="G65" s="316">
        <v>60</v>
      </c>
      <c r="H65" s="1175">
        <f t="shared" si="2"/>
        <v>100</v>
      </c>
      <c r="J65" s="1201"/>
      <c r="K65" s="1201"/>
    </row>
    <row r="66" spans="1:11" s="1166" customFormat="1" ht="15" x14ac:dyDescent="0.25">
      <c r="A66" s="50">
        <v>3429</v>
      </c>
      <c r="B66" s="19">
        <v>5213</v>
      </c>
      <c r="C66" s="1523"/>
      <c r="D66" s="1268" t="s">
        <v>359</v>
      </c>
      <c r="E66" s="55"/>
      <c r="F66" s="313">
        <v>290</v>
      </c>
      <c r="G66" s="315">
        <v>290</v>
      </c>
      <c r="H66" s="203">
        <f t="shared" si="2"/>
        <v>100</v>
      </c>
    </row>
    <row r="67" spans="1:11" s="1166" customFormat="1" x14ac:dyDescent="0.2">
      <c r="A67" s="50"/>
      <c r="B67" s="19"/>
      <c r="C67" s="1195" t="s">
        <v>272</v>
      </c>
      <c r="D67" s="1237" t="s">
        <v>348</v>
      </c>
      <c r="E67" s="55"/>
      <c r="F67" s="314">
        <v>200</v>
      </c>
      <c r="G67" s="316">
        <v>200</v>
      </c>
      <c r="H67" s="1175">
        <f t="shared" si="2"/>
        <v>100</v>
      </c>
    </row>
    <row r="68" spans="1:11" s="1166" customFormat="1" ht="15" thickBot="1" x14ac:dyDescent="0.25">
      <c r="A68" s="50"/>
      <c r="B68" s="19"/>
      <c r="C68" s="1195" t="s">
        <v>1350</v>
      </c>
      <c r="D68" s="1841" t="s">
        <v>1737</v>
      </c>
      <c r="E68" s="55"/>
      <c r="F68" s="314">
        <v>90</v>
      </c>
      <c r="G68" s="316">
        <v>90</v>
      </c>
      <c r="H68" s="1175">
        <f t="shared" si="2"/>
        <v>100</v>
      </c>
    </row>
    <row r="69" spans="1:11" s="1166" customFormat="1" ht="15" thickTop="1" x14ac:dyDescent="0.2">
      <c r="A69" s="1283"/>
      <c r="B69" s="1283"/>
      <c r="C69" s="2074"/>
      <c r="D69" s="2125"/>
      <c r="E69" s="1531"/>
      <c r="F69" s="1618"/>
      <c r="G69" s="1618"/>
      <c r="H69" s="1976"/>
    </row>
    <row r="70" spans="1:11" s="1166" customFormat="1" x14ac:dyDescent="0.2">
      <c r="A70" s="1199"/>
      <c r="B70" s="1199"/>
      <c r="C70" s="1523"/>
      <c r="D70" s="1841"/>
      <c r="E70" s="1401"/>
      <c r="F70" s="314"/>
      <c r="G70" s="314"/>
      <c r="H70" s="432"/>
    </row>
    <row r="71" spans="1:11" ht="12.75" customHeight="1" thickBot="1" x14ac:dyDescent="0.3">
      <c r="A71" s="98"/>
      <c r="B71" s="28"/>
      <c r="C71" s="142"/>
      <c r="D71" s="10"/>
      <c r="E71" s="485"/>
      <c r="F71" s="485"/>
      <c r="G71" s="168"/>
      <c r="H71" s="2025" t="s">
        <v>179</v>
      </c>
    </row>
    <row r="72" spans="1:11" s="107" customFormat="1" ht="20.25" customHeight="1" thickTop="1" thickBot="1" x14ac:dyDescent="0.25">
      <c r="A72" s="657" t="s">
        <v>180</v>
      </c>
      <c r="B72" s="658" t="s">
        <v>181</v>
      </c>
      <c r="C72" s="702" t="s">
        <v>783</v>
      </c>
      <c r="D72" s="660" t="s">
        <v>182</v>
      </c>
      <c r="E72" s="660" t="s">
        <v>183</v>
      </c>
      <c r="F72" s="660" t="s">
        <v>985</v>
      </c>
      <c r="G72" s="660" t="s">
        <v>986</v>
      </c>
      <c r="H72" s="661" t="s">
        <v>987</v>
      </c>
    </row>
    <row r="73" spans="1:11" s="386" customFormat="1" ht="13.5" thickTop="1" thickBot="1" x14ac:dyDescent="0.25">
      <c r="A73" s="592">
        <v>1</v>
      </c>
      <c r="B73" s="593">
        <v>2</v>
      </c>
      <c r="C73" s="593">
        <v>3</v>
      </c>
      <c r="D73" s="593">
        <v>4</v>
      </c>
      <c r="E73" s="593">
        <v>5</v>
      </c>
      <c r="F73" s="567">
        <v>6</v>
      </c>
      <c r="G73" s="567">
        <v>7</v>
      </c>
      <c r="H73" s="662" t="s">
        <v>61</v>
      </c>
      <c r="I73" s="107"/>
    </row>
    <row r="74" spans="1:11" s="1166" customFormat="1" ht="15" thickTop="1" x14ac:dyDescent="0.2">
      <c r="A74" s="50">
        <v>3429</v>
      </c>
      <c r="B74" s="19">
        <v>5221</v>
      </c>
      <c r="C74" s="1523"/>
      <c r="D74" s="2731" t="s">
        <v>765</v>
      </c>
      <c r="E74" s="55"/>
      <c r="F74" s="314"/>
      <c r="G74" s="316"/>
      <c r="H74" s="1175"/>
    </row>
    <row r="75" spans="1:11" s="1166" customFormat="1" ht="15" x14ac:dyDescent="0.25">
      <c r="A75" s="50"/>
      <c r="B75" s="19"/>
      <c r="C75" s="1523"/>
      <c r="D75" s="2731"/>
      <c r="E75" s="55"/>
      <c r="F75" s="313">
        <v>500</v>
      </c>
      <c r="G75" s="315">
        <v>500</v>
      </c>
      <c r="H75" s="203">
        <f t="shared" si="2"/>
        <v>100</v>
      </c>
      <c r="J75" s="1201">
        <f>F10+F12+F13+F14+F15+F16+F19+F22+F25+F26+F28+F30+F32+F41+F45+F47+F50+F54+F59+F61+F64+F66+F75+F38+F36</f>
        <v>78096</v>
      </c>
      <c r="K75" s="1201">
        <f>G10+G12+G13+G14+G15+G16+G19+G22+G25+G26+G28+G30+G32+G41+G45+G47+G50+G54+G59+G61+G64+G66+G75+G38+G36</f>
        <v>77465</v>
      </c>
    </row>
    <row r="76" spans="1:11" s="1166" customFormat="1" x14ac:dyDescent="0.2">
      <c r="A76" s="50"/>
      <c r="B76" s="19"/>
      <c r="C76" s="1523" t="s">
        <v>272</v>
      </c>
      <c r="D76" s="117" t="s">
        <v>348</v>
      </c>
      <c r="E76" s="55"/>
      <c r="F76" s="314">
        <v>500</v>
      </c>
      <c r="G76" s="316">
        <v>500</v>
      </c>
      <c r="H76" s="1175">
        <f t="shared" si="2"/>
        <v>100</v>
      </c>
    </row>
    <row r="77" spans="1:11" s="1166" customFormat="1" ht="15" x14ac:dyDescent="0.25">
      <c r="A77" s="50">
        <v>3429</v>
      </c>
      <c r="B77" s="19">
        <v>5222</v>
      </c>
      <c r="C77" s="1536"/>
      <c r="D77" s="1512" t="s">
        <v>358</v>
      </c>
      <c r="E77" s="55"/>
      <c r="F77" s="315">
        <f>F78+F79+F80</f>
        <v>4822</v>
      </c>
      <c r="G77" s="315">
        <f>G78+G79+G80</f>
        <v>4821</v>
      </c>
      <c r="H77" s="203">
        <f>(G77/F77)*100</f>
        <v>99.979261717129816</v>
      </c>
    </row>
    <row r="78" spans="1:11" s="1166" customFormat="1" x14ac:dyDescent="0.2">
      <c r="A78" s="50"/>
      <c r="B78" s="19"/>
      <c r="C78" s="1195" t="s">
        <v>272</v>
      </c>
      <c r="D78" s="1237" t="s">
        <v>348</v>
      </c>
      <c r="E78" s="55"/>
      <c r="F78" s="314">
        <v>2780</v>
      </c>
      <c r="G78" s="316">
        <v>2779</v>
      </c>
      <c r="H78" s="1175">
        <f t="shared" si="2"/>
        <v>99.964028776978424</v>
      </c>
    </row>
    <row r="79" spans="1:11" s="1166" customFormat="1" x14ac:dyDescent="0.2">
      <c r="A79" s="50"/>
      <c r="B79" s="19"/>
      <c r="C79" s="1195" t="s">
        <v>1350</v>
      </c>
      <c r="D79" s="1841" t="s">
        <v>1737</v>
      </c>
      <c r="E79" s="55"/>
      <c r="F79" s="314">
        <v>1692</v>
      </c>
      <c r="G79" s="316">
        <v>1692</v>
      </c>
      <c r="H79" s="1175">
        <f t="shared" si="2"/>
        <v>100</v>
      </c>
      <c r="I79" s="1173"/>
    </row>
    <row r="80" spans="1:11" s="1166" customFormat="1" x14ac:dyDescent="0.2">
      <c r="A80" s="50"/>
      <c r="B80" s="19"/>
      <c r="C80" s="1179" t="s">
        <v>385</v>
      </c>
      <c r="D80" s="1237" t="s">
        <v>996</v>
      </c>
      <c r="E80" s="55"/>
      <c r="F80" s="314">
        <v>350</v>
      </c>
      <c r="G80" s="316">
        <v>350</v>
      </c>
      <c r="H80" s="1175">
        <f t="shared" si="2"/>
        <v>100</v>
      </c>
      <c r="I80" s="1173"/>
    </row>
    <row r="81" spans="1:8" s="1166" customFormat="1" ht="15" x14ac:dyDescent="0.25">
      <c r="A81" s="50">
        <v>3429</v>
      </c>
      <c r="B81" s="19">
        <v>5229</v>
      </c>
      <c r="C81" s="1195"/>
      <c r="D81" s="1483" t="s">
        <v>1276</v>
      </c>
      <c r="E81" s="55"/>
      <c r="F81" s="313">
        <v>150</v>
      </c>
      <c r="G81" s="315">
        <v>150</v>
      </c>
      <c r="H81" s="203">
        <f t="shared" si="2"/>
        <v>100</v>
      </c>
    </row>
    <row r="82" spans="1:8" s="1166" customFormat="1" x14ac:dyDescent="0.2">
      <c r="A82" s="50"/>
      <c r="B82" s="19"/>
      <c r="C82" s="1195" t="s">
        <v>272</v>
      </c>
      <c r="D82" s="1237" t="s">
        <v>348</v>
      </c>
      <c r="E82" s="55"/>
      <c r="F82" s="314">
        <v>120</v>
      </c>
      <c r="G82" s="316">
        <v>120</v>
      </c>
      <c r="H82" s="1175">
        <f t="shared" si="2"/>
        <v>100</v>
      </c>
    </row>
    <row r="83" spans="1:8" s="1166" customFormat="1" x14ac:dyDescent="0.2">
      <c r="A83" s="50"/>
      <c r="B83" s="19"/>
      <c r="C83" s="1195" t="s">
        <v>1350</v>
      </c>
      <c r="D83" s="1841" t="s">
        <v>1737</v>
      </c>
      <c r="E83" s="55"/>
      <c r="F83" s="314">
        <v>30</v>
      </c>
      <c r="G83" s="316">
        <v>30</v>
      </c>
      <c r="H83" s="1175">
        <f t="shared" si="2"/>
        <v>100</v>
      </c>
    </row>
    <row r="84" spans="1:8" s="1166" customFormat="1" ht="15" x14ac:dyDescent="0.25">
      <c r="A84" s="50">
        <v>3429</v>
      </c>
      <c r="B84" s="19">
        <v>5321</v>
      </c>
      <c r="C84" s="1195"/>
      <c r="D84" s="1511" t="s">
        <v>1349</v>
      </c>
      <c r="E84" s="55"/>
      <c r="F84" s="313">
        <v>50</v>
      </c>
      <c r="G84" s="315">
        <v>50</v>
      </c>
      <c r="H84" s="203">
        <f t="shared" si="2"/>
        <v>100</v>
      </c>
    </row>
    <row r="85" spans="1:8" s="1166" customFormat="1" x14ac:dyDescent="0.2">
      <c r="A85" s="50"/>
      <c r="B85" s="19"/>
      <c r="C85" s="1195" t="s">
        <v>1350</v>
      </c>
      <c r="D85" s="1841" t="s">
        <v>1737</v>
      </c>
      <c r="E85" s="55"/>
      <c r="F85" s="314">
        <v>50</v>
      </c>
      <c r="G85" s="316">
        <v>50</v>
      </c>
      <c r="H85" s="1175">
        <f t="shared" si="2"/>
        <v>100</v>
      </c>
    </row>
    <row r="86" spans="1:8" s="1166" customFormat="1" ht="15" x14ac:dyDescent="0.25">
      <c r="A86" s="50">
        <v>3429</v>
      </c>
      <c r="B86" s="19">
        <v>5339</v>
      </c>
      <c r="C86" s="1195"/>
      <c r="D86" s="1269" t="s">
        <v>1389</v>
      </c>
      <c r="E86" s="55"/>
      <c r="F86" s="313">
        <v>30</v>
      </c>
      <c r="G86" s="315">
        <v>30</v>
      </c>
      <c r="H86" s="203">
        <f t="shared" si="2"/>
        <v>100</v>
      </c>
    </row>
    <row r="87" spans="1:8" s="1166" customFormat="1" x14ac:dyDescent="0.2">
      <c r="A87" s="50"/>
      <c r="B87" s="19"/>
      <c r="C87" s="1195" t="s">
        <v>1350</v>
      </c>
      <c r="D87" s="1841" t="s">
        <v>1737</v>
      </c>
      <c r="E87" s="55"/>
      <c r="F87" s="314">
        <v>30</v>
      </c>
      <c r="G87" s="316">
        <v>30</v>
      </c>
      <c r="H87" s="1175">
        <f t="shared" si="2"/>
        <v>100</v>
      </c>
    </row>
    <row r="88" spans="1:8" s="1166" customFormat="1" ht="15" x14ac:dyDescent="0.25">
      <c r="A88" s="50">
        <v>3429</v>
      </c>
      <c r="B88" s="19">
        <v>5493</v>
      </c>
      <c r="C88" s="1195"/>
      <c r="D88" s="1350" t="s">
        <v>768</v>
      </c>
      <c r="E88" s="55"/>
      <c r="F88" s="313">
        <v>415</v>
      </c>
      <c r="G88" s="315">
        <v>415</v>
      </c>
      <c r="H88" s="203">
        <f t="shared" si="2"/>
        <v>100</v>
      </c>
    </row>
    <row r="89" spans="1:8" s="1166" customFormat="1" x14ac:dyDescent="0.2">
      <c r="A89" s="50"/>
      <c r="B89" s="19"/>
      <c r="C89" s="1195" t="s">
        <v>1350</v>
      </c>
      <c r="D89" s="1841" t="s">
        <v>1737</v>
      </c>
      <c r="E89" s="55"/>
      <c r="F89" s="314">
        <v>415</v>
      </c>
      <c r="G89" s="316">
        <v>415</v>
      </c>
      <c r="H89" s="1175">
        <f t="shared" si="2"/>
        <v>100</v>
      </c>
    </row>
    <row r="90" spans="1:8" s="1166" customFormat="1" ht="15" x14ac:dyDescent="0.25">
      <c r="A90" s="50">
        <v>3541</v>
      </c>
      <c r="B90" s="19">
        <v>5321</v>
      </c>
      <c r="C90" s="1195"/>
      <c r="D90" s="1511" t="s">
        <v>1349</v>
      </c>
      <c r="E90" s="55"/>
      <c r="F90" s="313">
        <v>70</v>
      </c>
      <c r="G90" s="315">
        <v>70</v>
      </c>
      <c r="H90" s="203">
        <f t="shared" si="2"/>
        <v>100</v>
      </c>
    </row>
    <row r="91" spans="1:8" s="1166" customFormat="1" x14ac:dyDescent="0.2">
      <c r="A91" s="50"/>
      <c r="B91" s="19"/>
      <c r="C91" s="1179" t="s">
        <v>385</v>
      </c>
      <c r="D91" s="1237" t="s">
        <v>996</v>
      </c>
      <c r="E91" s="55"/>
      <c r="F91" s="314">
        <v>70</v>
      </c>
      <c r="G91" s="316">
        <v>70</v>
      </c>
      <c r="H91" s="1175">
        <f t="shared" si="2"/>
        <v>100</v>
      </c>
    </row>
    <row r="92" spans="1:8" s="1166" customFormat="1" ht="15" x14ac:dyDescent="0.25">
      <c r="A92" s="50">
        <v>3792</v>
      </c>
      <c r="B92" s="19">
        <v>5164</v>
      </c>
      <c r="C92" s="1178"/>
      <c r="D92" s="2120" t="s">
        <v>188</v>
      </c>
      <c r="E92" s="71">
        <v>20</v>
      </c>
      <c r="F92" s="313">
        <v>20</v>
      </c>
      <c r="G92" s="315">
        <v>20</v>
      </c>
      <c r="H92" s="203">
        <f t="shared" si="2"/>
        <v>100</v>
      </c>
    </row>
    <row r="93" spans="1:8" s="1166" customFormat="1" x14ac:dyDescent="0.2">
      <c r="A93" s="50"/>
      <c r="B93" s="19"/>
      <c r="C93" s="1179" t="s">
        <v>1479</v>
      </c>
      <c r="D93" s="1237" t="s">
        <v>406</v>
      </c>
      <c r="E93" s="55">
        <v>20</v>
      </c>
      <c r="F93" s="314">
        <v>20</v>
      </c>
      <c r="G93" s="316">
        <v>20</v>
      </c>
      <c r="H93" s="1175">
        <f t="shared" si="2"/>
        <v>100</v>
      </c>
    </row>
    <row r="94" spans="1:8" s="1166" customFormat="1" ht="15" x14ac:dyDescent="0.25">
      <c r="A94" s="50">
        <v>3792</v>
      </c>
      <c r="B94" s="19">
        <v>5169</v>
      </c>
      <c r="C94" s="1179"/>
      <c r="D94" s="1600" t="s">
        <v>955</v>
      </c>
      <c r="E94" s="71">
        <v>120</v>
      </c>
      <c r="F94" s="313">
        <v>36</v>
      </c>
      <c r="G94" s="315">
        <v>36</v>
      </c>
      <c r="H94" s="1172">
        <f>(G94/F94)*100</f>
        <v>100</v>
      </c>
    </row>
    <row r="95" spans="1:8" s="1166" customFormat="1" x14ac:dyDescent="0.2">
      <c r="A95" s="50"/>
      <c r="B95" s="19"/>
      <c r="C95" s="1169" t="s">
        <v>1479</v>
      </c>
      <c r="D95" s="117" t="s">
        <v>406</v>
      </c>
      <c r="E95" s="55">
        <v>120</v>
      </c>
      <c r="F95" s="314">
        <v>36</v>
      </c>
      <c r="G95" s="316">
        <v>36</v>
      </c>
      <c r="H95" s="1175">
        <f>(G95/F95)*100</f>
        <v>100</v>
      </c>
    </row>
    <row r="96" spans="1:8" s="1166" customFormat="1" ht="15" x14ac:dyDescent="0.25">
      <c r="A96" s="50">
        <v>3792</v>
      </c>
      <c r="B96" s="19">
        <v>5175</v>
      </c>
      <c r="C96" s="1169"/>
      <c r="D96" s="72" t="s">
        <v>740</v>
      </c>
      <c r="E96" s="71">
        <v>20</v>
      </c>
      <c r="F96" s="313">
        <v>20</v>
      </c>
      <c r="G96" s="315">
        <v>19</v>
      </c>
      <c r="H96" s="203">
        <f>(G96/F96)*100</f>
        <v>95</v>
      </c>
    </row>
    <row r="97" spans="1:14" s="1166" customFormat="1" x14ac:dyDescent="0.2">
      <c r="A97" s="50"/>
      <c r="B97" s="19"/>
      <c r="C97" s="1169" t="s">
        <v>1479</v>
      </c>
      <c r="D97" s="117" t="s">
        <v>406</v>
      </c>
      <c r="E97" s="55">
        <v>20</v>
      </c>
      <c r="F97" s="314">
        <v>20</v>
      </c>
      <c r="G97" s="316">
        <v>19</v>
      </c>
      <c r="H97" s="1175">
        <f>(G97/F97)*100</f>
        <v>95</v>
      </c>
    </row>
    <row r="98" spans="1:14" s="1166" customFormat="1" x14ac:dyDescent="0.2">
      <c r="A98" s="50">
        <v>3792</v>
      </c>
      <c r="B98" s="19">
        <v>5221</v>
      </c>
      <c r="C98" s="1169"/>
      <c r="D98" s="2731" t="s">
        <v>765</v>
      </c>
      <c r="E98" s="55"/>
      <c r="F98" s="314"/>
      <c r="G98" s="316"/>
      <c r="H98" s="1175"/>
    </row>
    <row r="99" spans="1:14" s="1166" customFormat="1" ht="15" x14ac:dyDescent="0.25">
      <c r="A99" s="50"/>
      <c r="B99" s="19"/>
      <c r="C99" s="1169"/>
      <c r="D99" s="2731"/>
      <c r="E99" s="71"/>
      <c r="F99" s="313">
        <v>143</v>
      </c>
      <c r="G99" s="315">
        <v>143</v>
      </c>
      <c r="H99" s="203">
        <f>(G99/F99)*100</f>
        <v>100</v>
      </c>
    </row>
    <row r="100" spans="1:14" s="1166" customFormat="1" x14ac:dyDescent="0.2">
      <c r="A100" s="50"/>
      <c r="B100" s="19"/>
      <c r="C100" s="1179" t="s">
        <v>1775</v>
      </c>
      <c r="D100" s="66" t="s">
        <v>1776</v>
      </c>
      <c r="E100" s="55"/>
      <c r="F100" s="314">
        <v>143</v>
      </c>
      <c r="G100" s="316">
        <v>143</v>
      </c>
      <c r="H100" s="1175">
        <f>(G100/F100)*100</f>
        <v>100</v>
      </c>
    </row>
    <row r="101" spans="1:14" s="1166" customFormat="1" ht="15" x14ac:dyDescent="0.25">
      <c r="A101" s="50">
        <v>3792</v>
      </c>
      <c r="B101" s="19">
        <v>5321</v>
      </c>
      <c r="C101" s="1169"/>
      <c r="D101" s="1511" t="s">
        <v>1349</v>
      </c>
      <c r="E101" s="55"/>
      <c r="F101" s="313">
        <v>342</v>
      </c>
      <c r="G101" s="315">
        <v>342</v>
      </c>
      <c r="H101" s="203">
        <f>(G101/F101)*100</f>
        <v>100</v>
      </c>
    </row>
    <row r="102" spans="1:14" s="1166" customFormat="1" x14ac:dyDescent="0.2">
      <c r="A102" s="50"/>
      <c r="B102" s="19"/>
      <c r="C102" s="1169" t="s">
        <v>1479</v>
      </c>
      <c r="D102" s="117" t="s">
        <v>406</v>
      </c>
      <c r="E102" s="55"/>
      <c r="F102" s="314">
        <v>342</v>
      </c>
      <c r="G102" s="316">
        <v>342</v>
      </c>
      <c r="H102" s="1175">
        <f>(G102/F102)*100</f>
        <v>100</v>
      </c>
    </row>
    <row r="103" spans="1:14" s="1166" customFormat="1" ht="15" x14ac:dyDescent="0.25">
      <c r="A103" s="50">
        <v>6402</v>
      </c>
      <c r="B103" s="19">
        <v>5364</v>
      </c>
      <c r="C103" s="1169"/>
      <c r="D103" s="2732" t="s">
        <v>1264</v>
      </c>
      <c r="E103" s="55"/>
      <c r="F103" s="313">
        <v>3359</v>
      </c>
      <c r="G103" s="315">
        <v>3359</v>
      </c>
      <c r="H103" s="203">
        <f>(G103/F103)*100</f>
        <v>100</v>
      </c>
    </row>
    <row r="104" spans="1:14" s="1166" customFormat="1" x14ac:dyDescent="0.2">
      <c r="A104" s="50"/>
      <c r="B104" s="19"/>
      <c r="C104" s="1169"/>
      <c r="D104" s="2732"/>
      <c r="E104" s="55"/>
      <c r="F104" s="314"/>
      <c r="G104" s="316"/>
      <c r="H104" s="1175"/>
    </row>
    <row r="105" spans="1:14" s="1166" customFormat="1" ht="15.75" thickBot="1" x14ac:dyDescent="0.3">
      <c r="A105" s="1186"/>
      <c r="B105" s="1193"/>
      <c r="C105" s="1509" t="s">
        <v>638</v>
      </c>
      <c r="D105" s="1516" t="s">
        <v>1035</v>
      </c>
      <c r="E105" s="1194"/>
      <c r="F105" s="456">
        <v>3359</v>
      </c>
      <c r="G105" s="457">
        <v>3359</v>
      </c>
      <c r="H105" s="1474">
        <f>(G105/F105)*100</f>
        <v>100</v>
      </c>
    </row>
    <row r="106" spans="1:14" s="362" customFormat="1" ht="35.25" customHeight="1" thickTop="1" thickBot="1" x14ac:dyDescent="0.3">
      <c r="A106" s="720" t="s">
        <v>268</v>
      </c>
      <c r="B106" s="986"/>
      <c r="C106" s="722"/>
      <c r="D106" s="721"/>
      <c r="E106" s="723">
        <f>E12+E13+E14+E15+E16+E19+E22+E25+E26+E30+E41+E54+E59+E92+E94+E96+E38</f>
        <v>56456</v>
      </c>
      <c r="F106" s="723">
        <f>J106+J75</f>
        <v>87553</v>
      </c>
      <c r="G106" s="723">
        <f>K106+K75</f>
        <v>86920</v>
      </c>
      <c r="H106" s="990">
        <f>(G106/F106)*100</f>
        <v>99.277009354333941</v>
      </c>
      <c r="J106" s="1400">
        <f>F77+F81+F88+F92+F94+F96+F99+F103+F86+F101+F90+F84</f>
        <v>9457</v>
      </c>
      <c r="K106" s="1400">
        <f>G77+G81+G88+G92+G94+G96+G99+G103+G86+G101+G90+G84</f>
        <v>9455</v>
      </c>
      <c r="L106" s="1400"/>
      <c r="M106" s="1399"/>
      <c r="N106" s="1399"/>
    </row>
    <row r="107" spans="1:14" s="1166" customFormat="1" ht="15.75" thickTop="1" x14ac:dyDescent="0.25">
      <c r="A107" s="1199"/>
      <c r="B107" s="1199"/>
      <c r="C107" s="1169"/>
      <c r="D107" s="1174"/>
      <c r="E107" s="1506"/>
      <c r="F107" s="1508"/>
      <c r="G107" s="1508"/>
      <c r="H107" s="1415"/>
    </row>
    <row r="108" spans="1:14" s="1166" customFormat="1" ht="15" x14ac:dyDescent="0.25">
      <c r="A108" s="1199"/>
      <c r="B108" s="1199"/>
      <c r="C108" s="1169"/>
      <c r="D108" s="1174"/>
      <c r="E108" s="1506"/>
      <c r="F108" s="1508"/>
      <c r="G108" s="1508"/>
      <c r="H108" s="1415"/>
    </row>
    <row r="109" spans="1:14" s="1166" customFormat="1" ht="15" x14ac:dyDescent="0.25">
      <c r="A109" s="1199"/>
      <c r="B109" s="1199"/>
      <c r="C109" s="1169"/>
      <c r="D109" s="1174"/>
      <c r="E109" s="1506"/>
      <c r="F109" s="1508"/>
      <c r="G109" s="1508"/>
      <c r="H109" s="1415"/>
    </row>
    <row r="110" spans="1:14" s="362" customFormat="1" ht="18" x14ac:dyDescent="0.25">
      <c r="A110" s="360"/>
      <c r="B110" s="361"/>
      <c r="C110" s="142"/>
      <c r="D110" s="361"/>
      <c r="E110" s="17"/>
      <c r="F110" s="17"/>
      <c r="G110" s="17"/>
      <c r="H110" s="194"/>
      <c r="K110" s="1414"/>
      <c r="L110" s="1414"/>
    </row>
    <row r="111" spans="1:14" ht="18.75" customHeight="1" x14ac:dyDescent="0.25">
      <c r="A111" s="98" t="s">
        <v>956</v>
      </c>
      <c r="B111" s="669"/>
      <c r="C111" s="708"/>
      <c r="D111" s="988"/>
      <c r="E111" s="710"/>
      <c r="F111" s="989"/>
      <c r="G111" s="710"/>
      <c r="H111" s="673"/>
    </row>
    <row r="112" spans="1:14" ht="16.5" thickBot="1" x14ac:dyDescent="0.3">
      <c r="A112" s="98"/>
      <c r="B112" s="28"/>
      <c r="C112" s="142"/>
      <c r="D112" s="10"/>
      <c r="E112" s="485"/>
      <c r="F112" s="485"/>
      <c r="G112" s="168"/>
      <c r="H112" s="2025" t="s">
        <v>179</v>
      </c>
    </row>
    <row r="113" spans="1:21" s="107" customFormat="1" ht="20.25" customHeight="1" thickTop="1" thickBot="1" x14ac:dyDescent="0.25">
      <c r="A113" s="657" t="s">
        <v>180</v>
      </c>
      <c r="B113" s="658" t="s">
        <v>181</v>
      </c>
      <c r="C113" s="702" t="s">
        <v>783</v>
      </c>
      <c r="D113" s="660" t="s">
        <v>182</v>
      </c>
      <c r="E113" s="660" t="s">
        <v>183</v>
      </c>
      <c r="F113" s="660" t="s">
        <v>985</v>
      </c>
      <c r="G113" s="660" t="s">
        <v>986</v>
      </c>
      <c r="H113" s="661" t="s">
        <v>987</v>
      </c>
    </row>
    <row r="114" spans="1:21" s="386" customFormat="1" ht="13.5" thickTop="1" thickBot="1" x14ac:dyDescent="0.25">
      <c r="A114" s="592">
        <v>1</v>
      </c>
      <c r="B114" s="593">
        <v>2</v>
      </c>
      <c r="C114" s="593">
        <v>3</v>
      </c>
      <c r="D114" s="593">
        <v>4</v>
      </c>
      <c r="E114" s="593">
        <v>5</v>
      </c>
      <c r="F114" s="567">
        <v>6</v>
      </c>
      <c r="G114" s="567">
        <v>7</v>
      </c>
      <c r="H114" s="662" t="s">
        <v>61</v>
      </c>
      <c r="I114" s="107"/>
    </row>
    <row r="115" spans="1:21" s="386" customFormat="1" ht="15.75" thickTop="1" x14ac:dyDescent="0.25">
      <c r="A115" s="2112">
        <v>3113</v>
      </c>
      <c r="B115" s="2113">
        <v>6341</v>
      </c>
      <c r="C115" s="1599"/>
      <c r="D115" s="2110" t="s">
        <v>271</v>
      </c>
      <c r="E115" s="2114"/>
      <c r="F115" s="935">
        <v>600</v>
      </c>
      <c r="G115" s="935">
        <v>600</v>
      </c>
      <c r="H115" s="212">
        <f>(G115/F115)*100</f>
        <v>100</v>
      </c>
      <c r="I115" s="107"/>
    </row>
    <row r="116" spans="1:21" s="386" customFormat="1" x14ac:dyDescent="0.2">
      <c r="A116" s="1557"/>
      <c r="B116" s="1558"/>
      <c r="C116" s="1169" t="s">
        <v>385</v>
      </c>
      <c r="D116" s="117" t="s">
        <v>996</v>
      </c>
      <c r="E116" s="2115"/>
      <c r="F116" s="1692">
        <v>600</v>
      </c>
      <c r="G116" s="1692">
        <v>600</v>
      </c>
      <c r="H116" s="1184">
        <f>(G116/F116)*100</f>
        <v>100</v>
      </c>
      <c r="I116" s="107"/>
    </row>
    <row r="117" spans="1:21" s="1219" customFormat="1" ht="15.75" customHeight="1" x14ac:dyDescent="0.25">
      <c r="A117" s="34">
        <v>3299</v>
      </c>
      <c r="B117" s="19">
        <v>6321</v>
      </c>
      <c r="C117" s="1179"/>
      <c r="D117" s="854" t="s">
        <v>766</v>
      </c>
      <c r="E117" s="55"/>
      <c r="F117" s="1678">
        <v>1700</v>
      </c>
      <c r="G117" s="315">
        <v>1700</v>
      </c>
      <c r="H117" s="212">
        <f>(G117/F117)*100</f>
        <v>100</v>
      </c>
      <c r="I117" s="1166"/>
      <c r="J117" s="1166"/>
      <c r="K117" s="1166"/>
      <c r="L117" s="1166"/>
      <c r="M117" s="1166"/>
      <c r="N117" s="1166"/>
      <c r="O117" s="1166"/>
      <c r="P117" s="1166"/>
      <c r="Q117" s="1166"/>
      <c r="R117" s="1166"/>
      <c r="S117" s="1166"/>
      <c r="T117" s="1166"/>
      <c r="U117" s="1166"/>
    </row>
    <row r="118" spans="1:21" s="1219" customFormat="1" ht="15.75" customHeight="1" x14ac:dyDescent="0.2">
      <c r="A118" s="50"/>
      <c r="B118" s="19"/>
      <c r="C118" s="1230" t="s">
        <v>1732</v>
      </c>
      <c r="D118" s="2116" t="s">
        <v>1731</v>
      </c>
      <c r="E118" s="55"/>
      <c r="F118" s="461">
        <v>800</v>
      </c>
      <c r="G118" s="316">
        <v>800</v>
      </c>
      <c r="H118" s="1184">
        <f>(G118/F118)*100</f>
        <v>100</v>
      </c>
      <c r="I118" s="1166"/>
      <c r="J118" s="1166"/>
      <c r="K118" s="1166"/>
      <c r="L118" s="1166"/>
      <c r="M118" s="1166"/>
      <c r="N118" s="1166"/>
      <c r="O118" s="1166"/>
      <c r="P118" s="1166"/>
      <c r="Q118" s="1166"/>
      <c r="R118" s="1166"/>
      <c r="S118" s="1166"/>
      <c r="T118" s="1166"/>
      <c r="U118" s="1166"/>
    </row>
    <row r="119" spans="1:21" s="1219" customFormat="1" ht="13.5" customHeight="1" x14ac:dyDescent="0.2">
      <c r="A119" s="50"/>
      <c r="B119" s="19"/>
      <c r="C119" s="1169" t="s">
        <v>1649</v>
      </c>
      <c r="D119" s="117" t="s">
        <v>1648</v>
      </c>
      <c r="E119" s="1401"/>
      <c r="F119" s="316">
        <v>900</v>
      </c>
      <c r="G119" s="316">
        <v>900</v>
      </c>
      <c r="H119" s="1184">
        <f>(G119/F119)*100</f>
        <v>100</v>
      </c>
      <c r="I119" s="1166"/>
      <c r="J119" s="1166"/>
      <c r="K119" s="1166"/>
      <c r="L119" s="1166"/>
      <c r="M119" s="1166"/>
      <c r="N119" s="1166"/>
      <c r="O119" s="1166"/>
      <c r="P119" s="1166"/>
      <c r="Q119" s="1166"/>
      <c r="R119" s="1166"/>
      <c r="S119" s="1166"/>
      <c r="T119" s="1166"/>
      <c r="U119" s="1166"/>
    </row>
    <row r="120" spans="1:21" s="1219" customFormat="1" ht="15.75" customHeight="1" x14ac:dyDescent="0.25">
      <c r="A120" s="50">
        <v>3299</v>
      </c>
      <c r="B120" s="19">
        <v>6359</v>
      </c>
      <c r="C120" s="1169"/>
      <c r="D120" s="854" t="s">
        <v>1036</v>
      </c>
      <c r="E120" s="94">
        <v>15000</v>
      </c>
      <c r="F120" s="315">
        <v>5500</v>
      </c>
      <c r="G120" s="315">
        <v>5500</v>
      </c>
      <c r="H120" s="212">
        <f t="shared" ref="H120:H131" si="3">(G120/F120)*100</f>
        <v>100</v>
      </c>
      <c r="I120" s="1166"/>
      <c r="J120" s="1166"/>
      <c r="K120" s="1166"/>
      <c r="L120" s="1166"/>
      <c r="M120" s="1166"/>
      <c r="N120" s="1166"/>
      <c r="O120" s="1166"/>
      <c r="P120" s="1166"/>
      <c r="Q120" s="1166"/>
      <c r="R120" s="1166"/>
      <c r="S120" s="1166"/>
      <c r="T120" s="1166"/>
      <c r="U120" s="1166"/>
    </row>
    <row r="121" spans="1:21" s="1219" customFormat="1" ht="15.75" customHeight="1" x14ac:dyDescent="0.2">
      <c r="A121" s="50"/>
      <c r="B121" s="19"/>
      <c r="C121" s="1523" t="s">
        <v>272</v>
      </c>
      <c r="D121" s="117" t="s">
        <v>348</v>
      </c>
      <c r="E121" s="1401"/>
      <c r="F121" s="316">
        <v>2000</v>
      </c>
      <c r="G121" s="316">
        <v>2000</v>
      </c>
      <c r="H121" s="1184">
        <v>0</v>
      </c>
      <c r="I121" s="1166"/>
      <c r="J121" s="1166"/>
      <c r="K121" s="1166"/>
      <c r="L121" s="1166"/>
      <c r="M121" s="1166"/>
      <c r="N121" s="1166"/>
      <c r="O121" s="1166"/>
      <c r="P121" s="1166"/>
      <c r="Q121" s="1166"/>
      <c r="R121" s="1166"/>
      <c r="S121" s="1166"/>
      <c r="T121" s="1166"/>
      <c r="U121" s="1166"/>
    </row>
    <row r="122" spans="1:21" s="1219" customFormat="1" ht="15.75" customHeight="1" x14ac:dyDescent="0.2">
      <c r="A122" s="50"/>
      <c r="B122" s="19"/>
      <c r="C122" s="2117" t="s">
        <v>1732</v>
      </c>
      <c r="D122" s="2118" t="s">
        <v>1731</v>
      </c>
      <c r="E122" s="1401">
        <v>4500</v>
      </c>
      <c r="F122" s="316">
        <v>0</v>
      </c>
      <c r="G122" s="316">
        <v>0</v>
      </c>
      <c r="H122" s="1184">
        <v>0</v>
      </c>
      <c r="I122" s="1166"/>
      <c r="J122" s="1166"/>
      <c r="K122" s="1166"/>
      <c r="L122" s="1166"/>
      <c r="M122" s="1166"/>
      <c r="N122" s="1166"/>
      <c r="O122" s="1166"/>
      <c r="P122" s="1166"/>
      <c r="Q122" s="1166"/>
      <c r="R122" s="1166"/>
      <c r="S122" s="1166"/>
      <c r="T122" s="1166"/>
      <c r="U122" s="1166"/>
    </row>
    <row r="123" spans="1:21" s="1219" customFormat="1" ht="13.5" customHeight="1" x14ac:dyDescent="0.2">
      <c r="A123" s="50"/>
      <c r="B123" s="19"/>
      <c r="C123" s="1169" t="s">
        <v>1649</v>
      </c>
      <c r="D123" s="117" t="s">
        <v>1648</v>
      </c>
      <c r="E123" s="1401">
        <v>10500</v>
      </c>
      <c r="F123" s="316">
        <v>3500</v>
      </c>
      <c r="G123" s="316">
        <v>3500</v>
      </c>
      <c r="H123" s="1184">
        <f t="shared" si="3"/>
        <v>100</v>
      </c>
      <c r="I123" s="1166"/>
      <c r="J123" s="1166"/>
      <c r="K123" s="1166"/>
      <c r="L123" s="1166"/>
      <c r="M123" s="1166"/>
      <c r="N123" s="1166"/>
      <c r="O123" s="1166"/>
      <c r="P123" s="1166"/>
      <c r="Q123" s="1166"/>
      <c r="R123" s="1166"/>
      <c r="S123" s="1166"/>
      <c r="T123" s="1166"/>
      <c r="U123" s="1166"/>
    </row>
    <row r="124" spans="1:21" s="1166" customFormat="1" ht="15" x14ac:dyDescent="0.25">
      <c r="A124" s="50">
        <v>3419</v>
      </c>
      <c r="B124" s="19">
        <v>6313</v>
      </c>
      <c r="C124" s="1523"/>
      <c r="D124" s="383" t="s">
        <v>1037</v>
      </c>
      <c r="E124" s="1401"/>
      <c r="F124" s="315">
        <v>550</v>
      </c>
      <c r="G124" s="315">
        <v>550</v>
      </c>
      <c r="H124" s="212">
        <f t="shared" si="3"/>
        <v>100</v>
      </c>
    </row>
    <row r="125" spans="1:21" s="1166" customFormat="1" x14ac:dyDescent="0.2">
      <c r="A125" s="50"/>
      <c r="B125" s="19"/>
      <c r="C125" s="1523" t="s">
        <v>272</v>
      </c>
      <c r="D125" s="117" t="s">
        <v>348</v>
      </c>
      <c r="E125" s="1401"/>
      <c r="F125" s="316">
        <v>550</v>
      </c>
      <c r="G125" s="316">
        <v>550</v>
      </c>
      <c r="H125" s="1184">
        <f t="shared" si="3"/>
        <v>100</v>
      </c>
    </row>
    <row r="126" spans="1:21" s="1166" customFormat="1" ht="15" x14ac:dyDescent="0.25">
      <c r="A126" s="50">
        <v>3419</v>
      </c>
      <c r="B126" s="19">
        <v>6322</v>
      </c>
      <c r="C126" s="1523"/>
      <c r="D126" s="174" t="s">
        <v>769</v>
      </c>
      <c r="E126" s="1401"/>
      <c r="F126" s="315">
        <v>5580</v>
      </c>
      <c r="G126" s="315">
        <v>5580</v>
      </c>
      <c r="H126" s="212">
        <f t="shared" si="3"/>
        <v>100</v>
      </c>
    </row>
    <row r="127" spans="1:21" s="1166" customFormat="1" x14ac:dyDescent="0.2">
      <c r="A127" s="50"/>
      <c r="B127" s="19"/>
      <c r="C127" s="1523" t="s">
        <v>272</v>
      </c>
      <c r="D127" s="117" t="s">
        <v>348</v>
      </c>
      <c r="E127" s="1401"/>
      <c r="F127" s="316">
        <v>5580</v>
      </c>
      <c r="G127" s="316">
        <v>5580</v>
      </c>
      <c r="H127" s="1184">
        <f t="shared" si="3"/>
        <v>100</v>
      </c>
    </row>
    <row r="128" spans="1:21" s="1166" customFormat="1" ht="15" x14ac:dyDescent="0.25">
      <c r="A128" s="50">
        <v>3429</v>
      </c>
      <c r="B128" s="19">
        <v>6322</v>
      </c>
      <c r="C128" s="1523"/>
      <c r="D128" s="383" t="s">
        <v>71</v>
      </c>
      <c r="E128" s="1401"/>
      <c r="F128" s="315">
        <v>210</v>
      </c>
      <c r="G128" s="315">
        <v>210</v>
      </c>
      <c r="H128" s="212">
        <f t="shared" si="3"/>
        <v>100</v>
      </c>
    </row>
    <row r="129" spans="1:14" s="1166" customFormat="1" x14ac:dyDescent="0.2">
      <c r="A129" s="50"/>
      <c r="B129" s="19"/>
      <c r="C129" s="1523" t="s">
        <v>272</v>
      </c>
      <c r="D129" s="117" t="s">
        <v>348</v>
      </c>
      <c r="E129" s="1401"/>
      <c r="F129" s="316">
        <v>210</v>
      </c>
      <c r="G129" s="316">
        <v>210</v>
      </c>
      <c r="H129" s="1184">
        <f t="shared" si="3"/>
        <v>100</v>
      </c>
    </row>
    <row r="130" spans="1:14" s="1166" customFormat="1" ht="15" x14ac:dyDescent="0.25">
      <c r="A130" s="34">
        <v>3429</v>
      </c>
      <c r="B130" s="154">
        <v>6349</v>
      </c>
      <c r="C130" s="1195"/>
      <c r="D130" s="1236" t="s">
        <v>1327</v>
      </c>
      <c r="E130" s="1401"/>
      <c r="F130" s="315">
        <v>3000</v>
      </c>
      <c r="G130" s="315">
        <v>3000</v>
      </c>
      <c r="H130" s="212">
        <f t="shared" si="3"/>
        <v>100</v>
      </c>
    </row>
    <row r="131" spans="1:14" s="1166" customFormat="1" ht="15" thickBot="1" x14ac:dyDescent="0.25">
      <c r="A131" s="1206"/>
      <c r="B131" s="2094"/>
      <c r="C131" s="1497" t="s">
        <v>272</v>
      </c>
      <c r="D131" s="1233" t="s">
        <v>348</v>
      </c>
      <c r="E131" s="1498"/>
      <c r="F131" s="457">
        <v>3000</v>
      </c>
      <c r="G131" s="457">
        <v>3000</v>
      </c>
      <c r="H131" s="1207">
        <f t="shared" si="3"/>
        <v>100</v>
      </c>
    </row>
    <row r="132" spans="1:14" s="362" customFormat="1" ht="35.25" customHeight="1" thickTop="1" thickBot="1" x14ac:dyDescent="0.3">
      <c r="A132" s="720" t="s">
        <v>267</v>
      </c>
      <c r="B132" s="986"/>
      <c r="C132" s="722"/>
      <c r="D132" s="721"/>
      <c r="E132" s="1517">
        <f>E120</f>
        <v>15000</v>
      </c>
      <c r="F132" s="723">
        <f>F115+F117+F120+F124+F126+F128+F130</f>
        <v>17140</v>
      </c>
      <c r="G132" s="723">
        <f>G115+G117+G120+G124+G126+G128+G130</f>
        <v>17140</v>
      </c>
      <c r="H132" s="990">
        <f>(G132/F132)*100</f>
        <v>100</v>
      </c>
      <c r="J132" s="1400"/>
      <c r="K132" s="1400"/>
      <c r="L132" s="1400"/>
      <c r="M132" s="1399"/>
      <c r="N132" s="1399"/>
    </row>
    <row r="133" spans="1:14" ht="16.5" customHeight="1" thickTop="1" x14ac:dyDescent="0.25">
      <c r="B133" s="669"/>
      <c r="C133" s="708"/>
      <c r="D133" s="988"/>
      <c r="E133" s="710"/>
      <c r="F133" s="384"/>
      <c r="G133" s="989"/>
      <c r="H133" s="673"/>
    </row>
    <row r="134" spans="1:14" ht="16.5" customHeight="1" x14ac:dyDescent="0.25">
      <c r="B134" s="669"/>
      <c r="C134" s="708"/>
      <c r="D134" s="988"/>
      <c r="E134" s="710"/>
      <c r="F134" s="384"/>
      <c r="G134" s="989"/>
      <c r="H134" s="673"/>
    </row>
    <row r="135" spans="1:14" ht="16.5" customHeight="1" x14ac:dyDescent="0.25">
      <c r="B135" s="669"/>
      <c r="C135" s="708"/>
      <c r="D135" s="988"/>
      <c r="E135" s="710"/>
      <c r="F135" s="384"/>
      <c r="G135" s="989"/>
      <c r="H135" s="673"/>
    </row>
    <row r="136" spans="1:14" ht="15.75" x14ac:dyDescent="0.25">
      <c r="A136" s="98" t="s">
        <v>694</v>
      </c>
      <c r="C136" s="991"/>
      <c r="D136" s="758"/>
      <c r="E136" s="710"/>
      <c r="F136" s="834"/>
      <c r="G136" s="710"/>
    </row>
    <row r="137" spans="1:14" ht="16.5" thickBot="1" x14ac:dyDescent="0.3">
      <c r="A137" s="98"/>
      <c r="C137" s="991"/>
      <c r="D137" s="758"/>
      <c r="E137" s="710"/>
      <c r="F137" s="834"/>
      <c r="G137" s="710"/>
      <c r="H137" s="2025" t="s">
        <v>179</v>
      </c>
    </row>
    <row r="138" spans="1:14" s="107" customFormat="1" ht="20.25" customHeight="1" thickTop="1" thickBot="1" x14ac:dyDescent="0.25">
      <c r="A138" s="657" t="s">
        <v>180</v>
      </c>
      <c r="B138" s="658" t="s">
        <v>181</v>
      </c>
      <c r="C138" s="702" t="s">
        <v>783</v>
      </c>
      <c r="D138" s="835" t="s">
        <v>182</v>
      </c>
      <c r="E138" s="660" t="s">
        <v>183</v>
      </c>
      <c r="F138" s="660" t="s">
        <v>985</v>
      </c>
      <c r="G138" s="660" t="s">
        <v>986</v>
      </c>
      <c r="H138" s="661" t="s">
        <v>987</v>
      </c>
    </row>
    <row r="139" spans="1:14" s="386" customFormat="1" ht="13.5" thickTop="1" thickBot="1" x14ac:dyDescent="0.25">
      <c r="A139" s="592">
        <v>1</v>
      </c>
      <c r="B139" s="593">
        <v>2</v>
      </c>
      <c r="C139" s="593">
        <v>3</v>
      </c>
      <c r="D139" s="593">
        <v>4</v>
      </c>
      <c r="E139" s="593">
        <v>5</v>
      </c>
      <c r="F139" s="567">
        <v>6</v>
      </c>
      <c r="G139" s="567">
        <v>7</v>
      </c>
      <c r="H139" s="662" t="s">
        <v>61</v>
      </c>
      <c r="I139" s="107"/>
    </row>
    <row r="140" spans="1:14" s="386" customFormat="1" ht="15.75" thickTop="1" x14ac:dyDescent="0.25">
      <c r="A140" s="2106"/>
      <c r="B140" s="2108">
        <v>5162</v>
      </c>
      <c r="C140" s="2107"/>
      <c r="D140" s="2110" t="s">
        <v>967</v>
      </c>
      <c r="E140" s="1319"/>
      <c r="F140" s="935">
        <v>1</v>
      </c>
      <c r="G140" s="935">
        <v>1</v>
      </c>
      <c r="H140" s="212">
        <v>0</v>
      </c>
      <c r="I140" s="107"/>
    </row>
    <row r="141" spans="1:14" s="386" customFormat="1" ht="15" x14ac:dyDescent="0.25">
      <c r="A141" s="2098"/>
      <c r="B141" s="2109">
        <v>5901</v>
      </c>
      <c r="C141" s="1121"/>
      <c r="D141" s="2111" t="s">
        <v>670</v>
      </c>
      <c r="E141" s="1447"/>
      <c r="F141" s="1574">
        <v>45</v>
      </c>
      <c r="G141" s="1574">
        <v>0</v>
      </c>
      <c r="H141" s="212">
        <v>0</v>
      </c>
      <c r="I141" s="107"/>
    </row>
    <row r="142" spans="1:14" s="386" customFormat="1" x14ac:dyDescent="0.2">
      <c r="A142" s="2098"/>
      <c r="B142" s="2109"/>
      <c r="C142" s="1169" t="s">
        <v>1267</v>
      </c>
      <c r="D142" s="1398" t="s">
        <v>26</v>
      </c>
      <c r="E142" s="1447"/>
      <c r="F142" s="1692">
        <v>45</v>
      </c>
      <c r="G142" s="1692">
        <v>0</v>
      </c>
      <c r="H142" s="1184">
        <v>0</v>
      </c>
      <c r="I142" s="107"/>
    </row>
    <row r="143" spans="1:14" s="1166" customFormat="1" ht="15" x14ac:dyDescent="0.25">
      <c r="A143" s="50">
        <v>3299</v>
      </c>
      <c r="B143" s="31">
        <v>5331</v>
      </c>
      <c r="C143" s="1169"/>
      <c r="D143" s="1511" t="s">
        <v>1026</v>
      </c>
      <c r="E143" s="71">
        <f>SUM(E144:E148)</f>
        <v>9117</v>
      </c>
      <c r="F143" s="71">
        <f>SUM(F144:F148)</f>
        <v>0</v>
      </c>
      <c r="G143" s="71">
        <f>G145+G146+G147+G148</f>
        <v>0</v>
      </c>
      <c r="H143" s="212">
        <v>0</v>
      </c>
      <c r="J143" s="1219"/>
    </row>
    <row r="144" spans="1:14" s="1166" customFormat="1" x14ac:dyDescent="0.2">
      <c r="A144" s="50"/>
      <c r="B144" s="31"/>
      <c r="C144" s="1169" t="s">
        <v>641</v>
      </c>
      <c r="D144" s="31" t="s">
        <v>770</v>
      </c>
      <c r="E144" s="1401">
        <v>931</v>
      </c>
      <c r="F144" s="55">
        <v>0</v>
      </c>
      <c r="G144" s="55">
        <v>0</v>
      </c>
      <c r="H144" s="1184">
        <v>0</v>
      </c>
      <c r="J144" s="1219"/>
    </row>
    <row r="145" spans="1:8" s="1166" customFormat="1" ht="15" x14ac:dyDescent="0.25">
      <c r="A145" s="50"/>
      <c r="B145" s="1269"/>
      <c r="C145" s="1169" t="s">
        <v>636</v>
      </c>
      <c r="D145" s="31" t="s">
        <v>23</v>
      </c>
      <c r="E145" s="1401">
        <v>886</v>
      </c>
      <c r="F145" s="467">
        <v>0</v>
      </c>
      <c r="G145" s="316">
        <v>0</v>
      </c>
      <c r="H145" s="1528">
        <v>0</v>
      </c>
    </row>
    <row r="146" spans="1:8" s="1166" customFormat="1" x14ac:dyDescent="0.2">
      <c r="A146" s="50"/>
      <c r="B146" s="19"/>
      <c r="C146" s="1169" t="s">
        <v>1265</v>
      </c>
      <c r="D146" s="117" t="s">
        <v>24</v>
      </c>
      <c r="E146" s="1401">
        <v>150</v>
      </c>
      <c r="F146" s="467">
        <v>0</v>
      </c>
      <c r="G146" s="316">
        <v>0</v>
      </c>
      <c r="H146" s="1184">
        <v>0</v>
      </c>
    </row>
    <row r="147" spans="1:8" s="1166" customFormat="1" x14ac:dyDescent="0.2">
      <c r="A147" s="50"/>
      <c r="B147" s="19"/>
      <c r="C147" s="1169" t="s">
        <v>535</v>
      </c>
      <c r="D147" s="117" t="s">
        <v>1396</v>
      </c>
      <c r="E147" s="1401">
        <v>50</v>
      </c>
      <c r="F147" s="467">
        <v>0</v>
      </c>
      <c r="G147" s="316">
        <v>0</v>
      </c>
      <c r="H147" s="1184">
        <v>0</v>
      </c>
    </row>
    <row r="148" spans="1:8" s="1166" customFormat="1" x14ac:dyDescent="0.2">
      <c r="A148" s="50"/>
      <c r="B148" s="19"/>
      <c r="C148" s="1169" t="s">
        <v>1038</v>
      </c>
      <c r="D148" s="117" t="s">
        <v>1039</v>
      </c>
      <c r="E148" s="1401">
        <v>7100</v>
      </c>
      <c r="F148" s="467">
        <v>0</v>
      </c>
      <c r="G148" s="316">
        <v>0</v>
      </c>
      <c r="H148" s="1184">
        <v>0</v>
      </c>
    </row>
    <row r="149" spans="1:8" s="1166" customFormat="1" ht="15" x14ac:dyDescent="0.25">
      <c r="A149" s="50">
        <v>3792</v>
      </c>
      <c r="B149" s="19">
        <v>5331</v>
      </c>
      <c r="C149" s="1169"/>
      <c r="D149" s="1511" t="s">
        <v>1026</v>
      </c>
      <c r="E149" s="94">
        <v>490</v>
      </c>
      <c r="F149" s="315">
        <v>0</v>
      </c>
      <c r="G149" s="315">
        <v>0</v>
      </c>
      <c r="H149" s="212">
        <v>0</v>
      </c>
    </row>
    <row r="150" spans="1:8" s="1166" customFormat="1" x14ac:dyDescent="0.2">
      <c r="A150" s="50"/>
      <c r="B150" s="19"/>
      <c r="C150" s="1169" t="s">
        <v>1479</v>
      </c>
      <c r="D150" s="117" t="s">
        <v>406</v>
      </c>
      <c r="E150" s="1401">
        <v>490</v>
      </c>
      <c r="F150" s="467">
        <v>0</v>
      </c>
      <c r="G150" s="316">
        <v>0</v>
      </c>
      <c r="H150" s="1184">
        <v>0</v>
      </c>
    </row>
    <row r="151" spans="1:8" s="1166" customFormat="1" ht="15" x14ac:dyDescent="0.25">
      <c r="A151" s="50" t="s">
        <v>575</v>
      </c>
      <c r="B151" s="19">
        <v>5331</v>
      </c>
      <c r="C151" s="1169"/>
      <c r="D151" s="1511" t="s">
        <v>1026</v>
      </c>
      <c r="E151" s="48">
        <f>SUM(E152:E166)</f>
        <v>406069</v>
      </c>
      <c r="F151" s="48">
        <f>SUM(F152:F166)</f>
        <v>426445</v>
      </c>
      <c r="G151" s="48">
        <f>SUM(G152:G166)</f>
        <v>426438</v>
      </c>
      <c r="H151" s="212">
        <f>(G151/F151)*100</f>
        <v>99.998358522200988</v>
      </c>
    </row>
    <row r="152" spans="1:8" s="1166" customFormat="1" ht="15" x14ac:dyDescent="0.25">
      <c r="A152" s="50"/>
      <c r="B152" s="19"/>
      <c r="C152" s="1195" t="s">
        <v>272</v>
      </c>
      <c r="D152" s="1237" t="s">
        <v>348</v>
      </c>
      <c r="E152" s="1420"/>
      <c r="F152" s="55">
        <v>200</v>
      </c>
      <c r="G152" s="55">
        <v>193</v>
      </c>
      <c r="H152" s="1184">
        <f t="shared" ref="H152:H167" si="4">(G152/F152)*100</f>
        <v>96.5</v>
      </c>
    </row>
    <row r="153" spans="1:8" s="1166" customFormat="1" ht="15" x14ac:dyDescent="0.25">
      <c r="A153" s="50"/>
      <c r="B153" s="1269"/>
      <c r="C153" s="1169" t="s">
        <v>641</v>
      </c>
      <c r="D153" s="31" t="s">
        <v>770</v>
      </c>
      <c r="E153" s="1448">
        <v>79155</v>
      </c>
      <c r="F153" s="467">
        <v>80196</v>
      </c>
      <c r="G153" s="467">
        <v>80196</v>
      </c>
      <c r="H153" s="1184">
        <f t="shared" si="4"/>
        <v>100</v>
      </c>
    </row>
    <row r="154" spans="1:8" s="1166" customFormat="1" ht="15" x14ac:dyDescent="0.25">
      <c r="A154" s="50"/>
      <c r="B154" s="1269"/>
      <c r="C154" s="1169" t="s">
        <v>202</v>
      </c>
      <c r="D154" s="117" t="s">
        <v>791</v>
      </c>
      <c r="E154" s="1448"/>
      <c r="F154" s="467">
        <v>616</v>
      </c>
      <c r="G154" s="467">
        <v>616</v>
      </c>
      <c r="H154" s="1184">
        <f t="shared" si="4"/>
        <v>100</v>
      </c>
    </row>
    <row r="155" spans="1:8" s="1166" customFormat="1" ht="15" x14ac:dyDescent="0.25">
      <c r="A155" s="50"/>
      <c r="B155" s="1269"/>
      <c r="C155" s="1169" t="s">
        <v>385</v>
      </c>
      <c r="D155" s="117" t="s">
        <v>996</v>
      </c>
      <c r="E155" s="1448"/>
      <c r="F155" s="467">
        <v>326</v>
      </c>
      <c r="G155" s="467">
        <v>326</v>
      </c>
      <c r="H155" s="1184">
        <f t="shared" si="4"/>
        <v>100</v>
      </c>
    </row>
    <row r="156" spans="1:8" s="1166" customFormat="1" ht="15" x14ac:dyDescent="0.25">
      <c r="A156" s="50"/>
      <c r="B156" s="1269"/>
      <c r="C156" s="1169" t="s">
        <v>636</v>
      </c>
      <c r="D156" s="31" t="s">
        <v>72</v>
      </c>
      <c r="E156" s="1448">
        <v>325586</v>
      </c>
      <c r="F156" s="467">
        <v>327590</v>
      </c>
      <c r="G156" s="467">
        <v>327590</v>
      </c>
      <c r="H156" s="1184">
        <f t="shared" si="4"/>
        <v>100</v>
      </c>
    </row>
    <row r="157" spans="1:8" s="1166" customFormat="1" ht="15" x14ac:dyDescent="0.25">
      <c r="A157" s="50"/>
      <c r="B157" s="1269"/>
      <c r="C157" s="1169" t="s">
        <v>1268</v>
      </c>
      <c r="D157" s="31" t="s">
        <v>1277</v>
      </c>
      <c r="E157" s="1448"/>
      <c r="F157" s="467">
        <v>1672</v>
      </c>
      <c r="G157" s="467">
        <v>1672</v>
      </c>
      <c r="H157" s="1184">
        <f t="shared" si="4"/>
        <v>100</v>
      </c>
    </row>
    <row r="158" spans="1:8" s="1166" customFormat="1" ht="15" x14ac:dyDescent="0.25">
      <c r="A158" s="50"/>
      <c r="B158" s="1269"/>
      <c r="C158" s="1169" t="s">
        <v>1266</v>
      </c>
      <c r="D158" s="31" t="s">
        <v>25</v>
      </c>
      <c r="E158" s="1448">
        <v>519</v>
      </c>
      <c r="F158" s="467">
        <v>466</v>
      </c>
      <c r="G158" s="316">
        <v>466</v>
      </c>
      <c r="H158" s="1184">
        <f t="shared" si="4"/>
        <v>100</v>
      </c>
    </row>
    <row r="159" spans="1:8" s="1166" customFormat="1" ht="15" x14ac:dyDescent="0.25">
      <c r="A159" s="50"/>
      <c r="B159" s="1269"/>
      <c r="C159" s="1565" t="s">
        <v>22</v>
      </c>
      <c r="D159" s="117" t="s">
        <v>1351</v>
      </c>
      <c r="E159" s="1448"/>
      <c r="F159" s="467">
        <v>1000</v>
      </c>
      <c r="G159" s="316">
        <v>1000</v>
      </c>
      <c r="H159" s="1184">
        <f t="shared" si="4"/>
        <v>100</v>
      </c>
    </row>
    <row r="160" spans="1:8" s="1166" customFormat="1" ht="15" x14ac:dyDescent="0.25">
      <c r="A160" s="50"/>
      <c r="B160" s="1269"/>
      <c r="C160" s="1169" t="s">
        <v>735</v>
      </c>
      <c r="D160" s="31" t="s">
        <v>1454</v>
      </c>
      <c r="E160" s="1448">
        <v>809</v>
      </c>
      <c r="F160" s="467">
        <v>870</v>
      </c>
      <c r="G160" s="316">
        <v>870</v>
      </c>
      <c r="H160" s="1184">
        <f t="shared" si="4"/>
        <v>100</v>
      </c>
    </row>
    <row r="161" spans="1:21" s="1166" customFormat="1" ht="15" x14ac:dyDescent="0.25">
      <c r="A161" s="50"/>
      <c r="B161" s="1269"/>
      <c r="C161" s="1169" t="s">
        <v>1265</v>
      </c>
      <c r="D161" s="117" t="s">
        <v>24</v>
      </c>
      <c r="E161" s="1448"/>
      <c r="F161" s="467">
        <v>131</v>
      </c>
      <c r="G161" s="316">
        <v>131</v>
      </c>
      <c r="H161" s="1184">
        <f t="shared" si="4"/>
        <v>100</v>
      </c>
    </row>
    <row r="162" spans="1:21" s="1166" customFormat="1" ht="15" x14ac:dyDescent="0.25">
      <c r="A162" s="50"/>
      <c r="B162" s="1269"/>
      <c r="C162" s="1169" t="s">
        <v>1479</v>
      </c>
      <c r="D162" s="117" t="s">
        <v>406</v>
      </c>
      <c r="E162" s="1448"/>
      <c r="F162" s="467">
        <v>142</v>
      </c>
      <c r="G162" s="316">
        <v>142</v>
      </c>
      <c r="H162" s="1184">
        <f t="shared" si="4"/>
        <v>100</v>
      </c>
    </row>
    <row r="163" spans="1:21" s="1166" customFormat="1" ht="15" x14ac:dyDescent="0.25">
      <c r="A163" s="50"/>
      <c r="B163" s="1269"/>
      <c r="C163" s="1169" t="s">
        <v>535</v>
      </c>
      <c r="D163" s="117" t="s">
        <v>1396</v>
      </c>
      <c r="E163" s="1448"/>
      <c r="F163" s="467">
        <v>25</v>
      </c>
      <c r="G163" s="316">
        <v>25</v>
      </c>
      <c r="H163" s="1184">
        <f t="shared" si="4"/>
        <v>100</v>
      </c>
    </row>
    <row r="164" spans="1:21" s="1166" customFormat="1" ht="15" x14ac:dyDescent="0.25">
      <c r="A164" s="50"/>
      <c r="B164" s="1269"/>
      <c r="C164" s="1523" t="s">
        <v>407</v>
      </c>
      <c r="D164" s="225" t="s">
        <v>1499</v>
      </c>
      <c r="E164" s="1448"/>
      <c r="F164" s="467">
        <v>112</v>
      </c>
      <c r="G164" s="316">
        <v>112</v>
      </c>
      <c r="H164" s="1184">
        <f t="shared" si="4"/>
        <v>100</v>
      </c>
    </row>
    <row r="165" spans="1:21" s="1166" customFormat="1" ht="15" x14ac:dyDescent="0.25">
      <c r="A165" s="50"/>
      <c r="B165" s="1269"/>
      <c r="C165" s="1169" t="s">
        <v>1038</v>
      </c>
      <c r="D165" s="117" t="s">
        <v>1039</v>
      </c>
      <c r="E165" s="1448"/>
      <c r="F165" s="467">
        <v>7359</v>
      </c>
      <c r="G165" s="316">
        <v>7359</v>
      </c>
      <c r="H165" s="1184">
        <f t="shared" si="4"/>
        <v>100</v>
      </c>
    </row>
    <row r="166" spans="1:21" s="1166" customFormat="1" ht="15" x14ac:dyDescent="0.25">
      <c r="A166" s="50"/>
      <c r="B166" s="1269"/>
      <c r="C166" s="1179" t="s">
        <v>1536</v>
      </c>
      <c r="D166" s="2097" t="s">
        <v>1537</v>
      </c>
      <c r="E166" s="1448"/>
      <c r="F166" s="467">
        <v>5740</v>
      </c>
      <c r="G166" s="316">
        <v>5740</v>
      </c>
      <c r="H166" s="1184">
        <f t="shared" si="4"/>
        <v>100</v>
      </c>
    </row>
    <row r="167" spans="1:21" s="1166" customFormat="1" ht="15" x14ac:dyDescent="0.25">
      <c r="A167" s="50"/>
      <c r="B167" s="19">
        <v>5331</v>
      </c>
      <c r="C167" s="1522"/>
      <c r="D167" s="1511" t="s">
        <v>1026</v>
      </c>
      <c r="E167" s="1420">
        <v>0</v>
      </c>
      <c r="F167" s="315">
        <f>SUM(F168:F183)</f>
        <v>11481</v>
      </c>
      <c r="G167" s="315">
        <f>SUM(G168:G183)</f>
        <v>11480</v>
      </c>
      <c r="H167" s="1183">
        <f t="shared" si="4"/>
        <v>99.991289957320788</v>
      </c>
      <c r="I167" s="53">
        <f>E167+E151+E149+E143</f>
        <v>415676</v>
      </c>
      <c r="J167" s="53">
        <f>F167+F151+F149+F143</f>
        <v>437926</v>
      </c>
      <c r="K167" s="53">
        <f>G167+G151+G149+G143</f>
        <v>437918</v>
      </c>
      <c r="L167" s="1392" t="s">
        <v>1647</v>
      </c>
      <c r="M167" s="4"/>
      <c r="N167" s="4"/>
      <c r="O167" s="4"/>
      <c r="P167" s="4"/>
      <c r="Q167" s="4"/>
      <c r="R167" s="4"/>
      <c r="S167" s="4"/>
      <c r="T167" s="4"/>
      <c r="U167" s="4"/>
    </row>
    <row r="168" spans="1:21" s="1166" customFormat="1" ht="15" x14ac:dyDescent="0.25">
      <c r="A168" s="50"/>
      <c r="B168" s="1269"/>
      <c r="C168" s="1169" t="s">
        <v>1269</v>
      </c>
      <c r="D168" s="91" t="s">
        <v>1397</v>
      </c>
      <c r="E168" s="1510"/>
      <c r="F168" s="316">
        <v>2900</v>
      </c>
      <c r="G168" s="316">
        <v>2900</v>
      </c>
      <c r="H168" s="1184">
        <f t="shared" ref="H168:H183" si="5">(G168/F168)*100</f>
        <v>100</v>
      </c>
      <c r="I168" s="1282"/>
      <c r="K168" s="1391"/>
    </row>
    <row r="169" spans="1:21" s="1166" customFormat="1" ht="15" x14ac:dyDescent="0.25">
      <c r="A169" s="50"/>
      <c r="B169" s="1269"/>
      <c r="C169" s="1179" t="s">
        <v>642</v>
      </c>
      <c r="D169" s="2730" t="s">
        <v>1767</v>
      </c>
      <c r="E169" s="1510"/>
      <c r="F169" s="316">
        <v>267</v>
      </c>
      <c r="G169" s="316">
        <v>267</v>
      </c>
      <c r="H169" s="1184">
        <f t="shared" si="5"/>
        <v>100</v>
      </c>
      <c r="I169" s="1282"/>
      <c r="K169" s="1391"/>
    </row>
    <row r="170" spans="1:21" s="1166" customFormat="1" ht="15" x14ac:dyDescent="0.25">
      <c r="A170" s="50"/>
      <c r="B170" s="1269"/>
      <c r="C170" s="1179"/>
      <c r="D170" s="2730"/>
      <c r="E170" s="1510"/>
      <c r="F170" s="316"/>
      <c r="G170" s="316"/>
      <c r="H170" s="1184"/>
      <c r="I170" s="1282"/>
      <c r="K170" s="1391"/>
    </row>
    <row r="171" spans="1:21" s="1166" customFormat="1" ht="15" x14ac:dyDescent="0.25">
      <c r="A171" s="50"/>
      <c r="B171" s="1269"/>
      <c r="C171" s="1178" t="s">
        <v>1040</v>
      </c>
      <c r="D171" s="2105" t="s">
        <v>646</v>
      </c>
      <c r="E171" s="1510"/>
      <c r="F171" s="316">
        <v>280</v>
      </c>
      <c r="G171" s="316">
        <v>280</v>
      </c>
      <c r="H171" s="1184">
        <f t="shared" si="5"/>
        <v>100</v>
      </c>
      <c r="I171" s="1282"/>
      <c r="K171" s="1391"/>
    </row>
    <row r="172" spans="1:21" s="1166" customFormat="1" ht="15" x14ac:dyDescent="0.25">
      <c r="A172" s="50"/>
      <c r="B172" s="1269"/>
      <c r="C172" s="2708" t="s">
        <v>1641</v>
      </c>
      <c r="D172" s="2737" t="s">
        <v>1642</v>
      </c>
      <c r="E172" s="1510"/>
      <c r="F172" s="316">
        <v>676</v>
      </c>
      <c r="G172" s="316">
        <v>676</v>
      </c>
      <c r="H172" s="1184">
        <f t="shared" si="5"/>
        <v>100</v>
      </c>
      <c r="I172" s="1282"/>
      <c r="K172" s="1391"/>
    </row>
    <row r="173" spans="1:21" s="1166" customFormat="1" ht="15" x14ac:dyDescent="0.25">
      <c r="A173" s="50"/>
      <c r="B173" s="1269"/>
      <c r="C173" s="2734"/>
      <c r="D173" s="2737"/>
      <c r="E173" s="1510"/>
      <c r="F173" s="316"/>
      <c r="G173" s="316"/>
      <c r="H173" s="1184"/>
      <c r="I173" s="1282"/>
      <c r="K173" s="1391"/>
    </row>
    <row r="174" spans="1:21" s="1166" customFormat="1" ht="15" x14ac:dyDescent="0.25">
      <c r="A174" s="50"/>
      <c r="B174" s="1269"/>
      <c r="C174" s="1421" t="s">
        <v>1643</v>
      </c>
      <c r="D174" s="2737" t="s">
        <v>1644</v>
      </c>
      <c r="E174" s="1510"/>
      <c r="F174" s="316">
        <v>96</v>
      </c>
      <c r="G174" s="316">
        <v>96</v>
      </c>
      <c r="H174" s="1184">
        <f t="shared" si="5"/>
        <v>100</v>
      </c>
      <c r="I174" s="1282"/>
      <c r="K174" s="1391"/>
    </row>
    <row r="175" spans="1:21" s="1166" customFormat="1" ht="15" x14ac:dyDescent="0.25">
      <c r="A175" s="50"/>
      <c r="B175" s="1269"/>
      <c r="C175" s="1463"/>
      <c r="D175" s="2737"/>
      <c r="E175" s="1510"/>
      <c r="F175" s="316"/>
      <c r="G175" s="316"/>
      <c r="H175" s="1184"/>
      <c r="I175" s="1282"/>
      <c r="K175" s="1391"/>
    </row>
    <row r="176" spans="1:21" s="1166" customFormat="1" ht="15" x14ac:dyDescent="0.25">
      <c r="A176" s="50"/>
      <c r="B176" s="1269"/>
      <c r="C176" s="1178" t="s">
        <v>1763</v>
      </c>
      <c r="D176" s="2121" t="s">
        <v>1762</v>
      </c>
      <c r="E176" s="1510"/>
      <c r="F176" s="316">
        <v>1477</v>
      </c>
      <c r="G176" s="316">
        <v>1477</v>
      </c>
      <c r="H176" s="1184">
        <f t="shared" si="5"/>
        <v>100</v>
      </c>
      <c r="I176" s="1282"/>
      <c r="K176" s="1391"/>
    </row>
    <row r="177" spans="1:11" s="1166" customFormat="1" ht="15" x14ac:dyDescent="0.25">
      <c r="A177" s="50"/>
      <c r="B177" s="1269"/>
      <c r="C177" s="1463" t="s">
        <v>973</v>
      </c>
      <c r="D177" s="1276" t="s">
        <v>1041</v>
      </c>
      <c r="E177" s="1510"/>
      <c r="F177" s="316">
        <v>239</v>
      </c>
      <c r="G177" s="316">
        <v>239</v>
      </c>
      <c r="H177" s="1184">
        <f t="shared" si="5"/>
        <v>100</v>
      </c>
      <c r="I177" s="1282"/>
      <c r="K177" s="1391"/>
    </row>
    <row r="178" spans="1:11" s="1166" customFormat="1" ht="15" x14ac:dyDescent="0.25">
      <c r="A178" s="50"/>
      <c r="B178" s="1269"/>
      <c r="C178" s="1463" t="s">
        <v>1270</v>
      </c>
      <c r="D178" s="1276" t="s">
        <v>1042</v>
      </c>
      <c r="E178" s="1510"/>
      <c r="F178" s="316">
        <v>884</v>
      </c>
      <c r="G178" s="316">
        <v>884</v>
      </c>
      <c r="H178" s="1184">
        <f t="shared" si="5"/>
        <v>100</v>
      </c>
      <c r="I178" s="1282"/>
      <c r="K178" s="1391"/>
    </row>
    <row r="179" spans="1:11" s="1166" customFormat="1" ht="15" x14ac:dyDescent="0.25">
      <c r="A179" s="50"/>
      <c r="B179" s="1269"/>
      <c r="C179" s="1178" t="s">
        <v>1768</v>
      </c>
      <c r="D179" s="2104" t="s">
        <v>1769</v>
      </c>
      <c r="E179" s="1510"/>
      <c r="F179" s="316">
        <v>41</v>
      </c>
      <c r="G179" s="316">
        <v>41</v>
      </c>
      <c r="H179" s="1184">
        <f t="shared" si="5"/>
        <v>100</v>
      </c>
      <c r="I179" s="1282"/>
      <c r="K179" s="1391"/>
    </row>
    <row r="180" spans="1:11" s="1166" customFormat="1" ht="15" x14ac:dyDescent="0.25">
      <c r="A180" s="50"/>
      <c r="B180" s="1269"/>
      <c r="C180" s="1463" t="s">
        <v>1271</v>
      </c>
      <c r="D180" s="1559" t="s">
        <v>1272</v>
      </c>
      <c r="E180" s="1510"/>
      <c r="F180" s="316">
        <v>1485</v>
      </c>
      <c r="G180" s="316">
        <v>1485</v>
      </c>
      <c r="H180" s="1184">
        <f t="shared" si="5"/>
        <v>100</v>
      </c>
      <c r="I180" s="1491"/>
      <c r="J180" s="1307"/>
      <c r="K180" s="1391"/>
    </row>
    <row r="181" spans="1:11" s="1166" customFormat="1" ht="25.5" x14ac:dyDescent="0.25">
      <c r="A181" s="50"/>
      <c r="B181" s="1269"/>
      <c r="C181" s="1463" t="s">
        <v>1273</v>
      </c>
      <c r="D181" s="1559" t="s">
        <v>1043</v>
      </c>
      <c r="E181" s="1510"/>
      <c r="F181" s="316">
        <v>78</v>
      </c>
      <c r="G181" s="316">
        <v>78</v>
      </c>
      <c r="H181" s="1184">
        <f t="shared" si="5"/>
        <v>100</v>
      </c>
      <c r="I181" s="1282"/>
      <c r="K181" s="1391"/>
    </row>
    <row r="182" spans="1:11" s="1166" customFormat="1" ht="25.5" x14ac:dyDescent="0.25">
      <c r="A182" s="50"/>
      <c r="B182" s="1269"/>
      <c r="C182" s="1421" t="s">
        <v>1645</v>
      </c>
      <c r="D182" s="1559" t="s">
        <v>1646</v>
      </c>
      <c r="E182" s="1510"/>
      <c r="F182" s="316">
        <v>120</v>
      </c>
      <c r="G182" s="316">
        <v>120</v>
      </c>
      <c r="H182" s="1184">
        <f t="shared" si="5"/>
        <v>100</v>
      </c>
      <c r="I182" s="1282"/>
      <c r="K182" s="1391"/>
    </row>
    <row r="183" spans="1:11" s="1166" customFormat="1" ht="25.5" x14ac:dyDescent="0.25">
      <c r="A183" s="50"/>
      <c r="B183" s="1269"/>
      <c r="C183" s="1463" t="s">
        <v>889</v>
      </c>
      <c r="D183" s="1559" t="s">
        <v>1044</v>
      </c>
      <c r="E183" s="1510"/>
      <c r="F183" s="1469">
        <v>2938</v>
      </c>
      <c r="G183" s="1469">
        <v>2937</v>
      </c>
      <c r="H183" s="1489">
        <f t="shared" si="5"/>
        <v>99.96596324029953</v>
      </c>
      <c r="I183" s="1282"/>
      <c r="K183" s="1391"/>
    </row>
    <row r="184" spans="1:11" ht="15" x14ac:dyDescent="0.25">
      <c r="A184" s="1518"/>
      <c r="B184" s="992">
        <v>5336</v>
      </c>
      <c r="C184" s="1529"/>
      <c r="D184" s="1513" t="s">
        <v>1045</v>
      </c>
      <c r="E184" s="314"/>
      <c r="F184" s="315">
        <f>SUM(F185:F194)</f>
        <v>2058196</v>
      </c>
      <c r="G184" s="315">
        <f>SUM(G185:G194)</f>
        <v>2058131</v>
      </c>
      <c r="H184" s="1183">
        <f t="shared" ref="H184:H192" si="6">(G184/F184)*100</f>
        <v>99.996841894552318</v>
      </c>
    </row>
    <row r="185" spans="1:11" x14ac:dyDescent="0.2">
      <c r="A185" s="1518"/>
      <c r="B185" s="992"/>
      <c r="C185" s="1169" t="s">
        <v>1267</v>
      </c>
      <c r="D185" s="1398" t="s">
        <v>26</v>
      </c>
      <c r="E185" s="314"/>
      <c r="F185" s="316">
        <v>1981686</v>
      </c>
      <c r="G185" s="316">
        <v>1981621</v>
      </c>
      <c r="H185" s="1184">
        <f t="shared" si="6"/>
        <v>99.996719964716917</v>
      </c>
    </row>
    <row r="186" spans="1:11" x14ac:dyDescent="0.2">
      <c r="A186" s="1518"/>
      <c r="B186" s="992"/>
      <c r="C186" s="1179" t="s">
        <v>1720</v>
      </c>
      <c r="D186" s="2105" t="s">
        <v>1770</v>
      </c>
      <c r="E186" s="314"/>
      <c r="F186" s="316">
        <v>260</v>
      </c>
      <c r="G186" s="316">
        <v>260</v>
      </c>
      <c r="H186" s="1184">
        <f t="shared" si="6"/>
        <v>100</v>
      </c>
    </row>
    <row r="187" spans="1:11" x14ac:dyDescent="0.2">
      <c r="A187" s="1518"/>
      <c r="B187" s="992"/>
      <c r="C187" s="1530" t="s">
        <v>772</v>
      </c>
      <c r="D187" s="1723" t="s">
        <v>1049</v>
      </c>
      <c r="E187" s="314"/>
      <c r="F187" s="316">
        <v>1940</v>
      </c>
      <c r="G187" s="316">
        <v>1940</v>
      </c>
      <c r="H187" s="1184">
        <f t="shared" si="6"/>
        <v>100</v>
      </c>
    </row>
    <row r="188" spans="1:11" x14ac:dyDescent="0.2">
      <c r="A188" s="1518"/>
      <c r="B188" s="992"/>
      <c r="C188" s="1569" t="s">
        <v>1771</v>
      </c>
      <c r="D188" s="2104" t="s">
        <v>1772</v>
      </c>
      <c r="E188" s="314"/>
      <c r="F188" s="316">
        <v>8409</v>
      </c>
      <c r="G188" s="316">
        <v>8409</v>
      </c>
      <c r="H188" s="1184">
        <f t="shared" si="6"/>
        <v>100</v>
      </c>
    </row>
    <row r="189" spans="1:11" x14ac:dyDescent="0.2">
      <c r="A189" s="1518"/>
      <c r="B189" s="992"/>
      <c r="C189" s="1463" t="s">
        <v>1046</v>
      </c>
      <c r="D189" s="2122" t="s">
        <v>1047</v>
      </c>
      <c r="E189" s="314"/>
      <c r="F189" s="316">
        <v>753</v>
      </c>
      <c r="G189" s="357">
        <v>753</v>
      </c>
      <c r="H189" s="1184">
        <f t="shared" si="6"/>
        <v>100</v>
      </c>
    </row>
    <row r="190" spans="1:11" x14ac:dyDescent="0.2">
      <c r="A190" s="1518"/>
      <c r="B190" s="992"/>
      <c r="C190" s="1530" t="s">
        <v>773</v>
      </c>
      <c r="D190" s="1723" t="s">
        <v>1049</v>
      </c>
      <c r="E190" s="314"/>
      <c r="F190" s="316">
        <v>10994</v>
      </c>
      <c r="G190" s="357">
        <v>10994</v>
      </c>
      <c r="H190" s="1184">
        <f t="shared" si="6"/>
        <v>100</v>
      </c>
    </row>
    <row r="191" spans="1:11" x14ac:dyDescent="0.2">
      <c r="A191" s="1518"/>
      <c r="B191" s="992"/>
      <c r="C191" s="1569" t="s">
        <v>1773</v>
      </c>
      <c r="D191" s="2104" t="s">
        <v>1772</v>
      </c>
      <c r="E191" s="314"/>
      <c r="F191" s="316">
        <v>47651</v>
      </c>
      <c r="G191" s="357">
        <v>47651</v>
      </c>
      <c r="H191" s="1184">
        <f t="shared" si="6"/>
        <v>100</v>
      </c>
    </row>
    <row r="192" spans="1:11" x14ac:dyDescent="0.2">
      <c r="A192" s="1518"/>
      <c r="B192" s="992"/>
      <c r="C192" s="1178" t="s">
        <v>1048</v>
      </c>
      <c r="D192" s="2122" t="s">
        <v>1047</v>
      </c>
      <c r="E192" s="314"/>
      <c r="F192" s="316">
        <v>4266</v>
      </c>
      <c r="G192" s="357">
        <v>4266</v>
      </c>
      <c r="H192" s="1184">
        <f t="shared" si="6"/>
        <v>100</v>
      </c>
    </row>
    <row r="193" spans="1:12" s="1166" customFormat="1" x14ac:dyDescent="0.2">
      <c r="A193" s="50"/>
      <c r="B193" s="31"/>
      <c r="C193" s="1178" t="s">
        <v>1541</v>
      </c>
      <c r="D193" s="2104" t="s">
        <v>1774</v>
      </c>
      <c r="E193" s="1510"/>
      <c r="F193" s="1469">
        <v>335</v>
      </c>
      <c r="G193" s="1469">
        <v>335</v>
      </c>
      <c r="H193" s="1489">
        <f t="shared" ref="H193:H194" si="7">(G193/F193)*100</f>
        <v>100</v>
      </c>
      <c r="I193" s="1282"/>
      <c r="K193" s="1391"/>
    </row>
    <row r="194" spans="1:12" s="1166" customFormat="1" ht="15" thickBot="1" x14ac:dyDescent="0.25">
      <c r="A194" s="50"/>
      <c r="B194" s="31"/>
      <c r="C194" s="1178" t="s">
        <v>1543</v>
      </c>
      <c r="D194" s="2104" t="s">
        <v>1774</v>
      </c>
      <c r="E194" s="1510"/>
      <c r="F194" s="1469">
        <v>1902</v>
      </c>
      <c r="G194" s="1469">
        <v>1902</v>
      </c>
      <c r="H194" s="1489">
        <f t="shared" si="7"/>
        <v>100</v>
      </c>
      <c r="I194" s="1282"/>
      <c r="K194" s="1391"/>
    </row>
    <row r="195" spans="1:12" s="362" customFormat="1" ht="35.25" customHeight="1" thickTop="1" thickBot="1" x14ac:dyDescent="0.3">
      <c r="A195" s="663" t="s">
        <v>204</v>
      </c>
      <c r="B195" s="664"/>
      <c r="C195" s="707"/>
      <c r="D195" s="666"/>
      <c r="E195" s="667">
        <f>E151+E143+E149</f>
        <v>415676</v>
      </c>
      <c r="F195" s="667">
        <f>F140+F141+F143+F149+F151+F167+F184</f>
        <v>2496168</v>
      </c>
      <c r="G195" s="667">
        <f>G140+G141+G143+G149+G151+G167+G184</f>
        <v>2496050</v>
      </c>
      <c r="H195" s="682">
        <f>(G195/F195)*100</f>
        <v>99.995272754077448</v>
      </c>
      <c r="J195" s="1646"/>
      <c r="K195" s="1646"/>
      <c r="L195" s="1025"/>
    </row>
    <row r="196" spans="1:12" s="362" customFormat="1" ht="20.25" customHeight="1" thickTop="1" x14ac:dyDescent="0.25">
      <c r="A196" s="360"/>
      <c r="B196" s="361"/>
      <c r="C196" s="142"/>
      <c r="D196" s="361"/>
      <c r="E196" s="17"/>
      <c r="F196" s="17"/>
      <c r="G196" s="17"/>
      <c r="H196" s="995"/>
      <c r="J196" s="1646"/>
      <c r="K196" s="1646"/>
      <c r="L196" s="725"/>
    </row>
    <row r="197" spans="1:12" s="362" customFormat="1" ht="20.25" customHeight="1" x14ac:dyDescent="0.25">
      <c r="A197" s="360"/>
      <c r="B197" s="361"/>
      <c r="C197" s="142"/>
      <c r="D197" s="361"/>
      <c r="E197" s="17"/>
      <c r="F197" s="17"/>
      <c r="G197" s="17"/>
      <c r="H197" s="995"/>
      <c r="J197" s="1646"/>
      <c r="K197" s="1646"/>
      <c r="L197" s="725"/>
    </row>
    <row r="198" spans="1:12" s="362" customFormat="1" ht="20.25" customHeight="1" x14ac:dyDescent="0.25">
      <c r="A198" s="360"/>
      <c r="B198" s="361"/>
      <c r="C198" s="142"/>
      <c r="D198" s="361"/>
      <c r="E198" s="17"/>
      <c r="F198" s="17"/>
      <c r="G198" s="17"/>
      <c r="H198" s="995"/>
      <c r="J198" s="1646"/>
      <c r="K198" s="1646"/>
      <c r="L198" s="725"/>
    </row>
    <row r="199" spans="1:12" s="362" customFormat="1" ht="20.25" customHeight="1" x14ac:dyDescent="0.25">
      <c r="A199" s="360"/>
      <c r="B199" s="361"/>
      <c r="C199" s="142"/>
      <c r="D199" s="361"/>
      <c r="E199" s="17"/>
      <c r="F199" s="17"/>
      <c r="G199" s="17"/>
      <c r="H199" s="995"/>
      <c r="J199" s="1646"/>
      <c r="K199" s="1646"/>
      <c r="L199" s="725"/>
    </row>
    <row r="200" spans="1:12" ht="15.75" x14ac:dyDescent="0.25">
      <c r="A200" s="98" t="s">
        <v>696</v>
      </c>
    </row>
    <row r="201" spans="1:12" ht="14.25" customHeight="1" thickBot="1" x14ac:dyDescent="0.3">
      <c r="A201" s="33"/>
      <c r="C201" s="991"/>
      <c r="D201" s="758"/>
      <c r="E201" s="710"/>
      <c r="F201" s="834"/>
      <c r="G201" s="710"/>
      <c r="H201" s="2025" t="s">
        <v>179</v>
      </c>
    </row>
    <row r="202" spans="1:12" s="107" customFormat="1" ht="20.25" customHeight="1" thickTop="1" thickBot="1" x14ac:dyDescent="0.25">
      <c r="A202" s="657" t="s">
        <v>180</v>
      </c>
      <c r="B202" s="658" t="s">
        <v>181</v>
      </c>
      <c r="C202" s="702" t="s">
        <v>783</v>
      </c>
      <c r="D202" s="835" t="s">
        <v>182</v>
      </c>
      <c r="E202" s="660" t="s">
        <v>183</v>
      </c>
      <c r="F202" s="660" t="s">
        <v>985</v>
      </c>
      <c r="G202" s="660" t="s">
        <v>986</v>
      </c>
      <c r="H202" s="661" t="s">
        <v>987</v>
      </c>
    </row>
    <row r="203" spans="1:12" s="386" customFormat="1" ht="13.5" thickTop="1" thickBot="1" x14ac:dyDescent="0.25">
      <c r="A203" s="592">
        <v>1</v>
      </c>
      <c r="B203" s="593">
        <v>2</v>
      </c>
      <c r="C203" s="593">
        <v>3</v>
      </c>
      <c r="D203" s="593">
        <v>4</v>
      </c>
      <c r="E203" s="593">
        <v>5</v>
      </c>
      <c r="F203" s="567">
        <v>6</v>
      </c>
      <c r="G203" s="567">
        <v>7</v>
      </c>
      <c r="H203" s="662" t="s">
        <v>61</v>
      </c>
      <c r="I203" s="107"/>
    </row>
    <row r="204" spans="1:12" s="1166" customFormat="1" ht="15.75" thickTop="1" x14ac:dyDescent="0.25">
      <c r="A204" s="222"/>
      <c r="B204" s="241">
        <v>6351</v>
      </c>
      <c r="C204" s="1526"/>
      <c r="D204" s="1514" t="s">
        <v>688</v>
      </c>
      <c r="E204" s="233">
        <v>0</v>
      </c>
      <c r="F204" s="372">
        <f>SUM(F205:F208)</f>
        <v>10251</v>
      </c>
      <c r="G204" s="372">
        <f>SUM(G205:G208)</f>
        <v>10251</v>
      </c>
      <c r="H204" s="1472">
        <f t="shared" ref="H204:H208" si="8">(G204/F204)*100</f>
        <v>100</v>
      </c>
    </row>
    <row r="205" spans="1:12" s="1166" customFormat="1" ht="15" x14ac:dyDescent="0.25">
      <c r="A205" s="50"/>
      <c r="B205" s="1398"/>
      <c r="C205" s="1169" t="s">
        <v>202</v>
      </c>
      <c r="D205" s="117" t="s">
        <v>791</v>
      </c>
      <c r="E205" s="94"/>
      <c r="F205" s="316">
        <v>886</v>
      </c>
      <c r="G205" s="316">
        <v>886</v>
      </c>
      <c r="H205" s="1175">
        <f t="shared" si="8"/>
        <v>100</v>
      </c>
    </row>
    <row r="206" spans="1:12" s="1166" customFormat="1" ht="15" x14ac:dyDescent="0.25">
      <c r="A206" s="50"/>
      <c r="B206" s="1398"/>
      <c r="C206" s="1169" t="s">
        <v>1268</v>
      </c>
      <c r="D206" s="31" t="s">
        <v>1277</v>
      </c>
      <c r="E206" s="94"/>
      <c r="F206" s="316">
        <v>307</v>
      </c>
      <c r="G206" s="316">
        <v>307</v>
      </c>
      <c r="H206" s="1175">
        <f t="shared" si="8"/>
        <v>100</v>
      </c>
    </row>
    <row r="207" spans="1:12" s="1166" customFormat="1" x14ac:dyDescent="0.2">
      <c r="A207" s="50"/>
      <c r="B207" s="1398"/>
      <c r="C207" s="1169" t="s">
        <v>1329</v>
      </c>
      <c r="D207" s="117" t="s">
        <v>1330</v>
      </c>
      <c r="E207" s="1401"/>
      <c r="F207" s="316">
        <v>7933</v>
      </c>
      <c r="G207" s="316">
        <v>7933</v>
      </c>
      <c r="H207" s="1175">
        <f t="shared" si="8"/>
        <v>100</v>
      </c>
    </row>
    <row r="208" spans="1:12" s="1166" customFormat="1" ht="15" thickBot="1" x14ac:dyDescent="0.25">
      <c r="A208" s="50"/>
      <c r="B208" s="1398"/>
      <c r="C208" s="1179" t="s">
        <v>1536</v>
      </c>
      <c r="D208" s="2097" t="s">
        <v>1537</v>
      </c>
      <c r="E208" s="1401"/>
      <c r="F208" s="316">
        <v>1125</v>
      </c>
      <c r="G208" s="316">
        <v>1125</v>
      </c>
      <c r="H208" s="1175">
        <f t="shared" si="8"/>
        <v>100</v>
      </c>
    </row>
    <row r="209" spans="1:21" s="362" customFormat="1" ht="35.25" customHeight="1" thickTop="1" thickBot="1" x14ac:dyDescent="0.3">
      <c r="A209" s="663" t="s">
        <v>697</v>
      </c>
      <c r="B209" s="664"/>
      <c r="C209" s="707"/>
      <c r="D209" s="666"/>
      <c r="E209" s="667">
        <f>E204</f>
        <v>0</v>
      </c>
      <c r="F209" s="1532">
        <f>F204</f>
        <v>10251</v>
      </c>
      <c r="G209" s="1532">
        <f>G204</f>
        <v>10251</v>
      </c>
      <c r="H209" s="682">
        <f>(G209/F209)*100</f>
        <v>100</v>
      </c>
      <c r="J209" s="1645">
        <f>E209+E195</f>
        <v>415676</v>
      </c>
      <c r="K209" s="1645">
        <f>F209+F195</f>
        <v>2506419</v>
      </c>
      <c r="L209" s="1645">
        <f>G209+G195</f>
        <v>2506301</v>
      </c>
      <c r="M209" s="1399"/>
    </row>
    <row r="210" spans="1:21" ht="15" thickTop="1" x14ac:dyDescent="0.2">
      <c r="J210" s="385"/>
      <c r="K210" s="385"/>
      <c r="L210" s="385"/>
    </row>
    <row r="212" spans="1:21" ht="15.75" x14ac:dyDescent="0.25">
      <c r="A212" s="98" t="s">
        <v>695</v>
      </c>
    </row>
    <row r="213" spans="1:21" ht="16.5" thickBot="1" x14ac:dyDescent="0.3">
      <c r="A213" s="98"/>
      <c r="C213" s="991"/>
      <c r="D213" s="758"/>
      <c r="E213" s="710"/>
      <c r="F213" s="834"/>
      <c r="G213" s="710"/>
      <c r="H213" s="2025" t="s">
        <v>179</v>
      </c>
    </row>
    <row r="214" spans="1:21" s="107" customFormat="1" ht="20.25" customHeight="1" thickTop="1" thickBot="1" x14ac:dyDescent="0.25">
      <c r="A214" s="657" t="s">
        <v>180</v>
      </c>
      <c r="B214" s="658" t="s">
        <v>181</v>
      </c>
      <c r="C214" s="702" t="s">
        <v>783</v>
      </c>
      <c r="D214" s="835" t="s">
        <v>182</v>
      </c>
      <c r="E214" s="660" t="s">
        <v>183</v>
      </c>
      <c r="F214" s="660" t="s">
        <v>985</v>
      </c>
      <c r="G214" s="660" t="s">
        <v>986</v>
      </c>
      <c r="H214" s="661" t="s">
        <v>987</v>
      </c>
    </row>
    <row r="215" spans="1:21" s="386" customFormat="1" ht="13.5" thickTop="1" thickBot="1" x14ac:dyDescent="0.25">
      <c r="A215" s="592">
        <v>1</v>
      </c>
      <c r="B215" s="593">
        <v>2</v>
      </c>
      <c r="C215" s="593">
        <v>3</v>
      </c>
      <c r="D215" s="593">
        <v>4</v>
      </c>
      <c r="E215" s="593">
        <v>5</v>
      </c>
      <c r="F215" s="567">
        <v>6</v>
      </c>
      <c r="G215" s="567">
        <v>7</v>
      </c>
      <c r="H215" s="662" t="s">
        <v>61</v>
      </c>
      <c r="I215" s="107"/>
    </row>
    <row r="216" spans="1:21" s="386" customFormat="1" ht="15.75" thickTop="1" x14ac:dyDescent="0.25">
      <c r="A216" s="50"/>
      <c r="B216" s="19">
        <v>5212</v>
      </c>
      <c r="C216" s="1523"/>
      <c r="D216" s="854" t="s">
        <v>748</v>
      </c>
      <c r="E216" s="1447"/>
      <c r="F216" s="935">
        <v>557</v>
      </c>
      <c r="G216" s="935">
        <v>557</v>
      </c>
      <c r="H216" s="1472">
        <f t="shared" ref="H216:H217" si="9">(G216/F216)*100</f>
        <v>100</v>
      </c>
      <c r="I216" s="107"/>
    </row>
    <row r="217" spans="1:21" s="386" customFormat="1" x14ac:dyDescent="0.2">
      <c r="A217" s="2098"/>
      <c r="B217" s="1447"/>
      <c r="C217" s="1169" t="s">
        <v>1274</v>
      </c>
      <c r="D217" s="1394" t="s">
        <v>417</v>
      </c>
      <c r="E217" s="1447"/>
      <c r="F217" s="1692">
        <v>557</v>
      </c>
      <c r="G217" s="1692">
        <v>557</v>
      </c>
      <c r="H217" s="1184">
        <f t="shared" si="9"/>
        <v>100</v>
      </c>
      <c r="I217" s="107"/>
    </row>
    <row r="218" spans="1:21" s="1166" customFormat="1" ht="15" x14ac:dyDescent="0.25">
      <c r="A218" s="50"/>
      <c r="B218" s="31">
        <v>5213</v>
      </c>
      <c r="C218" s="1505"/>
      <c r="D218" s="1268" t="s">
        <v>359</v>
      </c>
      <c r="E218" s="71"/>
      <c r="F218" s="315">
        <f>F220+F221+F222+F223+F225+F226+F227</f>
        <v>167791</v>
      </c>
      <c r="G218" s="315">
        <f>G220+G221+G222+G223+G225+G226+G227</f>
        <v>167790</v>
      </c>
      <c r="H218" s="1183">
        <f>(G218/F218)*100</f>
        <v>99.999404020477854</v>
      </c>
      <c r="I218" s="24"/>
      <c r="J218" s="4"/>
      <c r="K218" s="4"/>
      <c r="L218" s="24"/>
      <c r="M218" s="24"/>
      <c r="N218" s="24"/>
      <c r="O218" s="24"/>
      <c r="P218" s="24"/>
      <c r="Q218" s="24"/>
      <c r="R218" s="24"/>
      <c r="S218" s="24"/>
      <c r="T218" s="24"/>
      <c r="U218" s="24"/>
    </row>
    <row r="219" spans="1:21" s="1166" customFormat="1" ht="15" x14ac:dyDescent="0.25">
      <c r="A219" s="50"/>
      <c r="B219" s="91"/>
      <c r="C219" s="2100"/>
      <c r="D219" s="1483" t="s">
        <v>416</v>
      </c>
      <c r="E219" s="71"/>
      <c r="F219" s="1072"/>
      <c r="G219" s="316"/>
      <c r="H219" s="1184"/>
    </row>
    <row r="220" spans="1:21" s="1166" customFormat="1" ht="15" x14ac:dyDescent="0.25">
      <c r="A220" s="50"/>
      <c r="B220" s="19"/>
      <c r="C220" s="1195" t="s">
        <v>1350</v>
      </c>
      <c r="D220" s="1841" t="s">
        <v>1737</v>
      </c>
      <c r="E220" s="71"/>
      <c r="F220" s="314">
        <v>40</v>
      </c>
      <c r="G220" s="316">
        <v>39</v>
      </c>
      <c r="H220" s="1184">
        <f t="shared" ref="H220:H228" si="10">(G220/F220)*100</f>
        <v>97.5</v>
      </c>
    </row>
    <row r="221" spans="1:21" s="1166" customFormat="1" ht="15" x14ac:dyDescent="0.25">
      <c r="A221" s="50"/>
      <c r="B221" s="19"/>
      <c r="C221" s="1179" t="s">
        <v>1038</v>
      </c>
      <c r="D221" s="1237" t="s">
        <v>1039</v>
      </c>
      <c r="E221" s="71"/>
      <c r="F221" s="314">
        <v>232</v>
      </c>
      <c r="G221" s="316">
        <v>232</v>
      </c>
      <c r="H221" s="1184">
        <f t="shared" si="10"/>
        <v>100</v>
      </c>
    </row>
    <row r="222" spans="1:21" s="1166" customFormat="1" ht="15" x14ac:dyDescent="0.25">
      <c r="A222" s="50"/>
      <c r="B222" s="91"/>
      <c r="C222" s="1178" t="s">
        <v>1040</v>
      </c>
      <c r="D222" s="66" t="s">
        <v>646</v>
      </c>
      <c r="E222" s="71"/>
      <c r="F222" s="1072">
        <v>13</v>
      </c>
      <c r="G222" s="316">
        <v>13</v>
      </c>
      <c r="H222" s="1184">
        <f t="shared" si="10"/>
        <v>100</v>
      </c>
      <c r="I222" s="1201"/>
    </row>
    <row r="223" spans="1:21" s="1166" customFormat="1" ht="15" x14ac:dyDescent="0.25">
      <c r="A223" s="50"/>
      <c r="B223" s="91"/>
      <c r="C223" s="2708" t="s">
        <v>1641</v>
      </c>
      <c r="D223" s="2734" t="s">
        <v>1766</v>
      </c>
      <c r="E223" s="71"/>
      <c r="F223" s="1072">
        <v>53</v>
      </c>
      <c r="G223" s="316">
        <v>53</v>
      </c>
      <c r="H223" s="1184">
        <f t="shared" si="10"/>
        <v>100</v>
      </c>
      <c r="I223" s="1201"/>
    </row>
    <row r="224" spans="1:21" s="1166" customFormat="1" ht="15" x14ac:dyDescent="0.25">
      <c r="A224" s="50"/>
      <c r="B224" s="91"/>
      <c r="C224" s="2734"/>
      <c r="D224" s="2734"/>
      <c r="E224" s="71"/>
      <c r="F224" s="1072"/>
      <c r="G224" s="316"/>
      <c r="H224" s="1184"/>
      <c r="I224" s="1201"/>
    </row>
    <row r="225" spans="1:21" s="1166" customFormat="1" ht="15" x14ac:dyDescent="0.25">
      <c r="A225" s="50"/>
      <c r="B225" s="91"/>
      <c r="C225" s="1178" t="s">
        <v>1763</v>
      </c>
      <c r="D225" s="2121" t="s">
        <v>1762</v>
      </c>
      <c r="E225" s="71"/>
      <c r="F225" s="1072">
        <v>4</v>
      </c>
      <c r="G225" s="316">
        <v>4</v>
      </c>
      <c r="H225" s="1184">
        <f t="shared" si="10"/>
        <v>100</v>
      </c>
      <c r="I225" s="1201"/>
    </row>
    <row r="226" spans="1:21" s="1166" customFormat="1" ht="15" x14ac:dyDescent="0.25">
      <c r="A226" s="1524"/>
      <c r="B226" s="19"/>
      <c r="C226" s="1179" t="s">
        <v>1274</v>
      </c>
      <c r="D226" s="2099" t="s">
        <v>417</v>
      </c>
      <c r="E226" s="71"/>
      <c r="F226" s="314">
        <v>166045</v>
      </c>
      <c r="G226" s="316">
        <v>166045</v>
      </c>
      <c r="H226" s="1184">
        <f t="shared" si="10"/>
        <v>100</v>
      </c>
    </row>
    <row r="227" spans="1:21" s="1166" customFormat="1" ht="25.5" x14ac:dyDescent="0.25">
      <c r="A227" s="1524"/>
      <c r="B227" s="19"/>
      <c r="C227" s="1178" t="s">
        <v>418</v>
      </c>
      <c r="D227" s="2123" t="s">
        <v>1050</v>
      </c>
      <c r="E227" s="71"/>
      <c r="F227" s="1470">
        <v>1404</v>
      </c>
      <c r="G227" s="1469">
        <v>1404</v>
      </c>
      <c r="H227" s="1489">
        <f t="shared" si="10"/>
        <v>100</v>
      </c>
    </row>
    <row r="228" spans="1:21" s="1166" customFormat="1" ht="15" x14ac:dyDescent="0.25">
      <c r="A228" s="50"/>
      <c r="B228" s="31">
        <v>5221</v>
      </c>
      <c r="C228" s="2101"/>
      <c r="D228" s="1483" t="s">
        <v>645</v>
      </c>
      <c r="E228" s="71"/>
      <c r="F228" s="315">
        <f>F230+F231+F232+F233</f>
        <v>60426</v>
      </c>
      <c r="G228" s="315">
        <f>G230+G231+G232+G233</f>
        <v>60426</v>
      </c>
      <c r="H228" s="1183">
        <f t="shared" si="10"/>
        <v>100</v>
      </c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</row>
    <row r="229" spans="1:21" s="1166" customFormat="1" ht="14.25" customHeight="1" x14ac:dyDescent="0.25">
      <c r="A229" s="50"/>
      <c r="B229" s="91"/>
      <c r="C229" s="2100"/>
      <c r="D229" s="1483" t="s">
        <v>416</v>
      </c>
      <c r="E229" s="71"/>
      <c r="F229" s="1072"/>
      <c r="G229" s="316"/>
      <c r="H229" s="1184"/>
    </row>
    <row r="230" spans="1:21" s="1166" customFormat="1" ht="14.25" customHeight="1" x14ac:dyDescent="0.25">
      <c r="A230" s="50"/>
      <c r="B230" s="91"/>
      <c r="C230" s="1169" t="s">
        <v>1479</v>
      </c>
      <c r="D230" s="117" t="s">
        <v>406</v>
      </c>
      <c r="E230" s="71"/>
      <c r="F230" s="1072">
        <v>6</v>
      </c>
      <c r="G230" s="316">
        <v>6</v>
      </c>
      <c r="H230" s="1489">
        <f>(G230/F230)*100</f>
        <v>100</v>
      </c>
    </row>
    <row r="231" spans="1:21" s="1166" customFormat="1" ht="14.25" customHeight="1" x14ac:dyDescent="0.25">
      <c r="A231" s="50"/>
      <c r="B231" s="91"/>
      <c r="C231" s="1178" t="s">
        <v>1040</v>
      </c>
      <c r="D231" s="2105" t="s">
        <v>646</v>
      </c>
      <c r="E231" s="71"/>
      <c r="F231" s="1072">
        <v>23</v>
      </c>
      <c r="G231" s="316">
        <v>23</v>
      </c>
      <c r="H231" s="1489">
        <f>(G231/F231)*100</f>
        <v>100</v>
      </c>
    </row>
    <row r="232" spans="1:21" s="1166" customFormat="1" ht="15" x14ac:dyDescent="0.25">
      <c r="A232" s="50"/>
      <c r="B232" s="1395"/>
      <c r="C232" s="1179" t="s">
        <v>1274</v>
      </c>
      <c r="D232" s="2099" t="s">
        <v>419</v>
      </c>
      <c r="E232" s="71"/>
      <c r="F232" s="314">
        <v>58027</v>
      </c>
      <c r="G232" s="357">
        <v>58027</v>
      </c>
      <c r="H232" s="1184">
        <f>(G232/F232)*100</f>
        <v>100</v>
      </c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</row>
    <row r="233" spans="1:21" s="1166" customFormat="1" ht="25.5" x14ac:dyDescent="0.25">
      <c r="A233" s="50"/>
      <c r="B233" s="1395"/>
      <c r="C233" s="1178" t="s">
        <v>418</v>
      </c>
      <c r="D233" s="2123" t="s">
        <v>1050</v>
      </c>
      <c r="E233" s="71"/>
      <c r="F233" s="1470">
        <v>2370</v>
      </c>
      <c r="G233" s="1525">
        <v>2370</v>
      </c>
      <c r="H233" s="1489">
        <f>(G233/F233)*100</f>
        <v>100</v>
      </c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</row>
    <row r="234" spans="1:21" s="1166" customFormat="1" ht="15" x14ac:dyDescent="0.25">
      <c r="A234" s="50"/>
      <c r="B234" s="31">
        <v>5222</v>
      </c>
      <c r="C234" s="2101"/>
      <c r="D234" s="1483" t="s">
        <v>1275</v>
      </c>
      <c r="E234" s="71"/>
      <c r="F234" s="315">
        <f>F236+F237</f>
        <v>6477</v>
      </c>
      <c r="G234" s="315">
        <f>G236+G237</f>
        <v>6477</v>
      </c>
      <c r="H234" s="1183">
        <f>(G234/F234)*100</f>
        <v>100</v>
      </c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</row>
    <row r="235" spans="1:21" s="24" customFormat="1" ht="15" x14ac:dyDescent="0.25">
      <c r="A235" s="50"/>
      <c r="B235" s="91"/>
      <c r="C235" s="2100"/>
      <c r="D235" s="1483" t="s">
        <v>416</v>
      </c>
      <c r="E235" s="71"/>
      <c r="F235" s="1072"/>
      <c r="G235" s="316"/>
      <c r="H235" s="1184"/>
      <c r="I235" s="1166"/>
      <c r="J235" s="1166"/>
      <c r="K235" s="1166"/>
      <c r="L235" s="1166"/>
      <c r="M235" s="1166"/>
      <c r="N235" s="1166"/>
      <c r="O235" s="1166"/>
      <c r="P235" s="1166"/>
      <c r="Q235" s="1166"/>
      <c r="R235" s="1166"/>
      <c r="S235" s="1166"/>
      <c r="T235" s="1166"/>
      <c r="U235" s="1166"/>
    </row>
    <row r="236" spans="1:21" s="24" customFormat="1" ht="15" x14ac:dyDescent="0.25">
      <c r="A236" s="50"/>
      <c r="B236" s="91"/>
      <c r="C236" s="1179" t="s">
        <v>1274</v>
      </c>
      <c r="D236" s="2099" t="s">
        <v>419</v>
      </c>
      <c r="E236" s="71"/>
      <c r="F236" s="1072">
        <v>6005</v>
      </c>
      <c r="G236" s="316">
        <v>6005</v>
      </c>
      <c r="H236" s="1184">
        <f>(G236/F236)*100</f>
        <v>100</v>
      </c>
      <c r="I236" s="1166"/>
      <c r="J236" s="1166"/>
      <c r="K236" s="1166"/>
      <c r="L236" s="1166"/>
      <c r="M236" s="1166"/>
      <c r="N236" s="1166"/>
      <c r="O236" s="1166"/>
      <c r="P236" s="1166"/>
      <c r="Q236" s="1166"/>
      <c r="R236" s="1166"/>
      <c r="S236" s="1166"/>
      <c r="T236" s="1166"/>
      <c r="U236" s="1166"/>
    </row>
    <row r="237" spans="1:21" s="24" customFormat="1" ht="26.25" thickBot="1" x14ac:dyDescent="0.3">
      <c r="A237" s="1186"/>
      <c r="B237" s="1516"/>
      <c r="C237" s="1301" t="s">
        <v>418</v>
      </c>
      <c r="D237" s="2124" t="s">
        <v>1050</v>
      </c>
      <c r="E237" s="1235"/>
      <c r="F237" s="2102">
        <v>472</v>
      </c>
      <c r="G237" s="1535">
        <v>472</v>
      </c>
      <c r="H237" s="2103">
        <f>(G237/F237)*100</f>
        <v>100</v>
      </c>
      <c r="I237" s="1166"/>
      <c r="J237" s="1166"/>
      <c r="K237" s="1166"/>
      <c r="L237" s="1166"/>
      <c r="M237" s="1166"/>
      <c r="N237" s="1166"/>
      <c r="O237" s="1166"/>
      <c r="P237" s="1166"/>
      <c r="Q237" s="1166"/>
      <c r="R237" s="1166"/>
      <c r="S237" s="1166"/>
      <c r="T237" s="1166"/>
      <c r="U237" s="1166"/>
    </row>
    <row r="238" spans="1:21" s="362" customFormat="1" ht="35.25" customHeight="1" thickTop="1" thickBot="1" x14ac:dyDescent="0.3">
      <c r="A238" s="720" t="s">
        <v>200</v>
      </c>
      <c r="B238" s="986"/>
      <c r="C238" s="722"/>
      <c r="D238" s="721"/>
      <c r="E238" s="723">
        <v>0</v>
      </c>
      <c r="F238" s="1534">
        <f>F218+F228+F234+F216</f>
        <v>235251</v>
      </c>
      <c r="G238" s="1534">
        <f>G218+G228+G234+G216</f>
        <v>235250</v>
      </c>
      <c r="H238" s="996">
        <f>(G238/F238)*100</f>
        <v>99.999574922104472</v>
      </c>
      <c r="J238" s="725"/>
      <c r="K238" s="725"/>
      <c r="L238" s="725"/>
    </row>
    <row r="239" spans="1:21" ht="15" thickTop="1" x14ac:dyDescent="0.2"/>
    <row r="241" spans="1:15" ht="15.75" x14ac:dyDescent="0.25">
      <c r="A241" s="997" t="s">
        <v>573</v>
      </c>
    </row>
    <row r="242" spans="1:15" ht="16.5" thickBot="1" x14ac:dyDescent="0.3">
      <c r="A242" s="997"/>
      <c r="H242" s="2025" t="s">
        <v>1379</v>
      </c>
    </row>
    <row r="243" spans="1:15" s="107" customFormat="1" ht="20.25" customHeight="1" thickTop="1" thickBot="1" x14ac:dyDescent="0.25">
      <c r="A243" s="657" t="s">
        <v>180</v>
      </c>
      <c r="B243" s="998" t="s">
        <v>181</v>
      </c>
      <c r="C243" s="702" t="s">
        <v>414</v>
      </c>
      <c r="D243" s="660" t="s">
        <v>182</v>
      </c>
      <c r="E243" s="660" t="s">
        <v>183</v>
      </c>
      <c r="F243" s="660" t="s">
        <v>985</v>
      </c>
      <c r="G243" s="660" t="s">
        <v>986</v>
      </c>
      <c r="H243" s="661" t="s">
        <v>987</v>
      </c>
      <c r="J243" s="384"/>
      <c r="K243" s="384"/>
      <c r="L243" s="384"/>
      <c r="M243" s="384"/>
      <c r="N243" s="384"/>
      <c r="O243" s="384"/>
    </row>
    <row r="244" spans="1:15" s="386" customFormat="1" ht="13.5" thickTop="1" thickBot="1" x14ac:dyDescent="0.25">
      <c r="A244" s="592">
        <v>1</v>
      </c>
      <c r="B244" s="593">
        <v>2</v>
      </c>
      <c r="C244" s="593">
        <v>3</v>
      </c>
      <c r="D244" s="593">
        <v>4</v>
      </c>
      <c r="E244" s="593">
        <v>5</v>
      </c>
      <c r="F244" s="567">
        <v>6</v>
      </c>
      <c r="G244" s="567">
        <v>7</v>
      </c>
      <c r="H244" s="662" t="s">
        <v>61</v>
      </c>
      <c r="I244" s="107"/>
    </row>
    <row r="245" spans="1:15" s="1166" customFormat="1" ht="15.75" thickTop="1" x14ac:dyDescent="0.25">
      <c r="A245" s="222"/>
      <c r="B245" s="241">
        <v>5229</v>
      </c>
      <c r="C245" s="1520"/>
      <c r="D245" s="1515" t="s">
        <v>1276</v>
      </c>
      <c r="E245" s="233"/>
      <c r="F245" s="372">
        <f>F246+F248+F250+F254+F249+F251</f>
        <v>10386</v>
      </c>
      <c r="G245" s="372">
        <f>G246+G248+G250+G254+G249+G251</f>
        <v>10386</v>
      </c>
      <c r="H245" s="1472">
        <f>(G245/F245)*100</f>
        <v>100</v>
      </c>
    </row>
    <row r="246" spans="1:15" s="1166" customFormat="1" x14ac:dyDescent="0.2">
      <c r="A246" s="50"/>
      <c r="B246" s="31"/>
      <c r="C246" s="1463" t="s">
        <v>1314</v>
      </c>
      <c r="D246" s="2706" t="s">
        <v>1051</v>
      </c>
      <c r="E246" s="1401"/>
      <c r="F246" s="316">
        <v>4456</v>
      </c>
      <c r="G246" s="316">
        <v>4456</v>
      </c>
      <c r="H246" s="1175">
        <f>(G246/F246)*100</f>
        <v>100</v>
      </c>
    </row>
    <row r="247" spans="1:15" s="1166" customFormat="1" x14ac:dyDescent="0.2">
      <c r="A247" s="50"/>
      <c r="B247" s="31"/>
      <c r="C247" s="1463"/>
      <c r="D247" s="2706"/>
      <c r="E247" s="1401"/>
      <c r="F247" s="316"/>
      <c r="G247" s="316"/>
      <c r="H247" s="1175"/>
    </row>
    <row r="248" spans="1:15" s="1166" customFormat="1" x14ac:dyDescent="0.2">
      <c r="A248" s="50"/>
      <c r="B248" s="31"/>
      <c r="C248" s="1463" t="s">
        <v>1052</v>
      </c>
      <c r="D248" s="2096" t="s">
        <v>1500</v>
      </c>
      <c r="E248" s="1401"/>
      <c r="F248" s="316">
        <v>67</v>
      </c>
      <c r="G248" s="316">
        <v>67</v>
      </c>
      <c r="H248" s="1175">
        <f t="shared" ref="H248:H255" si="11">(G248/F248)*100</f>
        <v>100</v>
      </c>
    </row>
    <row r="249" spans="1:15" s="1166" customFormat="1" x14ac:dyDescent="0.2">
      <c r="A249" s="50"/>
      <c r="B249" s="31"/>
      <c r="C249" s="1178" t="s">
        <v>1763</v>
      </c>
      <c r="D249" s="2104" t="s">
        <v>1762</v>
      </c>
      <c r="E249" s="1401"/>
      <c r="F249" s="316">
        <v>109</v>
      </c>
      <c r="G249" s="316">
        <v>109</v>
      </c>
      <c r="H249" s="1175">
        <f t="shared" si="11"/>
        <v>100</v>
      </c>
    </row>
    <row r="250" spans="1:15" s="1166" customFormat="1" x14ac:dyDescent="0.2">
      <c r="A250" s="50"/>
      <c r="B250" s="31"/>
      <c r="C250" s="1178" t="s">
        <v>1271</v>
      </c>
      <c r="D250" s="1559" t="s">
        <v>1272</v>
      </c>
      <c r="E250" s="1401"/>
      <c r="F250" s="316">
        <v>346</v>
      </c>
      <c r="G250" s="316">
        <v>346</v>
      </c>
      <c r="H250" s="1175">
        <f t="shared" si="11"/>
        <v>100</v>
      </c>
    </row>
    <row r="251" spans="1:15" s="1166" customFormat="1" x14ac:dyDescent="0.2">
      <c r="A251" s="50"/>
      <c r="B251" s="31"/>
      <c r="C251" s="1178" t="s">
        <v>1765</v>
      </c>
      <c r="D251" s="2738" t="s">
        <v>1764</v>
      </c>
      <c r="E251" s="1401"/>
      <c r="F251" s="316">
        <v>15</v>
      </c>
      <c r="G251" s="316">
        <v>15</v>
      </c>
      <c r="H251" s="1175">
        <f t="shared" si="11"/>
        <v>100</v>
      </c>
    </row>
    <row r="252" spans="1:15" s="1166" customFormat="1" x14ac:dyDescent="0.2">
      <c r="A252" s="50"/>
      <c r="B252" s="31"/>
      <c r="C252" s="1178"/>
      <c r="D252" s="2738"/>
      <c r="E252" s="1401"/>
      <c r="F252" s="316"/>
      <c r="G252" s="316"/>
      <c r="H252" s="1175"/>
    </row>
    <row r="253" spans="1:15" s="1166" customFormat="1" x14ac:dyDescent="0.2">
      <c r="A253" s="50"/>
      <c r="B253" s="31"/>
      <c r="C253" s="1178"/>
      <c r="D253" s="2737"/>
      <c r="E253" s="1401"/>
      <c r="F253" s="316"/>
      <c r="G253" s="316"/>
      <c r="H253" s="1175"/>
    </row>
    <row r="254" spans="1:15" s="1166" customFormat="1" ht="25.5" x14ac:dyDescent="0.2">
      <c r="A254" s="50"/>
      <c r="B254" s="1396"/>
      <c r="C254" s="1463" t="s">
        <v>889</v>
      </c>
      <c r="D254" s="1559" t="s">
        <v>1044</v>
      </c>
      <c r="E254" s="1401"/>
      <c r="F254" s="1469">
        <v>5393</v>
      </c>
      <c r="G254" s="1469">
        <v>5393</v>
      </c>
      <c r="H254" s="1502">
        <f t="shared" si="11"/>
        <v>100</v>
      </c>
    </row>
    <row r="255" spans="1:15" s="1219" customFormat="1" ht="14.25" customHeight="1" x14ac:dyDescent="0.25">
      <c r="A255" s="223"/>
      <c r="B255" s="96">
        <v>5333</v>
      </c>
      <c r="C255" s="1505"/>
      <c r="D255" s="2735" t="s">
        <v>1478</v>
      </c>
      <c r="E255" s="149"/>
      <c r="F255" s="315">
        <f>F257</f>
        <v>22230</v>
      </c>
      <c r="G255" s="315">
        <f>G257</f>
        <v>22230</v>
      </c>
      <c r="H255" s="203">
        <f t="shared" si="11"/>
        <v>100</v>
      </c>
    </row>
    <row r="256" spans="1:15" s="1219" customFormat="1" ht="14.25" customHeight="1" x14ac:dyDescent="0.25">
      <c r="A256" s="1521"/>
      <c r="B256" s="1519"/>
      <c r="C256" s="1507"/>
      <c r="D256" s="2736"/>
      <c r="E256" s="123"/>
      <c r="F256" s="315"/>
      <c r="G256" s="315"/>
      <c r="H256" s="1172"/>
    </row>
    <row r="257" spans="1:14" s="1219" customFormat="1" ht="14.25" customHeight="1" x14ac:dyDescent="0.25">
      <c r="A257" s="1521"/>
      <c r="B257" s="1519"/>
      <c r="C257" s="1169" t="s">
        <v>1267</v>
      </c>
      <c r="D257" s="1398" t="s">
        <v>26</v>
      </c>
      <c r="E257" s="123"/>
      <c r="F257" s="316">
        <v>22230</v>
      </c>
      <c r="G257" s="316">
        <v>22230</v>
      </c>
      <c r="H257" s="1175">
        <f>(G257/F257)*100</f>
        <v>100</v>
      </c>
    </row>
    <row r="258" spans="1:14" s="1219" customFormat="1" ht="14.25" customHeight="1" x14ac:dyDescent="0.25">
      <c r="A258" s="1521"/>
      <c r="B258" s="96">
        <v>5339</v>
      </c>
      <c r="C258" s="1169"/>
      <c r="D258" s="1269" t="s">
        <v>1389</v>
      </c>
      <c r="E258" s="123"/>
      <c r="F258" s="315">
        <v>2810876</v>
      </c>
      <c r="G258" s="315">
        <v>2810876</v>
      </c>
      <c r="H258" s="203">
        <f t="shared" ref="H258" si="12">(G258/F258)*100</f>
        <v>100</v>
      </c>
    </row>
    <row r="259" spans="1:14" s="1219" customFormat="1" ht="14.25" customHeight="1" thickBot="1" x14ac:dyDescent="0.3">
      <c r="A259" s="1521"/>
      <c r="B259" s="1519"/>
      <c r="C259" s="1169" t="s">
        <v>1267</v>
      </c>
      <c r="D259" s="1398" t="s">
        <v>26</v>
      </c>
      <c r="E259" s="123"/>
      <c r="F259" s="316">
        <v>2810876</v>
      </c>
      <c r="G259" s="316">
        <v>2810876</v>
      </c>
      <c r="H259" s="1175">
        <f>(G259/F259)*100</f>
        <v>100</v>
      </c>
    </row>
    <row r="260" spans="1:14" s="1003" customFormat="1" ht="26.25" customHeight="1" thickTop="1" thickBot="1" x14ac:dyDescent="0.3">
      <c r="A260" s="999" t="s">
        <v>817</v>
      </c>
      <c r="B260" s="1000"/>
      <c r="C260" s="1001"/>
      <c r="D260" s="1000"/>
      <c r="E260" s="1533">
        <v>0</v>
      </c>
      <c r="F260" s="1532">
        <f>F245+F255+F258</f>
        <v>2843492</v>
      </c>
      <c r="G260" s="1532">
        <f>G245+G255+G258</f>
        <v>2843492</v>
      </c>
      <c r="H260" s="1002">
        <f>(G260/F260)*100</f>
        <v>100</v>
      </c>
      <c r="J260" s="548"/>
      <c r="K260" s="548"/>
      <c r="L260" s="548"/>
    </row>
    <row r="261" spans="1:14" ht="15" thickTop="1" x14ac:dyDescent="0.2"/>
    <row r="263" spans="1:14" ht="16.5" x14ac:dyDescent="0.25">
      <c r="A263" s="363" t="s">
        <v>221</v>
      </c>
      <c r="B263" s="364"/>
      <c r="C263" s="365"/>
      <c r="D263" s="366"/>
      <c r="E263" s="609">
        <f>SUM(E264:E267)</f>
        <v>71456</v>
      </c>
      <c r="F263" s="609">
        <f>SUM(F264:F267)</f>
        <v>104693</v>
      </c>
      <c r="G263" s="609">
        <f>SUM(G264:G267)</f>
        <v>104060</v>
      </c>
      <c r="H263" s="846">
        <f>(G263/F263)*100</f>
        <v>99.395375048952644</v>
      </c>
      <c r="L263" s="385"/>
      <c r="M263" s="385"/>
      <c r="N263" s="385"/>
    </row>
    <row r="264" spans="1:14" ht="15" x14ac:dyDescent="0.2">
      <c r="A264" s="581" t="s">
        <v>288</v>
      </c>
      <c r="B264" s="879"/>
      <c r="C264" s="1649"/>
      <c r="D264" s="880"/>
      <c r="E264" s="614">
        <f>E106</f>
        <v>56456</v>
      </c>
      <c r="F264" s="614">
        <f>F106-F266</f>
        <v>87410</v>
      </c>
      <c r="G264" s="614">
        <f>G106-G266</f>
        <v>86777</v>
      </c>
      <c r="H264" s="1004">
        <f>(G264/F264)*100</f>
        <v>99.275826564466314</v>
      </c>
      <c r="L264" s="385"/>
      <c r="M264" s="385"/>
      <c r="N264" s="385"/>
    </row>
    <row r="265" spans="1:14" ht="15" x14ac:dyDescent="0.2">
      <c r="A265" s="581" t="s">
        <v>289</v>
      </c>
      <c r="B265" s="1650"/>
      <c r="C265" s="1649"/>
      <c r="D265" s="1651"/>
      <c r="E265" s="614">
        <f>E132</f>
        <v>15000</v>
      </c>
      <c r="F265" s="614">
        <f>F132</f>
        <v>17140</v>
      </c>
      <c r="G265" s="614">
        <f>G132</f>
        <v>17140</v>
      </c>
      <c r="H265" s="1004">
        <f>(G265/F265)*100</f>
        <v>100</v>
      </c>
      <c r="I265" s="385"/>
      <c r="J265" s="385"/>
      <c r="L265" s="385"/>
      <c r="M265" s="385"/>
      <c r="N265" s="385"/>
    </row>
    <row r="266" spans="1:14" ht="15" x14ac:dyDescent="0.2">
      <c r="A266" s="581" t="s">
        <v>227</v>
      </c>
      <c r="B266" s="1650"/>
      <c r="C266" s="1649"/>
      <c r="D266" s="1651"/>
      <c r="E266" s="614">
        <v>0</v>
      </c>
      <c r="F266" s="614">
        <f>F100</f>
        <v>143</v>
      </c>
      <c r="G266" s="614">
        <f>G100</f>
        <v>143</v>
      </c>
      <c r="H266" s="1004">
        <v>0</v>
      </c>
      <c r="L266" s="385"/>
      <c r="M266" s="385"/>
      <c r="N266" s="385"/>
    </row>
    <row r="267" spans="1:14" ht="15" x14ac:dyDescent="0.2">
      <c r="A267" s="581" t="s">
        <v>1291</v>
      </c>
      <c r="B267" s="1650"/>
      <c r="C267" s="1649"/>
      <c r="D267" s="1651"/>
      <c r="E267" s="614">
        <v>0</v>
      </c>
      <c r="F267" s="614">
        <v>0</v>
      </c>
      <c r="G267" s="614">
        <v>0</v>
      </c>
      <c r="H267" s="1004">
        <v>0</v>
      </c>
      <c r="L267" s="984"/>
      <c r="M267" s="984"/>
      <c r="N267" s="984"/>
    </row>
    <row r="268" spans="1:14" ht="15" x14ac:dyDescent="0.2">
      <c r="A268" s="581"/>
      <c r="B268" s="1650"/>
      <c r="C268" s="1649"/>
      <c r="D268" s="1651"/>
      <c r="E268" s="614"/>
      <c r="F268" s="614"/>
      <c r="G268" s="614"/>
      <c r="H268" s="830"/>
    </row>
    <row r="269" spans="1:14" ht="16.5" x14ac:dyDescent="0.25">
      <c r="A269" s="797" t="s">
        <v>290</v>
      </c>
      <c r="B269" s="1650"/>
      <c r="C269" s="1649"/>
      <c r="D269" s="1651"/>
      <c r="E269" s="609">
        <f>SUM(E270:E273)</f>
        <v>415676</v>
      </c>
      <c r="F269" s="609">
        <f>SUM(F270:F273)</f>
        <v>2506419</v>
      </c>
      <c r="G269" s="609">
        <f>SUM(G270:G273)</f>
        <v>2506301</v>
      </c>
      <c r="H269" s="846">
        <f>(G269/F269)*100</f>
        <v>99.995292088034759</v>
      </c>
    </row>
    <row r="270" spans="1:14" ht="15" x14ac:dyDescent="0.2">
      <c r="A270" s="581" t="s">
        <v>1292</v>
      </c>
      <c r="B270" s="1650"/>
      <c r="C270" s="1649"/>
      <c r="D270" s="1651"/>
      <c r="E270" s="614">
        <f>E195</f>
        <v>415676</v>
      </c>
      <c r="F270" s="614">
        <f>F195-F272</f>
        <v>426446</v>
      </c>
      <c r="G270" s="614">
        <f>G195-G272</f>
        <v>426439</v>
      </c>
      <c r="H270" s="1004">
        <f>(G270/F270)*100</f>
        <v>99.998358526050197</v>
      </c>
      <c r="K270" s="2733"/>
      <c r="L270" s="385"/>
      <c r="M270" s="385"/>
      <c r="N270" s="385"/>
    </row>
    <row r="271" spans="1:14" ht="15" x14ac:dyDescent="0.2">
      <c r="A271" s="581" t="s">
        <v>1293</v>
      </c>
      <c r="B271" s="1650"/>
      <c r="C271" s="1649"/>
      <c r="D271" s="1651"/>
      <c r="E271" s="614">
        <f>E209</f>
        <v>0</v>
      </c>
      <c r="F271" s="614">
        <f>F209-F273</f>
        <v>10251</v>
      </c>
      <c r="G271" s="614">
        <f>G209-G273</f>
        <v>10251</v>
      </c>
      <c r="H271" s="1004">
        <f>(G271/F271)*100</f>
        <v>100</v>
      </c>
      <c r="K271" s="2733"/>
    </row>
    <row r="272" spans="1:14" ht="15" x14ac:dyDescent="0.2">
      <c r="A272" s="581" t="s">
        <v>227</v>
      </c>
      <c r="B272" s="2020"/>
      <c r="E272" s="614">
        <v>0</v>
      </c>
      <c r="F272" s="614">
        <f>F142+F167+F184</f>
        <v>2069722</v>
      </c>
      <c r="G272" s="614">
        <f>G142+G167+G184</f>
        <v>2069611</v>
      </c>
      <c r="H272" s="1004">
        <f>(G272/F272)*100</f>
        <v>99.994636960905865</v>
      </c>
      <c r="I272" s="385"/>
      <c r="J272" s="385"/>
    </row>
    <row r="273" spans="1:14" ht="15" x14ac:dyDescent="0.2">
      <c r="A273" s="581" t="s">
        <v>1291</v>
      </c>
      <c r="B273" s="2020"/>
      <c r="E273" s="614">
        <v>0</v>
      </c>
      <c r="F273" s="614">
        <v>0</v>
      </c>
      <c r="G273" s="614">
        <v>0</v>
      </c>
      <c r="H273" s="1004">
        <v>0</v>
      </c>
      <c r="K273" s="2733"/>
      <c r="L273" s="385"/>
      <c r="M273" s="385"/>
      <c r="N273" s="385"/>
    </row>
    <row r="274" spans="1:14" ht="15" x14ac:dyDescent="0.2">
      <c r="A274" s="581"/>
      <c r="B274" s="1650"/>
      <c r="C274" s="1649"/>
      <c r="D274" s="1649"/>
      <c r="E274" s="614"/>
      <c r="F274" s="614"/>
      <c r="G274" s="614"/>
      <c r="H274" s="830"/>
      <c r="K274" s="2733"/>
    </row>
    <row r="275" spans="1:14" ht="15.75" x14ac:dyDescent="0.25">
      <c r="A275" s="997" t="s">
        <v>222</v>
      </c>
      <c r="B275" s="1650"/>
      <c r="C275" s="1649"/>
      <c r="D275" s="1649"/>
      <c r="E275" s="609">
        <f>SUM(E276:E279)</f>
        <v>0</v>
      </c>
      <c r="F275" s="609">
        <f>SUM(F276:F279)</f>
        <v>235251</v>
      </c>
      <c r="G275" s="609">
        <f>SUM(G276:G279)</f>
        <v>235250</v>
      </c>
      <c r="H275" s="846">
        <f>(G275/F275)*100</f>
        <v>99.999574922104472</v>
      </c>
      <c r="K275" s="2733"/>
      <c r="L275" s="385"/>
      <c r="M275" s="385"/>
      <c r="N275" s="385"/>
    </row>
    <row r="276" spans="1:14" ht="15" x14ac:dyDescent="0.2">
      <c r="A276" s="581" t="s">
        <v>1292</v>
      </c>
      <c r="B276" s="1650"/>
      <c r="C276" s="1649"/>
      <c r="D276" s="1649"/>
      <c r="E276" s="614">
        <f>E238</f>
        <v>0</v>
      </c>
      <c r="F276" s="614">
        <f>F238-F278</f>
        <v>278</v>
      </c>
      <c r="G276" s="614">
        <f>G238-G278</f>
        <v>277</v>
      </c>
      <c r="H276" s="1004">
        <f>(G276/F276)*100</f>
        <v>99.64028776978418</v>
      </c>
      <c r="I276" s="385"/>
      <c r="K276" s="2733"/>
    </row>
    <row r="277" spans="1:14" ht="15" x14ac:dyDescent="0.2">
      <c r="A277" s="581" t="s">
        <v>1293</v>
      </c>
      <c r="B277" s="1650"/>
      <c r="C277" s="1649"/>
      <c r="D277" s="1649"/>
      <c r="E277" s="614">
        <v>0</v>
      </c>
      <c r="F277" s="614">
        <v>0</v>
      </c>
      <c r="G277" s="614">
        <v>0</v>
      </c>
      <c r="H277" s="1004">
        <v>0</v>
      </c>
      <c r="L277" s="385"/>
      <c r="M277" s="385"/>
      <c r="N277" s="385"/>
    </row>
    <row r="278" spans="1:14" ht="15" x14ac:dyDescent="0.2">
      <c r="A278" s="581" t="s">
        <v>227</v>
      </c>
      <c r="B278" s="1650"/>
      <c r="C278" s="1649"/>
      <c r="D278" s="1649"/>
      <c r="E278" s="614">
        <v>0</v>
      </c>
      <c r="F278" s="614">
        <f>F217+F222+F223+F225+F226+F227+F231+F232+F233+F236+F237</f>
        <v>234973</v>
      </c>
      <c r="G278" s="614">
        <f>G217+G222+G223+G225+G226+G227+G231+G232+G233+G236+G237</f>
        <v>234973</v>
      </c>
      <c r="H278" s="1004">
        <f>(G278/F278)*100</f>
        <v>100</v>
      </c>
    </row>
    <row r="279" spans="1:14" ht="15" x14ac:dyDescent="0.2">
      <c r="A279" s="581" t="s">
        <v>1291</v>
      </c>
      <c r="B279" s="1650"/>
      <c r="C279" s="1649"/>
      <c r="D279" s="1649"/>
      <c r="E279" s="614">
        <v>0</v>
      </c>
      <c r="F279" s="614">
        <v>0</v>
      </c>
      <c r="G279" s="614">
        <v>0</v>
      </c>
      <c r="H279" s="1004">
        <v>0</v>
      </c>
      <c r="L279" s="385"/>
      <c r="M279" s="385"/>
      <c r="N279" s="385"/>
    </row>
    <row r="280" spans="1:14" ht="15" x14ac:dyDescent="0.2">
      <c r="A280" s="581"/>
      <c r="B280" s="1650"/>
      <c r="C280" s="1649"/>
      <c r="D280" s="1649"/>
      <c r="E280" s="614"/>
      <c r="F280" s="614"/>
      <c r="G280" s="614"/>
      <c r="H280" s="830"/>
      <c r="L280" s="984"/>
      <c r="M280" s="984"/>
      <c r="N280" s="984"/>
    </row>
    <row r="281" spans="1:14" ht="15.75" x14ac:dyDescent="0.25">
      <c r="A281" s="1005" t="s">
        <v>574</v>
      </c>
      <c r="B281" s="1650"/>
      <c r="C281" s="1649"/>
      <c r="D281" s="1649"/>
      <c r="E281" s="609">
        <f>SUM(E282:E285)</f>
        <v>0</v>
      </c>
      <c r="F281" s="609">
        <f>SUM(F282:F285)</f>
        <v>2843492</v>
      </c>
      <c r="G281" s="609">
        <f>SUM(G282:G285)</f>
        <v>2843492</v>
      </c>
      <c r="H281" s="846">
        <f>(G281/F281)*100</f>
        <v>100</v>
      </c>
      <c r="K281" s="385"/>
    </row>
    <row r="282" spans="1:14" ht="15" x14ac:dyDescent="0.2">
      <c r="A282" s="581" t="s">
        <v>1292</v>
      </c>
      <c r="B282" s="1650"/>
      <c r="C282" s="1649"/>
      <c r="D282" s="1649"/>
      <c r="E282" s="614">
        <f>E260</f>
        <v>0</v>
      </c>
      <c r="F282" s="614">
        <f>F260-F284</f>
        <v>0</v>
      </c>
      <c r="G282" s="614">
        <f>G260-G284</f>
        <v>0</v>
      </c>
      <c r="H282" s="1004">
        <v>0</v>
      </c>
    </row>
    <row r="283" spans="1:14" ht="15" x14ac:dyDescent="0.2">
      <c r="A283" s="581" t="s">
        <v>1293</v>
      </c>
      <c r="B283" s="1650"/>
      <c r="C283" s="1649"/>
      <c r="D283" s="1649"/>
      <c r="E283" s="614">
        <v>0</v>
      </c>
      <c r="F283" s="614">
        <v>0</v>
      </c>
      <c r="G283" s="614">
        <v>0</v>
      </c>
      <c r="H283" s="1004">
        <v>0</v>
      </c>
    </row>
    <row r="284" spans="1:14" ht="15" x14ac:dyDescent="0.2">
      <c r="A284" s="581" t="s">
        <v>227</v>
      </c>
      <c r="B284" s="1650"/>
      <c r="C284" s="1649"/>
      <c r="D284" s="1649"/>
      <c r="E284" s="614">
        <v>0</v>
      </c>
      <c r="F284" s="614">
        <f>F246+F248+F249+F250+F251+F254+F257+F259</f>
        <v>2843492</v>
      </c>
      <c r="G284" s="614">
        <f>G246+G248+G249+G250+G251+G254+G257+G259</f>
        <v>2843492</v>
      </c>
      <c r="H284" s="1004">
        <f>(G284/F284)*100</f>
        <v>100</v>
      </c>
      <c r="J284" s="385"/>
      <c r="K284" s="385">
        <f>K285+K287</f>
        <v>5689855</v>
      </c>
      <c r="L284" s="385">
        <f>L285+L287</f>
        <v>5689103</v>
      </c>
      <c r="M284" s="384" t="s">
        <v>1502</v>
      </c>
    </row>
    <row r="285" spans="1:14" ht="15" x14ac:dyDescent="0.2">
      <c r="A285" s="581" t="s">
        <v>1291</v>
      </c>
      <c r="B285" s="1650"/>
      <c r="C285" s="1649"/>
      <c r="D285" s="1649"/>
      <c r="E285" s="614">
        <v>0</v>
      </c>
      <c r="F285" s="614">
        <v>0</v>
      </c>
      <c r="G285" s="614">
        <v>0</v>
      </c>
      <c r="H285" s="1004">
        <v>0</v>
      </c>
      <c r="K285" s="385">
        <f>F263</f>
        <v>104693</v>
      </c>
      <c r="L285" s="385">
        <f>G263</f>
        <v>104060</v>
      </c>
      <c r="M285" s="384" t="s">
        <v>812</v>
      </c>
    </row>
    <row r="286" spans="1:14" ht="15" x14ac:dyDescent="0.2">
      <c r="A286" s="581"/>
      <c r="B286" s="1650"/>
      <c r="C286" s="1649"/>
      <c r="D286" s="1649"/>
      <c r="E286" s="614"/>
      <c r="F286" s="614"/>
      <c r="G286" s="614"/>
      <c r="H286" s="1004"/>
      <c r="J286" s="385"/>
      <c r="K286" s="984">
        <f>F266+F267+F272+F273+F278+F279+F284+F285</f>
        <v>5148330</v>
      </c>
      <c r="L286" s="984">
        <f>G266+G267+G272+G273+G278+G279+G284+G285</f>
        <v>5148219</v>
      </c>
      <c r="M286" s="384" t="s">
        <v>269</v>
      </c>
    </row>
    <row r="287" spans="1:14" ht="14.25" customHeight="1" x14ac:dyDescent="0.2">
      <c r="J287" s="385"/>
      <c r="K287" s="385">
        <f>F269+F275+F281</f>
        <v>5585162</v>
      </c>
      <c r="L287" s="385">
        <f>G269+G275+G281</f>
        <v>5585043</v>
      </c>
      <c r="M287" s="384" t="s">
        <v>1501</v>
      </c>
    </row>
    <row r="288" spans="1:14" s="58" customFormat="1" ht="47.25" customHeight="1" thickBot="1" x14ac:dyDescent="0.4">
      <c r="A288" s="2710" t="s">
        <v>989</v>
      </c>
      <c r="B288" s="2710"/>
      <c r="C288" s="2710"/>
      <c r="D288" s="2710"/>
      <c r="E288" s="1594">
        <f>E263+E269+E275+E281</f>
        <v>487132</v>
      </c>
      <c r="F288" s="1594">
        <f>F263+F269+F275+F281</f>
        <v>5689855</v>
      </c>
      <c r="G288" s="1594">
        <f>G263+G269+G275+G281</f>
        <v>5689103</v>
      </c>
      <c r="H288" s="802">
        <f>(G288/F288)*100</f>
        <v>99.986783494482722</v>
      </c>
    </row>
    <row r="289" spans="8:8" ht="15" thickTop="1" x14ac:dyDescent="0.2"/>
    <row r="291" spans="8:8" x14ac:dyDescent="0.2">
      <c r="H291" s="548"/>
    </row>
  </sheetData>
  <mergeCells count="17">
    <mergeCell ref="K275:K276"/>
    <mergeCell ref="A288:D288"/>
    <mergeCell ref="K270:K271"/>
    <mergeCell ref="C172:C173"/>
    <mergeCell ref="C223:C224"/>
    <mergeCell ref="D255:D256"/>
    <mergeCell ref="D223:D224"/>
    <mergeCell ref="K273:K274"/>
    <mergeCell ref="D246:D247"/>
    <mergeCell ref="D174:D175"/>
    <mergeCell ref="D251:D253"/>
    <mergeCell ref="D172:D173"/>
    <mergeCell ref="D169:D170"/>
    <mergeCell ref="D31:D32"/>
    <mergeCell ref="D74:D75"/>
    <mergeCell ref="D98:D99"/>
    <mergeCell ref="D103:D104"/>
  </mergeCells>
  <phoneticPr fontId="0" type="noConversion"/>
  <pageMargins left="0.98425196850393704" right="0.98425196850393704" top="0.98425196850393704" bottom="0.98425196850393704" header="0.51181102362204722" footer="0.51181102362204722"/>
  <pageSetup paperSize="9" scale="70" firstPageNumber="44" orientation="portrait" useFirstPageNumber="1" r:id="rId1"/>
  <headerFooter alignWithMargins="0">
    <oddFooter xml:space="preserve">&amp;L&amp;"Arial,Kurzíva"Zastupitelstvo Olomouckého kraje 28. 6. 2013
6.- Závěrečný  účet Olomuckého kraje za rok 2012
Příloha č. 3: Plnění rozpočtu výdajů Olomouckého kraje k 31.12.2012&amp;R&amp;"Arial,Kurzíva"Strana &amp;P (Celkem 484)
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" enableFormatConditionsCalculation="0">
    <tabColor rgb="FF92D050"/>
  </sheetPr>
  <dimension ref="A1:AA2675"/>
  <sheetViews>
    <sheetView showGridLines="0" view="pageBreakPreview" zoomScaleNormal="100" zoomScaleSheetLayoutView="100" workbookViewId="0">
      <selection activeCell="E2646" sqref="E2646"/>
    </sheetView>
  </sheetViews>
  <sheetFormatPr defaultRowHeight="12.75" x14ac:dyDescent="0.2"/>
  <cols>
    <col min="1" max="1" width="4.7109375" style="384" customWidth="1"/>
    <col min="2" max="2" width="4.7109375" style="669" customWidth="1"/>
    <col min="3" max="3" width="4.7109375" style="384" customWidth="1"/>
    <col min="4" max="4" width="9" style="884" customWidth="1"/>
    <col min="5" max="5" width="47.28515625" style="384" customWidth="1"/>
    <col min="6" max="6" width="11.5703125" style="385" customWidth="1"/>
    <col min="7" max="8" width="13.5703125" style="385" customWidth="1"/>
    <col min="9" max="9" width="7.42578125" style="1548" customWidth="1"/>
    <col min="10" max="15" width="0" style="384" hidden="1" customWidth="1"/>
    <col min="16" max="16" width="2.28515625" style="384" customWidth="1"/>
    <col min="17" max="17" width="9.140625" style="384"/>
    <col min="18" max="18" width="9.7109375" style="384" customWidth="1"/>
    <col min="19" max="19" width="9.5703125" style="384" customWidth="1"/>
    <col min="20" max="20" width="10.140625" style="384" customWidth="1"/>
    <col min="21" max="256" width="9.140625" style="384"/>
    <col min="257" max="259" width="4.7109375" style="384" customWidth="1"/>
    <col min="260" max="260" width="9" style="384" customWidth="1"/>
    <col min="261" max="261" width="47.28515625" style="384" customWidth="1"/>
    <col min="262" max="262" width="11.5703125" style="384" customWidth="1"/>
    <col min="263" max="264" width="13.5703125" style="384" customWidth="1"/>
    <col min="265" max="265" width="7.42578125" style="384" customWidth="1"/>
    <col min="266" max="271" width="0" style="384" hidden="1" customWidth="1"/>
    <col min="272" max="272" width="2.28515625" style="384" customWidth="1"/>
    <col min="273" max="273" width="9.140625" style="384"/>
    <col min="274" max="274" width="9.7109375" style="384" customWidth="1"/>
    <col min="275" max="275" width="9.5703125" style="384" customWidth="1"/>
    <col min="276" max="276" width="10.140625" style="384" customWidth="1"/>
    <col min="277" max="512" width="9.140625" style="384"/>
    <col min="513" max="515" width="4.7109375" style="384" customWidth="1"/>
    <col min="516" max="516" width="9" style="384" customWidth="1"/>
    <col min="517" max="517" width="47.28515625" style="384" customWidth="1"/>
    <col min="518" max="518" width="11.5703125" style="384" customWidth="1"/>
    <col min="519" max="520" width="13.5703125" style="384" customWidth="1"/>
    <col min="521" max="521" width="7.42578125" style="384" customWidth="1"/>
    <col min="522" max="527" width="0" style="384" hidden="1" customWidth="1"/>
    <col min="528" max="528" width="2.28515625" style="384" customWidth="1"/>
    <col min="529" max="529" width="9.140625" style="384"/>
    <col min="530" max="530" width="9.7109375" style="384" customWidth="1"/>
    <col min="531" max="531" width="9.5703125" style="384" customWidth="1"/>
    <col min="532" max="532" width="10.140625" style="384" customWidth="1"/>
    <col min="533" max="768" width="9.140625" style="384"/>
    <col min="769" max="771" width="4.7109375" style="384" customWidth="1"/>
    <col min="772" max="772" width="9" style="384" customWidth="1"/>
    <col min="773" max="773" width="47.28515625" style="384" customWidth="1"/>
    <col min="774" max="774" width="11.5703125" style="384" customWidth="1"/>
    <col min="775" max="776" width="13.5703125" style="384" customWidth="1"/>
    <col min="777" max="777" width="7.42578125" style="384" customWidth="1"/>
    <col min="778" max="783" width="0" style="384" hidden="1" customWidth="1"/>
    <col min="784" max="784" width="2.28515625" style="384" customWidth="1"/>
    <col min="785" max="785" width="9.140625" style="384"/>
    <col min="786" max="786" width="9.7109375" style="384" customWidth="1"/>
    <col min="787" max="787" width="9.5703125" style="384" customWidth="1"/>
    <col min="788" max="788" width="10.140625" style="384" customWidth="1"/>
    <col min="789" max="1024" width="9.140625" style="384"/>
    <col min="1025" max="1027" width="4.7109375" style="384" customWidth="1"/>
    <col min="1028" max="1028" width="9" style="384" customWidth="1"/>
    <col min="1029" max="1029" width="47.28515625" style="384" customWidth="1"/>
    <col min="1030" max="1030" width="11.5703125" style="384" customWidth="1"/>
    <col min="1031" max="1032" width="13.5703125" style="384" customWidth="1"/>
    <col min="1033" max="1033" width="7.42578125" style="384" customWidth="1"/>
    <col min="1034" max="1039" width="0" style="384" hidden="1" customWidth="1"/>
    <col min="1040" max="1040" width="2.28515625" style="384" customWidth="1"/>
    <col min="1041" max="1041" width="9.140625" style="384"/>
    <col min="1042" max="1042" width="9.7109375" style="384" customWidth="1"/>
    <col min="1043" max="1043" width="9.5703125" style="384" customWidth="1"/>
    <col min="1044" max="1044" width="10.140625" style="384" customWidth="1"/>
    <col min="1045" max="1280" width="9.140625" style="384"/>
    <col min="1281" max="1283" width="4.7109375" style="384" customWidth="1"/>
    <col min="1284" max="1284" width="9" style="384" customWidth="1"/>
    <col min="1285" max="1285" width="47.28515625" style="384" customWidth="1"/>
    <col min="1286" max="1286" width="11.5703125" style="384" customWidth="1"/>
    <col min="1287" max="1288" width="13.5703125" style="384" customWidth="1"/>
    <col min="1289" max="1289" width="7.42578125" style="384" customWidth="1"/>
    <col min="1290" max="1295" width="0" style="384" hidden="1" customWidth="1"/>
    <col min="1296" max="1296" width="2.28515625" style="384" customWidth="1"/>
    <col min="1297" max="1297" width="9.140625" style="384"/>
    <col min="1298" max="1298" width="9.7109375" style="384" customWidth="1"/>
    <col min="1299" max="1299" width="9.5703125" style="384" customWidth="1"/>
    <col min="1300" max="1300" width="10.140625" style="384" customWidth="1"/>
    <col min="1301" max="1536" width="9.140625" style="384"/>
    <col min="1537" max="1539" width="4.7109375" style="384" customWidth="1"/>
    <col min="1540" max="1540" width="9" style="384" customWidth="1"/>
    <col min="1541" max="1541" width="47.28515625" style="384" customWidth="1"/>
    <col min="1542" max="1542" width="11.5703125" style="384" customWidth="1"/>
    <col min="1543" max="1544" width="13.5703125" style="384" customWidth="1"/>
    <col min="1545" max="1545" width="7.42578125" style="384" customWidth="1"/>
    <col min="1546" max="1551" width="0" style="384" hidden="1" customWidth="1"/>
    <col min="1552" max="1552" width="2.28515625" style="384" customWidth="1"/>
    <col min="1553" max="1553" width="9.140625" style="384"/>
    <col min="1554" max="1554" width="9.7109375" style="384" customWidth="1"/>
    <col min="1555" max="1555" width="9.5703125" style="384" customWidth="1"/>
    <col min="1556" max="1556" width="10.140625" style="384" customWidth="1"/>
    <col min="1557" max="1792" width="9.140625" style="384"/>
    <col min="1793" max="1795" width="4.7109375" style="384" customWidth="1"/>
    <col min="1796" max="1796" width="9" style="384" customWidth="1"/>
    <col min="1797" max="1797" width="47.28515625" style="384" customWidth="1"/>
    <col min="1798" max="1798" width="11.5703125" style="384" customWidth="1"/>
    <col min="1799" max="1800" width="13.5703125" style="384" customWidth="1"/>
    <col min="1801" max="1801" width="7.42578125" style="384" customWidth="1"/>
    <col min="1802" max="1807" width="0" style="384" hidden="1" customWidth="1"/>
    <col min="1808" max="1808" width="2.28515625" style="384" customWidth="1"/>
    <col min="1809" max="1809" width="9.140625" style="384"/>
    <col min="1810" max="1810" width="9.7109375" style="384" customWidth="1"/>
    <col min="1811" max="1811" width="9.5703125" style="384" customWidth="1"/>
    <col min="1812" max="1812" width="10.140625" style="384" customWidth="1"/>
    <col min="1813" max="2048" width="9.140625" style="384"/>
    <col min="2049" max="2051" width="4.7109375" style="384" customWidth="1"/>
    <col min="2052" max="2052" width="9" style="384" customWidth="1"/>
    <col min="2053" max="2053" width="47.28515625" style="384" customWidth="1"/>
    <col min="2054" max="2054" width="11.5703125" style="384" customWidth="1"/>
    <col min="2055" max="2056" width="13.5703125" style="384" customWidth="1"/>
    <col min="2057" max="2057" width="7.42578125" style="384" customWidth="1"/>
    <col min="2058" max="2063" width="0" style="384" hidden="1" customWidth="1"/>
    <col min="2064" max="2064" width="2.28515625" style="384" customWidth="1"/>
    <col min="2065" max="2065" width="9.140625" style="384"/>
    <col min="2066" max="2066" width="9.7109375" style="384" customWidth="1"/>
    <col min="2067" max="2067" width="9.5703125" style="384" customWidth="1"/>
    <col min="2068" max="2068" width="10.140625" style="384" customWidth="1"/>
    <col min="2069" max="2304" width="9.140625" style="384"/>
    <col min="2305" max="2307" width="4.7109375" style="384" customWidth="1"/>
    <col min="2308" max="2308" width="9" style="384" customWidth="1"/>
    <col min="2309" max="2309" width="47.28515625" style="384" customWidth="1"/>
    <col min="2310" max="2310" width="11.5703125" style="384" customWidth="1"/>
    <col min="2311" max="2312" width="13.5703125" style="384" customWidth="1"/>
    <col min="2313" max="2313" width="7.42578125" style="384" customWidth="1"/>
    <col min="2314" max="2319" width="0" style="384" hidden="1" customWidth="1"/>
    <col min="2320" max="2320" width="2.28515625" style="384" customWidth="1"/>
    <col min="2321" max="2321" width="9.140625" style="384"/>
    <col min="2322" max="2322" width="9.7109375" style="384" customWidth="1"/>
    <col min="2323" max="2323" width="9.5703125" style="384" customWidth="1"/>
    <col min="2324" max="2324" width="10.140625" style="384" customWidth="1"/>
    <col min="2325" max="2560" width="9.140625" style="384"/>
    <col min="2561" max="2563" width="4.7109375" style="384" customWidth="1"/>
    <col min="2564" max="2564" width="9" style="384" customWidth="1"/>
    <col min="2565" max="2565" width="47.28515625" style="384" customWidth="1"/>
    <col min="2566" max="2566" width="11.5703125" style="384" customWidth="1"/>
    <col min="2567" max="2568" width="13.5703125" style="384" customWidth="1"/>
    <col min="2569" max="2569" width="7.42578125" style="384" customWidth="1"/>
    <col min="2570" max="2575" width="0" style="384" hidden="1" customWidth="1"/>
    <col min="2576" max="2576" width="2.28515625" style="384" customWidth="1"/>
    <col min="2577" max="2577" width="9.140625" style="384"/>
    <col min="2578" max="2578" width="9.7109375" style="384" customWidth="1"/>
    <col min="2579" max="2579" width="9.5703125" style="384" customWidth="1"/>
    <col min="2580" max="2580" width="10.140625" style="384" customWidth="1"/>
    <col min="2581" max="2816" width="9.140625" style="384"/>
    <col min="2817" max="2819" width="4.7109375" style="384" customWidth="1"/>
    <col min="2820" max="2820" width="9" style="384" customWidth="1"/>
    <col min="2821" max="2821" width="47.28515625" style="384" customWidth="1"/>
    <col min="2822" max="2822" width="11.5703125" style="384" customWidth="1"/>
    <col min="2823" max="2824" width="13.5703125" style="384" customWidth="1"/>
    <col min="2825" max="2825" width="7.42578125" style="384" customWidth="1"/>
    <col min="2826" max="2831" width="0" style="384" hidden="1" customWidth="1"/>
    <col min="2832" max="2832" width="2.28515625" style="384" customWidth="1"/>
    <col min="2833" max="2833" width="9.140625" style="384"/>
    <col min="2834" max="2834" width="9.7109375" style="384" customWidth="1"/>
    <col min="2835" max="2835" width="9.5703125" style="384" customWidth="1"/>
    <col min="2836" max="2836" width="10.140625" style="384" customWidth="1"/>
    <col min="2837" max="3072" width="9.140625" style="384"/>
    <col min="3073" max="3075" width="4.7109375" style="384" customWidth="1"/>
    <col min="3076" max="3076" width="9" style="384" customWidth="1"/>
    <col min="3077" max="3077" width="47.28515625" style="384" customWidth="1"/>
    <col min="3078" max="3078" width="11.5703125" style="384" customWidth="1"/>
    <col min="3079" max="3080" width="13.5703125" style="384" customWidth="1"/>
    <col min="3081" max="3081" width="7.42578125" style="384" customWidth="1"/>
    <col min="3082" max="3087" width="0" style="384" hidden="1" customWidth="1"/>
    <col min="3088" max="3088" width="2.28515625" style="384" customWidth="1"/>
    <col min="3089" max="3089" width="9.140625" style="384"/>
    <col min="3090" max="3090" width="9.7109375" style="384" customWidth="1"/>
    <col min="3091" max="3091" width="9.5703125" style="384" customWidth="1"/>
    <col min="3092" max="3092" width="10.140625" style="384" customWidth="1"/>
    <col min="3093" max="3328" width="9.140625" style="384"/>
    <col min="3329" max="3331" width="4.7109375" style="384" customWidth="1"/>
    <col min="3332" max="3332" width="9" style="384" customWidth="1"/>
    <col min="3333" max="3333" width="47.28515625" style="384" customWidth="1"/>
    <col min="3334" max="3334" width="11.5703125" style="384" customWidth="1"/>
    <col min="3335" max="3336" width="13.5703125" style="384" customWidth="1"/>
    <col min="3337" max="3337" width="7.42578125" style="384" customWidth="1"/>
    <col min="3338" max="3343" width="0" style="384" hidden="1" customWidth="1"/>
    <col min="3344" max="3344" width="2.28515625" style="384" customWidth="1"/>
    <col min="3345" max="3345" width="9.140625" style="384"/>
    <col min="3346" max="3346" width="9.7109375" style="384" customWidth="1"/>
    <col min="3347" max="3347" width="9.5703125" style="384" customWidth="1"/>
    <col min="3348" max="3348" width="10.140625" style="384" customWidth="1"/>
    <col min="3349" max="3584" width="9.140625" style="384"/>
    <col min="3585" max="3587" width="4.7109375" style="384" customWidth="1"/>
    <col min="3588" max="3588" width="9" style="384" customWidth="1"/>
    <col min="3589" max="3589" width="47.28515625" style="384" customWidth="1"/>
    <col min="3590" max="3590" width="11.5703125" style="384" customWidth="1"/>
    <col min="3591" max="3592" width="13.5703125" style="384" customWidth="1"/>
    <col min="3593" max="3593" width="7.42578125" style="384" customWidth="1"/>
    <col min="3594" max="3599" width="0" style="384" hidden="1" customWidth="1"/>
    <col min="3600" max="3600" width="2.28515625" style="384" customWidth="1"/>
    <col min="3601" max="3601" width="9.140625" style="384"/>
    <col min="3602" max="3602" width="9.7109375" style="384" customWidth="1"/>
    <col min="3603" max="3603" width="9.5703125" style="384" customWidth="1"/>
    <col min="3604" max="3604" width="10.140625" style="384" customWidth="1"/>
    <col min="3605" max="3840" width="9.140625" style="384"/>
    <col min="3841" max="3843" width="4.7109375" style="384" customWidth="1"/>
    <col min="3844" max="3844" width="9" style="384" customWidth="1"/>
    <col min="3845" max="3845" width="47.28515625" style="384" customWidth="1"/>
    <col min="3846" max="3846" width="11.5703125" style="384" customWidth="1"/>
    <col min="3847" max="3848" width="13.5703125" style="384" customWidth="1"/>
    <col min="3849" max="3849" width="7.42578125" style="384" customWidth="1"/>
    <col min="3850" max="3855" width="0" style="384" hidden="1" customWidth="1"/>
    <col min="3856" max="3856" width="2.28515625" style="384" customWidth="1"/>
    <col min="3857" max="3857" width="9.140625" style="384"/>
    <col min="3858" max="3858" width="9.7109375" style="384" customWidth="1"/>
    <col min="3859" max="3859" width="9.5703125" style="384" customWidth="1"/>
    <col min="3860" max="3860" width="10.140625" style="384" customWidth="1"/>
    <col min="3861" max="4096" width="9.140625" style="384"/>
    <col min="4097" max="4099" width="4.7109375" style="384" customWidth="1"/>
    <col min="4100" max="4100" width="9" style="384" customWidth="1"/>
    <col min="4101" max="4101" width="47.28515625" style="384" customWidth="1"/>
    <col min="4102" max="4102" width="11.5703125" style="384" customWidth="1"/>
    <col min="4103" max="4104" width="13.5703125" style="384" customWidth="1"/>
    <col min="4105" max="4105" width="7.42578125" style="384" customWidth="1"/>
    <col min="4106" max="4111" width="0" style="384" hidden="1" customWidth="1"/>
    <col min="4112" max="4112" width="2.28515625" style="384" customWidth="1"/>
    <col min="4113" max="4113" width="9.140625" style="384"/>
    <col min="4114" max="4114" width="9.7109375" style="384" customWidth="1"/>
    <col min="4115" max="4115" width="9.5703125" style="384" customWidth="1"/>
    <col min="4116" max="4116" width="10.140625" style="384" customWidth="1"/>
    <col min="4117" max="4352" width="9.140625" style="384"/>
    <col min="4353" max="4355" width="4.7109375" style="384" customWidth="1"/>
    <col min="4356" max="4356" width="9" style="384" customWidth="1"/>
    <col min="4357" max="4357" width="47.28515625" style="384" customWidth="1"/>
    <col min="4358" max="4358" width="11.5703125" style="384" customWidth="1"/>
    <col min="4359" max="4360" width="13.5703125" style="384" customWidth="1"/>
    <col min="4361" max="4361" width="7.42578125" style="384" customWidth="1"/>
    <col min="4362" max="4367" width="0" style="384" hidden="1" customWidth="1"/>
    <col min="4368" max="4368" width="2.28515625" style="384" customWidth="1"/>
    <col min="4369" max="4369" width="9.140625" style="384"/>
    <col min="4370" max="4370" width="9.7109375" style="384" customWidth="1"/>
    <col min="4371" max="4371" width="9.5703125" style="384" customWidth="1"/>
    <col min="4372" max="4372" width="10.140625" style="384" customWidth="1"/>
    <col min="4373" max="4608" width="9.140625" style="384"/>
    <col min="4609" max="4611" width="4.7109375" style="384" customWidth="1"/>
    <col min="4612" max="4612" width="9" style="384" customWidth="1"/>
    <col min="4613" max="4613" width="47.28515625" style="384" customWidth="1"/>
    <col min="4614" max="4614" width="11.5703125" style="384" customWidth="1"/>
    <col min="4615" max="4616" width="13.5703125" style="384" customWidth="1"/>
    <col min="4617" max="4617" width="7.42578125" style="384" customWidth="1"/>
    <col min="4618" max="4623" width="0" style="384" hidden="1" customWidth="1"/>
    <col min="4624" max="4624" width="2.28515625" style="384" customWidth="1"/>
    <col min="4625" max="4625" width="9.140625" style="384"/>
    <col min="4626" max="4626" width="9.7109375" style="384" customWidth="1"/>
    <col min="4627" max="4627" width="9.5703125" style="384" customWidth="1"/>
    <col min="4628" max="4628" width="10.140625" style="384" customWidth="1"/>
    <col min="4629" max="4864" width="9.140625" style="384"/>
    <col min="4865" max="4867" width="4.7109375" style="384" customWidth="1"/>
    <col min="4868" max="4868" width="9" style="384" customWidth="1"/>
    <col min="4869" max="4869" width="47.28515625" style="384" customWidth="1"/>
    <col min="4870" max="4870" width="11.5703125" style="384" customWidth="1"/>
    <col min="4871" max="4872" width="13.5703125" style="384" customWidth="1"/>
    <col min="4873" max="4873" width="7.42578125" style="384" customWidth="1"/>
    <col min="4874" max="4879" width="0" style="384" hidden="1" customWidth="1"/>
    <col min="4880" max="4880" width="2.28515625" style="384" customWidth="1"/>
    <col min="4881" max="4881" width="9.140625" style="384"/>
    <col min="4882" max="4882" width="9.7109375" style="384" customWidth="1"/>
    <col min="4883" max="4883" width="9.5703125" style="384" customWidth="1"/>
    <col min="4884" max="4884" width="10.140625" style="384" customWidth="1"/>
    <col min="4885" max="5120" width="9.140625" style="384"/>
    <col min="5121" max="5123" width="4.7109375" style="384" customWidth="1"/>
    <col min="5124" max="5124" width="9" style="384" customWidth="1"/>
    <col min="5125" max="5125" width="47.28515625" style="384" customWidth="1"/>
    <col min="5126" max="5126" width="11.5703125" style="384" customWidth="1"/>
    <col min="5127" max="5128" width="13.5703125" style="384" customWidth="1"/>
    <col min="5129" max="5129" width="7.42578125" style="384" customWidth="1"/>
    <col min="5130" max="5135" width="0" style="384" hidden="1" customWidth="1"/>
    <col min="5136" max="5136" width="2.28515625" style="384" customWidth="1"/>
    <col min="5137" max="5137" width="9.140625" style="384"/>
    <col min="5138" max="5138" width="9.7109375" style="384" customWidth="1"/>
    <col min="5139" max="5139" width="9.5703125" style="384" customWidth="1"/>
    <col min="5140" max="5140" width="10.140625" style="384" customWidth="1"/>
    <col min="5141" max="5376" width="9.140625" style="384"/>
    <col min="5377" max="5379" width="4.7109375" style="384" customWidth="1"/>
    <col min="5380" max="5380" width="9" style="384" customWidth="1"/>
    <col min="5381" max="5381" width="47.28515625" style="384" customWidth="1"/>
    <col min="5382" max="5382" width="11.5703125" style="384" customWidth="1"/>
    <col min="5383" max="5384" width="13.5703125" style="384" customWidth="1"/>
    <col min="5385" max="5385" width="7.42578125" style="384" customWidth="1"/>
    <col min="5386" max="5391" width="0" style="384" hidden="1" customWidth="1"/>
    <col min="5392" max="5392" width="2.28515625" style="384" customWidth="1"/>
    <col min="5393" max="5393" width="9.140625" style="384"/>
    <col min="5394" max="5394" width="9.7109375" style="384" customWidth="1"/>
    <col min="5395" max="5395" width="9.5703125" style="384" customWidth="1"/>
    <col min="5396" max="5396" width="10.140625" style="384" customWidth="1"/>
    <col min="5397" max="5632" width="9.140625" style="384"/>
    <col min="5633" max="5635" width="4.7109375" style="384" customWidth="1"/>
    <col min="5636" max="5636" width="9" style="384" customWidth="1"/>
    <col min="5637" max="5637" width="47.28515625" style="384" customWidth="1"/>
    <col min="5638" max="5638" width="11.5703125" style="384" customWidth="1"/>
    <col min="5639" max="5640" width="13.5703125" style="384" customWidth="1"/>
    <col min="5641" max="5641" width="7.42578125" style="384" customWidth="1"/>
    <col min="5642" max="5647" width="0" style="384" hidden="1" customWidth="1"/>
    <col min="5648" max="5648" width="2.28515625" style="384" customWidth="1"/>
    <col min="5649" max="5649" width="9.140625" style="384"/>
    <col min="5650" max="5650" width="9.7109375" style="384" customWidth="1"/>
    <col min="5651" max="5651" width="9.5703125" style="384" customWidth="1"/>
    <col min="5652" max="5652" width="10.140625" style="384" customWidth="1"/>
    <col min="5653" max="5888" width="9.140625" style="384"/>
    <col min="5889" max="5891" width="4.7109375" style="384" customWidth="1"/>
    <col min="5892" max="5892" width="9" style="384" customWidth="1"/>
    <col min="5893" max="5893" width="47.28515625" style="384" customWidth="1"/>
    <col min="5894" max="5894" width="11.5703125" style="384" customWidth="1"/>
    <col min="5895" max="5896" width="13.5703125" style="384" customWidth="1"/>
    <col min="5897" max="5897" width="7.42578125" style="384" customWidth="1"/>
    <col min="5898" max="5903" width="0" style="384" hidden="1" customWidth="1"/>
    <col min="5904" max="5904" width="2.28515625" style="384" customWidth="1"/>
    <col min="5905" max="5905" width="9.140625" style="384"/>
    <col min="5906" max="5906" width="9.7109375" style="384" customWidth="1"/>
    <col min="5907" max="5907" width="9.5703125" style="384" customWidth="1"/>
    <col min="5908" max="5908" width="10.140625" style="384" customWidth="1"/>
    <col min="5909" max="6144" width="9.140625" style="384"/>
    <col min="6145" max="6147" width="4.7109375" style="384" customWidth="1"/>
    <col min="6148" max="6148" width="9" style="384" customWidth="1"/>
    <col min="6149" max="6149" width="47.28515625" style="384" customWidth="1"/>
    <col min="6150" max="6150" width="11.5703125" style="384" customWidth="1"/>
    <col min="6151" max="6152" width="13.5703125" style="384" customWidth="1"/>
    <col min="6153" max="6153" width="7.42578125" style="384" customWidth="1"/>
    <col min="6154" max="6159" width="0" style="384" hidden="1" customWidth="1"/>
    <col min="6160" max="6160" width="2.28515625" style="384" customWidth="1"/>
    <col min="6161" max="6161" width="9.140625" style="384"/>
    <col min="6162" max="6162" width="9.7109375" style="384" customWidth="1"/>
    <col min="6163" max="6163" width="9.5703125" style="384" customWidth="1"/>
    <col min="6164" max="6164" width="10.140625" style="384" customWidth="1"/>
    <col min="6165" max="6400" width="9.140625" style="384"/>
    <col min="6401" max="6403" width="4.7109375" style="384" customWidth="1"/>
    <col min="6404" max="6404" width="9" style="384" customWidth="1"/>
    <col min="6405" max="6405" width="47.28515625" style="384" customWidth="1"/>
    <col min="6406" max="6406" width="11.5703125" style="384" customWidth="1"/>
    <col min="6407" max="6408" width="13.5703125" style="384" customWidth="1"/>
    <col min="6409" max="6409" width="7.42578125" style="384" customWidth="1"/>
    <col min="6410" max="6415" width="0" style="384" hidden="1" customWidth="1"/>
    <col min="6416" max="6416" width="2.28515625" style="384" customWidth="1"/>
    <col min="6417" max="6417" width="9.140625" style="384"/>
    <col min="6418" max="6418" width="9.7109375" style="384" customWidth="1"/>
    <col min="6419" max="6419" width="9.5703125" style="384" customWidth="1"/>
    <col min="6420" max="6420" width="10.140625" style="384" customWidth="1"/>
    <col min="6421" max="6656" width="9.140625" style="384"/>
    <col min="6657" max="6659" width="4.7109375" style="384" customWidth="1"/>
    <col min="6660" max="6660" width="9" style="384" customWidth="1"/>
    <col min="6661" max="6661" width="47.28515625" style="384" customWidth="1"/>
    <col min="6662" max="6662" width="11.5703125" style="384" customWidth="1"/>
    <col min="6663" max="6664" width="13.5703125" style="384" customWidth="1"/>
    <col min="6665" max="6665" width="7.42578125" style="384" customWidth="1"/>
    <col min="6666" max="6671" width="0" style="384" hidden="1" customWidth="1"/>
    <col min="6672" max="6672" width="2.28515625" style="384" customWidth="1"/>
    <col min="6673" max="6673" width="9.140625" style="384"/>
    <col min="6674" max="6674" width="9.7109375" style="384" customWidth="1"/>
    <col min="6675" max="6675" width="9.5703125" style="384" customWidth="1"/>
    <col min="6676" max="6676" width="10.140625" style="384" customWidth="1"/>
    <col min="6677" max="6912" width="9.140625" style="384"/>
    <col min="6913" max="6915" width="4.7109375" style="384" customWidth="1"/>
    <col min="6916" max="6916" width="9" style="384" customWidth="1"/>
    <col min="6917" max="6917" width="47.28515625" style="384" customWidth="1"/>
    <col min="6918" max="6918" width="11.5703125" style="384" customWidth="1"/>
    <col min="6919" max="6920" width="13.5703125" style="384" customWidth="1"/>
    <col min="6921" max="6921" width="7.42578125" style="384" customWidth="1"/>
    <col min="6922" max="6927" width="0" style="384" hidden="1" customWidth="1"/>
    <col min="6928" max="6928" width="2.28515625" style="384" customWidth="1"/>
    <col min="6929" max="6929" width="9.140625" style="384"/>
    <col min="6930" max="6930" width="9.7109375" style="384" customWidth="1"/>
    <col min="6931" max="6931" width="9.5703125" style="384" customWidth="1"/>
    <col min="6932" max="6932" width="10.140625" style="384" customWidth="1"/>
    <col min="6933" max="7168" width="9.140625" style="384"/>
    <col min="7169" max="7171" width="4.7109375" style="384" customWidth="1"/>
    <col min="7172" max="7172" width="9" style="384" customWidth="1"/>
    <col min="7173" max="7173" width="47.28515625" style="384" customWidth="1"/>
    <col min="7174" max="7174" width="11.5703125" style="384" customWidth="1"/>
    <col min="7175" max="7176" width="13.5703125" style="384" customWidth="1"/>
    <col min="7177" max="7177" width="7.42578125" style="384" customWidth="1"/>
    <col min="7178" max="7183" width="0" style="384" hidden="1" customWidth="1"/>
    <col min="7184" max="7184" width="2.28515625" style="384" customWidth="1"/>
    <col min="7185" max="7185" width="9.140625" style="384"/>
    <col min="7186" max="7186" width="9.7109375" style="384" customWidth="1"/>
    <col min="7187" max="7187" width="9.5703125" style="384" customWidth="1"/>
    <col min="7188" max="7188" width="10.140625" style="384" customWidth="1"/>
    <col min="7189" max="7424" width="9.140625" style="384"/>
    <col min="7425" max="7427" width="4.7109375" style="384" customWidth="1"/>
    <col min="7428" max="7428" width="9" style="384" customWidth="1"/>
    <col min="7429" max="7429" width="47.28515625" style="384" customWidth="1"/>
    <col min="7430" max="7430" width="11.5703125" style="384" customWidth="1"/>
    <col min="7431" max="7432" width="13.5703125" style="384" customWidth="1"/>
    <col min="7433" max="7433" width="7.42578125" style="384" customWidth="1"/>
    <col min="7434" max="7439" width="0" style="384" hidden="1" customWidth="1"/>
    <col min="7440" max="7440" width="2.28515625" style="384" customWidth="1"/>
    <col min="7441" max="7441" width="9.140625" style="384"/>
    <col min="7442" max="7442" width="9.7109375" style="384" customWidth="1"/>
    <col min="7443" max="7443" width="9.5703125" style="384" customWidth="1"/>
    <col min="7444" max="7444" width="10.140625" style="384" customWidth="1"/>
    <col min="7445" max="7680" width="9.140625" style="384"/>
    <col min="7681" max="7683" width="4.7109375" style="384" customWidth="1"/>
    <col min="7684" max="7684" width="9" style="384" customWidth="1"/>
    <col min="7685" max="7685" width="47.28515625" style="384" customWidth="1"/>
    <col min="7686" max="7686" width="11.5703125" style="384" customWidth="1"/>
    <col min="7687" max="7688" width="13.5703125" style="384" customWidth="1"/>
    <col min="7689" max="7689" width="7.42578125" style="384" customWidth="1"/>
    <col min="7690" max="7695" width="0" style="384" hidden="1" customWidth="1"/>
    <col min="7696" max="7696" width="2.28515625" style="384" customWidth="1"/>
    <col min="7697" max="7697" width="9.140625" style="384"/>
    <col min="7698" max="7698" width="9.7109375" style="384" customWidth="1"/>
    <col min="7699" max="7699" width="9.5703125" style="384" customWidth="1"/>
    <col min="7700" max="7700" width="10.140625" style="384" customWidth="1"/>
    <col min="7701" max="7936" width="9.140625" style="384"/>
    <col min="7937" max="7939" width="4.7109375" style="384" customWidth="1"/>
    <col min="7940" max="7940" width="9" style="384" customWidth="1"/>
    <col min="7941" max="7941" width="47.28515625" style="384" customWidth="1"/>
    <col min="7942" max="7942" width="11.5703125" style="384" customWidth="1"/>
    <col min="7943" max="7944" width="13.5703125" style="384" customWidth="1"/>
    <col min="7945" max="7945" width="7.42578125" style="384" customWidth="1"/>
    <col min="7946" max="7951" width="0" style="384" hidden="1" customWidth="1"/>
    <col min="7952" max="7952" width="2.28515625" style="384" customWidth="1"/>
    <col min="7953" max="7953" width="9.140625" style="384"/>
    <col min="7954" max="7954" width="9.7109375" style="384" customWidth="1"/>
    <col min="7955" max="7955" width="9.5703125" style="384" customWidth="1"/>
    <col min="7956" max="7956" width="10.140625" style="384" customWidth="1"/>
    <col min="7957" max="8192" width="9.140625" style="384"/>
    <col min="8193" max="8195" width="4.7109375" style="384" customWidth="1"/>
    <col min="8196" max="8196" width="9" style="384" customWidth="1"/>
    <col min="8197" max="8197" width="47.28515625" style="384" customWidth="1"/>
    <col min="8198" max="8198" width="11.5703125" style="384" customWidth="1"/>
    <col min="8199" max="8200" width="13.5703125" style="384" customWidth="1"/>
    <col min="8201" max="8201" width="7.42578125" style="384" customWidth="1"/>
    <col min="8202" max="8207" width="0" style="384" hidden="1" customWidth="1"/>
    <col min="8208" max="8208" width="2.28515625" style="384" customWidth="1"/>
    <col min="8209" max="8209" width="9.140625" style="384"/>
    <col min="8210" max="8210" width="9.7109375" style="384" customWidth="1"/>
    <col min="8211" max="8211" width="9.5703125" style="384" customWidth="1"/>
    <col min="8212" max="8212" width="10.140625" style="384" customWidth="1"/>
    <col min="8213" max="8448" width="9.140625" style="384"/>
    <col min="8449" max="8451" width="4.7109375" style="384" customWidth="1"/>
    <col min="8452" max="8452" width="9" style="384" customWidth="1"/>
    <col min="8453" max="8453" width="47.28515625" style="384" customWidth="1"/>
    <col min="8454" max="8454" width="11.5703125" style="384" customWidth="1"/>
    <col min="8455" max="8456" width="13.5703125" style="384" customWidth="1"/>
    <col min="8457" max="8457" width="7.42578125" style="384" customWidth="1"/>
    <col min="8458" max="8463" width="0" style="384" hidden="1" customWidth="1"/>
    <col min="8464" max="8464" width="2.28515625" style="384" customWidth="1"/>
    <col min="8465" max="8465" width="9.140625" style="384"/>
    <col min="8466" max="8466" width="9.7109375" style="384" customWidth="1"/>
    <col min="8467" max="8467" width="9.5703125" style="384" customWidth="1"/>
    <col min="8468" max="8468" width="10.140625" style="384" customWidth="1"/>
    <col min="8469" max="8704" width="9.140625" style="384"/>
    <col min="8705" max="8707" width="4.7109375" style="384" customWidth="1"/>
    <col min="8708" max="8708" width="9" style="384" customWidth="1"/>
    <col min="8709" max="8709" width="47.28515625" style="384" customWidth="1"/>
    <col min="8710" max="8710" width="11.5703125" style="384" customWidth="1"/>
    <col min="8711" max="8712" width="13.5703125" style="384" customWidth="1"/>
    <col min="8713" max="8713" width="7.42578125" style="384" customWidth="1"/>
    <col min="8714" max="8719" width="0" style="384" hidden="1" customWidth="1"/>
    <col min="8720" max="8720" width="2.28515625" style="384" customWidth="1"/>
    <col min="8721" max="8721" width="9.140625" style="384"/>
    <col min="8722" max="8722" width="9.7109375" style="384" customWidth="1"/>
    <col min="8723" max="8723" width="9.5703125" style="384" customWidth="1"/>
    <col min="8724" max="8724" width="10.140625" style="384" customWidth="1"/>
    <col min="8725" max="8960" width="9.140625" style="384"/>
    <col min="8961" max="8963" width="4.7109375" style="384" customWidth="1"/>
    <col min="8964" max="8964" width="9" style="384" customWidth="1"/>
    <col min="8965" max="8965" width="47.28515625" style="384" customWidth="1"/>
    <col min="8966" max="8966" width="11.5703125" style="384" customWidth="1"/>
    <col min="8967" max="8968" width="13.5703125" style="384" customWidth="1"/>
    <col min="8969" max="8969" width="7.42578125" style="384" customWidth="1"/>
    <col min="8970" max="8975" width="0" style="384" hidden="1" customWidth="1"/>
    <col min="8976" max="8976" width="2.28515625" style="384" customWidth="1"/>
    <col min="8977" max="8977" width="9.140625" style="384"/>
    <col min="8978" max="8978" width="9.7109375" style="384" customWidth="1"/>
    <col min="8979" max="8979" width="9.5703125" style="384" customWidth="1"/>
    <col min="8980" max="8980" width="10.140625" style="384" customWidth="1"/>
    <col min="8981" max="9216" width="9.140625" style="384"/>
    <col min="9217" max="9219" width="4.7109375" style="384" customWidth="1"/>
    <col min="9220" max="9220" width="9" style="384" customWidth="1"/>
    <col min="9221" max="9221" width="47.28515625" style="384" customWidth="1"/>
    <col min="9222" max="9222" width="11.5703125" style="384" customWidth="1"/>
    <col min="9223" max="9224" width="13.5703125" style="384" customWidth="1"/>
    <col min="9225" max="9225" width="7.42578125" style="384" customWidth="1"/>
    <col min="9226" max="9231" width="0" style="384" hidden="1" customWidth="1"/>
    <col min="9232" max="9232" width="2.28515625" style="384" customWidth="1"/>
    <col min="9233" max="9233" width="9.140625" style="384"/>
    <col min="9234" max="9234" width="9.7109375" style="384" customWidth="1"/>
    <col min="9235" max="9235" width="9.5703125" style="384" customWidth="1"/>
    <col min="9236" max="9236" width="10.140625" style="384" customWidth="1"/>
    <col min="9237" max="9472" width="9.140625" style="384"/>
    <col min="9473" max="9475" width="4.7109375" style="384" customWidth="1"/>
    <col min="9476" max="9476" width="9" style="384" customWidth="1"/>
    <col min="9477" max="9477" width="47.28515625" style="384" customWidth="1"/>
    <col min="9478" max="9478" width="11.5703125" style="384" customWidth="1"/>
    <col min="9479" max="9480" width="13.5703125" style="384" customWidth="1"/>
    <col min="9481" max="9481" width="7.42578125" style="384" customWidth="1"/>
    <col min="9482" max="9487" width="0" style="384" hidden="1" customWidth="1"/>
    <col min="9488" max="9488" width="2.28515625" style="384" customWidth="1"/>
    <col min="9489" max="9489" width="9.140625" style="384"/>
    <col min="9490" max="9490" width="9.7109375" style="384" customWidth="1"/>
    <col min="9491" max="9491" width="9.5703125" style="384" customWidth="1"/>
    <col min="9492" max="9492" width="10.140625" style="384" customWidth="1"/>
    <col min="9493" max="9728" width="9.140625" style="384"/>
    <col min="9729" max="9731" width="4.7109375" style="384" customWidth="1"/>
    <col min="9732" max="9732" width="9" style="384" customWidth="1"/>
    <col min="9733" max="9733" width="47.28515625" style="384" customWidth="1"/>
    <col min="9734" max="9734" width="11.5703125" style="384" customWidth="1"/>
    <col min="9735" max="9736" width="13.5703125" style="384" customWidth="1"/>
    <col min="9737" max="9737" width="7.42578125" style="384" customWidth="1"/>
    <col min="9738" max="9743" width="0" style="384" hidden="1" customWidth="1"/>
    <col min="9744" max="9744" width="2.28515625" style="384" customWidth="1"/>
    <col min="9745" max="9745" width="9.140625" style="384"/>
    <col min="9746" max="9746" width="9.7109375" style="384" customWidth="1"/>
    <col min="9747" max="9747" width="9.5703125" style="384" customWidth="1"/>
    <col min="9748" max="9748" width="10.140625" style="384" customWidth="1"/>
    <col min="9749" max="9984" width="9.140625" style="384"/>
    <col min="9985" max="9987" width="4.7109375" style="384" customWidth="1"/>
    <col min="9988" max="9988" width="9" style="384" customWidth="1"/>
    <col min="9989" max="9989" width="47.28515625" style="384" customWidth="1"/>
    <col min="9990" max="9990" width="11.5703125" style="384" customWidth="1"/>
    <col min="9991" max="9992" width="13.5703125" style="384" customWidth="1"/>
    <col min="9993" max="9993" width="7.42578125" style="384" customWidth="1"/>
    <col min="9994" max="9999" width="0" style="384" hidden="1" customWidth="1"/>
    <col min="10000" max="10000" width="2.28515625" style="384" customWidth="1"/>
    <col min="10001" max="10001" width="9.140625" style="384"/>
    <col min="10002" max="10002" width="9.7109375" style="384" customWidth="1"/>
    <col min="10003" max="10003" width="9.5703125" style="384" customWidth="1"/>
    <col min="10004" max="10004" width="10.140625" style="384" customWidth="1"/>
    <col min="10005" max="10240" width="9.140625" style="384"/>
    <col min="10241" max="10243" width="4.7109375" style="384" customWidth="1"/>
    <col min="10244" max="10244" width="9" style="384" customWidth="1"/>
    <col min="10245" max="10245" width="47.28515625" style="384" customWidth="1"/>
    <col min="10246" max="10246" width="11.5703125" style="384" customWidth="1"/>
    <col min="10247" max="10248" width="13.5703125" style="384" customWidth="1"/>
    <col min="10249" max="10249" width="7.42578125" style="384" customWidth="1"/>
    <col min="10250" max="10255" width="0" style="384" hidden="1" customWidth="1"/>
    <col min="10256" max="10256" width="2.28515625" style="384" customWidth="1"/>
    <col min="10257" max="10257" width="9.140625" style="384"/>
    <col min="10258" max="10258" width="9.7109375" style="384" customWidth="1"/>
    <col min="10259" max="10259" width="9.5703125" style="384" customWidth="1"/>
    <col min="10260" max="10260" width="10.140625" style="384" customWidth="1"/>
    <col min="10261" max="10496" width="9.140625" style="384"/>
    <col min="10497" max="10499" width="4.7109375" style="384" customWidth="1"/>
    <col min="10500" max="10500" width="9" style="384" customWidth="1"/>
    <col min="10501" max="10501" width="47.28515625" style="384" customWidth="1"/>
    <col min="10502" max="10502" width="11.5703125" style="384" customWidth="1"/>
    <col min="10503" max="10504" width="13.5703125" style="384" customWidth="1"/>
    <col min="10505" max="10505" width="7.42578125" style="384" customWidth="1"/>
    <col min="10506" max="10511" width="0" style="384" hidden="1" customWidth="1"/>
    <col min="10512" max="10512" width="2.28515625" style="384" customWidth="1"/>
    <col min="10513" max="10513" width="9.140625" style="384"/>
    <col min="10514" max="10514" width="9.7109375" style="384" customWidth="1"/>
    <col min="10515" max="10515" width="9.5703125" style="384" customWidth="1"/>
    <col min="10516" max="10516" width="10.140625" style="384" customWidth="1"/>
    <col min="10517" max="10752" width="9.140625" style="384"/>
    <col min="10753" max="10755" width="4.7109375" style="384" customWidth="1"/>
    <col min="10756" max="10756" width="9" style="384" customWidth="1"/>
    <col min="10757" max="10757" width="47.28515625" style="384" customWidth="1"/>
    <col min="10758" max="10758" width="11.5703125" style="384" customWidth="1"/>
    <col min="10759" max="10760" width="13.5703125" style="384" customWidth="1"/>
    <col min="10761" max="10761" width="7.42578125" style="384" customWidth="1"/>
    <col min="10762" max="10767" width="0" style="384" hidden="1" customWidth="1"/>
    <col min="10768" max="10768" width="2.28515625" style="384" customWidth="1"/>
    <col min="10769" max="10769" width="9.140625" style="384"/>
    <col min="10770" max="10770" width="9.7109375" style="384" customWidth="1"/>
    <col min="10771" max="10771" width="9.5703125" style="384" customWidth="1"/>
    <col min="10772" max="10772" width="10.140625" style="384" customWidth="1"/>
    <col min="10773" max="11008" width="9.140625" style="384"/>
    <col min="11009" max="11011" width="4.7109375" style="384" customWidth="1"/>
    <col min="11012" max="11012" width="9" style="384" customWidth="1"/>
    <col min="11013" max="11013" width="47.28515625" style="384" customWidth="1"/>
    <col min="11014" max="11014" width="11.5703125" style="384" customWidth="1"/>
    <col min="11015" max="11016" width="13.5703125" style="384" customWidth="1"/>
    <col min="11017" max="11017" width="7.42578125" style="384" customWidth="1"/>
    <col min="11018" max="11023" width="0" style="384" hidden="1" customWidth="1"/>
    <col min="11024" max="11024" width="2.28515625" style="384" customWidth="1"/>
    <col min="11025" max="11025" width="9.140625" style="384"/>
    <col min="11026" max="11026" width="9.7109375" style="384" customWidth="1"/>
    <col min="11027" max="11027" width="9.5703125" style="384" customWidth="1"/>
    <col min="11028" max="11028" width="10.140625" style="384" customWidth="1"/>
    <col min="11029" max="11264" width="9.140625" style="384"/>
    <col min="11265" max="11267" width="4.7109375" style="384" customWidth="1"/>
    <col min="11268" max="11268" width="9" style="384" customWidth="1"/>
    <col min="11269" max="11269" width="47.28515625" style="384" customWidth="1"/>
    <col min="11270" max="11270" width="11.5703125" style="384" customWidth="1"/>
    <col min="11271" max="11272" width="13.5703125" style="384" customWidth="1"/>
    <col min="11273" max="11273" width="7.42578125" style="384" customWidth="1"/>
    <col min="11274" max="11279" width="0" style="384" hidden="1" customWidth="1"/>
    <col min="11280" max="11280" width="2.28515625" style="384" customWidth="1"/>
    <col min="11281" max="11281" width="9.140625" style="384"/>
    <col min="11282" max="11282" width="9.7109375" style="384" customWidth="1"/>
    <col min="11283" max="11283" width="9.5703125" style="384" customWidth="1"/>
    <col min="11284" max="11284" width="10.140625" style="384" customWidth="1"/>
    <col min="11285" max="11520" width="9.140625" style="384"/>
    <col min="11521" max="11523" width="4.7109375" style="384" customWidth="1"/>
    <col min="11524" max="11524" width="9" style="384" customWidth="1"/>
    <col min="11525" max="11525" width="47.28515625" style="384" customWidth="1"/>
    <col min="11526" max="11526" width="11.5703125" style="384" customWidth="1"/>
    <col min="11527" max="11528" width="13.5703125" style="384" customWidth="1"/>
    <col min="11529" max="11529" width="7.42578125" style="384" customWidth="1"/>
    <col min="11530" max="11535" width="0" style="384" hidden="1" customWidth="1"/>
    <col min="11536" max="11536" width="2.28515625" style="384" customWidth="1"/>
    <col min="11537" max="11537" width="9.140625" style="384"/>
    <col min="11538" max="11538" width="9.7109375" style="384" customWidth="1"/>
    <col min="11539" max="11539" width="9.5703125" style="384" customWidth="1"/>
    <col min="11540" max="11540" width="10.140625" style="384" customWidth="1"/>
    <col min="11541" max="11776" width="9.140625" style="384"/>
    <col min="11777" max="11779" width="4.7109375" style="384" customWidth="1"/>
    <col min="11780" max="11780" width="9" style="384" customWidth="1"/>
    <col min="11781" max="11781" width="47.28515625" style="384" customWidth="1"/>
    <col min="11782" max="11782" width="11.5703125" style="384" customWidth="1"/>
    <col min="11783" max="11784" width="13.5703125" style="384" customWidth="1"/>
    <col min="11785" max="11785" width="7.42578125" style="384" customWidth="1"/>
    <col min="11786" max="11791" width="0" style="384" hidden="1" customWidth="1"/>
    <col min="11792" max="11792" width="2.28515625" style="384" customWidth="1"/>
    <col min="11793" max="11793" width="9.140625" style="384"/>
    <col min="11794" max="11794" width="9.7109375" style="384" customWidth="1"/>
    <col min="11795" max="11795" width="9.5703125" style="384" customWidth="1"/>
    <col min="11796" max="11796" width="10.140625" style="384" customWidth="1"/>
    <col min="11797" max="12032" width="9.140625" style="384"/>
    <col min="12033" max="12035" width="4.7109375" style="384" customWidth="1"/>
    <col min="12036" max="12036" width="9" style="384" customWidth="1"/>
    <col min="12037" max="12037" width="47.28515625" style="384" customWidth="1"/>
    <col min="12038" max="12038" width="11.5703125" style="384" customWidth="1"/>
    <col min="12039" max="12040" width="13.5703125" style="384" customWidth="1"/>
    <col min="12041" max="12041" width="7.42578125" style="384" customWidth="1"/>
    <col min="12042" max="12047" width="0" style="384" hidden="1" customWidth="1"/>
    <col min="12048" max="12048" width="2.28515625" style="384" customWidth="1"/>
    <col min="12049" max="12049" width="9.140625" style="384"/>
    <col min="12050" max="12050" width="9.7109375" style="384" customWidth="1"/>
    <col min="12051" max="12051" width="9.5703125" style="384" customWidth="1"/>
    <col min="12052" max="12052" width="10.140625" style="384" customWidth="1"/>
    <col min="12053" max="12288" width="9.140625" style="384"/>
    <col min="12289" max="12291" width="4.7109375" style="384" customWidth="1"/>
    <col min="12292" max="12292" width="9" style="384" customWidth="1"/>
    <col min="12293" max="12293" width="47.28515625" style="384" customWidth="1"/>
    <col min="12294" max="12294" width="11.5703125" style="384" customWidth="1"/>
    <col min="12295" max="12296" width="13.5703125" style="384" customWidth="1"/>
    <col min="12297" max="12297" width="7.42578125" style="384" customWidth="1"/>
    <col min="12298" max="12303" width="0" style="384" hidden="1" customWidth="1"/>
    <col min="12304" max="12304" width="2.28515625" style="384" customWidth="1"/>
    <col min="12305" max="12305" width="9.140625" style="384"/>
    <col min="12306" max="12306" width="9.7109375" style="384" customWidth="1"/>
    <col min="12307" max="12307" width="9.5703125" style="384" customWidth="1"/>
    <col min="12308" max="12308" width="10.140625" style="384" customWidth="1"/>
    <col min="12309" max="12544" width="9.140625" style="384"/>
    <col min="12545" max="12547" width="4.7109375" style="384" customWidth="1"/>
    <col min="12548" max="12548" width="9" style="384" customWidth="1"/>
    <col min="12549" max="12549" width="47.28515625" style="384" customWidth="1"/>
    <col min="12550" max="12550" width="11.5703125" style="384" customWidth="1"/>
    <col min="12551" max="12552" width="13.5703125" style="384" customWidth="1"/>
    <col min="12553" max="12553" width="7.42578125" style="384" customWidth="1"/>
    <col min="12554" max="12559" width="0" style="384" hidden="1" customWidth="1"/>
    <col min="12560" max="12560" width="2.28515625" style="384" customWidth="1"/>
    <col min="12561" max="12561" width="9.140625" style="384"/>
    <col min="12562" max="12562" width="9.7109375" style="384" customWidth="1"/>
    <col min="12563" max="12563" width="9.5703125" style="384" customWidth="1"/>
    <col min="12564" max="12564" width="10.140625" style="384" customWidth="1"/>
    <col min="12565" max="12800" width="9.140625" style="384"/>
    <col min="12801" max="12803" width="4.7109375" style="384" customWidth="1"/>
    <col min="12804" max="12804" width="9" style="384" customWidth="1"/>
    <col min="12805" max="12805" width="47.28515625" style="384" customWidth="1"/>
    <col min="12806" max="12806" width="11.5703125" style="384" customWidth="1"/>
    <col min="12807" max="12808" width="13.5703125" style="384" customWidth="1"/>
    <col min="12809" max="12809" width="7.42578125" style="384" customWidth="1"/>
    <col min="12810" max="12815" width="0" style="384" hidden="1" customWidth="1"/>
    <col min="12816" max="12816" width="2.28515625" style="384" customWidth="1"/>
    <col min="12817" max="12817" width="9.140625" style="384"/>
    <col min="12818" max="12818" width="9.7109375" style="384" customWidth="1"/>
    <col min="12819" max="12819" width="9.5703125" style="384" customWidth="1"/>
    <col min="12820" max="12820" width="10.140625" style="384" customWidth="1"/>
    <col min="12821" max="13056" width="9.140625" style="384"/>
    <col min="13057" max="13059" width="4.7109375" style="384" customWidth="1"/>
    <col min="13060" max="13060" width="9" style="384" customWidth="1"/>
    <col min="13061" max="13061" width="47.28515625" style="384" customWidth="1"/>
    <col min="13062" max="13062" width="11.5703125" style="384" customWidth="1"/>
    <col min="13063" max="13064" width="13.5703125" style="384" customWidth="1"/>
    <col min="13065" max="13065" width="7.42578125" style="384" customWidth="1"/>
    <col min="13066" max="13071" width="0" style="384" hidden="1" customWidth="1"/>
    <col min="13072" max="13072" width="2.28515625" style="384" customWidth="1"/>
    <col min="13073" max="13073" width="9.140625" style="384"/>
    <col min="13074" max="13074" width="9.7109375" style="384" customWidth="1"/>
    <col min="13075" max="13075" width="9.5703125" style="384" customWidth="1"/>
    <col min="13076" max="13076" width="10.140625" style="384" customWidth="1"/>
    <col min="13077" max="13312" width="9.140625" style="384"/>
    <col min="13313" max="13315" width="4.7109375" style="384" customWidth="1"/>
    <col min="13316" max="13316" width="9" style="384" customWidth="1"/>
    <col min="13317" max="13317" width="47.28515625" style="384" customWidth="1"/>
    <col min="13318" max="13318" width="11.5703125" style="384" customWidth="1"/>
    <col min="13319" max="13320" width="13.5703125" style="384" customWidth="1"/>
    <col min="13321" max="13321" width="7.42578125" style="384" customWidth="1"/>
    <col min="13322" max="13327" width="0" style="384" hidden="1" customWidth="1"/>
    <col min="13328" max="13328" width="2.28515625" style="384" customWidth="1"/>
    <col min="13329" max="13329" width="9.140625" style="384"/>
    <col min="13330" max="13330" width="9.7109375" style="384" customWidth="1"/>
    <col min="13331" max="13331" width="9.5703125" style="384" customWidth="1"/>
    <col min="13332" max="13332" width="10.140625" style="384" customWidth="1"/>
    <col min="13333" max="13568" width="9.140625" style="384"/>
    <col min="13569" max="13571" width="4.7109375" style="384" customWidth="1"/>
    <col min="13572" max="13572" width="9" style="384" customWidth="1"/>
    <col min="13573" max="13573" width="47.28515625" style="384" customWidth="1"/>
    <col min="13574" max="13574" width="11.5703125" style="384" customWidth="1"/>
    <col min="13575" max="13576" width="13.5703125" style="384" customWidth="1"/>
    <col min="13577" max="13577" width="7.42578125" style="384" customWidth="1"/>
    <col min="13578" max="13583" width="0" style="384" hidden="1" customWidth="1"/>
    <col min="13584" max="13584" width="2.28515625" style="384" customWidth="1"/>
    <col min="13585" max="13585" width="9.140625" style="384"/>
    <col min="13586" max="13586" width="9.7109375" style="384" customWidth="1"/>
    <col min="13587" max="13587" width="9.5703125" style="384" customWidth="1"/>
    <col min="13588" max="13588" width="10.140625" style="384" customWidth="1"/>
    <col min="13589" max="13824" width="9.140625" style="384"/>
    <col min="13825" max="13827" width="4.7109375" style="384" customWidth="1"/>
    <col min="13828" max="13828" width="9" style="384" customWidth="1"/>
    <col min="13829" max="13829" width="47.28515625" style="384" customWidth="1"/>
    <col min="13830" max="13830" width="11.5703125" style="384" customWidth="1"/>
    <col min="13831" max="13832" width="13.5703125" style="384" customWidth="1"/>
    <col min="13833" max="13833" width="7.42578125" style="384" customWidth="1"/>
    <col min="13834" max="13839" width="0" style="384" hidden="1" customWidth="1"/>
    <col min="13840" max="13840" width="2.28515625" style="384" customWidth="1"/>
    <col min="13841" max="13841" width="9.140625" style="384"/>
    <col min="13842" max="13842" width="9.7109375" style="384" customWidth="1"/>
    <col min="13843" max="13843" width="9.5703125" style="384" customWidth="1"/>
    <col min="13844" max="13844" width="10.140625" style="384" customWidth="1"/>
    <col min="13845" max="14080" width="9.140625" style="384"/>
    <col min="14081" max="14083" width="4.7109375" style="384" customWidth="1"/>
    <col min="14084" max="14084" width="9" style="384" customWidth="1"/>
    <col min="14085" max="14085" width="47.28515625" style="384" customWidth="1"/>
    <col min="14086" max="14086" width="11.5703125" style="384" customWidth="1"/>
    <col min="14087" max="14088" width="13.5703125" style="384" customWidth="1"/>
    <col min="14089" max="14089" width="7.42578125" style="384" customWidth="1"/>
    <col min="14090" max="14095" width="0" style="384" hidden="1" customWidth="1"/>
    <col min="14096" max="14096" width="2.28515625" style="384" customWidth="1"/>
    <col min="14097" max="14097" width="9.140625" style="384"/>
    <col min="14098" max="14098" width="9.7109375" style="384" customWidth="1"/>
    <col min="14099" max="14099" width="9.5703125" style="384" customWidth="1"/>
    <col min="14100" max="14100" width="10.140625" style="384" customWidth="1"/>
    <col min="14101" max="14336" width="9.140625" style="384"/>
    <col min="14337" max="14339" width="4.7109375" style="384" customWidth="1"/>
    <col min="14340" max="14340" width="9" style="384" customWidth="1"/>
    <col min="14341" max="14341" width="47.28515625" style="384" customWidth="1"/>
    <col min="14342" max="14342" width="11.5703125" style="384" customWidth="1"/>
    <col min="14343" max="14344" width="13.5703125" style="384" customWidth="1"/>
    <col min="14345" max="14345" width="7.42578125" style="384" customWidth="1"/>
    <col min="14346" max="14351" width="0" style="384" hidden="1" customWidth="1"/>
    <col min="14352" max="14352" width="2.28515625" style="384" customWidth="1"/>
    <col min="14353" max="14353" width="9.140625" style="384"/>
    <col min="14354" max="14354" width="9.7109375" style="384" customWidth="1"/>
    <col min="14355" max="14355" width="9.5703125" style="384" customWidth="1"/>
    <col min="14356" max="14356" width="10.140625" style="384" customWidth="1"/>
    <col min="14357" max="14592" width="9.140625" style="384"/>
    <col min="14593" max="14595" width="4.7109375" style="384" customWidth="1"/>
    <col min="14596" max="14596" width="9" style="384" customWidth="1"/>
    <col min="14597" max="14597" width="47.28515625" style="384" customWidth="1"/>
    <col min="14598" max="14598" width="11.5703125" style="384" customWidth="1"/>
    <col min="14599" max="14600" width="13.5703125" style="384" customWidth="1"/>
    <col min="14601" max="14601" width="7.42578125" style="384" customWidth="1"/>
    <col min="14602" max="14607" width="0" style="384" hidden="1" customWidth="1"/>
    <col min="14608" max="14608" width="2.28515625" style="384" customWidth="1"/>
    <col min="14609" max="14609" width="9.140625" style="384"/>
    <col min="14610" max="14610" width="9.7109375" style="384" customWidth="1"/>
    <col min="14611" max="14611" width="9.5703125" style="384" customWidth="1"/>
    <col min="14612" max="14612" width="10.140625" style="384" customWidth="1"/>
    <col min="14613" max="14848" width="9.140625" style="384"/>
    <col min="14849" max="14851" width="4.7109375" style="384" customWidth="1"/>
    <col min="14852" max="14852" width="9" style="384" customWidth="1"/>
    <col min="14853" max="14853" width="47.28515625" style="384" customWidth="1"/>
    <col min="14854" max="14854" width="11.5703125" style="384" customWidth="1"/>
    <col min="14855" max="14856" width="13.5703125" style="384" customWidth="1"/>
    <col min="14857" max="14857" width="7.42578125" style="384" customWidth="1"/>
    <col min="14858" max="14863" width="0" style="384" hidden="1" customWidth="1"/>
    <col min="14864" max="14864" width="2.28515625" style="384" customWidth="1"/>
    <col min="14865" max="14865" width="9.140625" style="384"/>
    <col min="14866" max="14866" width="9.7109375" style="384" customWidth="1"/>
    <col min="14867" max="14867" width="9.5703125" style="384" customWidth="1"/>
    <col min="14868" max="14868" width="10.140625" style="384" customWidth="1"/>
    <col min="14869" max="15104" width="9.140625" style="384"/>
    <col min="15105" max="15107" width="4.7109375" style="384" customWidth="1"/>
    <col min="15108" max="15108" width="9" style="384" customWidth="1"/>
    <col min="15109" max="15109" width="47.28515625" style="384" customWidth="1"/>
    <col min="15110" max="15110" width="11.5703125" style="384" customWidth="1"/>
    <col min="15111" max="15112" width="13.5703125" style="384" customWidth="1"/>
    <col min="15113" max="15113" width="7.42578125" style="384" customWidth="1"/>
    <col min="15114" max="15119" width="0" style="384" hidden="1" customWidth="1"/>
    <col min="15120" max="15120" width="2.28515625" style="384" customWidth="1"/>
    <col min="15121" max="15121" width="9.140625" style="384"/>
    <col min="15122" max="15122" width="9.7109375" style="384" customWidth="1"/>
    <col min="15123" max="15123" width="9.5703125" style="384" customWidth="1"/>
    <col min="15124" max="15124" width="10.140625" style="384" customWidth="1"/>
    <col min="15125" max="15360" width="9.140625" style="384"/>
    <col min="15361" max="15363" width="4.7109375" style="384" customWidth="1"/>
    <col min="15364" max="15364" width="9" style="384" customWidth="1"/>
    <col min="15365" max="15365" width="47.28515625" style="384" customWidth="1"/>
    <col min="15366" max="15366" width="11.5703125" style="384" customWidth="1"/>
    <col min="15367" max="15368" width="13.5703125" style="384" customWidth="1"/>
    <col min="15369" max="15369" width="7.42578125" style="384" customWidth="1"/>
    <col min="15370" max="15375" width="0" style="384" hidden="1" customWidth="1"/>
    <col min="15376" max="15376" width="2.28515625" style="384" customWidth="1"/>
    <col min="15377" max="15377" width="9.140625" style="384"/>
    <col min="15378" max="15378" width="9.7109375" style="384" customWidth="1"/>
    <col min="15379" max="15379" width="9.5703125" style="384" customWidth="1"/>
    <col min="15380" max="15380" width="10.140625" style="384" customWidth="1"/>
    <col min="15381" max="15616" width="9.140625" style="384"/>
    <col min="15617" max="15619" width="4.7109375" style="384" customWidth="1"/>
    <col min="15620" max="15620" width="9" style="384" customWidth="1"/>
    <col min="15621" max="15621" width="47.28515625" style="384" customWidth="1"/>
    <col min="15622" max="15622" width="11.5703125" style="384" customWidth="1"/>
    <col min="15623" max="15624" width="13.5703125" style="384" customWidth="1"/>
    <col min="15625" max="15625" width="7.42578125" style="384" customWidth="1"/>
    <col min="15626" max="15631" width="0" style="384" hidden="1" customWidth="1"/>
    <col min="15632" max="15632" width="2.28515625" style="384" customWidth="1"/>
    <col min="15633" max="15633" width="9.140625" style="384"/>
    <col min="15634" max="15634" width="9.7109375" style="384" customWidth="1"/>
    <col min="15635" max="15635" width="9.5703125" style="384" customWidth="1"/>
    <col min="15636" max="15636" width="10.140625" style="384" customWidth="1"/>
    <col min="15637" max="15872" width="9.140625" style="384"/>
    <col min="15873" max="15875" width="4.7109375" style="384" customWidth="1"/>
    <col min="15876" max="15876" width="9" style="384" customWidth="1"/>
    <col min="15877" max="15877" width="47.28515625" style="384" customWidth="1"/>
    <col min="15878" max="15878" width="11.5703125" style="384" customWidth="1"/>
    <col min="15879" max="15880" width="13.5703125" style="384" customWidth="1"/>
    <col min="15881" max="15881" width="7.42578125" style="384" customWidth="1"/>
    <col min="15882" max="15887" width="0" style="384" hidden="1" customWidth="1"/>
    <col min="15888" max="15888" width="2.28515625" style="384" customWidth="1"/>
    <col min="15889" max="15889" width="9.140625" style="384"/>
    <col min="15890" max="15890" width="9.7109375" style="384" customWidth="1"/>
    <col min="15891" max="15891" width="9.5703125" style="384" customWidth="1"/>
    <col min="15892" max="15892" width="10.140625" style="384" customWidth="1"/>
    <col min="15893" max="16128" width="9.140625" style="384"/>
    <col min="16129" max="16131" width="4.7109375" style="384" customWidth="1"/>
    <col min="16132" max="16132" width="9" style="384" customWidth="1"/>
    <col min="16133" max="16133" width="47.28515625" style="384" customWidth="1"/>
    <col min="16134" max="16134" width="11.5703125" style="384" customWidth="1"/>
    <col min="16135" max="16136" width="13.5703125" style="384" customWidth="1"/>
    <col min="16137" max="16137" width="7.42578125" style="384" customWidth="1"/>
    <col min="16138" max="16143" width="0" style="384" hidden="1" customWidth="1"/>
    <col min="16144" max="16144" width="2.28515625" style="384" customWidth="1"/>
    <col min="16145" max="16145" width="9.140625" style="384"/>
    <col min="16146" max="16146" width="9.7109375" style="384" customWidth="1"/>
    <col min="16147" max="16147" width="9.5703125" style="384" customWidth="1"/>
    <col min="16148" max="16148" width="10.140625" style="384" customWidth="1"/>
    <col min="16149" max="16384" width="9.140625" style="384"/>
  </cols>
  <sheetData>
    <row r="1" spans="1:10" ht="18.75" thickBot="1" x14ac:dyDescent="0.3">
      <c r="A1" s="487" t="s">
        <v>789</v>
      </c>
      <c r="B1" s="488"/>
      <c r="C1" s="512"/>
      <c r="D1" s="513"/>
      <c r="E1" s="1547"/>
      <c r="F1" s="490"/>
      <c r="G1" s="491" t="s">
        <v>790</v>
      </c>
      <c r="J1" s="17"/>
    </row>
    <row r="2" spans="1:10" ht="12.75" customHeight="1" x14ac:dyDescent="0.25">
      <c r="B2" s="6"/>
      <c r="C2" s="28"/>
      <c r="D2" s="63"/>
      <c r="E2" s="10"/>
      <c r="F2" s="307"/>
      <c r="G2" s="307"/>
      <c r="H2" s="182"/>
      <c r="I2" s="214"/>
      <c r="J2" s="17"/>
    </row>
    <row r="3" spans="1:10" ht="12.75" customHeight="1" x14ac:dyDescent="0.2">
      <c r="A3" s="67" t="s">
        <v>404</v>
      </c>
      <c r="B3" s="28"/>
      <c r="C3" s="547" t="s">
        <v>235</v>
      </c>
      <c r="D3" s="653"/>
      <c r="E3" s="307"/>
      <c r="F3" s="182"/>
      <c r="G3" s="183"/>
      <c r="H3" s="183"/>
    </row>
    <row r="4" spans="1:10" ht="12.75" customHeight="1" x14ac:dyDescent="0.25">
      <c r="A4" s="6"/>
      <c r="B4" s="28"/>
      <c r="C4" s="1648" t="s">
        <v>507</v>
      </c>
      <c r="D4" s="385"/>
      <c r="E4" s="307"/>
      <c r="F4" s="182"/>
      <c r="G4" s="183"/>
      <c r="H4" s="183"/>
    </row>
    <row r="5" spans="1:10" ht="12.75" customHeight="1" x14ac:dyDescent="0.25">
      <c r="A5" s="6"/>
      <c r="B5" s="28"/>
      <c r="C5" s="1648"/>
      <c r="D5" s="385"/>
      <c r="E5" s="307"/>
      <c r="F5" s="182"/>
      <c r="G5" s="183"/>
      <c r="H5" s="183"/>
    </row>
    <row r="6" spans="1:10" ht="12.75" customHeight="1" x14ac:dyDescent="0.25">
      <c r="B6" s="6"/>
      <c r="C6" s="28"/>
      <c r="D6" s="63"/>
      <c r="E6" s="10"/>
      <c r="F6" s="307"/>
      <c r="G6" s="307"/>
      <c r="H6" s="182"/>
      <c r="I6" s="214"/>
      <c r="J6" s="17"/>
    </row>
    <row r="7" spans="1:10" ht="18" x14ac:dyDescent="0.25">
      <c r="A7" s="33" t="s">
        <v>691</v>
      </c>
      <c r="B7" s="33"/>
      <c r="C7" s="28"/>
      <c r="D7" s="63"/>
      <c r="E7" s="10"/>
      <c r="F7" s="307"/>
      <c r="G7" s="307"/>
      <c r="H7" s="182"/>
      <c r="I7" s="214"/>
      <c r="J7" s="17"/>
    </row>
    <row r="8" spans="1:10" ht="18" x14ac:dyDescent="0.25">
      <c r="A8" s="33"/>
      <c r="B8" s="33"/>
      <c r="C8" s="28"/>
      <c r="D8" s="63"/>
      <c r="E8" s="10"/>
      <c r="F8" s="307"/>
      <c r="G8" s="307"/>
      <c r="H8" s="182"/>
      <c r="I8" s="214"/>
      <c r="J8" s="17"/>
    </row>
    <row r="9" spans="1:10" ht="13.5" thickBot="1" x14ac:dyDescent="0.25">
      <c r="A9" s="439" t="s">
        <v>281</v>
      </c>
      <c r="B9" s="655"/>
      <c r="C9" s="655"/>
      <c r="D9" s="885"/>
      <c r="E9" s="656"/>
      <c r="H9" s="643"/>
      <c r="I9" s="1548" t="s">
        <v>1379</v>
      </c>
    </row>
    <row r="10" spans="1:10" s="107" customFormat="1" thickTop="1" thickBot="1" x14ac:dyDescent="0.25">
      <c r="A10" s="657" t="s">
        <v>692</v>
      </c>
      <c r="B10" s="835" t="s">
        <v>180</v>
      </c>
      <c r="C10" s="658" t="s">
        <v>181</v>
      </c>
      <c r="D10" s="660" t="s">
        <v>783</v>
      </c>
      <c r="E10" s="660" t="s">
        <v>182</v>
      </c>
      <c r="F10" s="660" t="s">
        <v>183</v>
      </c>
      <c r="G10" s="660" t="s">
        <v>985</v>
      </c>
      <c r="H10" s="660" t="s">
        <v>986</v>
      </c>
      <c r="I10" s="888" t="s">
        <v>987</v>
      </c>
    </row>
    <row r="11" spans="1:10" s="386" customFormat="1" ht="20.25" customHeight="1" thickTop="1" thickBot="1" x14ac:dyDescent="0.25">
      <c r="A11" s="592">
        <v>1</v>
      </c>
      <c r="B11" s="593">
        <v>2</v>
      </c>
      <c r="C11" s="593">
        <v>3</v>
      </c>
      <c r="D11" s="593">
        <v>4</v>
      </c>
      <c r="E11" s="593">
        <v>5</v>
      </c>
      <c r="F11" s="567">
        <v>6</v>
      </c>
      <c r="G11" s="567">
        <v>7</v>
      </c>
      <c r="H11" s="568">
        <v>8</v>
      </c>
      <c r="I11" s="662" t="s">
        <v>848</v>
      </c>
    </row>
    <row r="12" spans="1:10" ht="15.75" thickTop="1" x14ac:dyDescent="0.25">
      <c r="A12" s="1549">
        <v>1000</v>
      </c>
      <c r="B12" s="836">
        <v>3111</v>
      </c>
      <c r="C12" s="836">
        <v>5331</v>
      </c>
      <c r="D12" s="909"/>
      <c r="E12" s="930" t="s">
        <v>1066</v>
      </c>
      <c r="F12" s="931"/>
      <c r="G12" s="931">
        <f>SUM(G13:G13)</f>
        <v>400</v>
      </c>
      <c r="H12" s="931">
        <f>SUM(H13:H13)</f>
        <v>400</v>
      </c>
      <c r="I12" s="896">
        <f t="shared" ref="I12:I26" si="0">(H12/G12)*100</f>
        <v>100</v>
      </c>
    </row>
    <row r="13" spans="1:10" ht="14.25" x14ac:dyDescent="0.2">
      <c r="A13" s="435"/>
      <c r="B13" s="705"/>
      <c r="C13" s="910"/>
      <c r="D13" s="578" t="s">
        <v>1269</v>
      </c>
      <c r="E13" s="473" t="s">
        <v>1068</v>
      </c>
      <c r="F13" s="897"/>
      <c r="G13" s="897">
        <v>400</v>
      </c>
      <c r="H13" s="897">
        <v>400</v>
      </c>
      <c r="I13" s="893">
        <f t="shared" si="0"/>
        <v>100</v>
      </c>
    </row>
    <row r="14" spans="1:10" ht="15" x14ac:dyDescent="0.25">
      <c r="A14" s="435">
        <v>1000</v>
      </c>
      <c r="B14" s="808">
        <v>3111</v>
      </c>
      <c r="C14" s="705">
        <v>5336</v>
      </c>
      <c r="D14" s="594"/>
      <c r="E14" s="704" t="s">
        <v>1657</v>
      </c>
      <c r="F14" s="916"/>
      <c r="G14" s="916">
        <v>783</v>
      </c>
      <c r="H14" s="916">
        <v>783</v>
      </c>
      <c r="I14" s="906">
        <f t="shared" si="0"/>
        <v>100</v>
      </c>
    </row>
    <row r="15" spans="1:10" ht="14.25" x14ac:dyDescent="0.2">
      <c r="A15" s="435"/>
      <c r="B15" s="808"/>
      <c r="C15" s="705"/>
      <c r="D15" s="578" t="s">
        <v>1267</v>
      </c>
      <c r="E15" s="474" t="s">
        <v>882</v>
      </c>
      <c r="F15" s="903"/>
      <c r="G15" s="903">
        <v>783</v>
      </c>
      <c r="H15" s="903">
        <v>783</v>
      </c>
      <c r="I15" s="898">
        <f t="shared" si="0"/>
        <v>100</v>
      </c>
    </row>
    <row r="16" spans="1:10" ht="15" x14ac:dyDescent="0.25">
      <c r="A16" s="435">
        <v>1000</v>
      </c>
      <c r="B16" s="808">
        <v>3113</v>
      </c>
      <c r="C16" s="808">
        <v>5331</v>
      </c>
      <c r="D16" s="929"/>
      <c r="E16" s="704" t="s">
        <v>1066</v>
      </c>
      <c r="F16" s="905"/>
      <c r="G16" s="905">
        <f>SUM(G17:G17)</f>
        <v>1800</v>
      </c>
      <c r="H16" s="905">
        <f>SUM(H17:H17)</f>
        <v>1800</v>
      </c>
      <c r="I16" s="906">
        <f t="shared" si="0"/>
        <v>100</v>
      </c>
    </row>
    <row r="17" spans="1:20" ht="14.25" x14ac:dyDescent="0.2">
      <c r="A17" s="435"/>
      <c r="B17" s="808"/>
      <c r="C17" s="808"/>
      <c r="D17" s="578" t="s">
        <v>1269</v>
      </c>
      <c r="E17" s="473" t="s">
        <v>1068</v>
      </c>
      <c r="F17" s="903"/>
      <c r="G17" s="903">
        <v>1800</v>
      </c>
      <c r="H17" s="903">
        <v>1800</v>
      </c>
      <c r="I17" s="898">
        <f t="shared" si="0"/>
        <v>100</v>
      </c>
    </row>
    <row r="18" spans="1:20" ht="15" x14ac:dyDescent="0.25">
      <c r="A18" s="435">
        <v>1000</v>
      </c>
      <c r="B18" s="808">
        <v>3113</v>
      </c>
      <c r="C18" s="808">
        <v>5336</v>
      </c>
      <c r="D18" s="594"/>
      <c r="E18" s="704" t="s">
        <v>1657</v>
      </c>
      <c r="F18" s="916"/>
      <c r="G18" s="916">
        <v>4147</v>
      </c>
      <c r="H18" s="916">
        <v>4147</v>
      </c>
      <c r="I18" s="906">
        <f t="shared" si="0"/>
        <v>100</v>
      </c>
    </row>
    <row r="19" spans="1:20" ht="14.25" x14ac:dyDescent="0.2">
      <c r="A19" s="435"/>
      <c r="B19" s="808"/>
      <c r="C19" s="808"/>
      <c r="D19" s="578" t="s">
        <v>1267</v>
      </c>
      <c r="E19" s="474" t="s">
        <v>882</v>
      </c>
      <c r="F19" s="903"/>
      <c r="G19" s="903">
        <v>4147</v>
      </c>
      <c r="H19" s="903">
        <v>4147</v>
      </c>
      <c r="I19" s="898">
        <f t="shared" si="0"/>
        <v>100</v>
      </c>
    </row>
    <row r="20" spans="1:20" ht="15" x14ac:dyDescent="0.25">
      <c r="A20" s="435">
        <v>1000</v>
      </c>
      <c r="B20" s="808">
        <v>3141</v>
      </c>
      <c r="C20" s="808">
        <v>5331</v>
      </c>
      <c r="D20" s="929"/>
      <c r="E20" s="704" t="s">
        <v>1066</v>
      </c>
      <c r="F20" s="905"/>
      <c r="G20" s="905">
        <v>700</v>
      </c>
      <c r="H20" s="905">
        <v>700</v>
      </c>
      <c r="I20" s="906">
        <f t="shared" si="0"/>
        <v>100</v>
      </c>
    </row>
    <row r="21" spans="1:20" ht="15" x14ac:dyDescent="0.25">
      <c r="A21" s="435"/>
      <c r="B21" s="808"/>
      <c r="C21" s="808"/>
      <c r="D21" s="578" t="s">
        <v>1269</v>
      </c>
      <c r="E21" s="473" t="s">
        <v>881</v>
      </c>
      <c r="F21" s="905"/>
      <c r="G21" s="903">
        <v>700</v>
      </c>
      <c r="H21" s="903">
        <v>700</v>
      </c>
      <c r="I21" s="898">
        <f t="shared" si="0"/>
        <v>100</v>
      </c>
    </row>
    <row r="22" spans="1:20" ht="15" x14ac:dyDescent="0.25">
      <c r="A22" s="435">
        <v>1000</v>
      </c>
      <c r="B22" s="808">
        <v>3141</v>
      </c>
      <c r="C22" s="808">
        <v>5336</v>
      </c>
      <c r="D22" s="594"/>
      <c r="E22" s="704" t="s">
        <v>1657</v>
      </c>
      <c r="F22" s="905"/>
      <c r="G22" s="916">
        <v>414</v>
      </c>
      <c r="H22" s="916">
        <v>414</v>
      </c>
      <c r="I22" s="908">
        <f t="shared" si="0"/>
        <v>100</v>
      </c>
    </row>
    <row r="23" spans="1:20" ht="15" x14ac:dyDescent="0.25">
      <c r="A23" s="435"/>
      <c r="B23" s="808"/>
      <c r="C23" s="808"/>
      <c r="D23" s="578" t="s">
        <v>1267</v>
      </c>
      <c r="E23" s="474" t="s">
        <v>882</v>
      </c>
      <c r="F23" s="905"/>
      <c r="G23" s="903">
        <v>414</v>
      </c>
      <c r="H23" s="903">
        <v>414</v>
      </c>
      <c r="I23" s="898">
        <f t="shared" si="0"/>
        <v>100</v>
      </c>
    </row>
    <row r="24" spans="1:20" ht="15" x14ac:dyDescent="0.25">
      <c r="A24" s="435">
        <v>1000</v>
      </c>
      <c r="B24" s="808">
        <v>3143</v>
      </c>
      <c r="C24" s="808">
        <v>5331</v>
      </c>
      <c r="D24" s="929"/>
      <c r="E24" s="704" t="s">
        <v>1066</v>
      </c>
      <c r="F24" s="905"/>
      <c r="G24" s="905">
        <v>447</v>
      </c>
      <c r="H24" s="905">
        <v>447</v>
      </c>
      <c r="I24" s="906">
        <f t="shared" si="0"/>
        <v>100</v>
      </c>
    </row>
    <row r="25" spans="1:20" ht="15.75" thickBot="1" x14ac:dyDescent="0.3">
      <c r="A25" s="435"/>
      <c r="B25" s="808"/>
      <c r="C25" s="808"/>
      <c r="D25" s="578" t="s">
        <v>1267</v>
      </c>
      <c r="E25" s="474" t="s">
        <v>882</v>
      </c>
      <c r="F25" s="905"/>
      <c r="G25" s="903">
        <v>447</v>
      </c>
      <c r="H25" s="903">
        <v>447</v>
      </c>
      <c r="I25" s="898">
        <f t="shared" si="0"/>
        <v>100</v>
      </c>
    </row>
    <row r="26" spans="1:20" ht="17.25" thickTop="1" thickBot="1" x14ac:dyDescent="0.3">
      <c r="A26" s="2739" t="s">
        <v>1246</v>
      </c>
      <c r="B26" s="2740"/>
      <c r="C26" s="2740"/>
      <c r="D26" s="2740"/>
      <c r="E26" s="2740"/>
      <c r="F26" s="932">
        <v>0</v>
      </c>
      <c r="G26" s="932">
        <f>G12+G16+G20+G24+G18+G14+G22</f>
        <v>8691</v>
      </c>
      <c r="H26" s="932">
        <f>H12+H16+H20+H24+H18+H14+H22</f>
        <v>8691</v>
      </c>
      <c r="I26" s="933">
        <f t="shared" si="0"/>
        <v>100</v>
      </c>
      <c r="R26" s="385">
        <f>F26</f>
        <v>0</v>
      </c>
      <c r="S26" s="385">
        <f>G26</f>
        <v>8691</v>
      </c>
      <c r="T26" s="385">
        <f>H26</f>
        <v>8691</v>
      </c>
    </row>
    <row r="27" spans="1:20" ht="18.75" thickTop="1" x14ac:dyDescent="0.25">
      <c r="A27" s="33"/>
      <c r="B27" s="33"/>
      <c r="C27" s="28"/>
      <c r="D27" s="63"/>
      <c r="E27" s="10"/>
      <c r="F27" s="307"/>
      <c r="G27" s="307"/>
      <c r="H27" s="182"/>
      <c r="I27" s="214"/>
      <c r="J27" s="17"/>
    </row>
    <row r="28" spans="1:20" ht="13.5" thickBot="1" x14ac:dyDescent="0.25">
      <c r="A28" s="439" t="s">
        <v>1060</v>
      </c>
      <c r="B28" s="655"/>
      <c r="C28" s="655"/>
      <c r="D28" s="885"/>
      <c r="E28" s="656"/>
      <c r="H28" s="643"/>
      <c r="I28" s="1548" t="s">
        <v>179</v>
      </c>
    </row>
    <row r="29" spans="1:20" s="107" customFormat="1" ht="14.25" customHeight="1" thickTop="1" thickBot="1" x14ac:dyDescent="0.25">
      <c r="A29" s="657" t="s">
        <v>692</v>
      </c>
      <c r="B29" s="835" t="s">
        <v>180</v>
      </c>
      <c r="C29" s="658" t="s">
        <v>181</v>
      </c>
      <c r="D29" s="660" t="s">
        <v>783</v>
      </c>
      <c r="E29" s="660" t="s">
        <v>182</v>
      </c>
      <c r="F29" s="660" t="s">
        <v>183</v>
      </c>
      <c r="G29" s="660" t="s">
        <v>985</v>
      </c>
      <c r="H29" s="660" t="s">
        <v>986</v>
      </c>
      <c r="I29" s="888" t="s">
        <v>987</v>
      </c>
    </row>
    <row r="30" spans="1:20" s="386" customFormat="1" ht="13.5" thickTop="1" thickBot="1" x14ac:dyDescent="0.25">
      <c r="A30" s="592">
        <v>1</v>
      </c>
      <c r="B30" s="593">
        <v>2</v>
      </c>
      <c r="C30" s="593">
        <v>3</v>
      </c>
      <c r="D30" s="593">
        <v>4</v>
      </c>
      <c r="E30" s="593">
        <v>5</v>
      </c>
      <c r="F30" s="567">
        <v>6</v>
      </c>
      <c r="G30" s="567">
        <v>7</v>
      </c>
      <c r="H30" s="568">
        <v>8</v>
      </c>
      <c r="I30" s="662" t="s">
        <v>848</v>
      </c>
    </row>
    <row r="31" spans="1:20" ht="20.25" customHeight="1" thickTop="1" x14ac:dyDescent="0.25">
      <c r="A31" s="1549">
        <v>1001</v>
      </c>
      <c r="B31" s="836">
        <v>3112</v>
      </c>
      <c r="C31" s="836">
        <v>5331</v>
      </c>
      <c r="D31" s="909"/>
      <c r="E31" s="930" t="s">
        <v>1066</v>
      </c>
      <c r="F31" s="931">
        <f>SUM(F32:F35)</f>
        <v>459</v>
      </c>
      <c r="G31" s="931">
        <f>G32+G33</f>
        <v>457</v>
      </c>
      <c r="H31" s="931">
        <f>H32+H33</f>
        <v>457</v>
      </c>
      <c r="I31" s="896">
        <f t="shared" ref="I31:I38" si="1">(H31/G31)*100</f>
        <v>100</v>
      </c>
    </row>
    <row r="32" spans="1:20" ht="14.25" x14ac:dyDescent="0.2">
      <c r="A32" s="435"/>
      <c r="B32" s="705"/>
      <c r="C32" s="705"/>
      <c r="D32" s="743" t="s">
        <v>641</v>
      </c>
      <c r="E32" s="1679" t="s">
        <v>883</v>
      </c>
      <c r="F32" s="897">
        <v>68</v>
      </c>
      <c r="G32" s="897">
        <v>66</v>
      </c>
      <c r="H32" s="897">
        <v>66</v>
      </c>
      <c r="I32" s="893">
        <f t="shared" si="1"/>
        <v>100</v>
      </c>
    </row>
    <row r="33" spans="1:20" ht="14.25" x14ac:dyDescent="0.2">
      <c r="A33" s="435"/>
      <c r="B33" s="705"/>
      <c r="C33" s="705"/>
      <c r="D33" s="578" t="s">
        <v>636</v>
      </c>
      <c r="E33" s="474" t="s">
        <v>72</v>
      </c>
      <c r="F33" s="897">
        <v>391</v>
      </c>
      <c r="G33" s="897">
        <v>391</v>
      </c>
      <c r="H33" s="897">
        <v>391</v>
      </c>
      <c r="I33" s="893">
        <f t="shared" si="1"/>
        <v>100</v>
      </c>
    </row>
    <row r="34" spans="1:20" ht="15" x14ac:dyDescent="0.25">
      <c r="A34" s="435">
        <v>1001</v>
      </c>
      <c r="B34" s="808">
        <v>3112</v>
      </c>
      <c r="C34" s="808">
        <v>5336</v>
      </c>
      <c r="D34" s="578"/>
      <c r="E34" s="704" t="s">
        <v>1657</v>
      </c>
      <c r="F34" s="916"/>
      <c r="G34" s="916">
        <v>2513</v>
      </c>
      <c r="H34" s="916">
        <v>2513</v>
      </c>
      <c r="I34" s="923">
        <f t="shared" si="1"/>
        <v>100</v>
      </c>
    </row>
    <row r="35" spans="1:20" ht="14.25" x14ac:dyDescent="0.2">
      <c r="A35" s="435"/>
      <c r="B35" s="808"/>
      <c r="C35" s="808"/>
      <c r="D35" s="578" t="s">
        <v>1267</v>
      </c>
      <c r="E35" s="474" t="s">
        <v>882</v>
      </c>
      <c r="F35" s="903"/>
      <c r="G35" s="903">
        <v>2513</v>
      </c>
      <c r="H35" s="903">
        <v>2513</v>
      </c>
      <c r="I35" s="893">
        <f t="shared" si="1"/>
        <v>100</v>
      </c>
    </row>
    <row r="36" spans="1:20" ht="15" x14ac:dyDescent="0.25">
      <c r="A36" s="435">
        <v>1001</v>
      </c>
      <c r="B36" s="808">
        <v>3141</v>
      </c>
      <c r="C36" s="808">
        <v>5336</v>
      </c>
      <c r="D36" s="805"/>
      <c r="E36" s="704" t="s">
        <v>1657</v>
      </c>
      <c r="F36" s="905"/>
      <c r="G36" s="905">
        <f>SUM(G37)</f>
        <v>45</v>
      </c>
      <c r="H36" s="905">
        <f>SUM(H37)</f>
        <v>45</v>
      </c>
      <c r="I36" s="906">
        <f t="shared" si="1"/>
        <v>100</v>
      </c>
    </row>
    <row r="37" spans="1:20" ht="15" thickBot="1" x14ac:dyDescent="0.25">
      <c r="A37" s="435"/>
      <c r="B37" s="808"/>
      <c r="C37" s="808"/>
      <c r="D37" s="578" t="s">
        <v>1267</v>
      </c>
      <c r="E37" s="474" t="s">
        <v>882</v>
      </c>
      <c r="F37" s="903"/>
      <c r="G37" s="903">
        <v>45</v>
      </c>
      <c r="H37" s="903">
        <v>45</v>
      </c>
      <c r="I37" s="898">
        <f t="shared" si="1"/>
        <v>100</v>
      </c>
    </row>
    <row r="38" spans="1:20" ht="17.25" thickTop="1" thickBot="1" x14ac:dyDescent="0.3">
      <c r="A38" s="2739" t="s">
        <v>1246</v>
      </c>
      <c r="B38" s="2740"/>
      <c r="C38" s="2740"/>
      <c r="D38" s="2740"/>
      <c r="E38" s="2740"/>
      <c r="F38" s="932">
        <f>SUM(F31)</f>
        <v>459</v>
      </c>
      <c r="G38" s="932">
        <f>G31+G34+G36</f>
        <v>3015</v>
      </c>
      <c r="H38" s="932">
        <f>H31+H34+H36</f>
        <v>3015</v>
      </c>
      <c r="I38" s="933">
        <f t="shared" si="1"/>
        <v>100</v>
      </c>
      <c r="R38" s="385">
        <f>F38</f>
        <v>459</v>
      </c>
      <c r="S38" s="385">
        <f>G38</f>
        <v>3015</v>
      </c>
      <c r="T38" s="385">
        <f>H38</f>
        <v>3015</v>
      </c>
    </row>
    <row r="39" spans="1:20" ht="13.5" thickTop="1" x14ac:dyDescent="0.2"/>
    <row r="40" spans="1:20" ht="13.5" thickBot="1" x14ac:dyDescent="0.25">
      <c r="A40" s="439" t="s">
        <v>819</v>
      </c>
      <c r="I40" s="1548" t="s">
        <v>179</v>
      </c>
    </row>
    <row r="41" spans="1:20" s="107" customFormat="1" thickTop="1" thickBot="1" x14ac:dyDescent="0.25">
      <c r="A41" s="657" t="s">
        <v>692</v>
      </c>
      <c r="B41" s="835" t="s">
        <v>180</v>
      </c>
      <c r="C41" s="658" t="s">
        <v>181</v>
      </c>
      <c r="D41" s="660" t="s">
        <v>783</v>
      </c>
      <c r="E41" s="660" t="s">
        <v>182</v>
      </c>
      <c r="F41" s="660" t="s">
        <v>183</v>
      </c>
      <c r="G41" s="660" t="s">
        <v>985</v>
      </c>
      <c r="H41" s="660" t="s">
        <v>986</v>
      </c>
      <c r="I41" s="888" t="s">
        <v>987</v>
      </c>
    </row>
    <row r="42" spans="1:20" s="386" customFormat="1" ht="13.5" thickTop="1" thickBot="1" x14ac:dyDescent="0.25">
      <c r="A42" s="592">
        <v>1</v>
      </c>
      <c r="B42" s="593">
        <v>2</v>
      </c>
      <c r="C42" s="593">
        <v>3</v>
      </c>
      <c r="D42" s="593">
        <v>4</v>
      </c>
      <c r="E42" s="593">
        <v>5</v>
      </c>
      <c r="F42" s="567">
        <v>6</v>
      </c>
      <c r="G42" s="567">
        <v>7</v>
      </c>
      <c r="H42" s="568">
        <v>8</v>
      </c>
      <c r="I42" s="662" t="s">
        <v>848</v>
      </c>
    </row>
    <row r="43" spans="1:20" ht="20.25" customHeight="1" thickTop="1" x14ac:dyDescent="0.25">
      <c r="A43" s="1549">
        <v>1010</v>
      </c>
      <c r="B43" s="836">
        <v>3112</v>
      </c>
      <c r="C43" s="836">
        <v>5331</v>
      </c>
      <c r="D43" s="909"/>
      <c r="E43" s="930" t="s">
        <v>1066</v>
      </c>
      <c r="F43" s="931">
        <f>SUM(F44:F45)</f>
        <v>433</v>
      </c>
      <c r="G43" s="931">
        <f>SUM(G44:G45)</f>
        <v>433</v>
      </c>
      <c r="H43" s="931">
        <f>SUM(H44:H45)</f>
        <v>433</v>
      </c>
      <c r="I43" s="896">
        <f t="shared" ref="I43:I54" si="2">(H43/G43)*100</f>
        <v>100</v>
      </c>
    </row>
    <row r="44" spans="1:20" ht="14.25" x14ac:dyDescent="0.2">
      <c r="A44" s="435"/>
      <c r="B44" s="705"/>
      <c r="C44" s="705"/>
      <c r="D44" s="743" t="s">
        <v>641</v>
      </c>
      <c r="E44" s="1679" t="s">
        <v>883</v>
      </c>
      <c r="F44" s="897">
        <v>5</v>
      </c>
      <c r="G44" s="897">
        <v>5</v>
      </c>
      <c r="H44" s="897">
        <v>5</v>
      </c>
      <c r="I44" s="893">
        <f t="shared" si="2"/>
        <v>100</v>
      </c>
    </row>
    <row r="45" spans="1:20" ht="14.25" x14ac:dyDescent="0.2">
      <c r="A45" s="435"/>
      <c r="B45" s="705"/>
      <c r="C45" s="705"/>
      <c r="D45" s="578" t="s">
        <v>636</v>
      </c>
      <c r="E45" s="474" t="s">
        <v>72</v>
      </c>
      <c r="F45" s="897">
        <v>428</v>
      </c>
      <c r="G45" s="897">
        <v>428</v>
      </c>
      <c r="H45" s="897">
        <v>428</v>
      </c>
      <c r="I45" s="893">
        <f t="shared" si="2"/>
        <v>100</v>
      </c>
    </row>
    <row r="46" spans="1:20" ht="15" x14ac:dyDescent="0.25">
      <c r="A46" s="435">
        <v>1010</v>
      </c>
      <c r="B46" s="705">
        <v>3112</v>
      </c>
      <c r="C46" s="705">
        <v>5336</v>
      </c>
      <c r="D46" s="578"/>
      <c r="E46" s="704" t="s">
        <v>1657</v>
      </c>
      <c r="F46" s="2582"/>
      <c r="G46" s="921">
        <v>3001</v>
      </c>
      <c r="H46" s="921">
        <v>3001</v>
      </c>
      <c r="I46" s="923">
        <f t="shared" si="2"/>
        <v>100</v>
      </c>
    </row>
    <row r="47" spans="1:20" ht="14.25" x14ac:dyDescent="0.2">
      <c r="A47" s="435"/>
      <c r="B47" s="705"/>
      <c r="C47" s="705"/>
      <c r="D47" s="578" t="s">
        <v>1267</v>
      </c>
      <c r="E47" s="474" t="s">
        <v>882</v>
      </c>
      <c r="F47" s="897"/>
      <c r="G47" s="897">
        <v>3001</v>
      </c>
      <c r="H47" s="897">
        <v>3001</v>
      </c>
      <c r="I47" s="893">
        <f t="shared" si="2"/>
        <v>100</v>
      </c>
    </row>
    <row r="48" spans="1:20" ht="15" x14ac:dyDescent="0.25">
      <c r="A48" s="435">
        <v>1010</v>
      </c>
      <c r="B48" s="808">
        <v>3114</v>
      </c>
      <c r="C48" s="1551">
        <v>5331</v>
      </c>
      <c r="D48" s="912"/>
      <c r="E48" s="704" t="s">
        <v>1066</v>
      </c>
      <c r="F48" s="905">
        <f>SUM(F49:F49)</f>
        <v>147</v>
      </c>
      <c r="G48" s="905">
        <f>SUM(G49:G49)</f>
        <v>147</v>
      </c>
      <c r="H48" s="905">
        <f>SUM(H49:H49)</f>
        <v>147</v>
      </c>
      <c r="I48" s="906">
        <f t="shared" si="2"/>
        <v>100</v>
      </c>
    </row>
    <row r="49" spans="1:20" ht="14.25" x14ac:dyDescent="0.2">
      <c r="A49" s="435"/>
      <c r="B49" s="705"/>
      <c r="C49" s="1550"/>
      <c r="D49" s="578" t="s">
        <v>636</v>
      </c>
      <c r="E49" s="474" t="s">
        <v>72</v>
      </c>
      <c r="F49" s="897">
        <v>147</v>
      </c>
      <c r="G49" s="897">
        <v>147</v>
      </c>
      <c r="H49" s="897">
        <v>147</v>
      </c>
      <c r="I49" s="893">
        <f t="shared" si="2"/>
        <v>100</v>
      </c>
    </row>
    <row r="50" spans="1:20" ht="15" x14ac:dyDescent="0.25">
      <c r="A50" s="435">
        <v>1010</v>
      </c>
      <c r="B50" s="808">
        <v>3114</v>
      </c>
      <c r="C50" s="808">
        <v>5336</v>
      </c>
      <c r="D50" s="594"/>
      <c r="E50" s="704" t="s">
        <v>1657</v>
      </c>
      <c r="F50" s="916"/>
      <c r="G50" s="916">
        <f>G52+G53+G51</f>
        <v>3366</v>
      </c>
      <c r="H50" s="916">
        <f>H52+H53+H51</f>
        <v>3366</v>
      </c>
      <c r="I50" s="906">
        <f t="shared" si="2"/>
        <v>100</v>
      </c>
    </row>
    <row r="51" spans="1:20" ht="15.75" customHeight="1" x14ac:dyDescent="0.25">
      <c r="A51" s="435"/>
      <c r="B51" s="808"/>
      <c r="C51" s="808"/>
      <c r="D51" s="578" t="s">
        <v>1267</v>
      </c>
      <c r="E51" s="474" t="s">
        <v>882</v>
      </c>
      <c r="F51" s="916"/>
      <c r="G51" s="907">
        <v>3167</v>
      </c>
      <c r="H51" s="907">
        <v>3167</v>
      </c>
      <c r="I51" s="893">
        <f t="shared" si="2"/>
        <v>100</v>
      </c>
    </row>
    <row r="52" spans="1:20" ht="15.75" customHeight="1" x14ac:dyDescent="0.2">
      <c r="A52" s="435"/>
      <c r="B52" s="808"/>
      <c r="C52" s="808"/>
      <c r="D52" s="594" t="s">
        <v>1046</v>
      </c>
      <c r="E52" s="938" t="s">
        <v>1658</v>
      </c>
      <c r="F52" s="903"/>
      <c r="G52" s="903">
        <v>30</v>
      </c>
      <c r="H52" s="903">
        <v>30</v>
      </c>
      <c r="I52" s="898">
        <f t="shared" si="2"/>
        <v>100</v>
      </c>
    </row>
    <row r="53" spans="1:20" ht="15.75" customHeight="1" thickBot="1" x14ac:dyDescent="0.25">
      <c r="A53" s="435"/>
      <c r="B53" s="808"/>
      <c r="C53" s="808"/>
      <c r="D53" s="594" t="s">
        <v>1048</v>
      </c>
      <c r="E53" s="938" t="s">
        <v>1659</v>
      </c>
      <c r="F53" s="903"/>
      <c r="G53" s="903">
        <v>169</v>
      </c>
      <c r="H53" s="903">
        <v>169</v>
      </c>
      <c r="I53" s="898">
        <f t="shared" si="2"/>
        <v>100</v>
      </c>
    </row>
    <row r="54" spans="1:20" ht="15.75" customHeight="1" thickTop="1" thickBot="1" x14ac:dyDescent="0.3">
      <c r="A54" s="2739" t="s">
        <v>1246</v>
      </c>
      <c r="B54" s="2740"/>
      <c r="C54" s="2740"/>
      <c r="D54" s="2740"/>
      <c r="E54" s="2740"/>
      <c r="F54" s="894">
        <f>F43+F48+F50+F46</f>
        <v>580</v>
      </c>
      <c r="G54" s="894">
        <f>G43+G48+G50+G46</f>
        <v>6947</v>
      </c>
      <c r="H54" s="894">
        <f>H43+H48+H50+H46</f>
        <v>6947</v>
      </c>
      <c r="I54" s="895">
        <f t="shared" si="2"/>
        <v>100</v>
      </c>
      <c r="R54" s="385">
        <f>F54</f>
        <v>580</v>
      </c>
      <c r="S54" s="385">
        <f>G54</f>
        <v>6947</v>
      </c>
      <c r="T54" s="385">
        <f>H54</f>
        <v>6947</v>
      </c>
    </row>
    <row r="55" spans="1:20" ht="15.75" customHeight="1" thickTop="1" x14ac:dyDescent="0.25">
      <c r="A55" s="370"/>
      <c r="B55" s="370"/>
      <c r="C55" s="370"/>
      <c r="D55" s="370"/>
      <c r="E55" s="370"/>
      <c r="F55" s="181"/>
      <c r="G55" s="181"/>
      <c r="H55" s="181"/>
      <c r="I55" s="210"/>
      <c r="R55" s="385"/>
      <c r="S55" s="385"/>
      <c r="T55" s="385"/>
    </row>
    <row r="56" spans="1:20" ht="13.5" thickBot="1" x14ac:dyDescent="0.25">
      <c r="A56" s="439" t="s">
        <v>884</v>
      </c>
      <c r="I56" s="1548" t="s">
        <v>179</v>
      </c>
    </row>
    <row r="57" spans="1:20" s="107" customFormat="1" ht="20.25" customHeight="1" thickTop="1" thickBot="1" x14ac:dyDescent="0.25">
      <c r="A57" s="657" t="s">
        <v>692</v>
      </c>
      <c r="B57" s="835" t="s">
        <v>180</v>
      </c>
      <c r="C57" s="658" t="s">
        <v>181</v>
      </c>
      <c r="D57" s="660" t="s">
        <v>783</v>
      </c>
      <c r="E57" s="660" t="s">
        <v>182</v>
      </c>
      <c r="F57" s="660" t="s">
        <v>183</v>
      </c>
      <c r="G57" s="660" t="s">
        <v>985</v>
      </c>
      <c r="H57" s="660" t="s">
        <v>986</v>
      </c>
      <c r="I57" s="888" t="s">
        <v>987</v>
      </c>
    </row>
    <row r="58" spans="1:20" s="386" customFormat="1" ht="13.5" thickTop="1" thickBot="1" x14ac:dyDescent="0.25">
      <c r="A58" s="592">
        <v>1</v>
      </c>
      <c r="B58" s="593">
        <v>2</v>
      </c>
      <c r="C58" s="593">
        <v>3</v>
      </c>
      <c r="D58" s="593">
        <v>4</v>
      </c>
      <c r="E58" s="593">
        <v>5</v>
      </c>
      <c r="F58" s="567">
        <v>6</v>
      </c>
      <c r="G58" s="567">
        <v>7</v>
      </c>
      <c r="H58" s="568">
        <v>8</v>
      </c>
      <c r="I58" s="662" t="s">
        <v>848</v>
      </c>
    </row>
    <row r="59" spans="1:20" s="386" customFormat="1" ht="15.75" thickTop="1" x14ac:dyDescent="0.25">
      <c r="A59" s="1549">
        <v>1012</v>
      </c>
      <c r="B59" s="934">
        <v>3112</v>
      </c>
      <c r="C59" s="836">
        <v>5331</v>
      </c>
      <c r="D59" s="920"/>
      <c r="E59" s="930" t="s">
        <v>1066</v>
      </c>
      <c r="F59" s="935">
        <v>90</v>
      </c>
      <c r="G59" s="415">
        <v>90</v>
      </c>
      <c r="H59" s="415">
        <v>90</v>
      </c>
      <c r="I59" s="896">
        <f t="shared" ref="I59:I89" si="3">(H59/G59)*100</f>
        <v>100</v>
      </c>
    </row>
    <row r="60" spans="1:20" s="386" customFormat="1" ht="14.25" x14ac:dyDescent="0.2">
      <c r="A60" s="936"/>
      <c r="B60" s="937"/>
      <c r="C60" s="937"/>
      <c r="D60" s="594" t="s">
        <v>636</v>
      </c>
      <c r="E60" s="938" t="s">
        <v>72</v>
      </c>
      <c r="F60" s="1680">
        <v>90</v>
      </c>
      <c r="G60" s="1680">
        <v>90</v>
      </c>
      <c r="H60" s="1680">
        <v>90</v>
      </c>
      <c r="I60" s="898">
        <f t="shared" si="3"/>
        <v>100</v>
      </c>
    </row>
    <row r="61" spans="1:20" s="386" customFormat="1" ht="15" x14ac:dyDescent="0.25">
      <c r="A61" s="1557">
        <v>1012</v>
      </c>
      <c r="B61" s="2583">
        <v>3112</v>
      </c>
      <c r="C61" s="2583">
        <v>5336</v>
      </c>
      <c r="D61" s="594"/>
      <c r="E61" s="704" t="s">
        <v>1657</v>
      </c>
      <c r="F61" s="1445"/>
      <c r="G61" s="1445">
        <v>2002</v>
      </c>
      <c r="H61" s="1445">
        <v>2002</v>
      </c>
      <c r="I61" s="891">
        <f t="shared" si="3"/>
        <v>100</v>
      </c>
    </row>
    <row r="62" spans="1:20" s="386" customFormat="1" ht="14.25" x14ac:dyDescent="0.2">
      <c r="A62" s="936"/>
      <c r="B62" s="937"/>
      <c r="C62" s="937"/>
      <c r="D62" s="594" t="s">
        <v>1267</v>
      </c>
      <c r="E62" s="938" t="s">
        <v>882</v>
      </c>
      <c r="F62" s="1680"/>
      <c r="G62" s="1680">
        <v>2002</v>
      </c>
      <c r="H62" s="1680">
        <v>2002</v>
      </c>
      <c r="I62" s="893">
        <f t="shared" si="3"/>
        <v>100</v>
      </c>
    </row>
    <row r="63" spans="1:20" ht="15" x14ac:dyDescent="0.25">
      <c r="A63" s="435">
        <v>1012</v>
      </c>
      <c r="B63" s="705">
        <v>3114</v>
      </c>
      <c r="C63" s="705">
        <v>5331</v>
      </c>
      <c r="D63" s="889"/>
      <c r="E63" s="704" t="s">
        <v>1066</v>
      </c>
      <c r="F63" s="905">
        <f>SUM(F64:F65)</f>
        <v>3203</v>
      </c>
      <c r="G63" s="905">
        <f>SUM(G64:G65)</f>
        <v>3230</v>
      </c>
      <c r="H63" s="905">
        <f>SUM(H64:H65)</f>
        <v>3230</v>
      </c>
      <c r="I63" s="891">
        <f t="shared" si="3"/>
        <v>100</v>
      </c>
    </row>
    <row r="64" spans="1:20" ht="14.25" x14ac:dyDescent="0.2">
      <c r="A64" s="435"/>
      <c r="B64" s="705"/>
      <c r="C64" s="705"/>
      <c r="D64" s="743" t="s">
        <v>641</v>
      </c>
      <c r="E64" s="1679" t="s">
        <v>883</v>
      </c>
      <c r="F64" s="897">
        <v>1069</v>
      </c>
      <c r="G64" s="897">
        <v>1096</v>
      </c>
      <c r="H64" s="897">
        <v>1096</v>
      </c>
      <c r="I64" s="893">
        <f t="shared" si="3"/>
        <v>100</v>
      </c>
    </row>
    <row r="65" spans="1:9" ht="14.25" x14ac:dyDescent="0.2">
      <c r="A65" s="435"/>
      <c r="B65" s="705"/>
      <c r="C65" s="1550"/>
      <c r="D65" s="578" t="s">
        <v>636</v>
      </c>
      <c r="E65" s="474" t="s">
        <v>72</v>
      </c>
      <c r="F65" s="897">
        <v>2134</v>
      </c>
      <c r="G65" s="897">
        <v>2134</v>
      </c>
      <c r="H65" s="897">
        <v>2134</v>
      </c>
      <c r="I65" s="893">
        <f t="shared" si="3"/>
        <v>100</v>
      </c>
    </row>
    <row r="66" spans="1:9" ht="15" x14ac:dyDescent="0.25">
      <c r="A66" s="435">
        <v>1012</v>
      </c>
      <c r="B66" s="808">
        <v>3114</v>
      </c>
      <c r="C66" s="1551">
        <v>5336</v>
      </c>
      <c r="D66" s="594"/>
      <c r="E66" s="704" t="s">
        <v>1657</v>
      </c>
      <c r="F66" s="916"/>
      <c r="G66" s="916">
        <f>G68+G69+G67</f>
        <v>12933</v>
      </c>
      <c r="H66" s="916">
        <f>H68+H69+H67</f>
        <v>12933</v>
      </c>
      <c r="I66" s="906">
        <f t="shared" si="3"/>
        <v>100</v>
      </c>
    </row>
    <row r="67" spans="1:9" ht="15" x14ac:dyDescent="0.25">
      <c r="A67" s="435"/>
      <c r="B67" s="808"/>
      <c r="C67" s="1551"/>
      <c r="D67" s="594" t="s">
        <v>1267</v>
      </c>
      <c r="E67" s="938" t="s">
        <v>882</v>
      </c>
      <c r="F67" s="916"/>
      <c r="G67" s="907">
        <v>12587</v>
      </c>
      <c r="H67" s="907">
        <v>12587</v>
      </c>
      <c r="I67" s="893">
        <f t="shared" si="3"/>
        <v>100</v>
      </c>
    </row>
    <row r="68" spans="1:9" ht="14.25" x14ac:dyDescent="0.2">
      <c r="A68" s="435"/>
      <c r="B68" s="808"/>
      <c r="C68" s="1551"/>
      <c r="D68" s="594" t="s">
        <v>1046</v>
      </c>
      <c r="E68" s="938" t="s">
        <v>1658</v>
      </c>
      <c r="F68" s="903"/>
      <c r="G68" s="903">
        <v>52</v>
      </c>
      <c r="H68" s="903">
        <v>52</v>
      </c>
      <c r="I68" s="898">
        <f t="shared" si="3"/>
        <v>100</v>
      </c>
    </row>
    <row r="69" spans="1:9" ht="15" thickBot="1" x14ac:dyDescent="0.25">
      <c r="A69" s="1552"/>
      <c r="B69" s="962"/>
      <c r="C69" s="1553"/>
      <c r="D69" s="2613" t="s">
        <v>1048</v>
      </c>
      <c r="E69" s="1554" t="s">
        <v>1659</v>
      </c>
      <c r="F69" s="963"/>
      <c r="G69" s="963">
        <v>294</v>
      </c>
      <c r="H69" s="963">
        <v>294</v>
      </c>
      <c r="I69" s="942">
        <f t="shared" si="3"/>
        <v>100</v>
      </c>
    </row>
    <row r="70" spans="1:9" s="1555" customFormat="1" ht="15.75" thickTop="1" thickBot="1" x14ac:dyDescent="0.25">
      <c r="B70" s="803"/>
      <c r="D70" s="853"/>
      <c r="E70" s="67"/>
      <c r="F70" s="911"/>
      <c r="G70" s="911"/>
      <c r="H70" s="911"/>
      <c r="I70" s="1548" t="s">
        <v>179</v>
      </c>
    </row>
    <row r="71" spans="1:9" s="1555" customFormat="1" ht="14.25" thickTop="1" thickBot="1" x14ac:dyDescent="0.25">
      <c r="A71" s="657" t="s">
        <v>692</v>
      </c>
      <c r="B71" s="835" t="s">
        <v>180</v>
      </c>
      <c r="C71" s="658" t="s">
        <v>181</v>
      </c>
      <c r="D71" s="660" t="s">
        <v>783</v>
      </c>
      <c r="E71" s="660" t="s">
        <v>182</v>
      </c>
      <c r="F71" s="660" t="s">
        <v>183</v>
      </c>
      <c r="G71" s="660" t="s">
        <v>985</v>
      </c>
      <c r="H71" s="660" t="s">
        <v>986</v>
      </c>
      <c r="I71" s="888" t="s">
        <v>987</v>
      </c>
    </row>
    <row r="72" spans="1:9" s="1555" customFormat="1" ht="14.25" thickTop="1" thickBot="1" x14ac:dyDescent="0.25">
      <c r="A72" s="592">
        <v>1</v>
      </c>
      <c r="B72" s="593">
        <v>2</v>
      </c>
      <c r="C72" s="593">
        <v>3</v>
      </c>
      <c r="D72" s="593">
        <v>4</v>
      </c>
      <c r="E72" s="593">
        <v>5</v>
      </c>
      <c r="F72" s="567">
        <v>6</v>
      </c>
      <c r="G72" s="567">
        <v>7</v>
      </c>
      <c r="H72" s="568">
        <v>8</v>
      </c>
      <c r="I72" s="662" t="s">
        <v>848</v>
      </c>
    </row>
    <row r="73" spans="1:9" ht="15.75" thickTop="1" x14ac:dyDescent="0.25">
      <c r="A73" s="435">
        <v>1012</v>
      </c>
      <c r="B73" s="808">
        <v>3141</v>
      </c>
      <c r="C73" s="1551">
        <v>5336</v>
      </c>
      <c r="D73" s="594"/>
      <c r="E73" s="704" t="s">
        <v>1657</v>
      </c>
      <c r="F73" s="916"/>
      <c r="G73" s="916">
        <f>G74</f>
        <v>602</v>
      </c>
      <c r="H73" s="916">
        <f>H74</f>
        <v>602</v>
      </c>
      <c r="I73" s="908">
        <f t="shared" si="3"/>
        <v>100</v>
      </c>
    </row>
    <row r="74" spans="1:9" ht="14.25" x14ac:dyDescent="0.2">
      <c r="A74" s="435"/>
      <c r="B74" s="808"/>
      <c r="C74" s="1551"/>
      <c r="D74" s="594" t="s">
        <v>1267</v>
      </c>
      <c r="E74" s="938" t="s">
        <v>882</v>
      </c>
      <c r="F74" s="903"/>
      <c r="G74" s="903">
        <v>602</v>
      </c>
      <c r="H74" s="903">
        <v>602</v>
      </c>
      <c r="I74" s="898">
        <f t="shared" si="3"/>
        <v>100</v>
      </c>
    </row>
    <row r="75" spans="1:9" ht="15" x14ac:dyDescent="0.25">
      <c r="A75" s="435">
        <v>1012</v>
      </c>
      <c r="B75" s="808">
        <v>3142</v>
      </c>
      <c r="C75" s="1551">
        <v>5331</v>
      </c>
      <c r="D75" s="912"/>
      <c r="E75" s="704" t="s">
        <v>1066</v>
      </c>
      <c r="F75" s="905">
        <f>SUM(F76:F76)</f>
        <v>350</v>
      </c>
      <c r="G75" s="905">
        <f>SUM(G76:G76)</f>
        <v>350</v>
      </c>
      <c r="H75" s="905">
        <f>SUM(H76:H76)</f>
        <v>350</v>
      </c>
      <c r="I75" s="906">
        <f t="shared" si="3"/>
        <v>100</v>
      </c>
    </row>
    <row r="76" spans="1:9" ht="14.25" x14ac:dyDescent="0.2">
      <c r="A76" s="435"/>
      <c r="B76" s="808"/>
      <c r="C76" s="1551"/>
      <c r="D76" s="578" t="s">
        <v>636</v>
      </c>
      <c r="E76" s="474" t="s">
        <v>72</v>
      </c>
      <c r="F76" s="903">
        <v>350</v>
      </c>
      <c r="G76" s="903">
        <v>350</v>
      </c>
      <c r="H76" s="903">
        <v>350</v>
      </c>
      <c r="I76" s="898">
        <f t="shared" si="3"/>
        <v>100</v>
      </c>
    </row>
    <row r="77" spans="1:9" ht="15.75" customHeight="1" x14ac:dyDescent="0.25">
      <c r="A77" s="435">
        <v>1012</v>
      </c>
      <c r="B77" s="808">
        <v>3142</v>
      </c>
      <c r="C77" s="1551">
        <v>5336</v>
      </c>
      <c r="D77" s="594"/>
      <c r="E77" s="704" t="s">
        <v>1657</v>
      </c>
      <c r="F77" s="916"/>
      <c r="G77" s="916">
        <v>409</v>
      </c>
      <c r="H77" s="916">
        <v>409</v>
      </c>
      <c r="I77" s="908">
        <f t="shared" si="3"/>
        <v>100</v>
      </c>
    </row>
    <row r="78" spans="1:9" ht="15.75" customHeight="1" x14ac:dyDescent="0.2">
      <c r="A78" s="435"/>
      <c r="B78" s="808"/>
      <c r="C78" s="1551"/>
      <c r="D78" s="594" t="s">
        <v>1267</v>
      </c>
      <c r="E78" s="938" t="s">
        <v>882</v>
      </c>
      <c r="F78" s="903"/>
      <c r="G78" s="903">
        <v>409</v>
      </c>
      <c r="H78" s="903">
        <v>409</v>
      </c>
      <c r="I78" s="898">
        <f t="shared" si="3"/>
        <v>100</v>
      </c>
    </row>
    <row r="79" spans="1:9" ht="15.75" customHeight="1" x14ac:dyDescent="0.25">
      <c r="A79" s="435">
        <v>1012</v>
      </c>
      <c r="B79" s="808">
        <v>3143</v>
      </c>
      <c r="C79" s="1551">
        <v>5336</v>
      </c>
      <c r="D79" s="912"/>
      <c r="E79" s="704" t="s">
        <v>1657</v>
      </c>
      <c r="F79" s="905"/>
      <c r="G79" s="905">
        <v>744</v>
      </c>
      <c r="H79" s="905">
        <v>744</v>
      </c>
      <c r="I79" s="906">
        <f t="shared" si="3"/>
        <v>100</v>
      </c>
    </row>
    <row r="80" spans="1:9" ht="15.75" customHeight="1" x14ac:dyDescent="0.2">
      <c r="A80" s="435"/>
      <c r="B80" s="808"/>
      <c r="C80" s="1551"/>
      <c r="D80" s="594" t="s">
        <v>1267</v>
      </c>
      <c r="E80" s="938" t="s">
        <v>882</v>
      </c>
      <c r="F80" s="903"/>
      <c r="G80" s="903">
        <v>744</v>
      </c>
      <c r="H80" s="903">
        <v>744</v>
      </c>
      <c r="I80" s="898">
        <f t="shared" si="3"/>
        <v>100</v>
      </c>
    </row>
    <row r="81" spans="1:20" ht="15.75" customHeight="1" x14ac:dyDescent="0.25">
      <c r="A81" s="435">
        <v>1012</v>
      </c>
      <c r="B81" s="705">
        <v>3145</v>
      </c>
      <c r="C81" s="1551">
        <v>5331</v>
      </c>
      <c r="D81" s="912"/>
      <c r="E81" s="854" t="s">
        <v>1066</v>
      </c>
      <c r="F81" s="928">
        <f>F82</f>
        <v>400</v>
      </c>
      <c r="G81" s="921">
        <f>SUM(G82:G82)</f>
        <v>400</v>
      </c>
      <c r="H81" s="921">
        <f>SUM(H82:H82)</f>
        <v>400</v>
      </c>
      <c r="I81" s="906">
        <f t="shared" si="3"/>
        <v>100</v>
      </c>
    </row>
    <row r="82" spans="1:20" ht="15.75" customHeight="1" x14ac:dyDescent="0.2">
      <c r="A82" s="435"/>
      <c r="B82" s="705"/>
      <c r="C82" s="1556"/>
      <c r="D82" s="578" t="s">
        <v>636</v>
      </c>
      <c r="E82" s="939" t="s">
        <v>72</v>
      </c>
      <c r="F82" s="892">
        <v>400</v>
      </c>
      <c r="G82" s="897">
        <v>400</v>
      </c>
      <c r="H82" s="897">
        <v>400</v>
      </c>
      <c r="I82" s="898">
        <f t="shared" si="3"/>
        <v>100</v>
      </c>
    </row>
    <row r="83" spans="1:20" ht="15.75" customHeight="1" x14ac:dyDescent="0.25">
      <c r="A83" s="435">
        <v>1012</v>
      </c>
      <c r="B83" s="705">
        <v>3145</v>
      </c>
      <c r="C83" s="1555">
        <v>5336</v>
      </c>
      <c r="D83" s="578"/>
      <c r="E83" s="704" t="s">
        <v>1657</v>
      </c>
      <c r="F83" s="2584"/>
      <c r="G83" s="921">
        <v>3006</v>
      </c>
      <c r="H83" s="921">
        <v>3006</v>
      </c>
      <c r="I83" s="908">
        <f t="shared" si="3"/>
        <v>100</v>
      </c>
    </row>
    <row r="84" spans="1:20" ht="15.75" customHeight="1" x14ac:dyDescent="0.2">
      <c r="A84" s="435"/>
      <c r="B84" s="705"/>
      <c r="C84" s="1550"/>
      <c r="D84" s="594" t="s">
        <v>1267</v>
      </c>
      <c r="E84" s="938" t="s">
        <v>882</v>
      </c>
      <c r="F84" s="892"/>
      <c r="G84" s="897">
        <v>3006</v>
      </c>
      <c r="H84" s="897">
        <v>3006</v>
      </c>
      <c r="I84" s="898">
        <f t="shared" si="3"/>
        <v>100</v>
      </c>
    </row>
    <row r="85" spans="1:20" ht="15.75" customHeight="1" x14ac:dyDescent="0.25">
      <c r="A85" s="435">
        <v>1012</v>
      </c>
      <c r="B85" s="705">
        <v>3146</v>
      </c>
      <c r="C85" s="1555">
        <v>5331</v>
      </c>
      <c r="D85" s="899"/>
      <c r="E85" s="382" t="s">
        <v>1066</v>
      </c>
      <c r="F85" s="928">
        <f>F86</f>
        <v>300</v>
      </c>
      <c r="G85" s="928">
        <f>G86</f>
        <v>300</v>
      </c>
      <c r="H85" s="890">
        <f>H86</f>
        <v>300</v>
      </c>
      <c r="I85" s="906">
        <f t="shared" si="3"/>
        <v>100</v>
      </c>
    </row>
    <row r="86" spans="1:20" ht="15.75" customHeight="1" x14ac:dyDescent="0.2">
      <c r="A86" s="435"/>
      <c r="B86" s="705"/>
      <c r="C86" s="1556"/>
      <c r="D86" s="578" t="s">
        <v>636</v>
      </c>
      <c r="E86" s="67" t="s">
        <v>72</v>
      </c>
      <c r="F86" s="892">
        <v>300</v>
      </c>
      <c r="G86" s="897">
        <v>300</v>
      </c>
      <c r="H86" s="897">
        <v>300</v>
      </c>
      <c r="I86" s="898">
        <f t="shared" si="3"/>
        <v>100</v>
      </c>
    </row>
    <row r="87" spans="1:20" ht="15.75" customHeight="1" x14ac:dyDescent="0.25">
      <c r="A87" s="435">
        <v>1012</v>
      </c>
      <c r="B87" s="705">
        <v>3146</v>
      </c>
      <c r="C87" s="1556">
        <v>5336</v>
      </c>
      <c r="D87" s="578"/>
      <c r="E87" s="704" t="s">
        <v>1657</v>
      </c>
      <c r="F87" s="2584"/>
      <c r="G87" s="921">
        <v>5944</v>
      </c>
      <c r="H87" s="921">
        <v>5944</v>
      </c>
      <c r="I87" s="908">
        <f t="shared" si="3"/>
        <v>100</v>
      </c>
    </row>
    <row r="88" spans="1:20" ht="18" customHeight="1" thickBot="1" x14ac:dyDescent="0.3">
      <c r="A88" s="435"/>
      <c r="B88" s="705"/>
      <c r="C88" s="1556"/>
      <c r="D88" s="757" t="s">
        <v>1267</v>
      </c>
      <c r="E88" s="1554" t="s">
        <v>882</v>
      </c>
      <c r="F88" s="940"/>
      <c r="G88" s="941">
        <v>5944</v>
      </c>
      <c r="H88" s="941">
        <v>5944</v>
      </c>
      <c r="I88" s="942">
        <f t="shared" si="3"/>
        <v>100</v>
      </c>
    </row>
    <row r="89" spans="1:20" ht="16.5" thickTop="1" thickBot="1" x14ac:dyDescent="0.3">
      <c r="A89" s="2739" t="s">
        <v>1246</v>
      </c>
      <c r="B89" s="2740"/>
      <c r="C89" s="2740"/>
      <c r="D89" s="2750"/>
      <c r="E89" s="2750"/>
      <c r="F89" s="943">
        <f>F63+F75+F79+F81+F85+F59+F61+F66+F73+F83+F87+F77</f>
        <v>4343</v>
      </c>
      <c r="G89" s="943">
        <f>G63+G75+G79+G81+G85+G59+G61+G66+G73+G83+G87+G77</f>
        <v>30010</v>
      </c>
      <c r="H89" s="943">
        <f>H63+H75+H79+H81+H85+H59+H61+H66+H73+H83+H87+H77</f>
        <v>30010</v>
      </c>
      <c r="I89" s="926">
        <f t="shared" si="3"/>
        <v>100</v>
      </c>
      <c r="R89" s="385">
        <f>F89</f>
        <v>4343</v>
      </c>
      <c r="S89" s="385">
        <f>G89</f>
        <v>30010</v>
      </c>
      <c r="T89" s="385">
        <f>H89</f>
        <v>30010</v>
      </c>
    </row>
    <row r="90" spans="1:20" ht="13.5" thickTop="1" x14ac:dyDescent="0.2"/>
    <row r="91" spans="1:20" ht="20.25" customHeight="1" thickBot="1" x14ac:dyDescent="0.25">
      <c r="A91" s="439" t="s">
        <v>1906</v>
      </c>
      <c r="I91" s="1548" t="s">
        <v>179</v>
      </c>
    </row>
    <row r="92" spans="1:20" s="107" customFormat="1" thickTop="1" thickBot="1" x14ac:dyDescent="0.25">
      <c r="A92" s="657" t="s">
        <v>692</v>
      </c>
      <c r="B92" s="835" t="s">
        <v>180</v>
      </c>
      <c r="C92" s="658" t="s">
        <v>181</v>
      </c>
      <c r="D92" s="660" t="s">
        <v>783</v>
      </c>
      <c r="E92" s="660" t="s">
        <v>182</v>
      </c>
      <c r="F92" s="660" t="s">
        <v>183</v>
      </c>
      <c r="G92" s="660" t="s">
        <v>985</v>
      </c>
      <c r="H92" s="660" t="s">
        <v>986</v>
      </c>
      <c r="I92" s="888" t="s">
        <v>987</v>
      </c>
    </row>
    <row r="93" spans="1:20" s="386" customFormat="1" ht="13.5" thickTop="1" thickBot="1" x14ac:dyDescent="0.25">
      <c r="A93" s="592">
        <v>1</v>
      </c>
      <c r="B93" s="593">
        <v>2</v>
      </c>
      <c r="C93" s="593">
        <v>3</v>
      </c>
      <c r="D93" s="593">
        <v>4</v>
      </c>
      <c r="E93" s="593">
        <v>5</v>
      </c>
      <c r="F93" s="567">
        <v>6</v>
      </c>
      <c r="G93" s="567">
        <v>7</v>
      </c>
      <c r="H93" s="568">
        <v>8</v>
      </c>
      <c r="I93" s="662" t="s">
        <v>848</v>
      </c>
    </row>
    <row r="94" spans="1:20" ht="15.75" thickTop="1" x14ac:dyDescent="0.25">
      <c r="A94" s="435">
        <v>1013</v>
      </c>
      <c r="B94" s="808">
        <v>3112</v>
      </c>
      <c r="C94" s="808">
        <v>5336</v>
      </c>
      <c r="D94" s="594"/>
      <c r="E94" s="704" t="s">
        <v>1657</v>
      </c>
      <c r="F94" s="916"/>
      <c r="G94" s="916">
        <v>587</v>
      </c>
      <c r="H94" s="916">
        <v>587</v>
      </c>
      <c r="I94" s="923">
        <f t="shared" ref="I94:I121" si="4">(H94/G94)*100</f>
        <v>100</v>
      </c>
    </row>
    <row r="95" spans="1:20" s="386" customFormat="1" ht="14.25" x14ac:dyDescent="0.2">
      <c r="A95" s="936"/>
      <c r="B95" s="1447"/>
      <c r="C95" s="1447"/>
      <c r="D95" s="578" t="s">
        <v>1267</v>
      </c>
      <c r="E95" s="67" t="s">
        <v>882</v>
      </c>
      <c r="F95" s="1692"/>
      <c r="G95" s="1692">
        <v>587</v>
      </c>
      <c r="H95" s="1693">
        <v>587</v>
      </c>
      <c r="I95" s="893">
        <f t="shared" si="4"/>
        <v>100</v>
      </c>
    </row>
    <row r="96" spans="1:20" ht="15" x14ac:dyDescent="0.25">
      <c r="A96" s="435">
        <v>1013</v>
      </c>
      <c r="B96" s="705">
        <v>3114</v>
      </c>
      <c r="C96" s="705">
        <v>5331</v>
      </c>
      <c r="D96" s="889"/>
      <c r="E96" s="854" t="s">
        <v>1066</v>
      </c>
      <c r="F96" s="890">
        <f>SUM(F97:F98)</f>
        <v>1670</v>
      </c>
      <c r="G96" s="890">
        <f>SUM(G97:G98)</f>
        <v>2377</v>
      </c>
      <c r="H96" s="890">
        <f>SUM(H97:H98)</f>
        <v>2377</v>
      </c>
      <c r="I96" s="891">
        <f t="shared" si="4"/>
        <v>100</v>
      </c>
    </row>
    <row r="97" spans="1:9" ht="14.25" x14ac:dyDescent="0.2">
      <c r="A97" s="435"/>
      <c r="B97" s="705"/>
      <c r="C97" s="705"/>
      <c r="D97" s="743" t="s">
        <v>641</v>
      </c>
      <c r="E97" s="1679" t="s">
        <v>883</v>
      </c>
      <c r="F97" s="897">
        <v>245</v>
      </c>
      <c r="G97" s="897">
        <v>252</v>
      </c>
      <c r="H97" s="897">
        <v>252</v>
      </c>
      <c r="I97" s="893">
        <f t="shared" si="4"/>
        <v>100</v>
      </c>
    </row>
    <row r="98" spans="1:9" ht="14.25" x14ac:dyDescent="0.2">
      <c r="A98" s="435"/>
      <c r="B98" s="705"/>
      <c r="C98" s="705"/>
      <c r="D98" s="578" t="s">
        <v>636</v>
      </c>
      <c r="E98" s="474" t="s">
        <v>72</v>
      </c>
      <c r="F98" s="897">
        <v>1425</v>
      </c>
      <c r="G98" s="897">
        <v>2125</v>
      </c>
      <c r="H98" s="897">
        <v>2125</v>
      </c>
      <c r="I98" s="893">
        <f t="shared" si="4"/>
        <v>100</v>
      </c>
    </row>
    <row r="99" spans="1:9" ht="15" x14ac:dyDescent="0.25">
      <c r="A99" s="435">
        <v>1013</v>
      </c>
      <c r="B99" s="808">
        <v>3114</v>
      </c>
      <c r="C99" s="808">
        <v>5336</v>
      </c>
      <c r="D99" s="594"/>
      <c r="E99" s="704" t="s">
        <v>1657</v>
      </c>
      <c r="F99" s="916"/>
      <c r="G99" s="916">
        <f>G101+G102+G100</f>
        <v>9304</v>
      </c>
      <c r="H99" s="916">
        <f>H101+H102+H100</f>
        <v>9304</v>
      </c>
      <c r="I99" s="923">
        <f t="shared" si="4"/>
        <v>100</v>
      </c>
    </row>
    <row r="100" spans="1:9" ht="15" x14ac:dyDescent="0.25">
      <c r="A100" s="435"/>
      <c r="B100" s="808"/>
      <c r="C100" s="808"/>
      <c r="D100" s="578" t="s">
        <v>1267</v>
      </c>
      <c r="E100" s="474" t="s">
        <v>882</v>
      </c>
      <c r="F100" s="916"/>
      <c r="G100" s="907">
        <v>9036</v>
      </c>
      <c r="H100" s="907">
        <v>9036</v>
      </c>
      <c r="I100" s="893">
        <f t="shared" si="4"/>
        <v>100</v>
      </c>
    </row>
    <row r="101" spans="1:9" ht="14.25" x14ac:dyDescent="0.2">
      <c r="A101" s="435"/>
      <c r="B101" s="808"/>
      <c r="C101" s="808"/>
      <c r="D101" s="594" t="s">
        <v>1046</v>
      </c>
      <c r="E101" s="938" t="s">
        <v>1658</v>
      </c>
      <c r="F101" s="903"/>
      <c r="G101" s="903">
        <v>40</v>
      </c>
      <c r="H101" s="903">
        <v>40</v>
      </c>
      <c r="I101" s="893">
        <f t="shared" si="4"/>
        <v>100</v>
      </c>
    </row>
    <row r="102" spans="1:9" ht="14.25" x14ac:dyDescent="0.2">
      <c r="A102" s="435"/>
      <c r="B102" s="808"/>
      <c r="C102" s="808"/>
      <c r="D102" s="594" t="s">
        <v>1048</v>
      </c>
      <c r="E102" s="938" t="s">
        <v>1659</v>
      </c>
      <c r="F102" s="903"/>
      <c r="G102" s="903">
        <v>228</v>
      </c>
      <c r="H102" s="903">
        <v>228</v>
      </c>
      <c r="I102" s="893">
        <f t="shared" si="4"/>
        <v>100</v>
      </c>
    </row>
    <row r="103" spans="1:9" ht="15" x14ac:dyDescent="0.25">
      <c r="A103" s="435">
        <v>1013</v>
      </c>
      <c r="B103" s="808">
        <v>3141</v>
      </c>
      <c r="C103" s="808">
        <v>5336</v>
      </c>
      <c r="D103" s="594"/>
      <c r="E103" s="704" t="s">
        <v>1657</v>
      </c>
      <c r="F103" s="916"/>
      <c r="G103" s="916">
        <v>212</v>
      </c>
      <c r="H103" s="916">
        <v>212</v>
      </c>
      <c r="I103" s="923">
        <f t="shared" si="4"/>
        <v>100</v>
      </c>
    </row>
    <row r="104" spans="1:9" ht="14.25" x14ac:dyDescent="0.2">
      <c r="A104" s="435"/>
      <c r="B104" s="808"/>
      <c r="C104" s="808"/>
      <c r="D104" s="578" t="s">
        <v>1267</v>
      </c>
      <c r="E104" s="474" t="s">
        <v>882</v>
      </c>
      <c r="F104" s="903"/>
      <c r="G104" s="903">
        <v>212</v>
      </c>
      <c r="H104" s="903">
        <v>212</v>
      </c>
      <c r="I104" s="893">
        <f t="shared" si="4"/>
        <v>100</v>
      </c>
    </row>
    <row r="105" spans="1:9" ht="15" x14ac:dyDescent="0.25">
      <c r="A105" s="435">
        <v>1013</v>
      </c>
      <c r="B105" s="808">
        <v>3142</v>
      </c>
      <c r="C105" s="1551">
        <v>5331</v>
      </c>
      <c r="D105" s="912"/>
      <c r="E105" s="704" t="s">
        <v>1066</v>
      </c>
      <c r="F105" s="916">
        <v>100</v>
      </c>
      <c r="G105" s="916">
        <v>100</v>
      </c>
      <c r="H105" s="916">
        <v>100</v>
      </c>
      <c r="I105" s="923">
        <f t="shared" si="4"/>
        <v>100</v>
      </c>
    </row>
    <row r="106" spans="1:9" ht="14.25" x14ac:dyDescent="0.2">
      <c r="A106" s="435"/>
      <c r="B106" s="808"/>
      <c r="C106" s="808"/>
      <c r="D106" s="578" t="s">
        <v>636</v>
      </c>
      <c r="E106" s="474" t="s">
        <v>72</v>
      </c>
      <c r="F106" s="903">
        <v>100</v>
      </c>
      <c r="G106" s="903">
        <v>100</v>
      </c>
      <c r="H106" s="903">
        <v>100</v>
      </c>
      <c r="I106" s="893">
        <f t="shared" si="4"/>
        <v>100</v>
      </c>
    </row>
    <row r="107" spans="1:9" ht="15" x14ac:dyDescent="0.25">
      <c r="A107" s="435">
        <v>1013</v>
      </c>
      <c r="B107" s="808">
        <v>3142</v>
      </c>
      <c r="C107" s="808">
        <v>5336</v>
      </c>
      <c r="D107" s="594"/>
      <c r="E107" s="704" t="s">
        <v>1657</v>
      </c>
      <c r="F107" s="916"/>
      <c r="G107" s="916">
        <v>118</v>
      </c>
      <c r="H107" s="916">
        <v>118</v>
      </c>
      <c r="I107" s="923">
        <f t="shared" si="4"/>
        <v>100</v>
      </c>
    </row>
    <row r="108" spans="1:9" ht="14.25" x14ac:dyDescent="0.2">
      <c r="A108" s="435"/>
      <c r="B108" s="808"/>
      <c r="C108" s="808"/>
      <c r="D108" s="578" t="s">
        <v>1267</v>
      </c>
      <c r="E108" s="474" t="s">
        <v>882</v>
      </c>
      <c r="F108" s="903"/>
      <c r="G108" s="903">
        <v>118</v>
      </c>
      <c r="H108" s="903">
        <v>118</v>
      </c>
      <c r="I108" s="893">
        <f t="shared" si="4"/>
        <v>100</v>
      </c>
    </row>
    <row r="109" spans="1:9" ht="15" x14ac:dyDescent="0.25">
      <c r="A109" s="435">
        <v>1013</v>
      </c>
      <c r="B109" s="808">
        <v>3143</v>
      </c>
      <c r="C109" s="808">
        <v>5331</v>
      </c>
      <c r="D109" s="594"/>
      <c r="E109" s="854" t="s">
        <v>1066</v>
      </c>
      <c r="F109" s="916">
        <f>SUM(F110:F110)</f>
        <v>40</v>
      </c>
      <c r="G109" s="916">
        <f>SUM(G110:G110)</f>
        <v>40</v>
      </c>
      <c r="H109" s="916">
        <f>SUM(H110:H110)</f>
        <v>40</v>
      </c>
      <c r="I109" s="923">
        <f t="shared" si="4"/>
        <v>100</v>
      </c>
    </row>
    <row r="110" spans="1:9" ht="14.25" x14ac:dyDescent="0.2">
      <c r="A110" s="435"/>
      <c r="B110" s="808"/>
      <c r="C110" s="808"/>
      <c r="D110" s="578" t="s">
        <v>636</v>
      </c>
      <c r="E110" s="474" t="s">
        <v>72</v>
      </c>
      <c r="F110" s="903">
        <v>40</v>
      </c>
      <c r="G110" s="903">
        <v>40</v>
      </c>
      <c r="H110" s="903">
        <v>40</v>
      </c>
      <c r="I110" s="893">
        <f t="shared" si="4"/>
        <v>100</v>
      </c>
    </row>
    <row r="111" spans="1:9" ht="15" x14ac:dyDescent="0.25">
      <c r="A111" s="435">
        <v>1013</v>
      </c>
      <c r="B111" s="808">
        <v>3143</v>
      </c>
      <c r="C111" s="808">
        <v>5336</v>
      </c>
      <c r="D111" s="594"/>
      <c r="E111" s="704" t="s">
        <v>1657</v>
      </c>
      <c r="F111" s="916"/>
      <c r="G111" s="916">
        <v>476</v>
      </c>
      <c r="H111" s="916">
        <v>476</v>
      </c>
      <c r="I111" s="923">
        <f t="shared" si="4"/>
        <v>100</v>
      </c>
    </row>
    <row r="112" spans="1:9" ht="14.25" x14ac:dyDescent="0.2">
      <c r="A112" s="435"/>
      <c r="B112" s="808"/>
      <c r="C112" s="808"/>
      <c r="D112" s="578" t="s">
        <v>1267</v>
      </c>
      <c r="E112" s="474" t="s">
        <v>882</v>
      </c>
      <c r="F112" s="903"/>
      <c r="G112" s="903">
        <v>476</v>
      </c>
      <c r="H112" s="903">
        <v>476</v>
      </c>
      <c r="I112" s="893">
        <f t="shared" si="4"/>
        <v>100</v>
      </c>
    </row>
    <row r="113" spans="1:20" ht="15" x14ac:dyDescent="0.25">
      <c r="A113" s="435">
        <v>1013</v>
      </c>
      <c r="B113" s="808">
        <v>3145</v>
      </c>
      <c r="C113" s="1551">
        <v>5331</v>
      </c>
      <c r="D113" s="912"/>
      <c r="E113" s="854" t="s">
        <v>1066</v>
      </c>
      <c r="F113" s="916">
        <f>F114</f>
        <v>500</v>
      </c>
      <c r="G113" s="916">
        <v>500</v>
      </c>
      <c r="H113" s="916">
        <v>500</v>
      </c>
      <c r="I113" s="923">
        <f t="shared" si="4"/>
        <v>100</v>
      </c>
    </row>
    <row r="114" spans="1:20" ht="14.25" x14ac:dyDescent="0.2">
      <c r="A114" s="435"/>
      <c r="B114" s="808"/>
      <c r="C114" s="808"/>
      <c r="D114" s="578" t="s">
        <v>636</v>
      </c>
      <c r="E114" s="474" t="s">
        <v>72</v>
      </c>
      <c r="F114" s="903">
        <v>500</v>
      </c>
      <c r="G114" s="903">
        <v>500</v>
      </c>
      <c r="H114" s="903">
        <v>500</v>
      </c>
      <c r="I114" s="893">
        <f t="shared" si="4"/>
        <v>100</v>
      </c>
    </row>
    <row r="115" spans="1:20" ht="15.75" customHeight="1" x14ac:dyDescent="0.25">
      <c r="A115" s="435">
        <v>1013</v>
      </c>
      <c r="B115" s="808">
        <v>3145</v>
      </c>
      <c r="C115" s="808">
        <v>5336</v>
      </c>
      <c r="D115" s="578"/>
      <c r="E115" s="704" t="s">
        <v>1657</v>
      </c>
      <c r="F115" s="916"/>
      <c r="G115" s="916">
        <v>1931</v>
      </c>
      <c r="H115" s="916">
        <v>1931</v>
      </c>
      <c r="I115" s="923">
        <f t="shared" si="4"/>
        <v>100</v>
      </c>
    </row>
    <row r="116" spans="1:20" ht="15.75" customHeight="1" x14ac:dyDescent="0.2">
      <c r="A116" s="435"/>
      <c r="B116" s="808"/>
      <c r="C116" s="808"/>
      <c r="D116" s="578" t="s">
        <v>1267</v>
      </c>
      <c r="E116" s="474" t="s">
        <v>882</v>
      </c>
      <c r="F116" s="903"/>
      <c r="G116" s="903">
        <v>1931</v>
      </c>
      <c r="H116" s="903">
        <v>1931</v>
      </c>
      <c r="I116" s="893">
        <f t="shared" si="4"/>
        <v>100</v>
      </c>
    </row>
    <row r="117" spans="1:20" ht="15.75" customHeight="1" x14ac:dyDescent="0.25">
      <c r="A117" s="435">
        <v>1013</v>
      </c>
      <c r="B117" s="808">
        <v>3146</v>
      </c>
      <c r="C117" s="1551">
        <v>5331</v>
      </c>
      <c r="D117" s="912"/>
      <c r="E117" s="854" t="s">
        <v>1066</v>
      </c>
      <c r="F117" s="905">
        <v>50</v>
      </c>
      <c r="G117" s="905">
        <v>50</v>
      </c>
      <c r="H117" s="905">
        <v>50</v>
      </c>
      <c r="I117" s="906">
        <f t="shared" si="4"/>
        <v>100</v>
      </c>
    </row>
    <row r="118" spans="1:20" ht="18" customHeight="1" x14ac:dyDescent="0.2">
      <c r="A118" s="435"/>
      <c r="B118" s="808"/>
      <c r="C118" s="1551"/>
      <c r="D118" s="578" t="s">
        <v>636</v>
      </c>
      <c r="E118" s="474" t="s">
        <v>72</v>
      </c>
      <c r="F118" s="903">
        <v>50</v>
      </c>
      <c r="G118" s="903">
        <v>50</v>
      </c>
      <c r="H118" s="903">
        <v>50</v>
      </c>
      <c r="I118" s="898">
        <f t="shared" si="4"/>
        <v>100</v>
      </c>
    </row>
    <row r="119" spans="1:20" ht="18" customHeight="1" x14ac:dyDescent="0.25">
      <c r="A119" s="435">
        <v>1013</v>
      </c>
      <c r="B119" s="808">
        <v>3146</v>
      </c>
      <c r="C119" s="1551">
        <v>5336</v>
      </c>
      <c r="D119" s="578"/>
      <c r="E119" s="704" t="s">
        <v>1657</v>
      </c>
      <c r="F119" s="916"/>
      <c r="G119" s="916">
        <v>754</v>
      </c>
      <c r="H119" s="916">
        <v>754</v>
      </c>
      <c r="I119" s="908">
        <f t="shared" si="4"/>
        <v>100</v>
      </c>
    </row>
    <row r="120" spans="1:20" ht="18" customHeight="1" thickBot="1" x14ac:dyDescent="0.25">
      <c r="A120" s="1552"/>
      <c r="B120" s="962"/>
      <c r="C120" s="1553"/>
      <c r="D120" s="578" t="s">
        <v>1267</v>
      </c>
      <c r="E120" s="474" t="s">
        <v>882</v>
      </c>
      <c r="F120" s="963"/>
      <c r="G120" s="963">
        <v>754</v>
      </c>
      <c r="H120" s="963">
        <v>754</v>
      </c>
      <c r="I120" s="942">
        <f t="shared" si="4"/>
        <v>100</v>
      </c>
    </row>
    <row r="121" spans="1:20" ht="18" customHeight="1" thickTop="1" thickBot="1" x14ac:dyDescent="0.3">
      <c r="A121" s="2745" t="s">
        <v>1246</v>
      </c>
      <c r="B121" s="2746"/>
      <c r="C121" s="2746"/>
      <c r="D121" s="2746"/>
      <c r="E121" s="2747"/>
      <c r="F121" s="894">
        <f>F96+F117+F105+F113+F109+F94+F99+F103+F107+F111+F115+F119</f>
        <v>2360</v>
      </c>
      <c r="G121" s="894">
        <f>G96+G117+G105+G113+G109+G94+G99+G103+G107+G111+G115+G119</f>
        <v>16449</v>
      </c>
      <c r="H121" s="894">
        <f>H96+H117+H105+H113+H109+H94+H99+H103+H107+H111+H115+H119</f>
        <v>16449</v>
      </c>
      <c r="I121" s="895">
        <f t="shared" si="4"/>
        <v>100</v>
      </c>
      <c r="R121" s="385">
        <f>F121</f>
        <v>2360</v>
      </c>
      <c r="S121" s="385">
        <f>G121</f>
        <v>16449</v>
      </c>
      <c r="T121" s="385">
        <f>H121</f>
        <v>16449</v>
      </c>
    </row>
    <row r="122" spans="1:20" s="1684" customFormat="1" ht="18" customHeight="1" thickTop="1" x14ac:dyDescent="0.2">
      <c r="A122" s="1681"/>
      <c r="B122" s="1681"/>
      <c r="C122" s="1681"/>
      <c r="D122" s="1681"/>
      <c r="E122" s="1681"/>
      <c r="F122" s="1682"/>
      <c r="G122" s="1682"/>
      <c r="H122" s="1682"/>
      <c r="I122" s="1683"/>
    </row>
    <row r="123" spans="1:20" ht="13.5" thickBot="1" x14ac:dyDescent="0.25">
      <c r="A123" s="439" t="s">
        <v>820</v>
      </c>
      <c r="I123" s="1548" t="s">
        <v>179</v>
      </c>
    </row>
    <row r="124" spans="1:20" s="107" customFormat="1" ht="20.25" customHeight="1" thickTop="1" thickBot="1" x14ac:dyDescent="0.25">
      <c r="A124" s="657" t="s">
        <v>692</v>
      </c>
      <c r="B124" s="835" t="s">
        <v>180</v>
      </c>
      <c r="C124" s="658" t="s">
        <v>181</v>
      </c>
      <c r="D124" s="660" t="s">
        <v>783</v>
      </c>
      <c r="E124" s="660" t="s">
        <v>182</v>
      </c>
      <c r="F124" s="660" t="s">
        <v>183</v>
      </c>
      <c r="G124" s="660" t="s">
        <v>985</v>
      </c>
      <c r="H124" s="660" t="s">
        <v>986</v>
      </c>
      <c r="I124" s="888" t="s">
        <v>987</v>
      </c>
    </row>
    <row r="125" spans="1:20" s="386" customFormat="1" ht="13.5" thickTop="1" thickBot="1" x14ac:dyDescent="0.25">
      <c r="A125" s="592">
        <v>1</v>
      </c>
      <c r="B125" s="593">
        <v>2</v>
      </c>
      <c r="C125" s="593">
        <v>3</v>
      </c>
      <c r="D125" s="593">
        <v>4</v>
      </c>
      <c r="E125" s="593">
        <v>5</v>
      </c>
      <c r="F125" s="567">
        <v>6</v>
      </c>
      <c r="G125" s="567">
        <v>7</v>
      </c>
      <c r="H125" s="568">
        <v>8</v>
      </c>
      <c r="I125" s="662" t="s">
        <v>848</v>
      </c>
    </row>
    <row r="126" spans="1:20" s="1684" customFormat="1" ht="15.75" thickTop="1" x14ac:dyDescent="0.2">
      <c r="A126" s="1685">
        <v>1014</v>
      </c>
      <c r="B126" s="1686">
        <v>3114</v>
      </c>
      <c r="C126" s="1686">
        <v>5331</v>
      </c>
      <c r="D126" s="1687"/>
      <c r="E126" s="1688" t="s">
        <v>1066</v>
      </c>
      <c r="F126" s="1689">
        <f>SUM(F127:F131)</f>
        <v>2770</v>
      </c>
      <c r="G126" s="1689">
        <f>SUM(G127:G131)</f>
        <v>3147</v>
      </c>
      <c r="H126" s="1689">
        <f>SUM(H127:H131)</f>
        <v>3147</v>
      </c>
      <c r="I126" s="1690">
        <f t="shared" ref="I126:I159" si="5">(H126/G126)*100</f>
        <v>100</v>
      </c>
    </row>
    <row r="127" spans="1:20" ht="14.25" x14ac:dyDescent="0.2">
      <c r="A127" s="435"/>
      <c r="B127" s="705"/>
      <c r="C127" s="705"/>
      <c r="D127" s="853" t="s">
        <v>641</v>
      </c>
      <c r="E127" s="1679" t="s">
        <v>883</v>
      </c>
      <c r="F127" s="897">
        <v>34</v>
      </c>
      <c r="G127" s="897">
        <v>34</v>
      </c>
      <c r="H127" s="897">
        <v>34</v>
      </c>
      <c r="I127" s="893">
        <f t="shared" si="5"/>
        <v>100</v>
      </c>
    </row>
    <row r="128" spans="1:20" ht="14.25" x14ac:dyDescent="0.2">
      <c r="A128" s="435"/>
      <c r="B128" s="705"/>
      <c r="C128" s="705"/>
      <c r="D128" s="578" t="s">
        <v>385</v>
      </c>
      <c r="E128" s="1679" t="s">
        <v>930</v>
      </c>
      <c r="F128" s="897"/>
      <c r="G128" s="897">
        <v>10</v>
      </c>
      <c r="H128" s="897">
        <v>10</v>
      </c>
      <c r="I128" s="893">
        <f t="shared" si="5"/>
        <v>100</v>
      </c>
    </row>
    <row r="129" spans="1:9" ht="14.25" x14ac:dyDescent="0.2">
      <c r="A129" s="435"/>
      <c r="B129" s="705"/>
      <c r="C129" s="705"/>
      <c r="D129" s="578" t="s">
        <v>636</v>
      </c>
      <c r="E129" s="474" t="s">
        <v>72</v>
      </c>
      <c r="F129" s="897">
        <v>2736</v>
      </c>
      <c r="G129" s="897">
        <v>2736</v>
      </c>
      <c r="H129" s="897">
        <v>2736</v>
      </c>
      <c r="I129" s="893">
        <f t="shared" si="5"/>
        <v>100</v>
      </c>
    </row>
    <row r="130" spans="1:9" ht="14.25" x14ac:dyDescent="0.2">
      <c r="A130" s="435"/>
      <c r="B130" s="705"/>
      <c r="C130" s="705"/>
      <c r="D130" s="1421" t="s">
        <v>1271</v>
      </c>
      <c r="E130" s="1695" t="s">
        <v>1660</v>
      </c>
      <c r="F130" s="897"/>
      <c r="G130" s="897">
        <v>150</v>
      </c>
      <c r="H130" s="897">
        <v>150</v>
      </c>
      <c r="I130" s="893">
        <f t="shared" si="5"/>
        <v>100</v>
      </c>
    </row>
    <row r="131" spans="1:9" ht="28.5" x14ac:dyDescent="0.2">
      <c r="A131" s="435"/>
      <c r="B131" s="808"/>
      <c r="C131" s="808"/>
      <c r="D131" s="1429" t="s">
        <v>889</v>
      </c>
      <c r="E131" s="1430" t="s">
        <v>1085</v>
      </c>
      <c r="F131" s="903"/>
      <c r="G131" s="1431">
        <v>217</v>
      </c>
      <c r="H131" s="1431">
        <v>217</v>
      </c>
      <c r="I131" s="1432">
        <f t="shared" si="5"/>
        <v>100</v>
      </c>
    </row>
    <row r="132" spans="1:9" ht="17.25" customHeight="1" x14ac:dyDescent="0.25">
      <c r="A132" s="435">
        <v>1014</v>
      </c>
      <c r="B132" s="808">
        <v>3114</v>
      </c>
      <c r="C132" s="808">
        <v>5336</v>
      </c>
      <c r="D132" s="1429"/>
      <c r="E132" s="704" t="s">
        <v>1657</v>
      </c>
      <c r="F132" s="916"/>
      <c r="G132" s="1433">
        <f>G133+G134+G135</f>
        <v>16447</v>
      </c>
      <c r="H132" s="1433">
        <f>H133+H134+H135</f>
        <v>16447</v>
      </c>
      <c r="I132" s="1768">
        <f t="shared" si="5"/>
        <v>100</v>
      </c>
    </row>
    <row r="133" spans="1:9" ht="30" customHeight="1" x14ac:dyDescent="0.2">
      <c r="A133" s="435"/>
      <c r="B133" s="808"/>
      <c r="C133" s="808"/>
      <c r="D133" s="578" t="s">
        <v>1267</v>
      </c>
      <c r="E133" s="474" t="s">
        <v>882</v>
      </c>
      <c r="F133" s="903"/>
      <c r="G133" s="1431">
        <v>15779</v>
      </c>
      <c r="H133" s="1431">
        <v>15779</v>
      </c>
      <c r="I133" s="893">
        <f t="shared" si="5"/>
        <v>100</v>
      </c>
    </row>
    <row r="134" spans="1:9" ht="17.25" customHeight="1" x14ac:dyDescent="0.2">
      <c r="A134" s="435"/>
      <c r="B134" s="808"/>
      <c r="C134" s="808"/>
      <c r="D134" s="594" t="s">
        <v>1046</v>
      </c>
      <c r="E134" s="938" t="s">
        <v>1658</v>
      </c>
      <c r="F134" s="903"/>
      <c r="G134" s="1431">
        <v>100</v>
      </c>
      <c r="H134" s="1431">
        <v>100</v>
      </c>
      <c r="I134" s="1435">
        <f t="shared" si="5"/>
        <v>100</v>
      </c>
    </row>
    <row r="135" spans="1:9" ht="15.75" customHeight="1" thickBot="1" x14ac:dyDescent="0.25">
      <c r="A135" s="1552"/>
      <c r="B135" s="962"/>
      <c r="C135" s="962"/>
      <c r="D135" s="2613" t="s">
        <v>1048</v>
      </c>
      <c r="E135" s="1554" t="s">
        <v>1659</v>
      </c>
      <c r="F135" s="963"/>
      <c r="G135" s="2614">
        <v>568</v>
      </c>
      <c r="H135" s="2614">
        <v>568</v>
      </c>
      <c r="I135" s="2615">
        <f t="shared" si="5"/>
        <v>100</v>
      </c>
    </row>
    <row r="136" spans="1:9" ht="14.25" thickTop="1" thickBot="1" x14ac:dyDescent="0.25">
      <c r="A136" s="439"/>
      <c r="I136" s="1548" t="s">
        <v>179</v>
      </c>
    </row>
    <row r="137" spans="1:9" s="107" customFormat="1" ht="20.25" customHeight="1" thickTop="1" thickBot="1" x14ac:dyDescent="0.25">
      <c r="A137" s="657" t="s">
        <v>692</v>
      </c>
      <c r="B137" s="835" t="s">
        <v>180</v>
      </c>
      <c r="C137" s="658" t="s">
        <v>181</v>
      </c>
      <c r="D137" s="660" t="s">
        <v>783</v>
      </c>
      <c r="E137" s="660" t="s">
        <v>182</v>
      </c>
      <c r="F137" s="660" t="s">
        <v>183</v>
      </c>
      <c r="G137" s="660" t="s">
        <v>985</v>
      </c>
      <c r="H137" s="660" t="s">
        <v>986</v>
      </c>
      <c r="I137" s="888" t="s">
        <v>987</v>
      </c>
    </row>
    <row r="138" spans="1:9" s="386" customFormat="1" ht="13.5" thickTop="1" thickBot="1" x14ac:dyDescent="0.25">
      <c r="A138" s="592">
        <v>1</v>
      </c>
      <c r="B138" s="593">
        <v>2</v>
      </c>
      <c r="C138" s="593">
        <v>3</v>
      </c>
      <c r="D138" s="593">
        <v>4</v>
      </c>
      <c r="E138" s="593">
        <v>5</v>
      </c>
      <c r="F138" s="567">
        <v>6</v>
      </c>
      <c r="G138" s="567">
        <v>7</v>
      </c>
      <c r="H138" s="568">
        <v>8</v>
      </c>
      <c r="I138" s="662" t="s">
        <v>848</v>
      </c>
    </row>
    <row r="139" spans="1:9" ht="15.75" customHeight="1" thickTop="1" x14ac:dyDescent="0.25">
      <c r="A139" s="435">
        <v>1014</v>
      </c>
      <c r="B139" s="808">
        <v>3124</v>
      </c>
      <c r="C139" s="808">
        <v>5336</v>
      </c>
      <c r="D139" s="594"/>
      <c r="E139" s="704" t="s">
        <v>1657</v>
      </c>
      <c r="F139" s="916"/>
      <c r="G139" s="1433">
        <v>393</v>
      </c>
      <c r="H139" s="1433">
        <v>393</v>
      </c>
      <c r="I139" s="1434">
        <f t="shared" si="5"/>
        <v>100</v>
      </c>
    </row>
    <row r="140" spans="1:9" ht="15.75" customHeight="1" x14ac:dyDescent="0.2">
      <c r="A140" s="435"/>
      <c r="B140" s="808"/>
      <c r="C140" s="808"/>
      <c r="D140" s="578" t="s">
        <v>1267</v>
      </c>
      <c r="E140" s="474" t="s">
        <v>882</v>
      </c>
      <c r="F140" s="903"/>
      <c r="G140" s="1431">
        <v>393</v>
      </c>
      <c r="H140" s="1431">
        <v>393</v>
      </c>
      <c r="I140" s="1435">
        <f t="shared" si="5"/>
        <v>100</v>
      </c>
    </row>
    <row r="141" spans="1:9" ht="15.75" customHeight="1" x14ac:dyDescent="0.25">
      <c r="A141" s="435">
        <v>1014</v>
      </c>
      <c r="B141" s="808">
        <v>3141</v>
      </c>
      <c r="C141" s="808">
        <v>5336</v>
      </c>
      <c r="D141" s="1429"/>
      <c r="E141" s="704" t="s">
        <v>1657</v>
      </c>
      <c r="F141" s="916"/>
      <c r="G141" s="1433">
        <v>52</v>
      </c>
      <c r="H141" s="1433">
        <v>52</v>
      </c>
      <c r="I141" s="1434">
        <f t="shared" si="5"/>
        <v>100</v>
      </c>
    </row>
    <row r="142" spans="1:9" ht="15.75" customHeight="1" x14ac:dyDescent="0.2">
      <c r="A142" s="435"/>
      <c r="B142" s="808"/>
      <c r="C142" s="808"/>
      <c r="D142" s="578" t="s">
        <v>1267</v>
      </c>
      <c r="E142" s="474" t="s">
        <v>882</v>
      </c>
      <c r="F142" s="903"/>
      <c r="G142" s="1431">
        <v>52</v>
      </c>
      <c r="H142" s="1431">
        <v>52</v>
      </c>
      <c r="I142" s="898">
        <f t="shared" si="5"/>
        <v>100</v>
      </c>
    </row>
    <row r="143" spans="1:9" ht="15.75" customHeight="1" x14ac:dyDescent="0.25">
      <c r="A143" s="435">
        <v>1014</v>
      </c>
      <c r="B143" s="808">
        <v>3142</v>
      </c>
      <c r="C143" s="1551">
        <v>5331</v>
      </c>
      <c r="D143" s="912"/>
      <c r="E143" s="704" t="s">
        <v>1066</v>
      </c>
      <c r="F143" s="905">
        <f>SUM(F144:F146)</f>
        <v>77</v>
      </c>
      <c r="G143" s="905">
        <v>77</v>
      </c>
      <c r="H143" s="905">
        <v>77</v>
      </c>
      <c r="I143" s="906">
        <f t="shared" si="5"/>
        <v>100</v>
      </c>
    </row>
    <row r="144" spans="1:9" ht="15.75" customHeight="1" x14ac:dyDescent="0.2">
      <c r="A144" s="435"/>
      <c r="B144" s="808"/>
      <c r="C144" s="1551"/>
      <c r="D144" s="578" t="s">
        <v>636</v>
      </c>
      <c r="E144" s="474" t="s">
        <v>72</v>
      </c>
      <c r="F144" s="903">
        <v>77</v>
      </c>
      <c r="G144" s="903">
        <v>77</v>
      </c>
      <c r="H144" s="903">
        <v>77</v>
      </c>
      <c r="I144" s="898">
        <f t="shared" si="5"/>
        <v>100</v>
      </c>
    </row>
    <row r="145" spans="1:20" ht="15.75" customHeight="1" x14ac:dyDescent="0.25">
      <c r="A145" s="435">
        <v>1014</v>
      </c>
      <c r="B145" s="808">
        <v>3142</v>
      </c>
      <c r="C145" s="1551">
        <v>5336</v>
      </c>
      <c r="D145" s="578"/>
      <c r="E145" s="704" t="s">
        <v>1657</v>
      </c>
      <c r="F145" s="916"/>
      <c r="G145" s="916">
        <v>12</v>
      </c>
      <c r="H145" s="916">
        <v>12</v>
      </c>
      <c r="I145" s="906">
        <f t="shared" si="5"/>
        <v>100</v>
      </c>
    </row>
    <row r="146" spans="1:20" ht="15.75" customHeight="1" x14ac:dyDescent="0.2">
      <c r="A146" s="435"/>
      <c r="B146" s="808"/>
      <c r="C146" s="1551"/>
      <c r="D146" s="578" t="s">
        <v>1267</v>
      </c>
      <c r="E146" s="474" t="s">
        <v>882</v>
      </c>
      <c r="F146" s="903"/>
      <c r="G146" s="903">
        <v>12</v>
      </c>
      <c r="H146" s="903">
        <v>12</v>
      </c>
      <c r="I146" s="898">
        <f t="shared" si="5"/>
        <v>100</v>
      </c>
    </row>
    <row r="147" spans="1:20" ht="15.75" customHeight="1" x14ac:dyDescent="0.25">
      <c r="A147" s="435">
        <v>1014</v>
      </c>
      <c r="B147" s="808">
        <v>3143</v>
      </c>
      <c r="C147" s="1551">
        <v>5331</v>
      </c>
      <c r="D147" s="912"/>
      <c r="E147" s="704" t="s">
        <v>1066</v>
      </c>
      <c r="F147" s="916">
        <f>F148+F150</f>
        <v>30</v>
      </c>
      <c r="G147" s="916">
        <v>30</v>
      </c>
      <c r="H147" s="916">
        <v>30</v>
      </c>
      <c r="I147" s="906">
        <f t="shared" si="5"/>
        <v>100</v>
      </c>
    </row>
    <row r="148" spans="1:20" ht="15.75" customHeight="1" x14ac:dyDescent="0.2">
      <c r="A148" s="435"/>
      <c r="B148" s="808"/>
      <c r="C148" s="1551"/>
      <c r="D148" s="578" t="s">
        <v>636</v>
      </c>
      <c r="E148" s="474" t="s">
        <v>72</v>
      </c>
      <c r="F148" s="903">
        <v>30</v>
      </c>
      <c r="G148" s="903">
        <v>30</v>
      </c>
      <c r="H148" s="903">
        <v>30</v>
      </c>
      <c r="I148" s="898">
        <f t="shared" si="5"/>
        <v>100</v>
      </c>
    </row>
    <row r="149" spans="1:20" ht="15.75" customHeight="1" x14ac:dyDescent="0.25">
      <c r="A149" s="435">
        <v>1014</v>
      </c>
      <c r="B149" s="808">
        <v>3143</v>
      </c>
      <c r="C149" s="1551">
        <v>5336</v>
      </c>
      <c r="D149" s="594"/>
      <c r="E149" s="704" t="s">
        <v>1657</v>
      </c>
      <c r="F149" s="916"/>
      <c r="G149" s="916">
        <v>409</v>
      </c>
      <c r="H149" s="916">
        <v>409</v>
      </c>
      <c r="I149" s="908">
        <f t="shared" si="5"/>
        <v>100</v>
      </c>
    </row>
    <row r="150" spans="1:20" ht="15.75" customHeight="1" x14ac:dyDescent="0.2">
      <c r="A150" s="435"/>
      <c r="B150" s="808"/>
      <c r="C150" s="1551"/>
      <c r="D150" s="594" t="s">
        <v>1267</v>
      </c>
      <c r="E150" s="938" t="s">
        <v>882</v>
      </c>
      <c r="F150" s="903"/>
      <c r="G150" s="903">
        <v>409</v>
      </c>
      <c r="H150" s="903">
        <v>409</v>
      </c>
      <c r="I150" s="898">
        <f t="shared" si="5"/>
        <v>100</v>
      </c>
    </row>
    <row r="151" spans="1:20" ht="18" customHeight="1" x14ac:dyDescent="0.25">
      <c r="A151" s="435">
        <v>1014</v>
      </c>
      <c r="B151" s="808">
        <v>3145</v>
      </c>
      <c r="C151" s="1551">
        <v>5331</v>
      </c>
      <c r="D151" s="912"/>
      <c r="E151" s="704" t="s">
        <v>1066</v>
      </c>
      <c r="F151" s="905">
        <f>F152+F154</f>
        <v>225</v>
      </c>
      <c r="G151" s="905">
        <v>225</v>
      </c>
      <c r="H151" s="905">
        <v>225</v>
      </c>
      <c r="I151" s="906">
        <f t="shared" si="5"/>
        <v>100</v>
      </c>
    </row>
    <row r="152" spans="1:20" ht="14.25" x14ac:dyDescent="0.2">
      <c r="A152" s="435"/>
      <c r="B152" s="808"/>
      <c r="C152" s="1551"/>
      <c r="D152" s="578" t="s">
        <v>636</v>
      </c>
      <c r="E152" s="474" t="s">
        <v>72</v>
      </c>
      <c r="F152" s="903">
        <v>225</v>
      </c>
      <c r="G152" s="903">
        <v>225</v>
      </c>
      <c r="H152" s="903">
        <v>225</v>
      </c>
      <c r="I152" s="898">
        <f t="shared" si="5"/>
        <v>100</v>
      </c>
    </row>
    <row r="153" spans="1:20" ht="15" x14ac:dyDescent="0.25">
      <c r="A153" s="435">
        <v>1014</v>
      </c>
      <c r="B153" s="808">
        <v>3145</v>
      </c>
      <c r="C153" s="1551">
        <v>5336</v>
      </c>
      <c r="D153" s="578"/>
      <c r="E153" s="704" t="s">
        <v>1657</v>
      </c>
      <c r="F153" s="916"/>
      <c r="G153" s="916">
        <v>1237</v>
      </c>
      <c r="H153" s="916">
        <v>1237</v>
      </c>
      <c r="I153" s="908">
        <f t="shared" si="5"/>
        <v>100</v>
      </c>
    </row>
    <row r="154" spans="1:20" ht="14.25" x14ac:dyDescent="0.2">
      <c r="A154" s="435"/>
      <c r="B154" s="808"/>
      <c r="C154" s="1551"/>
      <c r="D154" s="578" t="s">
        <v>1267</v>
      </c>
      <c r="E154" s="474" t="s">
        <v>882</v>
      </c>
      <c r="F154" s="903"/>
      <c r="G154" s="903">
        <v>1237</v>
      </c>
      <c r="H154" s="903">
        <v>1237</v>
      </c>
      <c r="I154" s="898">
        <f t="shared" si="5"/>
        <v>100</v>
      </c>
    </row>
    <row r="155" spans="1:20" ht="15" x14ac:dyDescent="0.25">
      <c r="A155" s="435">
        <v>1014</v>
      </c>
      <c r="B155" s="808">
        <v>3146</v>
      </c>
      <c r="C155" s="1551">
        <v>5331</v>
      </c>
      <c r="D155" s="912"/>
      <c r="E155" s="704" t="s">
        <v>1066</v>
      </c>
      <c r="F155" s="905">
        <f>F156</f>
        <v>60</v>
      </c>
      <c r="G155" s="905">
        <v>60</v>
      </c>
      <c r="H155" s="905">
        <v>60</v>
      </c>
      <c r="I155" s="906">
        <f t="shared" si="5"/>
        <v>100</v>
      </c>
    </row>
    <row r="156" spans="1:20" ht="20.25" customHeight="1" x14ac:dyDescent="0.2">
      <c r="A156" s="435"/>
      <c r="B156" s="808"/>
      <c r="C156" s="1551"/>
      <c r="D156" s="578" t="s">
        <v>636</v>
      </c>
      <c r="E156" s="474" t="s">
        <v>72</v>
      </c>
      <c r="F156" s="907">
        <v>60</v>
      </c>
      <c r="G156" s="903">
        <v>60</v>
      </c>
      <c r="H156" s="903">
        <v>60</v>
      </c>
      <c r="I156" s="898">
        <f t="shared" si="5"/>
        <v>100</v>
      </c>
    </row>
    <row r="157" spans="1:20" ht="15" x14ac:dyDescent="0.25">
      <c r="A157" s="435">
        <v>1014</v>
      </c>
      <c r="B157" s="808">
        <v>3146</v>
      </c>
      <c r="C157" s="1551">
        <v>5336</v>
      </c>
      <c r="D157" s="578"/>
      <c r="E157" s="704" t="s">
        <v>1657</v>
      </c>
      <c r="F157" s="916"/>
      <c r="G157" s="916">
        <v>2694</v>
      </c>
      <c r="H157" s="916">
        <v>2694</v>
      </c>
      <c r="I157" s="908">
        <f t="shared" si="5"/>
        <v>100</v>
      </c>
    </row>
    <row r="158" spans="1:20" ht="15" thickBot="1" x14ac:dyDescent="0.25">
      <c r="A158" s="435"/>
      <c r="B158" s="808"/>
      <c r="C158" s="1551"/>
      <c r="D158" s="578" t="s">
        <v>1267</v>
      </c>
      <c r="E158" s="474" t="s">
        <v>882</v>
      </c>
      <c r="F158" s="903"/>
      <c r="G158" s="903">
        <v>2694</v>
      </c>
      <c r="H158" s="903">
        <v>2694</v>
      </c>
      <c r="I158" s="898">
        <f t="shared" si="5"/>
        <v>100</v>
      </c>
    </row>
    <row r="159" spans="1:20" ht="16.5" thickTop="1" thickBot="1" x14ac:dyDescent="0.3">
      <c r="A159" s="2739" t="s">
        <v>1246</v>
      </c>
      <c r="B159" s="2740"/>
      <c r="C159" s="2740"/>
      <c r="D159" s="2740"/>
      <c r="E159" s="2740"/>
      <c r="F159" s="894">
        <f>SUM(F126,F143,F155,F151,F147)</f>
        <v>3162</v>
      </c>
      <c r="G159" s="894">
        <f>SUM(G126,G143,G155,G151,G147,G141,G132,G139,G145,G149,G153,G157)</f>
        <v>24783</v>
      </c>
      <c r="H159" s="894">
        <f>SUM(H126,H143,H155,H151,H147,H141,H132,H139,H145,H149,H153,H157)</f>
        <v>24783</v>
      </c>
      <c r="I159" s="895">
        <f t="shared" si="5"/>
        <v>100</v>
      </c>
      <c r="R159" s="385">
        <f>F159</f>
        <v>3162</v>
      </c>
      <c r="S159" s="385">
        <f>G159</f>
        <v>24783</v>
      </c>
      <c r="T159" s="385">
        <f>H159</f>
        <v>24783</v>
      </c>
    </row>
    <row r="160" spans="1:20" ht="13.5" thickTop="1" x14ac:dyDescent="0.2"/>
    <row r="161" spans="1:9" ht="14.25" customHeight="1" thickBot="1" x14ac:dyDescent="0.25">
      <c r="A161" s="439" t="s">
        <v>463</v>
      </c>
      <c r="I161" s="1548" t="s">
        <v>179</v>
      </c>
    </row>
    <row r="162" spans="1:9" s="107" customFormat="1" thickTop="1" thickBot="1" x14ac:dyDescent="0.25">
      <c r="A162" s="657" t="s">
        <v>692</v>
      </c>
      <c r="B162" s="835" t="s">
        <v>180</v>
      </c>
      <c r="C162" s="658" t="s">
        <v>181</v>
      </c>
      <c r="D162" s="660" t="s">
        <v>783</v>
      </c>
      <c r="E162" s="660" t="s">
        <v>182</v>
      </c>
      <c r="F162" s="660" t="s">
        <v>183</v>
      </c>
      <c r="G162" s="660" t="s">
        <v>985</v>
      </c>
      <c r="H162" s="660" t="s">
        <v>986</v>
      </c>
      <c r="I162" s="888" t="s">
        <v>987</v>
      </c>
    </row>
    <row r="163" spans="1:9" s="386" customFormat="1" ht="13.5" thickTop="1" thickBot="1" x14ac:dyDescent="0.25">
      <c r="A163" s="592">
        <v>1</v>
      </c>
      <c r="B163" s="593">
        <v>2</v>
      </c>
      <c r="C163" s="593">
        <v>3</v>
      </c>
      <c r="D163" s="593">
        <v>4</v>
      </c>
      <c r="E163" s="593">
        <v>5</v>
      </c>
      <c r="F163" s="567">
        <v>6</v>
      </c>
      <c r="G163" s="567">
        <v>7</v>
      </c>
      <c r="H163" s="568">
        <v>8</v>
      </c>
      <c r="I163" s="662" t="s">
        <v>848</v>
      </c>
    </row>
    <row r="164" spans="1:9" s="386" customFormat="1" ht="15.75" thickTop="1" x14ac:dyDescent="0.25">
      <c r="A164" s="1549">
        <v>1015</v>
      </c>
      <c r="B164" s="836">
        <v>3124</v>
      </c>
      <c r="C164" s="836">
        <v>5331</v>
      </c>
      <c r="D164" s="909"/>
      <c r="E164" s="930" t="s">
        <v>1066</v>
      </c>
      <c r="F164" s="415">
        <f>F165+F166+F167</f>
        <v>2422</v>
      </c>
      <c r="G164" s="415">
        <f>G165+G166+G167</f>
        <v>2820</v>
      </c>
      <c r="H164" s="415">
        <f>H165+H166+H167</f>
        <v>2820</v>
      </c>
      <c r="I164" s="891">
        <f t="shared" ref="I164:I167" si="6">(H164/G164)*100</f>
        <v>100</v>
      </c>
    </row>
    <row r="165" spans="1:9" s="386" customFormat="1" ht="14.25" x14ac:dyDescent="0.2">
      <c r="A165" s="435"/>
      <c r="B165" s="705"/>
      <c r="C165" s="705"/>
      <c r="D165" s="853" t="s">
        <v>641</v>
      </c>
      <c r="E165" s="1679" t="s">
        <v>883</v>
      </c>
      <c r="F165" s="1545">
        <v>184</v>
      </c>
      <c r="G165" s="1545">
        <v>87</v>
      </c>
      <c r="H165" s="1691">
        <v>87</v>
      </c>
      <c r="I165" s="893">
        <f t="shared" si="6"/>
        <v>100</v>
      </c>
    </row>
    <row r="166" spans="1:9" s="386" customFormat="1" ht="14.25" x14ac:dyDescent="0.2">
      <c r="A166" s="435"/>
      <c r="B166" s="705"/>
      <c r="C166" s="705"/>
      <c r="D166" s="578" t="s">
        <v>636</v>
      </c>
      <c r="E166" s="474" t="s">
        <v>72</v>
      </c>
      <c r="F166" s="1545">
        <v>2238</v>
      </c>
      <c r="G166" s="1545">
        <v>2688</v>
      </c>
      <c r="H166" s="1691">
        <v>2688</v>
      </c>
      <c r="I166" s="893">
        <f t="shared" si="6"/>
        <v>100</v>
      </c>
    </row>
    <row r="167" spans="1:9" s="386" customFormat="1" ht="14.25" x14ac:dyDescent="0.2">
      <c r="A167" s="435"/>
      <c r="B167" s="705"/>
      <c r="C167" s="705"/>
      <c r="D167" s="1178" t="s">
        <v>1040</v>
      </c>
      <c r="E167" s="2585" t="s">
        <v>1907</v>
      </c>
      <c r="F167" s="1545"/>
      <c r="G167" s="1545">
        <v>45</v>
      </c>
      <c r="H167" s="1691">
        <v>45</v>
      </c>
      <c r="I167" s="893">
        <f t="shared" si="6"/>
        <v>100</v>
      </c>
    </row>
    <row r="168" spans="1:9" s="386" customFormat="1" ht="15" x14ac:dyDescent="0.25">
      <c r="A168" s="435">
        <v>1015</v>
      </c>
      <c r="B168" s="705">
        <v>3124</v>
      </c>
      <c r="C168" s="705">
        <v>5336</v>
      </c>
      <c r="D168" s="1178"/>
      <c r="E168" s="704" t="s">
        <v>1657</v>
      </c>
      <c r="F168" s="416"/>
      <c r="G168" s="416">
        <f>G169+G170+G171</f>
        <v>17246</v>
      </c>
      <c r="H168" s="416">
        <f>H169+H170+H171</f>
        <v>17246</v>
      </c>
      <c r="I168" s="923">
        <f>(H168/G168)*100</f>
        <v>100</v>
      </c>
    </row>
    <row r="169" spans="1:9" s="386" customFormat="1" ht="14.25" x14ac:dyDescent="0.2">
      <c r="A169" s="435"/>
      <c r="B169" s="705"/>
      <c r="C169" s="705"/>
      <c r="D169" s="578" t="s">
        <v>1267</v>
      </c>
      <c r="E169" s="474" t="s">
        <v>882</v>
      </c>
      <c r="F169" s="1545"/>
      <c r="G169" s="1545">
        <v>16804</v>
      </c>
      <c r="H169" s="1691">
        <v>16804</v>
      </c>
      <c r="I169" s="893">
        <f t="shared" ref="I169:I171" si="7">(H169/G169)*100</f>
        <v>100</v>
      </c>
    </row>
    <row r="170" spans="1:9" s="386" customFormat="1" ht="14.25" x14ac:dyDescent="0.2">
      <c r="A170" s="435"/>
      <c r="B170" s="705"/>
      <c r="C170" s="705"/>
      <c r="D170" s="594" t="s">
        <v>1046</v>
      </c>
      <c r="E170" s="938" t="s">
        <v>1658</v>
      </c>
      <c r="F170" s="1545"/>
      <c r="G170" s="1545">
        <v>66</v>
      </c>
      <c r="H170" s="1691">
        <v>66</v>
      </c>
      <c r="I170" s="893">
        <f t="shared" si="7"/>
        <v>100</v>
      </c>
    </row>
    <row r="171" spans="1:9" s="386" customFormat="1" ht="14.25" x14ac:dyDescent="0.2">
      <c r="A171" s="435"/>
      <c r="B171" s="705"/>
      <c r="C171" s="705"/>
      <c r="D171" s="594" t="s">
        <v>1048</v>
      </c>
      <c r="E171" s="938" t="s">
        <v>1659</v>
      </c>
      <c r="F171" s="1545"/>
      <c r="G171" s="1545">
        <v>376</v>
      </c>
      <c r="H171" s="1691">
        <v>376</v>
      </c>
      <c r="I171" s="893">
        <f t="shared" si="7"/>
        <v>100</v>
      </c>
    </row>
    <row r="172" spans="1:9" ht="15" x14ac:dyDescent="0.25">
      <c r="A172" s="435">
        <v>1015</v>
      </c>
      <c r="B172" s="705">
        <v>3142</v>
      </c>
      <c r="C172" s="1550">
        <v>5331</v>
      </c>
      <c r="D172" s="944"/>
      <c r="E172" s="854" t="s">
        <v>1066</v>
      </c>
      <c r="F172" s="916">
        <f>SUM(F173:F175)</f>
        <v>446</v>
      </c>
      <c r="G172" s="916">
        <f>SUM(G173:G175)</f>
        <v>446</v>
      </c>
      <c r="H172" s="916">
        <f>SUM(H173:H175)</f>
        <v>446</v>
      </c>
      <c r="I172" s="923">
        <f>(H172/G172)*100</f>
        <v>100</v>
      </c>
    </row>
    <row r="173" spans="1:9" ht="14.25" x14ac:dyDescent="0.2">
      <c r="A173" s="435"/>
      <c r="B173" s="705"/>
      <c r="C173" s="910"/>
      <c r="D173" s="578" t="s">
        <v>641</v>
      </c>
      <c r="E173" s="1679" t="s">
        <v>883</v>
      </c>
      <c r="F173" s="903">
        <v>38</v>
      </c>
      <c r="G173" s="903">
        <v>38</v>
      </c>
      <c r="H173" s="903">
        <v>38</v>
      </c>
      <c r="I173" s="893">
        <f t="shared" ref="I173:I184" si="8">(H173/G173)*100</f>
        <v>100</v>
      </c>
    </row>
    <row r="174" spans="1:9" ht="14.25" x14ac:dyDescent="0.2">
      <c r="A174" s="435"/>
      <c r="B174" s="705"/>
      <c r="C174" s="910"/>
      <c r="D174" s="578" t="s">
        <v>636</v>
      </c>
      <c r="E174" s="474" t="s">
        <v>72</v>
      </c>
      <c r="F174" s="903">
        <v>348</v>
      </c>
      <c r="G174" s="903">
        <v>346</v>
      </c>
      <c r="H174" s="903">
        <v>346</v>
      </c>
      <c r="I174" s="893">
        <f t="shared" si="8"/>
        <v>100</v>
      </c>
    </row>
    <row r="175" spans="1:9" ht="18" customHeight="1" x14ac:dyDescent="0.2">
      <c r="A175" s="435"/>
      <c r="B175" s="705"/>
      <c r="C175" s="910"/>
      <c r="D175" s="578" t="s">
        <v>735</v>
      </c>
      <c r="E175" s="474" t="s">
        <v>76</v>
      </c>
      <c r="F175" s="903">
        <v>60</v>
      </c>
      <c r="G175" s="903">
        <v>62</v>
      </c>
      <c r="H175" s="903">
        <v>62</v>
      </c>
      <c r="I175" s="893">
        <f t="shared" si="8"/>
        <v>100</v>
      </c>
    </row>
    <row r="176" spans="1:9" ht="15" x14ac:dyDescent="0.25">
      <c r="A176" s="435">
        <v>1015</v>
      </c>
      <c r="B176" s="705">
        <v>3142</v>
      </c>
      <c r="C176" s="910">
        <v>5336</v>
      </c>
      <c r="D176" s="578"/>
      <c r="E176" s="704" t="s">
        <v>1657</v>
      </c>
      <c r="F176" s="916"/>
      <c r="G176" s="916">
        <v>651</v>
      </c>
      <c r="H176" s="916">
        <v>651</v>
      </c>
      <c r="I176" s="923">
        <f t="shared" si="8"/>
        <v>100</v>
      </c>
    </row>
    <row r="177" spans="1:20" ht="14.25" x14ac:dyDescent="0.2">
      <c r="A177" s="435"/>
      <c r="B177" s="705"/>
      <c r="C177" s="910"/>
      <c r="D177" s="578" t="s">
        <v>1267</v>
      </c>
      <c r="E177" s="474" t="s">
        <v>882</v>
      </c>
      <c r="F177" s="903"/>
      <c r="G177" s="903">
        <v>651</v>
      </c>
      <c r="H177" s="903">
        <v>651</v>
      </c>
      <c r="I177" s="893">
        <f t="shared" si="8"/>
        <v>100</v>
      </c>
    </row>
    <row r="178" spans="1:20" ht="15" x14ac:dyDescent="0.25">
      <c r="A178" s="435">
        <v>1015</v>
      </c>
      <c r="B178" s="705">
        <v>3145</v>
      </c>
      <c r="C178" s="1550">
        <v>5331</v>
      </c>
      <c r="D178" s="944"/>
      <c r="E178" s="854" t="s">
        <v>1066</v>
      </c>
      <c r="F178" s="916">
        <f>SUM(F179:F181)</f>
        <v>204</v>
      </c>
      <c r="G178" s="916">
        <v>204</v>
      </c>
      <c r="H178" s="916">
        <v>204</v>
      </c>
      <c r="I178" s="923">
        <f t="shared" si="8"/>
        <v>100</v>
      </c>
    </row>
    <row r="179" spans="1:20" ht="14.25" x14ac:dyDescent="0.2">
      <c r="A179" s="435"/>
      <c r="B179" s="705"/>
      <c r="C179" s="910"/>
      <c r="D179" s="578" t="s">
        <v>636</v>
      </c>
      <c r="E179" s="474" t="s">
        <v>72</v>
      </c>
      <c r="F179" s="903">
        <v>204</v>
      </c>
      <c r="G179" s="903">
        <v>204</v>
      </c>
      <c r="H179" s="903">
        <v>204</v>
      </c>
      <c r="I179" s="893">
        <f t="shared" si="8"/>
        <v>100</v>
      </c>
    </row>
    <row r="180" spans="1:20" ht="20.25" customHeight="1" x14ac:dyDescent="0.25">
      <c r="A180" s="435">
        <v>1015</v>
      </c>
      <c r="B180" s="705">
        <v>3145</v>
      </c>
      <c r="C180" s="910">
        <v>5336</v>
      </c>
      <c r="D180" s="578"/>
      <c r="E180" s="704" t="s">
        <v>1657</v>
      </c>
      <c r="F180" s="916"/>
      <c r="G180" s="916">
        <v>1453</v>
      </c>
      <c r="H180" s="916">
        <v>1453</v>
      </c>
      <c r="I180" s="923">
        <f t="shared" si="8"/>
        <v>100</v>
      </c>
    </row>
    <row r="181" spans="1:20" ht="14.25" x14ac:dyDescent="0.2">
      <c r="A181" s="435"/>
      <c r="B181" s="705"/>
      <c r="C181" s="910"/>
      <c r="D181" s="578" t="s">
        <v>1267</v>
      </c>
      <c r="E181" s="474" t="s">
        <v>882</v>
      </c>
      <c r="F181" s="903"/>
      <c r="G181" s="903">
        <v>1453</v>
      </c>
      <c r="H181" s="903">
        <v>1453</v>
      </c>
      <c r="I181" s="893">
        <f t="shared" si="8"/>
        <v>100</v>
      </c>
    </row>
    <row r="182" spans="1:20" ht="13.5" customHeight="1" x14ac:dyDescent="0.25">
      <c r="A182" s="435">
        <v>1015</v>
      </c>
      <c r="B182" s="705">
        <v>3293</v>
      </c>
      <c r="C182" s="1550">
        <v>5331</v>
      </c>
      <c r="D182" s="944"/>
      <c r="E182" s="854" t="s">
        <v>1066</v>
      </c>
      <c r="F182" s="916"/>
      <c r="G182" s="916">
        <v>19</v>
      </c>
      <c r="H182" s="916">
        <v>19</v>
      </c>
      <c r="I182" s="923">
        <f t="shared" si="8"/>
        <v>100</v>
      </c>
    </row>
    <row r="183" spans="1:20" ht="13.5" customHeight="1" thickBot="1" x14ac:dyDescent="0.25">
      <c r="A183" s="435"/>
      <c r="B183" s="705"/>
      <c r="C183" s="1556"/>
      <c r="D183" s="805" t="s">
        <v>1270</v>
      </c>
      <c r="E183" s="1694" t="s">
        <v>62</v>
      </c>
      <c r="F183" s="903"/>
      <c r="G183" s="903">
        <v>19</v>
      </c>
      <c r="H183" s="903">
        <v>19</v>
      </c>
      <c r="I183" s="893">
        <f t="shared" si="8"/>
        <v>100</v>
      </c>
    </row>
    <row r="184" spans="1:20" ht="13.5" customHeight="1" thickTop="1" thickBot="1" x14ac:dyDescent="0.3">
      <c r="A184" s="2739" t="s">
        <v>1246</v>
      </c>
      <c r="B184" s="2740"/>
      <c r="C184" s="2740"/>
      <c r="D184" s="2740"/>
      <c r="E184" s="2740"/>
      <c r="F184" s="894">
        <f>SUM(F164,F182,F172,F178)</f>
        <v>3072</v>
      </c>
      <c r="G184" s="894">
        <f>SUM(G164,G182,G172,G178,G168,G176,G180)</f>
        <v>22839</v>
      </c>
      <c r="H184" s="894">
        <f>SUM(H164,H182,H172,H178,H168,H176,H180)</f>
        <v>22839</v>
      </c>
      <c r="I184" s="895">
        <f t="shared" si="8"/>
        <v>100</v>
      </c>
      <c r="R184" s="385">
        <f>F184</f>
        <v>3072</v>
      </c>
      <c r="S184" s="385">
        <f>G184</f>
        <v>22839</v>
      </c>
      <c r="T184" s="385">
        <f>H184</f>
        <v>22839</v>
      </c>
    </row>
    <row r="185" spans="1:20" ht="13.5" customHeight="1" thickTop="1" x14ac:dyDescent="0.2">
      <c r="C185" s="1555"/>
      <c r="D185" s="972"/>
    </row>
    <row r="186" spans="1:20" ht="13.5" thickBot="1" x14ac:dyDescent="0.25">
      <c r="A186" s="439" t="s">
        <v>821</v>
      </c>
      <c r="I186" s="1548" t="s">
        <v>179</v>
      </c>
    </row>
    <row r="187" spans="1:20" s="107" customFormat="1" thickTop="1" thickBot="1" x14ac:dyDescent="0.25">
      <c r="A187" s="714" t="s">
        <v>692</v>
      </c>
      <c r="B187" s="717" t="s">
        <v>180</v>
      </c>
      <c r="C187" s="715" t="s">
        <v>181</v>
      </c>
      <c r="D187" s="718" t="s">
        <v>783</v>
      </c>
      <c r="E187" s="660" t="s">
        <v>182</v>
      </c>
      <c r="F187" s="718" t="s">
        <v>183</v>
      </c>
      <c r="G187" s="718" t="s">
        <v>985</v>
      </c>
      <c r="H187" s="718" t="s">
        <v>986</v>
      </c>
      <c r="I187" s="888" t="s">
        <v>987</v>
      </c>
    </row>
    <row r="188" spans="1:20" s="386" customFormat="1" ht="13.5" thickTop="1" thickBot="1" x14ac:dyDescent="0.25">
      <c r="A188" s="592">
        <v>1</v>
      </c>
      <c r="B188" s="593">
        <v>2</v>
      </c>
      <c r="C188" s="593">
        <v>3</v>
      </c>
      <c r="D188" s="593">
        <v>4</v>
      </c>
      <c r="E188" s="593">
        <v>5</v>
      </c>
      <c r="F188" s="567">
        <v>6</v>
      </c>
      <c r="G188" s="567">
        <v>7</v>
      </c>
      <c r="H188" s="568">
        <v>8</v>
      </c>
      <c r="I188" s="662" t="s">
        <v>848</v>
      </c>
    </row>
    <row r="189" spans="1:20" s="107" customFormat="1" ht="20.25" customHeight="1" thickTop="1" x14ac:dyDescent="0.25">
      <c r="A189" s="945">
        <v>1016</v>
      </c>
      <c r="B189" s="946">
        <v>3112</v>
      </c>
      <c r="C189" s="947">
        <v>5331</v>
      </c>
      <c r="D189" s="718"/>
      <c r="E189" s="854" t="s">
        <v>1066</v>
      </c>
      <c r="F189" s="948">
        <f>F190+F191</f>
        <v>1115</v>
      </c>
      <c r="G189" s="948">
        <f>SUM(G190:G191)</f>
        <v>1115</v>
      </c>
      <c r="H189" s="948">
        <f>SUM(H190:H191)</f>
        <v>1115</v>
      </c>
      <c r="I189" s="923">
        <f t="shared" ref="I189:I227" si="9">(H189/G189)*100</f>
        <v>100</v>
      </c>
    </row>
    <row r="190" spans="1:20" s="107" customFormat="1" ht="14.25" x14ac:dyDescent="0.2">
      <c r="A190" s="949"/>
      <c r="B190" s="950"/>
      <c r="C190" s="951"/>
      <c r="D190" s="743" t="s">
        <v>641</v>
      </c>
      <c r="E190" s="1679" t="s">
        <v>883</v>
      </c>
      <c r="F190" s="952">
        <v>114</v>
      </c>
      <c r="G190" s="952">
        <v>114</v>
      </c>
      <c r="H190" s="952">
        <v>114</v>
      </c>
      <c r="I190" s="924">
        <f t="shared" si="9"/>
        <v>100</v>
      </c>
    </row>
    <row r="191" spans="1:20" s="107" customFormat="1" ht="14.25" x14ac:dyDescent="0.2">
      <c r="A191" s="949"/>
      <c r="B191" s="950"/>
      <c r="C191" s="951"/>
      <c r="D191" s="578" t="s">
        <v>636</v>
      </c>
      <c r="E191" s="474" t="s">
        <v>72</v>
      </c>
      <c r="F191" s="952">
        <v>1001</v>
      </c>
      <c r="G191" s="952">
        <v>1001</v>
      </c>
      <c r="H191" s="952">
        <v>1001</v>
      </c>
      <c r="I191" s="924">
        <f t="shared" si="9"/>
        <v>100</v>
      </c>
    </row>
    <row r="192" spans="1:20" s="107" customFormat="1" ht="15" x14ac:dyDescent="0.25">
      <c r="A192" s="435">
        <v>1016</v>
      </c>
      <c r="B192" s="808">
        <v>3112</v>
      </c>
      <c r="C192" s="808">
        <v>5336</v>
      </c>
      <c r="D192" s="929"/>
      <c r="E192" s="704" t="s">
        <v>1657</v>
      </c>
      <c r="F192" s="959"/>
      <c r="G192" s="959">
        <v>6159</v>
      </c>
      <c r="H192" s="959">
        <v>6159</v>
      </c>
      <c r="I192" s="923">
        <f t="shared" si="9"/>
        <v>100</v>
      </c>
    </row>
    <row r="193" spans="1:9" s="107" customFormat="1" ht="14.25" x14ac:dyDescent="0.2">
      <c r="A193" s="949"/>
      <c r="B193" s="950"/>
      <c r="C193" s="951"/>
      <c r="D193" s="578" t="s">
        <v>1267</v>
      </c>
      <c r="E193" s="474" t="s">
        <v>882</v>
      </c>
      <c r="F193" s="952"/>
      <c r="G193" s="952">
        <v>6159</v>
      </c>
      <c r="H193" s="952">
        <v>6159</v>
      </c>
      <c r="I193" s="924">
        <f t="shared" si="9"/>
        <v>100</v>
      </c>
    </row>
    <row r="194" spans="1:9" ht="15" x14ac:dyDescent="0.25">
      <c r="A194" s="435">
        <v>1016</v>
      </c>
      <c r="B194" s="808">
        <v>3114</v>
      </c>
      <c r="C194" s="808">
        <v>5331</v>
      </c>
      <c r="D194" s="929"/>
      <c r="E194" s="704" t="s">
        <v>1066</v>
      </c>
      <c r="F194" s="916">
        <f>SUM(F195:F196)</f>
        <v>1442</v>
      </c>
      <c r="G194" s="916">
        <f>SUM(G195:G196,G197:G197)</f>
        <v>1679</v>
      </c>
      <c r="H194" s="916">
        <f>SUM(H195:H196,H197:H197)</f>
        <v>1679</v>
      </c>
      <c r="I194" s="908">
        <f t="shared" si="9"/>
        <v>100</v>
      </c>
    </row>
    <row r="195" spans="1:9" ht="14.25" x14ac:dyDescent="0.2">
      <c r="A195" s="435"/>
      <c r="B195" s="808"/>
      <c r="C195" s="808"/>
      <c r="D195" s="743" t="s">
        <v>641</v>
      </c>
      <c r="E195" s="1679" t="s">
        <v>883</v>
      </c>
      <c r="F195" s="907">
        <v>427</v>
      </c>
      <c r="G195" s="907">
        <v>616</v>
      </c>
      <c r="H195" s="907">
        <v>616</v>
      </c>
      <c r="I195" s="378">
        <f t="shared" si="9"/>
        <v>100</v>
      </c>
    </row>
    <row r="196" spans="1:9" ht="14.25" x14ac:dyDescent="0.2">
      <c r="A196" s="435"/>
      <c r="B196" s="808"/>
      <c r="C196" s="808"/>
      <c r="D196" s="578" t="s">
        <v>636</v>
      </c>
      <c r="E196" s="474" t="s">
        <v>72</v>
      </c>
      <c r="F196" s="907">
        <v>1015</v>
      </c>
      <c r="G196" s="907">
        <v>1015</v>
      </c>
      <c r="H196" s="907">
        <v>1015</v>
      </c>
      <c r="I196" s="378">
        <f t="shared" si="9"/>
        <v>100</v>
      </c>
    </row>
    <row r="197" spans="1:9" ht="28.5" x14ac:dyDescent="0.2">
      <c r="A197" s="435"/>
      <c r="B197" s="808"/>
      <c r="C197" s="808"/>
      <c r="D197" s="1178" t="s">
        <v>889</v>
      </c>
      <c r="E197" s="1695" t="s">
        <v>1661</v>
      </c>
      <c r="F197" s="907"/>
      <c r="G197" s="907">
        <v>48</v>
      </c>
      <c r="H197" s="907">
        <v>48</v>
      </c>
      <c r="I197" s="378">
        <f t="shared" si="9"/>
        <v>100</v>
      </c>
    </row>
    <row r="198" spans="1:9" ht="15" x14ac:dyDescent="0.25">
      <c r="A198" s="435">
        <v>1016</v>
      </c>
      <c r="B198" s="808">
        <v>3114</v>
      </c>
      <c r="C198" s="808">
        <v>5336</v>
      </c>
      <c r="D198" s="594"/>
      <c r="E198" s="704" t="s">
        <v>1657</v>
      </c>
      <c r="F198" s="916"/>
      <c r="G198" s="916">
        <f>G200+G201+G199</f>
        <v>10424</v>
      </c>
      <c r="H198" s="916">
        <f>H200+H201+H199</f>
        <v>10424</v>
      </c>
      <c r="I198" s="908">
        <f t="shared" si="9"/>
        <v>100</v>
      </c>
    </row>
    <row r="199" spans="1:9" ht="15" x14ac:dyDescent="0.25">
      <c r="A199" s="435"/>
      <c r="B199" s="808"/>
      <c r="C199" s="808"/>
      <c r="D199" s="578" t="s">
        <v>1267</v>
      </c>
      <c r="E199" s="474" t="s">
        <v>882</v>
      </c>
      <c r="F199" s="916"/>
      <c r="G199" s="907">
        <v>10100</v>
      </c>
      <c r="H199" s="907">
        <v>10100</v>
      </c>
      <c r="I199" s="378">
        <f t="shared" si="9"/>
        <v>100</v>
      </c>
    </row>
    <row r="200" spans="1:9" ht="14.25" x14ac:dyDescent="0.2">
      <c r="A200" s="435"/>
      <c r="B200" s="808"/>
      <c r="C200" s="808"/>
      <c r="D200" s="594" t="s">
        <v>1046</v>
      </c>
      <c r="E200" s="938" t="s">
        <v>1658</v>
      </c>
      <c r="F200" s="907"/>
      <c r="G200" s="907">
        <v>49</v>
      </c>
      <c r="H200" s="907">
        <v>49</v>
      </c>
      <c r="I200" s="378">
        <f t="shared" si="9"/>
        <v>100</v>
      </c>
    </row>
    <row r="201" spans="1:9" ht="14.25" x14ac:dyDescent="0.2">
      <c r="A201" s="435"/>
      <c r="B201" s="808"/>
      <c r="C201" s="808"/>
      <c r="D201" s="594" t="s">
        <v>1048</v>
      </c>
      <c r="E201" s="938" t="s">
        <v>1659</v>
      </c>
      <c r="F201" s="907"/>
      <c r="G201" s="907">
        <v>275</v>
      </c>
      <c r="H201" s="907">
        <v>275</v>
      </c>
      <c r="I201" s="378">
        <f t="shared" si="9"/>
        <v>100</v>
      </c>
    </row>
    <row r="202" spans="1:9" ht="15.75" customHeight="1" x14ac:dyDescent="0.25">
      <c r="A202" s="435">
        <v>1016</v>
      </c>
      <c r="B202" s="808">
        <v>3124</v>
      </c>
      <c r="C202" s="1551">
        <v>5331</v>
      </c>
      <c r="D202" s="912"/>
      <c r="E202" s="704" t="s">
        <v>1066</v>
      </c>
      <c r="F202" s="916">
        <f>F203</f>
        <v>130</v>
      </c>
      <c r="G202" s="916">
        <v>130</v>
      </c>
      <c r="H202" s="916">
        <v>130</v>
      </c>
      <c r="I202" s="908">
        <f t="shared" si="9"/>
        <v>100</v>
      </c>
    </row>
    <row r="203" spans="1:9" ht="15.75" customHeight="1" thickBot="1" x14ac:dyDescent="0.25">
      <c r="A203" s="1552"/>
      <c r="B203" s="962"/>
      <c r="C203" s="1553"/>
      <c r="D203" s="757" t="s">
        <v>636</v>
      </c>
      <c r="E203" s="476" t="s">
        <v>72</v>
      </c>
      <c r="F203" s="977">
        <v>130</v>
      </c>
      <c r="G203" s="977">
        <v>130</v>
      </c>
      <c r="H203" s="977">
        <v>130</v>
      </c>
      <c r="I203" s="978">
        <f t="shared" si="9"/>
        <v>100</v>
      </c>
    </row>
    <row r="204" spans="1:9" ht="14.25" thickTop="1" thickBot="1" x14ac:dyDescent="0.25">
      <c r="A204" s="439"/>
      <c r="I204" s="1548" t="s">
        <v>179</v>
      </c>
    </row>
    <row r="205" spans="1:9" s="107" customFormat="1" thickTop="1" thickBot="1" x14ac:dyDescent="0.25">
      <c r="A205" s="714" t="s">
        <v>692</v>
      </c>
      <c r="B205" s="717" t="s">
        <v>180</v>
      </c>
      <c r="C205" s="715" t="s">
        <v>181</v>
      </c>
      <c r="D205" s="718" t="s">
        <v>783</v>
      </c>
      <c r="E205" s="660" t="s">
        <v>182</v>
      </c>
      <c r="F205" s="718" t="s">
        <v>183</v>
      </c>
      <c r="G205" s="718" t="s">
        <v>985</v>
      </c>
      <c r="H205" s="718" t="s">
        <v>986</v>
      </c>
      <c r="I205" s="888" t="s">
        <v>987</v>
      </c>
    </row>
    <row r="206" spans="1:9" s="386" customFormat="1" ht="13.5" thickTop="1" thickBot="1" x14ac:dyDescent="0.25">
      <c r="A206" s="592">
        <v>1</v>
      </c>
      <c r="B206" s="593">
        <v>2</v>
      </c>
      <c r="C206" s="593">
        <v>3</v>
      </c>
      <c r="D206" s="593">
        <v>4</v>
      </c>
      <c r="E206" s="593">
        <v>5</v>
      </c>
      <c r="F206" s="567">
        <v>6</v>
      </c>
      <c r="G206" s="567">
        <v>7</v>
      </c>
      <c r="H206" s="568">
        <v>8</v>
      </c>
      <c r="I206" s="662" t="s">
        <v>848</v>
      </c>
    </row>
    <row r="207" spans="1:9" ht="15.75" customHeight="1" thickTop="1" x14ac:dyDescent="0.25">
      <c r="A207" s="435">
        <v>1016</v>
      </c>
      <c r="B207" s="808">
        <v>3124</v>
      </c>
      <c r="C207" s="808">
        <v>5336</v>
      </c>
      <c r="D207" s="929"/>
      <c r="E207" s="704" t="s">
        <v>1657</v>
      </c>
      <c r="F207" s="916"/>
      <c r="G207" s="916">
        <f>G208+G209+G210</f>
        <v>6149</v>
      </c>
      <c r="H207" s="916">
        <f>H208+H209+H210</f>
        <v>6149</v>
      </c>
      <c r="I207" s="908">
        <f t="shared" si="9"/>
        <v>100</v>
      </c>
    </row>
    <row r="208" spans="1:9" ht="14.25" x14ac:dyDescent="0.2">
      <c r="A208" s="435"/>
      <c r="B208" s="808"/>
      <c r="C208" s="1551"/>
      <c r="D208" s="578" t="s">
        <v>1267</v>
      </c>
      <c r="E208" s="474" t="s">
        <v>882</v>
      </c>
      <c r="F208" s="907"/>
      <c r="G208" s="907">
        <v>5883</v>
      </c>
      <c r="H208" s="907">
        <v>5883</v>
      </c>
      <c r="I208" s="378">
        <f t="shared" si="9"/>
        <v>100</v>
      </c>
    </row>
    <row r="209" spans="1:9" ht="14.25" x14ac:dyDescent="0.2">
      <c r="A209" s="435"/>
      <c r="B209" s="808"/>
      <c r="C209" s="1551"/>
      <c r="D209" s="1569" t="s">
        <v>1771</v>
      </c>
      <c r="E209" s="1561" t="s">
        <v>1908</v>
      </c>
      <c r="F209" s="907"/>
      <c r="G209" s="907">
        <v>40</v>
      </c>
      <c r="H209" s="907">
        <v>40</v>
      </c>
      <c r="I209" s="378">
        <f t="shared" si="9"/>
        <v>100</v>
      </c>
    </row>
    <row r="210" spans="1:9" ht="15.75" customHeight="1" x14ac:dyDescent="0.2">
      <c r="A210" s="435"/>
      <c r="B210" s="808"/>
      <c r="C210" s="1551"/>
      <c r="D210" s="1569" t="s">
        <v>1773</v>
      </c>
      <c r="E210" s="1561" t="s">
        <v>1908</v>
      </c>
      <c r="F210" s="907"/>
      <c r="G210" s="907">
        <v>226</v>
      </c>
      <c r="H210" s="907">
        <v>226</v>
      </c>
      <c r="I210" s="378">
        <f t="shared" si="9"/>
        <v>100</v>
      </c>
    </row>
    <row r="211" spans="1:9" ht="15.75" customHeight="1" x14ac:dyDescent="0.25">
      <c r="A211" s="435">
        <v>1016</v>
      </c>
      <c r="B211" s="808">
        <v>3141</v>
      </c>
      <c r="C211" s="1551">
        <v>5336</v>
      </c>
      <c r="D211" s="578"/>
      <c r="E211" s="704" t="s">
        <v>1657</v>
      </c>
      <c r="F211" s="916"/>
      <c r="G211" s="916">
        <v>653</v>
      </c>
      <c r="H211" s="916">
        <v>653</v>
      </c>
      <c r="I211" s="908">
        <f t="shared" si="9"/>
        <v>100</v>
      </c>
    </row>
    <row r="212" spans="1:9" ht="15.75" customHeight="1" x14ac:dyDescent="0.2">
      <c r="A212" s="435"/>
      <c r="B212" s="808"/>
      <c r="C212" s="1551"/>
      <c r="D212" s="578" t="s">
        <v>1267</v>
      </c>
      <c r="E212" s="474" t="s">
        <v>882</v>
      </c>
      <c r="F212" s="907"/>
      <c r="G212" s="907">
        <v>653</v>
      </c>
      <c r="H212" s="907">
        <v>653</v>
      </c>
      <c r="I212" s="378">
        <f t="shared" si="9"/>
        <v>100</v>
      </c>
    </row>
    <row r="213" spans="1:9" ht="15.75" customHeight="1" x14ac:dyDescent="0.25">
      <c r="A213" s="435">
        <v>1016</v>
      </c>
      <c r="B213" s="808">
        <v>3142</v>
      </c>
      <c r="C213" s="1550">
        <v>5331</v>
      </c>
      <c r="D213" s="899"/>
      <c r="E213" s="854" t="s">
        <v>1066</v>
      </c>
      <c r="F213" s="921">
        <f>SUM(F214:F216)</f>
        <v>455</v>
      </c>
      <c r="G213" s="921">
        <v>455</v>
      </c>
      <c r="H213" s="916">
        <v>455</v>
      </c>
      <c r="I213" s="923">
        <f t="shared" si="9"/>
        <v>100</v>
      </c>
    </row>
    <row r="214" spans="1:9" ht="18" customHeight="1" x14ac:dyDescent="0.2">
      <c r="A214" s="435"/>
      <c r="B214" s="705"/>
      <c r="C214" s="1550"/>
      <c r="D214" s="578" t="s">
        <v>636</v>
      </c>
      <c r="E214" s="474" t="s">
        <v>72</v>
      </c>
      <c r="F214" s="357">
        <v>455</v>
      </c>
      <c r="G214" s="357">
        <v>455</v>
      </c>
      <c r="H214" s="357">
        <v>455</v>
      </c>
      <c r="I214" s="924">
        <f t="shared" si="9"/>
        <v>100</v>
      </c>
    </row>
    <row r="215" spans="1:9" ht="15.75" customHeight="1" x14ac:dyDescent="0.25">
      <c r="A215" s="435">
        <v>1016</v>
      </c>
      <c r="B215" s="808">
        <v>3142</v>
      </c>
      <c r="C215" s="1551">
        <v>5336</v>
      </c>
      <c r="D215" s="578"/>
      <c r="E215" s="704" t="s">
        <v>1657</v>
      </c>
      <c r="F215" s="921"/>
      <c r="G215" s="921">
        <v>450</v>
      </c>
      <c r="H215" s="921">
        <v>450</v>
      </c>
      <c r="I215" s="923">
        <f t="shared" si="9"/>
        <v>100</v>
      </c>
    </row>
    <row r="216" spans="1:9" ht="15.75" customHeight="1" x14ac:dyDescent="0.2">
      <c r="A216" s="435"/>
      <c r="B216" s="705"/>
      <c r="C216" s="1550"/>
      <c r="D216" s="578" t="s">
        <v>1267</v>
      </c>
      <c r="E216" s="474" t="s">
        <v>882</v>
      </c>
      <c r="F216" s="357"/>
      <c r="G216" s="357">
        <v>450</v>
      </c>
      <c r="H216" s="357">
        <v>450</v>
      </c>
      <c r="I216" s="924">
        <f t="shared" si="9"/>
        <v>100</v>
      </c>
    </row>
    <row r="217" spans="1:9" ht="12" customHeight="1" x14ac:dyDescent="0.25">
      <c r="A217" s="435">
        <v>1016</v>
      </c>
      <c r="B217" s="705">
        <v>3143</v>
      </c>
      <c r="C217" s="1550">
        <v>5331</v>
      </c>
      <c r="D217" s="899"/>
      <c r="E217" s="854" t="s">
        <v>1066</v>
      </c>
      <c r="F217" s="921">
        <f>F218</f>
        <v>50</v>
      </c>
      <c r="G217" s="921">
        <v>50</v>
      </c>
      <c r="H217" s="921">
        <v>50</v>
      </c>
      <c r="I217" s="923">
        <f t="shared" si="9"/>
        <v>100</v>
      </c>
    </row>
    <row r="218" spans="1:9" ht="14.25" x14ac:dyDescent="0.2">
      <c r="A218" s="435"/>
      <c r="B218" s="705"/>
      <c r="C218" s="1550"/>
      <c r="D218" s="578" t="s">
        <v>636</v>
      </c>
      <c r="E218" s="474" t="s">
        <v>72</v>
      </c>
      <c r="F218" s="357">
        <v>50</v>
      </c>
      <c r="G218" s="953">
        <v>50</v>
      </c>
      <c r="H218" s="357">
        <v>50</v>
      </c>
      <c r="I218" s="378">
        <f t="shared" si="9"/>
        <v>100</v>
      </c>
    </row>
    <row r="219" spans="1:9" ht="20.25" customHeight="1" x14ac:dyDescent="0.25">
      <c r="A219" s="435">
        <v>1016</v>
      </c>
      <c r="B219" s="808">
        <v>3143</v>
      </c>
      <c r="C219" s="1551">
        <v>5336</v>
      </c>
      <c r="D219" s="578"/>
      <c r="E219" s="704" t="s">
        <v>1657</v>
      </c>
      <c r="F219" s="921"/>
      <c r="G219" s="993">
        <v>552</v>
      </c>
      <c r="H219" s="921">
        <v>552</v>
      </c>
      <c r="I219" s="908">
        <f t="shared" si="9"/>
        <v>100</v>
      </c>
    </row>
    <row r="220" spans="1:9" s="1555" customFormat="1" ht="14.25" x14ac:dyDescent="0.2">
      <c r="A220" s="435"/>
      <c r="B220" s="705"/>
      <c r="C220" s="1550"/>
      <c r="D220" s="578" t="s">
        <v>1267</v>
      </c>
      <c r="E220" s="474" t="s">
        <v>882</v>
      </c>
      <c r="F220" s="357"/>
      <c r="G220" s="953">
        <v>552</v>
      </c>
      <c r="H220" s="357">
        <v>552</v>
      </c>
      <c r="I220" s="378">
        <f t="shared" si="9"/>
        <v>100</v>
      </c>
    </row>
    <row r="221" spans="1:9" s="1555" customFormat="1" ht="15" x14ac:dyDescent="0.25">
      <c r="A221" s="435">
        <v>1016</v>
      </c>
      <c r="B221" s="705">
        <v>3145</v>
      </c>
      <c r="C221" s="1550">
        <v>5331</v>
      </c>
      <c r="D221" s="899"/>
      <c r="E221" s="854" t="s">
        <v>1066</v>
      </c>
      <c r="F221" s="916">
        <f>F222</f>
        <v>352</v>
      </c>
      <c r="G221" s="921">
        <v>352</v>
      </c>
      <c r="H221" s="921">
        <v>352</v>
      </c>
      <c r="I221" s="923">
        <f t="shared" si="9"/>
        <v>100</v>
      </c>
    </row>
    <row r="222" spans="1:9" s="1555" customFormat="1" ht="14.25" x14ac:dyDescent="0.2">
      <c r="A222" s="435"/>
      <c r="B222" s="705"/>
      <c r="C222" s="1550"/>
      <c r="D222" s="578" t="s">
        <v>636</v>
      </c>
      <c r="E222" s="474" t="s">
        <v>72</v>
      </c>
      <c r="F222" s="907">
        <v>352</v>
      </c>
      <c r="G222" s="357">
        <v>352</v>
      </c>
      <c r="H222" s="907">
        <v>352</v>
      </c>
      <c r="I222" s="378">
        <f t="shared" si="9"/>
        <v>100</v>
      </c>
    </row>
    <row r="223" spans="1:9" s="1555" customFormat="1" ht="15" x14ac:dyDescent="0.25">
      <c r="A223" s="435">
        <v>1016</v>
      </c>
      <c r="B223" s="808">
        <v>3145</v>
      </c>
      <c r="C223" s="1551">
        <v>5336</v>
      </c>
      <c r="D223" s="578"/>
      <c r="E223" s="704" t="s">
        <v>1657</v>
      </c>
      <c r="F223" s="916"/>
      <c r="G223" s="921">
        <v>977</v>
      </c>
      <c r="H223" s="916">
        <v>977</v>
      </c>
      <c r="I223" s="908">
        <f t="shared" si="9"/>
        <v>100</v>
      </c>
    </row>
    <row r="224" spans="1:9" s="1555" customFormat="1" ht="14.25" x14ac:dyDescent="0.2">
      <c r="A224" s="435"/>
      <c r="B224" s="705"/>
      <c r="C224" s="1550"/>
      <c r="D224" s="578" t="s">
        <v>1267</v>
      </c>
      <c r="E224" s="474" t="s">
        <v>882</v>
      </c>
      <c r="F224" s="907"/>
      <c r="G224" s="357">
        <v>977</v>
      </c>
      <c r="H224" s="907">
        <v>977</v>
      </c>
      <c r="I224" s="378">
        <f t="shared" si="9"/>
        <v>100</v>
      </c>
    </row>
    <row r="225" spans="1:20" s="1555" customFormat="1" ht="15" x14ac:dyDescent="0.25">
      <c r="A225" s="435">
        <v>1016</v>
      </c>
      <c r="B225" s="705">
        <v>3293</v>
      </c>
      <c r="C225" s="1550">
        <v>5331</v>
      </c>
      <c r="D225" s="578"/>
      <c r="E225" s="854" t="s">
        <v>1066</v>
      </c>
      <c r="F225" s="907"/>
      <c r="G225" s="921">
        <v>4</v>
      </c>
      <c r="H225" s="916">
        <v>4</v>
      </c>
      <c r="I225" s="908">
        <f t="shared" si="9"/>
        <v>100</v>
      </c>
    </row>
    <row r="226" spans="1:20" s="1555" customFormat="1" ht="15" thickBot="1" x14ac:dyDescent="0.25">
      <c r="A226" s="1552"/>
      <c r="B226" s="706"/>
      <c r="C226" s="1560"/>
      <c r="D226" s="2586" t="s">
        <v>1270</v>
      </c>
      <c r="E226" s="2587" t="s">
        <v>1909</v>
      </c>
      <c r="F226" s="977"/>
      <c r="G226" s="471">
        <v>4</v>
      </c>
      <c r="H226" s="977">
        <v>4</v>
      </c>
      <c r="I226" s="978">
        <f t="shared" si="9"/>
        <v>100</v>
      </c>
    </row>
    <row r="227" spans="1:20" ht="16.5" thickTop="1" thickBot="1" x14ac:dyDescent="0.3">
      <c r="A227" s="2751" t="s">
        <v>1246</v>
      </c>
      <c r="B227" s="2750"/>
      <c r="C227" s="2750"/>
      <c r="D227" s="2750"/>
      <c r="E227" s="2750"/>
      <c r="F227" s="954">
        <f>SUM(F194,F213,F189,F217,F202,F221)</f>
        <v>3544</v>
      </c>
      <c r="G227" s="954">
        <f>SUM(G194,G213,G189,G217,G202,G221,G211,G198,G225,G223,G219,G215,G207,G192)</f>
        <v>29149</v>
      </c>
      <c r="H227" s="954">
        <f>SUM(H194,H213,H189,H217,H202,H221,H211,H198,H225,H223,H219,H215,H207,H192)</f>
        <v>29149</v>
      </c>
      <c r="I227" s="955">
        <f t="shared" si="9"/>
        <v>100</v>
      </c>
      <c r="R227" s="385">
        <f>F227</f>
        <v>3544</v>
      </c>
      <c r="S227" s="385">
        <f>G227</f>
        <v>29149</v>
      </c>
      <c r="T227" s="385">
        <f>H227</f>
        <v>29149</v>
      </c>
    </row>
    <row r="228" spans="1:20" ht="15.75" thickTop="1" x14ac:dyDescent="0.25">
      <c r="A228" s="370"/>
      <c r="B228" s="370"/>
      <c r="C228" s="370"/>
      <c r="D228" s="370"/>
      <c r="E228" s="370"/>
      <c r="F228" s="993"/>
      <c r="G228" s="993"/>
      <c r="H228" s="993"/>
      <c r="I228" s="1573"/>
      <c r="R228" s="385"/>
      <c r="S228" s="385"/>
      <c r="T228" s="385"/>
    </row>
    <row r="229" spans="1:20" ht="13.5" thickBot="1" x14ac:dyDescent="0.25">
      <c r="A229" s="439" t="s">
        <v>644</v>
      </c>
      <c r="I229" s="1548" t="s">
        <v>179</v>
      </c>
    </row>
    <row r="230" spans="1:20" s="107" customFormat="1" thickTop="1" thickBot="1" x14ac:dyDescent="0.25">
      <c r="A230" s="657" t="s">
        <v>692</v>
      </c>
      <c r="B230" s="835" t="s">
        <v>180</v>
      </c>
      <c r="C230" s="658" t="s">
        <v>181</v>
      </c>
      <c r="D230" s="660" t="s">
        <v>783</v>
      </c>
      <c r="E230" s="660" t="s">
        <v>182</v>
      </c>
      <c r="F230" s="660" t="s">
        <v>183</v>
      </c>
      <c r="G230" s="660" t="s">
        <v>985</v>
      </c>
      <c r="H230" s="660" t="s">
        <v>986</v>
      </c>
      <c r="I230" s="888" t="s">
        <v>987</v>
      </c>
    </row>
    <row r="231" spans="1:20" s="386" customFormat="1" ht="15.75" customHeight="1" thickTop="1" thickBot="1" x14ac:dyDescent="0.25">
      <c r="A231" s="592">
        <v>1</v>
      </c>
      <c r="B231" s="593">
        <v>2</v>
      </c>
      <c r="C231" s="593">
        <v>3</v>
      </c>
      <c r="D231" s="593">
        <v>4</v>
      </c>
      <c r="E231" s="593">
        <v>5</v>
      </c>
      <c r="F231" s="567">
        <v>6</v>
      </c>
      <c r="G231" s="567">
        <v>7</v>
      </c>
      <c r="H231" s="568">
        <v>8</v>
      </c>
      <c r="I231" s="662" t="s">
        <v>848</v>
      </c>
    </row>
    <row r="232" spans="1:20" ht="15.75" customHeight="1" thickTop="1" x14ac:dyDescent="0.25">
      <c r="A232" s="1549">
        <v>1017</v>
      </c>
      <c r="B232" s="836">
        <v>3114</v>
      </c>
      <c r="C232" s="836">
        <v>5331</v>
      </c>
      <c r="D232" s="909"/>
      <c r="E232" s="956" t="s">
        <v>1066</v>
      </c>
      <c r="F232" s="931">
        <f>SUM(F233:F235)</f>
        <v>1100</v>
      </c>
      <c r="G232" s="931">
        <v>1100</v>
      </c>
      <c r="H232" s="931">
        <v>1100</v>
      </c>
      <c r="I232" s="896">
        <f t="shared" ref="I232:I257" si="10">(H232/G232)*100</f>
        <v>100</v>
      </c>
    </row>
    <row r="233" spans="1:20" ht="15.75" customHeight="1" x14ac:dyDescent="0.2">
      <c r="A233" s="435"/>
      <c r="B233" s="705"/>
      <c r="C233" s="705"/>
      <c r="D233" s="578" t="s">
        <v>636</v>
      </c>
      <c r="E233" s="474" t="s">
        <v>72</v>
      </c>
      <c r="F233" s="897">
        <v>1100</v>
      </c>
      <c r="G233" s="897">
        <v>1100</v>
      </c>
      <c r="H233" s="897">
        <v>1100</v>
      </c>
      <c r="I233" s="893">
        <f t="shared" si="10"/>
        <v>100</v>
      </c>
    </row>
    <row r="234" spans="1:20" ht="15.75" customHeight="1" x14ac:dyDescent="0.25">
      <c r="A234" s="435">
        <v>1017</v>
      </c>
      <c r="B234" s="808">
        <v>3114</v>
      </c>
      <c r="C234" s="808">
        <v>5336</v>
      </c>
      <c r="D234" s="594"/>
      <c r="E234" s="704" t="s">
        <v>1657</v>
      </c>
      <c r="F234" s="897"/>
      <c r="G234" s="916">
        <f>G235+G236+G237</f>
        <v>7916</v>
      </c>
      <c r="H234" s="916">
        <f>H235+H236+H237</f>
        <v>7916</v>
      </c>
      <c r="I234" s="923">
        <f t="shared" si="10"/>
        <v>100</v>
      </c>
    </row>
    <row r="235" spans="1:20" ht="15.75" customHeight="1" x14ac:dyDescent="0.25">
      <c r="A235" s="435"/>
      <c r="B235" s="705"/>
      <c r="C235" s="808"/>
      <c r="D235" s="578" t="s">
        <v>1267</v>
      </c>
      <c r="E235" s="474" t="s">
        <v>882</v>
      </c>
      <c r="F235" s="890"/>
      <c r="G235" s="903">
        <v>7697</v>
      </c>
      <c r="H235" s="903">
        <v>7697</v>
      </c>
      <c r="I235" s="893">
        <f t="shared" si="10"/>
        <v>100</v>
      </c>
    </row>
    <row r="236" spans="1:20" ht="15.75" customHeight="1" x14ac:dyDescent="0.25">
      <c r="A236" s="435"/>
      <c r="B236" s="808"/>
      <c r="C236" s="808"/>
      <c r="D236" s="594" t="s">
        <v>1046</v>
      </c>
      <c r="E236" s="938" t="s">
        <v>1658</v>
      </c>
      <c r="F236" s="905"/>
      <c r="G236" s="903">
        <v>33</v>
      </c>
      <c r="H236" s="903">
        <v>33</v>
      </c>
      <c r="I236" s="898">
        <f t="shared" si="10"/>
        <v>100</v>
      </c>
    </row>
    <row r="237" spans="1:20" ht="15.75" customHeight="1" x14ac:dyDescent="0.25">
      <c r="A237" s="435"/>
      <c r="B237" s="808"/>
      <c r="C237" s="808"/>
      <c r="D237" s="594" t="s">
        <v>1048</v>
      </c>
      <c r="E237" s="938" t="s">
        <v>1659</v>
      </c>
      <c r="F237" s="905"/>
      <c r="G237" s="903">
        <v>186</v>
      </c>
      <c r="H237" s="903">
        <v>186</v>
      </c>
      <c r="I237" s="898">
        <f t="shared" si="10"/>
        <v>100</v>
      </c>
    </row>
    <row r="238" spans="1:20" ht="15.75" customHeight="1" x14ac:dyDescent="0.25">
      <c r="A238" s="435">
        <v>1017</v>
      </c>
      <c r="B238" s="808">
        <v>3124</v>
      </c>
      <c r="C238" s="808">
        <v>5336</v>
      </c>
      <c r="D238" s="594"/>
      <c r="E238" s="704" t="s">
        <v>1657</v>
      </c>
      <c r="F238" s="905"/>
      <c r="G238" s="916">
        <v>288</v>
      </c>
      <c r="H238" s="916">
        <v>288</v>
      </c>
      <c r="I238" s="908">
        <f t="shared" si="10"/>
        <v>100</v>
      </c>
    </row>
    <row r="239" spans="1:20" ht="15.75" customHeight="1" x14ac:dyDescent="0.25">
      <c r="A239" s="435"/>
      <c r="B239" s="808"/>
      <c r="C239" s="808"/>
      <c r="D239" s="578" t="s">
        <v>1267</v>
      </c>
      <c r="E239" s="474" t="s">
        <v>882</v>
      </c>
      <c r="F239" s="905"/>
      <c r="G239" s="903">
        <v>288</v>
      </c>
      <c r="H239" s="903">
        <v>288</v>
      </c>
      <c r="I239" s="898">
        <f t="shared" si="10"/>
        <v>100</v>
      </c>
    </row>
    <row r="240" spans="1:20" ht="15.75" customHeight="1" x14ac:dyDescent="0.25">
      <c r="A240" s="435">
        <v>1017</v>
      </c>
      <c r="B240" s="808">
        <v>3141</v>
      </c>
      <c r="C240" s="1551">
        <v>5331</v>
      </c>
      <c r="D240" s="912"/>
      <c r="E240" s="704" t="s">
        <v>1066</v>
      </c>
      <c r="F240" s="905">
        <f>SUM(F241:F243)</f>
        <v>70</v>
      </c>
      <c r="G240" s="905">
        <v>70</v>
      </c>
      <c r="H240" s="905">
        <v>70</v>
      </c>
      <c r="I240" s="908">
        <f t="shared" si="10"/>
        <v>100</v>
      </c>
    </row>
    <row r="241" spans="1:9" ht="15.75" customHeight="1" x14ac:dyDescent="0.2">
      <c r="A241" s="435"/>
      <c r="B241" s="808"/>
      <c r="C241" s="808"/>
      <c r="D241" s="578" t="s">
        <v>636</v>
      </c>
      <c r="E241" s="474" t="s">
        <v>72</v>
      </c>
      <c r="F241" s="907">
        <v>70</v>
      </c>
      <c r="G241" s="903">
        <v>70</v>
      </c>
      <c r="H241" s="903">
        <v>70</v>
      </c>
      <c r="I241" s="898">
        <f t="shared" si="10"/>
        <v>100</v>
      </c>
    </row>
    <row r="242" spans="1:9" ht="18" customHeight="1" x14ac:dyDescent="0.25">
      <c r="A242" s="435">
        <v>1017</v>
      </c>
      <c r="B242" s="808">
        <v>3141</v>
      </c>
      <c r="C242" s="808">
        <v>5336</v>
      </c>
      <c r="D242" s="594"/>
      <c r="E242" s="704" t="s">
        <v>1657</v>
      </c>
      <c r="F242" s="907"/>
      <c r="G242" s="916">
        <v>18</v>
      </c>
      <c r="H242" s="916">
        <v>18</v>
      </c>
      <c r="I242" s="908">
        <f t="shared" si="10"/>
        <v>100</v>
      </c>
    </row>
    <row r="243" spans="1:9" ht="14.25" x14ac:dyDescent="0.2">
      <c r="A243" s="435"/>
      <c r="B243" s="808"/>
      <c r="C243" s="808"/>
      <c r="D243" s="578" t="s">
        <v>1267</v>
      </c>
      <c r="E243" s="474" t="s">
        <v>882</v>
      </c>
      <c r="F243" s="907"/>
      <c r="G243" s="903">
        <v>18</v>
      </c>
      <c r="H243" s="903">
        <v>18</v>
      </c>
      <c r="I243" s="898">
        <f t="shared" si="10"/>
        <v>100</v>
      </c>
    </row>
    <row r="244" spans="1:9" ht="15" x14ac:dyDescent="0.25">
      <c r="A244" s="435">
        <v>1017</v>
      </c>
      <c r="B244" s="808">
        <v>3143</v>
      </c>
      <c r="C244" s="1551">
        <v>5331</v>
      </c>
      <c r="D244" s="912"/>
      <c r="E244" s="704" t="s">
        <v>1066</v>
      </c>
      <c r="F244" s="905">
        <f>F245</f>
        <v>50</v>
      </c>
      <c r="G244" s="905">
        <v>50</v>
      </c>
      <c r="H244" s="905">
        <v>50</v>
      </c>
      <c r="I244" s="906">
        <f t="shared" si="10"/>
        <v>100</v>
      </c>
    </row>
    <row r="245" spans="1:9" ht="14.25" x14ac:dyDescent="0.2">
      <c r="A245" s="435"/>
      <c r="B245" s="808"/>
      <c r="C245" s="1551"/>
      <c r="D245" s="578" t="s">
        <v>636</v>
      </c>
      <c r="E245" s="474" t="s">
        <v>72</v>
      </c>
      <c r="F245" s="903">
        <v>50</v>
      </c>
      <c r="G245" s="903">
        <v>50</v>
      </c>
      <c r="H245" s="903">
        <v>50</v>
      </c>
      <c r="I245" s="898">
        <f t="shared" si="10"/>
        <v>100</v>
      </c>
    </row>
    <row r="246" spans="1:9" ht="15" x14ac:dyDescent="0.25">
      <c r="A246" s="435">
        <v>1017</v>
      </c>
      <c r="B246" s="808">
        <v>3143</v>
      </c>
      <c r="C246" s="808">
        <v>5336</v>
      </c>
      <c r="D246" s="594"/>
      <c r="E246" s="704" t="s">
        <v>1657</v>
      </c>
      <c r="F246" s="903"/>
      <c r="G246" s="916">
        <v>752</v>
      </c>
      <c r="H246" s="916">
        <v>752</v>
      </c>
      <c r="I246" s="908">
        <f t="shared" si="10"/>
        <v>100</v>
      </c>
    </row>
    <row r="247" spans="1:9" ht="15" x14ac:dyDescent="0.25">
      <c r="A247" s="435"/>
      <c r="B247" s="808"/>
      <c r="C247" s="1551"/>
      <c r="D247" s="578" t="s">
        <v>1267</v>
      </c>
      <c r="E247" s="474" t="s">
        <v>882</v>
      </c>
      <c r="F247" s="905"/>
      <c r="G247" s="903">
        <v>752</v>
      </c>
      <c r="H247" s="903">
        <v>752</v>
      </c>
      <c r="I247" s="898">
        <f t="shared" si="10"/>
        <v>100</v>
      </c>
    </row>
    <row r="248" spans="1:9" ht="20.25" customHeight="1" x14ac:dyDescent="0.25">
      <c r="A248" s="435">
        <v>1017</v>
      </c>
      <c r="B248" s="808">
        <v>3146</v>
      </c>
      <c r="C248" s="1551">
        <v>5331</v>
      </c>
      <c r="D248" s="912"/>
      <c r="E248" s="704" t="s">
        <v>1066</v>
      </c>
      <c r="F248" s="905">
        <f>SUM(F249)</f>
        <v>430</v>
      </c>
      <c r="G248" s="905">
        <v>430</v>
      </c>
      <c r="H248" s="905">
        <v>430</v>
      </c>
      <c r="I248" s="906">
        <f t="shared" si="10"/>
        <v>100</v>
      </c>
    </row>
    <row r="249" spans="1:9" ht="14.25" x14ac:dyDescent="0.2">
      <c r="A249" s="435"/>
      <c r="B249" s="808"/>
      <c r="C249" s="1551"/>
      <c r="D249" s="578" t="s">
        <v>636</v>
      </c>
      <c r="E249" s="474" t="s">
        <v>72</v>
      </c>
      <c r="F249" s="903">
        <v>430</v>
      </c>
      <c r="G249" s="903">
        <v>430</v>
      </c>
      <c r="H249" s="903">
        <v>430</v>
      </c>
      <c r="I249" s="898">
        <f t="shared" si="10"/>
        <v>100</v>
      </c>
    </row>
    <row r="250" spans="1:9" ht="15.75" customHeight="1" x14ac:dyDescent="0.25">
      <c r="A250" s="435">
        <v>1017</v>
      </c>
      <c r="B250" s="808">
        <v>3146</v>
      </c>
      <c r="C250" s="808">
        <v>5336</v>
      </c>
      <c r="D250" s="594"/>
      <c r="E250" s="704" t="s">
        <v>1657</v>
      </c>
      <c r="F250" s="903"/>
      <c r="G250" s="916">
        <v>3125</v>
      </c>
      <c r="H250" s="916">
        <v>3125</v>
      </c>
      <c r="I250" s="908">
        <f t="shared" si="10"/>
        <v>100</v>
      </c>
    </row>
    <row r="251" spans="1:9" ht="15.75" customHeight="1" x14ac:dyDescent="0.25">
      <c r="A251" s="435"/>
      <c r="B251" s="808"/>
      <c r="C251" s="1551"/>
      <c r="D251" s="578" t="s">
        <v>1267</v>
      </c>
      <c r="E251" s="474" t="s">
        <v>882</v>
      </c>
      <c r="F251" s="905"/>
      <c r="G251" s="903">
        <v>3125</v>
      </c>
      <c r="H251" s="903">
        <v>3125</v>
      </c>
      <c r="I251" s="898">
        <f t="shared" si="10"/>
        <v>100</v>
      </c>
    </row>
    <row r="252" spans="1:9" ht="15.75" customHeight="1" x14ac:dyDescent="0.25">
      <c r="A252" s="435">
        <v>1017</v>
      </c>
      <c r="B252" s="808">
        <v>4322</v>
      </c>
      <c r="C252" s="1551">
        <v>5331</v>
      </c>
      <c r="D252" s="957"/>
      <c r="E252" s="704" t="s">
        <v>1066</v>
      </c>
      <c r="F252" s="905">
        <f>SUM(F253:F254)</f>
        <v>3995</v>
      </c>
      <c r="G252" s="905">
        <f>SUM(G253:G254)</f>
        <v>3995</v>
      </c>
      <c r="H252" s="905">
        <f>SUM(H253:H254)</f>
        <v>3995</v>
      </c>
      <c r="I252" s="906">
        <f t="shared" si="10"/>
        <v>100</v>
      </c>
    </row>
    <row r="253" spans="1:9" ht="15.75" customHeight="1" x14ac:dyDescent="0.2">
      <c r="A253" s="435"/>
      <c r="B253" s="808"/>
      <c r="C253" s="1551"/>
      <c r="D253" s="743" t="s">
        <v>641</v>
      </c>
      <c r="E253" s="1679" t="s">
        <v>883</v>
      </c>
      <c r="F253" s="903">
        <v>1047</v>
      </c>
      <c r="G253" s="903">
        <v>1047</v>
      </c>
      <c r="H253" s="903">
        <v>1047</v>
      </c>
      <c r="I253" s="898">
        <f t="shared" si="10"/>
        <v>100</v>
      </c>
    </row>
    <row r="254" spans="1:9" ht="15.75" customHeight="1" x14ac:dyDescent="0.2">
      <c r="A254" s="435"/>
      <c r="B254" s="808"/>
      <c r="C254" s="1551"/>
      <c r="D254" s="578" t="s">
        <v>636</v>
      </c>
      <c r="E254" s="474" t="s">
        <v>72</v>
      </c>
      <c r="F254" s="903">
        <v>2948</v>
      </c>
      <c r="G254" s="903">
        <v>2948</v>
      </c>
      <c r="H254" s="903">
        <v>2948</v>
      </c>
      <c r="I254" s="898">
        <f t="shared" si="10"/>
        <v>100</v>
      </c>
    </row>
    <row r="255" spans="1:9" ht="20.25" customHeight="1" x14ac:dyDescent="0.25">
      <c r="A255" s="435">
        <v>1017</v>
      </c>
      <c r="B255" s="808">
        <v>4322</v>
      </c>
      <c r="C255" s="808">
        <v>5336</v>
      </c>
      <c r="D255" s="594"/>
      <c r="E255" s="704" t="s">
        <v>1657</v>
      </c>
      <c r="F255" s="903"/>
      <c r="G255" s="916">
        <v>12744</v>
      </c>
      <c r="H255" s="916">
        <v>12744</v>
      </c>
      <c r="I255" s="908">
        <f t="shared" si="10"/>
        <v>100</v>
      </c>
    </row>
    <row r="256" spans="1:9" ht="15" thickBot="1" x14ac:dyDescent="0.25">
      <c r="A256" s="435"/>
      <c r="B256" s="808"/>
      <c r="C256" s="1551"/>
      <c r="D256" s="578" t="s">
        <v>1267</v>
      </c>
      <c r="E256" s="474" t="s">
        <v>882</v>
      </c>
      <c r="F256" s="903"/>
      <c r="G256" s="903">
        <v>12744</v>
      </c>
      <c r="H256" s="903">
        <v>12744</v>
      </c>
      <c r="I256" s="898">
        <f t="shared" si="10"/>
        <v>100</v>
      </c>
    </row>
    <row r="257" spans="1:20" s="1684" customFormat="1" ht="15.75" customHeight="1" thickTop="1" thickBot="1" x14ac:dyDescent="0.25">
      <c r="A257" s="2743" t="s">
        <v>1246</v>
      </c>
      <c r="B257" s="2744"/>
      <c r="C257" s="2744"/>
      <c r="D257" s="2744"/>
      <c r="E257" s="2744"/>
      <c r="F257" s="1696">
        <f>F252+F248+F232+F244+F240</f>
        <v>5645</v>
      </c>
      <c r="G257" s="1696">
        <f>G252+G248+G232+G244+G240+G255+G250+G246+G242+G238+G234</f>
        <v>30488</v>
      </c>
      <c r="H257" s="1696">
        <f>H252+H248+H232+H244+H240+H255+H250+H246+H242+H238+H234</f>
        <v>30488</v>
      </c>
      <c r="I257" s="1697">
        <f t="shared" si="10"/>
        <v>100</v>
      </c>
      <c r="R257" s="1698">
        <f>F257</f>
        <v>5645</v>
      </c>
      <c r="S257" s="1698">
        <f>G257</f>
        <v>30488</v>
      </c>
      <c r="T257" s="1698">
        <f>H257</f>
        <v>30488</v>
      </c>
    </row>
    <row r="258" spans="1:20" s="1684" customFormat="1" ht="15.75" customHeight="1" thickTop="1" x14ac:dyDescent="0.2">
      <c r="B258" s="1699"/>
      <c r="D258" s="1700"/>
      <c r="F258" s="1698"/>
      <c r="G258" s="1698"/>
      <c r="H258" s="1698"/>
      <c r="I258" s="1701"/>
    </row>
    <row r="259" spans="1:20" ht="18" customHeight="1" thickBot="1" x14ac:dyDescent="0.25">
      <c r="A259" s="439" t="s">
        <v>580</v>
      </c>
      <c r="I259" s="1548" t="s">
        <v>179</v>
      </c>
    </row>
    <row r="260" spans="1:20" s="107" customFormat="1" thickTop="1" thickBot="1" x14ac:dyDescent="0.25">
      <c r="A260" s="657" t="s">
        <v>692</v>
      </c>
      <c r="B260" s="835" t="s">
        <v>180</v>
      </c>
      <c r="C260" s="658" t="s">
        <v>181</v>
      </c>
      <c r="D260" s="660" t="s">
        <v>783</v>
      </c>
      <c r="E260" s="660" t="s">
        <v>182</v>
      </c>
      <c r="F260" s="660" t="s">
        <v>183</v>
      </c>
      <c r="G260" s="660" t="s">
        <v>985</v>
      </c>
      <c r="H260" s="660" t="s">
        <v>986</v>
      </c>
      <c r="I260" s="888" t="s">
        <v>987</v>
      </c>
    </row>
    <row r="261" spans="1:20" s="386" customFormat="1" ht="13.5" thickTop="1" thickBot="1" x14ac:dyDescent="0.25">
      <c r="A261" s="592">
        <v>1</v>
      </c>
      <c r="B261" s="593">
        <v>2</v>
      </c>
      <c r="C261" s="593">
        <v>3</v>
      </c>
      <c r="D261" s="593">
        <v>4</v>
      </c>
      <c r="E261" s="593">
        <v>5</v>
      </c>
      <c r="F261" s="567">
        <v>6</v>
      </c>
      <c r="G261" s="567">
        <v>7</v>
      </c>
      <c r="H261" s="568">
        <v>8</v>
      </c>
      <c r="I261" s="662" t="s">
        <v>848</v>
      </c>
    </row>
    <row r="262" spans="1:20" ht="15.75" thickTop="1" x14ac:dyDescent="0.25">
      <c r="A262" s="1562">
        <v>1021</v>
      </c>
      <c r="B262" s="917">
        <v>3112</v>
      </c>
      <c r="C262" s="1563">
        <v>5331</v>
      </c>
      <c r="D262" s="958"/>
      <c r="E262" s="956" t="s">
        <v>1066</v>
      </c>
      <c r="F262" s="915">
        <v>46</v>
      </c>
      <c r="G262" s="915">
        <v>46</v>
      </c>
      <c r="H262" s="915">
        <v>46</v>
      </c>
      <c r="I262" s="919">
        <f t="shared" ref="I262:I270" si="11">(H262/G262)*100</f>
        <v>100</v>
      </c>
    </row>
    <row r="263" spans="1:20" ht="20.25" customHeight="1" x14ac:dyDescent="0.2">
      <c r="A263" s="435"/>
      <c r="B263" s="705"/>
      <c r="C263" s="1550"/>
      <c r="D263" s="578" t="s">
        <v>636</v>
      </c>
      <c r="E263" s="474" t="s">
        <v>72</v>
      </c>
      <c r="F263" s="357">
        <v>46</v>
      </c>
      <c r="G263" s="357">
        <v>46</v>
      </c>
      <c r="H263" s="357">
        <v>46</v>
      </c>
      <c r="I263" s="893">
        <f t="shared" si="11"/>
        <v>100</v>
      </c>
    </row>
    <row r="264" spans="1:20" ht="15" x14ac:dyDescent="0.25">
      <c r="A264" s="435">
        <v>1021</v>
      </c>
      <c r="B264" s="705">
        <v>3112</v>
      </c>
      <c r="C264" s="1550">
        <v>5336</v>
      </c>
      <c r="D264" s="578"/>
      <c r="E264" s="704" t="s">
        <v>1657</v>
      </c>
      <c r="F264" s="357"/>
      <c r="G264" s="921">
        <v>408</v>
      </c>
      <c r="H264" s="921">
        <v>408</v>
      </c>
      <c r="I264" s="923">
        <f t="shared" si="11"/>
        <v>100</v>
      </c>
    </row>
    <row r="265" spans="1:20" ht="15" customHeight="1" x14ac:dyDescent="0.25">
      <c r="A265" s="435"/>
      <c r="B265" s="705"/>
      <c r="C265" s="1550"/>
      <c r="D265" s="578" t="s">
        <v>1267</v>
      </c>
      <c r="E265" s="474" t="s">
        <v>882</v>
      </c>
      <c r="F265" s="890"/>
      <c r="G265" s="357">
        <v>408</v>
      </c>
      <c r="H265" s="357">
        <v>408</v>
      </c>
      <c r="I265" s="893">
        <f t="shared" si="11"/>
        <v>100</v>
      </c>
    </row>
    <row r="266" spans="1:20" ht="15" customHeight="1" x14ac:dyDescent="0.25">
      <c r="A266" s="435">
        <v>1021</v>
      </c>
      <c r="B266" s="705">
        <v>3114</v>
      </c>
      <c r="C266" s="1550">
        <v>5331</v>
      </c>
      <c r="D266" s="899"/>
      <c r="E266" s="704" t="s">
        <v>1066</v>
      </c>
      <c r="F266" s="890">
        <f>F267</f>
        <v>452</v>
      </c>
      <c r="G266" s="890">
        <v>452</v>
      </c>
      <c r="H266" s="890">
        <v>452</v>
      </c>
      <c r="I266" s="923">
        <f t="shared" si="11"/>
        <v>100</v>
      </c>
    </row>
    <row r="267" spans="1:20" ht="15" customHeight="1" x14ac:dyDescent="0.2">
      <c r="A267" s="435"/>
      <c r="B267" s="705"/>
      <c r="C267" s="1550"/>
      <c r="D267" s="578" t="s">
        <v>636</v>
      </c>
      <c r="E267" s="474" t="s">
        <v>72</v>
      </c>
      <c r="F267" s="897">
        <v>452</v>
      </c>
      <c r="G267" s="897">
        <v>452</v>
      </c>
      <c r="H267" s="897">
        <v>452</v>
      </c>
      <c r="I267" s="893">
        <f t="shared" si="11"/>
        <v>100</v>
      </c>
    </row>
    <row r="268" spans="1:20" ht="15" x14ac:dyDescent="0.25">
      <c r="A268" s="435">
        <v>1021</v>
      </c>
      <c r="B268" s="705">
        <v>3114</v>
      </c>
      <c r="C268" s="1550">
        <v>5336</v>
      </c>
      <c r="D268" s="578"/>
      <c r="E268" s="704" t="s">
        <v>1657</v>
      </c>
      <c r="F268" s="897"/>
      <c r="G268" s="921">
        <v>4952</v>
      </c>
      <c r="H268" s="921">
        <v>4952</v>
      </c>
      <c r="I268" s="923">
        <f t="shared" si="11"/>
        <v>100</v>
      </c>
    </row>
    <row r="269" spans="1:20" ht="15" thickBot="1" x14ac:dyDescent="0.25">
      <c r="A269" s="1552"/>
      <c r="B269" s="706"/>
      <c r="C269" s="1560"/>
      <c r="D269" s="757" t="s">
        <v>1267</v>
      </c>
      <c r="E269" s="476" t="s">
        <v>882</v>
      </c>
      <c r="F269" s="941"/>
      <c r="G269" s="941">
        <v>4952</v>
      </c>
      <c r="H269" s="941">
        <v>4952</v>
      </c>
      <c r="I269" s="925">
        <f t="shared" si="11"/>
        <v>100</v>
      </c>
    </row>
    <row r="270" spans="1:20" s="1684" customFormat="1" ht="16.5" thickTop="1" thickBot="1" x14ac:dyDescent="0.25">
      <c r="A270" s="2743" t="s">
        <v>1246</v>
      </c>
      <c r="B270" s="2744"/>
      <c r="C270" s="2744"/>
      <c r="D270" s="2744"/>
      <c r="E270" s="2744"/>
      <c r="F270" s="1696">
        <f>SUM(F266,F262)</f>
        <v>498</v>
      </c>
      <c r="G270" s="1696">
        <f>SUM(G262,G266,G264,G268)</f>
        <v>5858</v>
      </c>
      <c r="H270" s="1696">
        <f>SUM(H262,H266,H264,H268)</f>
        <v>5858</v>
      </c>
      <c r="I270" s="1697">
        <f t="shared" si="11"/>
        <v>100</v>
      </c>
      <c r="R270" s="1698">
        <f>F270</f>
        <v>498</v>
      </c>
      <c r="S270" s="1698">
        <f>G270</f>
        <v>5858</v>
      </c>
      <c r="T270" s="1698">
        <f>H270</f>
        <v>5858</v>
      </c>
    </row>
    <row r="271" spans="1:20" s="1684" customFormat="1" ht="13.5" thickTop="1" x14ac:dyDescent="0.2">
      <c r="B271" s="1699"/>
      <c r="D271" s="1700"/>
      <c r="F271" s="1698"/>
      <c r="G271" s="1698"/>
      <c r="H271" s="1698"/>
      <c r="I271" s="1701"/>
    </row>
    <row r="272" spans="1:20" ht="13.5" thickBot="1" x14ac:dyDescent="0.25">
      <c r="A272" s="439" t="s">
        <v>492</v>
      </c>
      <c r="I272" s="1548" t="s">
        <v>179</v>
      </c>
    </row>
    <row r="273" spans="1:20" s="107" customFormat="1" thickTop="1" thickBot="1" x14ac:dyDescent="0.25">
      <c r="A273" s="657" t="s">
        <v>692</v>
      </c>
      <c r="B273" s="835" t="s">
        <v>180</v>
      </c>
      <c r="C273" s="658" t="s">
        <v>181</v>
      </c>
      <c r="D273" s="660" t="s">
        <v>783</v>
      </c>
      <c r="E273" s="660" t="s">
        <v>182</v>
      </c>
      <c r="F273" s="660" t="s">
        <v>183</v>
      </c>
      <c r="G273" s="660" t="s">
        <v>985</v>
      </c>
      <c r="H273" s="660" t="s">
        <v>986</v>
      </c>
      <c r="I273" s="888" t="s">
        <v>987</v>
      </c>
    </row>
    <row r="274" spans="1:20" s="386" customFormat="1" ht="18" customHeight="1" thickTop="1" thickBot="1" x14ac:dyDescent="0.25">
      <c r="A274" s="592">
        <v>1</v>
      </c>
      <c r="B274" s="593">
        <v>2</v>
      </c>
      <c r="C274" s="593">
        <v>3</v>
      </c>
      <c r="D274" s="593">
        <v>4</v>
      </c>
      <c r="E274" s="593">
        <v>5</v>
      </c>
      <c r="F274" s="567">
        <v>6</v>
      </c>
      <c r="G274" s="567">
        <v>7</v>
      </c>
      <c r="H274" s="568">
        <v>8</v>
      </c>
      <c r="I274" s="662" t="s">
        <v>848</v>
      </c>
    </row>
    <row r="275" spans="1:20" s="107" customFormat="1" ht="15.75" thickTop="1" x14ac:dyDescent="0.25">
      <c r="A275" s="435">
        <v>1022</v>
      </c>
      <c r="B275" s="705">
        <v>3112</v>
      </c>
      <c r="C275" s="705">
        <v>5331</v>
      </c>
      <c r="D275" s="889"/>
      <c r="E275" s="854" t="s">
        <v>1066</v>
      </c>
      <c r="F275" s="959">
        <f>SUM(F276:F278)</f>
        <v>20</v>
      </c>
      <c r="G275" s="959">
        <v>20</v>
      </c>
      <c r="H275" s="959">
        <v>20</v>
      </c>
      <c r="I275" s="923">
        <f t="shared" ref="I275:I285" si="12">(H275/G275)*100</f>
        <v>100</v>
      </c>
    </row>
    <row r="276" spans="1:20" s="107" customFormat="1" ht="14.25" x14ac:dyDescent="0.2">
      <c r="A276" s="949"/>
      <c r="B276" s="950"/>
      <c r="C276" s="951"/>
      <c r="D276" s="578" t="s">
        <v>636</v>
      </c>
      <c r="E276" s="474" t="s">
        <v>72</v>
      </c>
      <c r="F276" s="952">
        <v>20</v>
      </c>
      <c r="G276" s="952">
        <v>20</v>
      </c>
      <c r="H276" s="952">
        <v>20</v>
      </c>
      <c r="I276" s="924">
        <f t="shared" si="12"/>
        <v>100</v>
      </c>
    </row>
    <row r="277" spans="1:20" s="107" customFormat="1" ht="15" x14ac:dyDescent="0.25">
      <c r="A277" s="435">
        <v>1022</v>
      </c>
      <c r="B277" s="808">
        <v>3112</v>
      </c>
      <c r="C277" s="808">
        <v>5336</v>
      </c>
      <c r="D277" s="594"/>
      <c r="E277" s="704" t="s">
        <v>1657</v>
      </c>
      <c r="F277" s="952"/>
      <c r="G277" s="959">
        <v>474</v>
      </c>
      <c r="H277" s="959">
        <v>474</v>
      </c>
      <c r="I277" s="923">
        <f t="shared" si="12"/>
        <v>100</v>
      </c>
    </row>
    <row r="278" spans="1:20" s="107" customFormat="1" ht="20.25" customHeight="1" x14ac:dyDescent="0.2">
      <c r="A278" s="949"/>
      <c r="B278" s="950"/>
      <c r="C278" s="951"/>
      <c r="D278" s="578" t="s">
        <v>1267</v>
      </c>
      <c r="E278" s="474" t="s">
        <v>882</v>
      </c>
      <c r="F278" s="952"/>
      <c r="G278" s="952">
        <v>474</v>
      </c>
      <c r="H278" s="952">
        <v>474</v>
      </c>
      <c r="I278" s="924">
        <f t="shared" si="12"/>
        <v>100</v>
      </c>
    </row>
    <row r="279" spans="1:20" ht="15" x14ac:dyDescent="0.25">
      <c r="A279" s="435">
        <v>1022</v>
      </c>
      <c r="B279" s="808">
        <v>3114</v>
      </c>
      <c r="C279" s="808">
        <v>5331</v>
      </c>
      <c r="D279" s="929"/>
      <c r="E279" s="704" t="s">
        <v>1066</v>
      </c>
      <c r="F279" s="916">
        <v>428</v>
      </c>
      <c r="G279" s="916">
        <v>428</v>
      </c>
      <c r="H279" s="916">
        <v>428</v>
      </c>
      <c r="I279" s="908">
        <f t="shared" si="12"/>
        <v>100</v>
      </c>
    </row>
    <row r="280" spans="1:20" ht="14.25" x14ac:dyDescent="0.2">
      <c r="A280" s="435"/>
      <c r="B280" s="808"/>
      <c r="C280" s="808"/>
      <c r="D280" s="578" t="s">
        <v>636</v>
      </c>
      <c r="E280" s="474" t="s">
        <v>72</v>
      </c>
      <c r="F280" s="907">
        <v>428</v>
      </c>
      <c r="G280" s="907">
        <v>428</v>
      </c>
      <c r="H280" s="907">
        <v>428</v>
      </c>
      <c r="I280" s="378">
        <f t="shared" si="12"/>
        <v>100</v>
      </c>
    </row>
    <row r="281" spans="1:20" ht="15" x14ac:dyDescent="0.25">
      <c r="A281" s="435">
        <v>1022</v>
      </c>
      <c r="B281" s="808">
        <v>3114</v>
      </c>
      <c r="C281" s="808">
        <v>5336</v>
      </c>
      <c r="D281" s="594"/>
      <c r="E281" s="704" t="s">
        <v>1657</v>
      </c>
      <c r="F281" s="907"/>
      <c r="G281" s="916">
        <f>G282+G283+G284</f>
        <v>2886</v>
      </c>
      <c r="H281" s="916">
        <f>H282+H283+H284</f>
        <v>2886</v>
      </c>
      <c r="I281" s="908">
        <f t="shared" si="12"/>
        <v>100</v>
      </c>
    </row>
    <row r="282" spans="1:20" ht="14.25" x14ac:dyDescent="0.2">
      <c r="A282" s="435"/>
      <c r="B282" s="808"/>
      <c r="C282" s="808"/>
      <c r="D282" s="578" t="s">
        <v>1267</v>
      </c>
      <c r="E282" s="474" t="s">
        <v>882</v>
      </c>
      <c r="F282" s="907"/>
      <c r="G282" s="907">
        <v>2665</v>
      </c>
      <c r="H282" s="907">
        <v>2665</v>
      </c>
      <c r="I282" s="378">
        <f t="shared" si="12"/>
        <v>100</v>
      </c>
    </row>
    <row r="283" spans="1:20" ht="15.75" customHeight="1" x14ac:dyDescent="0.2">
      <c r="A283" s="435"/>
      <c r="B283" s="808"/>
      <c r="C283" s="808"/>
      <c r="D283" s="594" t="s">
        <v>1046</v>
      </c>
      <c r="E283" s="938" t="s">
        <v>1658</v>
      </c>
      <c r="F283" s="907"/>
      <c r="G283" s="907">
        <v>33</v>
      </c>
      <c r="H283" s="907">
        <v>33</v>
      </c>
      <c r="I283" s="378">
        <f t="shared" si="12"/>
        <v>100</v>
      </c>
    </row>
    <row r="284" spans="1:20" ht="15.75" customHeight="1" thickBot="1" x14ac:dyDescent="0.25">
      <c r="A284" s="435"/>
      <c r="B284" s="808"/>
      <c r="C284" s="808"/>
      <c r="D284" s="594" t="s">
        <v>1048</v>
      </c>
      <c r="E284" s="938" t="s">
        <v>1659</v>
      </c>
      <c r="F284" s="907"/>
      <c r="G284" s="907">
        <v>188</v>
      </c>
      <c r="H284" s="907">
        <v>188</v>
      </c>
      <c r="I284" s="378">
        <f t="shared" si="12"/>
        <v>100</v>
      </c>
    </row>
    <row r="285" spans="1:20" ht="15.75" customHeight="1" thickTop="1" thickBot="1" x14ac:dyDescent="0.3">
      <c r="A285" s="2739" t="s">
        <v>1246</v>
      </c>
      <c r="B285" s="2740"/>
      <c r="C285" s="2740"/>
      <c r="D285" s="2740"/>
      <c r="E285" s="2740"/>
      <c r="F285" s="960">
        <f>SUM(F279,F275)</f>
        <v>448</v>
      </c>
      <c r="G285" s="960">
        <f>SUM(G279,G275,G281,G277)</f>
        <v>3808</v>
      </c>
      <c r="H285" s="960">
        <f>SUM(H279,H275,H281,H277)</f>
        <v>3808</v>
      </c>
      <c r="I285" s="961">
        <f t="shared" si="12"/>
        <v>100</v>
      </c>
      <c r="R285" s="385">
        <f>F285</f>
        <v>448</v>
      </c>
      <c r="S285" s="385">
        <f>G285</f>
        <v>3808</v>
      </c>
      <c r="T285" s="385">
        <f>H285</f>
        <v>3808</v>
      </c>
    </row>
    <row r="286" spans="1:20" ht="15.75" customHeight="1" thickTop="1" x14ac:dyDescent="0.2"/>
    <row r="287" spans="1:20" ht="15.75" customHeight="1" thickBot="1" x14ac:dyDescent="0.25">
      <c r="A287" s="439" t="s">
        <v>493</v>
      </c>
      <c r="I287" s="1548" t="s">
        <v>179</v>
      </c>
    </row>
    <row r="288" spans="1:20" s="107" customFormat="1" ht="15.75" customHeight="1" thickTop="1" thickBot="1" x14ac:dyDescent="0.25">
      <c r="A288" s="657" t="s">
        <v>692</v>
      </c>
      <c r="B288" s="835" t="s">
        <v>180</v>
      </c>
      <c r="C288" s="658" t="s">
        <v>181</v>
      </c>
      <c r="D288" s="660" t="s">
        <v>783</v>
      </c>
      <c r="E288" s="660" t="s">
        <v>182</v>
      </c>
      <c r="F288" s="660" t="s">
        <v>183</v>
      </c>
      <c r="G288" s="660" t="s">
        <v>985</v>
      </c>
      <c r="H288" s="660" t="s">
        <v>986</v>
      </c>
      <c r="I288" s="888" t="s">
        <v>987</v>
      </c>
    </row>
    <row r="289" spans="1:9" s="386" customFormat="1" ht="15.75" customHeight="1" thickTop="1" thickBot="1" x14ac:dyDescent="0.25">
      <c r="A289" s="592">
        <v>1</v>
      </c>
      <c r="B289" s="593">
        <v>2</v>
      </c>
      <c r="C289" s="593">
        <v>3</v>
      </c>
      <c r="D289" s="593">
        <v>4</v>
      </c>
      <c r="E289" s="593">
        <v>5</v>
      </c>
      <c r="F289" s="567">
        <v>6</v>
      </c>
      <c r="G289" s="567">
        <v>7</v>
      </c>
      <c r="H289" s="568">
        <v>8</v>
      </c>
      <c r="I289" s="662" t="s">
        <v>848</v>
      </c>
    </row>
    <row r="290" spans="1:9" ht="15.75" customHeight="1" thickTop="1" x14ac:dyDescent="0.25">
      <c r="A290" s="1549">
        <v>1024</v>
      </c>
      <c r="B290" s="836">
        <v>3112</v>
      </c>
      <c r="C290" s="836">
        <v>5331</v>
      </c>
      <c r="D290" s="909"/>
      <c r="E290" s="930" t="s">
        <v>1066</v>
      </c>
      <c r="F290" s="931">
        <f>SUM(F291:F293)</f>
        <v>19</v>
      </c>
      <c r="G290" s="931">
        <v>19</v>
      </c>
      <c r="H290" s="931">
        <v>19</v>
      </c>
      <c r="I290" s="896">
        <f t="shared" ref="I290:I313" si="13">(H290/G290)*100</f>
        <v>100</v>
      </c>
    </row>
    <row r="291" spans="1:9" ht="12" customHeight="1" x14ac:dyDescent="0.2">
      <c r="A291" s="435"/>
      <c r="B291" s="705"/>
      <c r="C291" s="705"/>
      <c r="D291" s="578" t="s">
        <v>636</v>
      </c>
      <c r="E291" s="474" t="s">
        <v>72</v>
      </c>
      <c r="F291" s="897">
        <v>19</v>
      </c>
      <c r="G291" s="897">
        <v>19</v>
      </c>
      <c r="H291" s="897">
        <v>19</v>
      </c>
      <c r="I291" s="893">
        <f t="shared" si="13"/>
        <v>100</v>
      </c>
    </row>
    <row r="292" spans="1:9" ht="12" customHeight="1" x14ac:dyDescent="0.25">
      <c r="A292" s="435">
        <v>1024</v>
      </c>
      <c r="B292" s="808">
        <v>3112</v>
      </c>
      <c r="C292" s="1551">
        <v>5336</v>
      </c>
      <c r="D292" s="594"/>
      <c r="E292" s="704" t="s">
        <v>1657</v>
      </c>
      <c r="F292" s="897"/>
      <c r="G292" s="921">
        <v>919</v>
      </c>
      <c r="H292" s="921">
        <v>919</v>
      </c>
      <c r="I292" s="923">
        <f t="shared" si="13"/>
        <v>100</v>
      </c>
    </row>
    <row r="293" spans="1:9" ht="12" customHeight="1" x14ac:dyDescent="0.2">
      <c r="A293" s="435"/>
      <c r="B293" s="808"/>
      <c r="C293" s="1550"/>
      <c r="D293" s="578" t="s">
        <v>1267</v>
      </c>
      <c r="E293" s="474" t="s">
        <v>882</v>
      </c>
      <c r="F293" s="897"/>
      <c r="G293" s="897">
        <v>919</v>
      </c>
      <c r="H293" s="897">
        <v>919</v>
      </c>
      <c r="I293" s="893">
        <f t="shared" si="13"/>
        <v>100</v>
      </c>
    </row>
    <row r="294" spans="1:9" ht="12" customHeight="1" x14ac:dyDescent="0.25">
      <c r="A294" s="435">
        <v>1024</v>
      </c>
      <c r="B294" s="808">
        <v>3114</v>
      </c>
      <c r="C294" s="1551">
        <v>5331</v>
      </c>
      <c r="D294" s="912"/>
      <c r="E294" s="704" t="s">
        <v>1066</v>
      </c>
      <c r="F294" s="905">
        <f>SUM(F295:F297)</f>
        <v>1858</v>
      </c>
      <c r="G294" s="905">
        <f>SUM(G295:G297)</f>
        <v>1930</v>
      </c>
      <c r="H294" s="905">
        <f>SUM(H295:H297)</f>
        <v>1930</v>
      </c>
      <c r="I294" s="906">
        <f t="shared" si="13"/>
        <v>100</v>
      </c>
    </row>
    <row r="295" spans="1:9" ht="15.75" customHeight="1" x14ac:dyDescent="0.2">
      <c r="A295" s="435"/>
      <c r="B295" s="808"/>
      <c r="C295" s="1551"/>
      <c r="D295" s="743" t="s">
        <v>641</v>
      </c>
      <c r="E295" s="1679" t="s">
        <v>883</v>
      </c>
      <c r="F295" s="903">
        <v>196</v>
      </c>
      <c r="G295" s="903">
        <v>196</v>
      </c>
      <c r="H295" s="903">
        <v>196</v>
      </c>
      <c r="I295" s="898">
        <f t="shared" si="13"/>
        <v>100</v>
      </c>
    </row>
    <row r="296" spans="1:9" ht="15.75" customHeight="1" x14ac:dyDescent="0.2">
      <c r="A296" s="435"/>
      <c r="B296" s="808"/>
      <c r="C296" s="1551"/>
      <c r="D296" s="578" t="s">
        <v>636</v>
      </c>
      <c r="E296" s="474" t="s">
        <v>72</v>
      </c>
      <c r="F296" s="903">
        <v>1662</v>
      </c>
      <c r="G296" s="903">
        <v>1662</v>
      </c>
      <c r="H296" s="903">
        <v>1662</v>
      </c>
      <c r="I296" s="898">
        <f t="shared" si="13"/>
        <v>100</v>
      </c>
    </row>
    <row r="297" spans="1:9" ht="15.75" customHeight="1" x14ac:dyDescent="0.2">
      <c r="A297" s="435"/>
      <c r="B297" s="808"/>
      <c r="C297" s="1551"/>
      <c r="D297" s="1429" t="s">
        <v>889</v>
      </c>
      <c r="E297" s="2748" t="s">
        <v>1085</v>
      </c>
      <c r="F297" s="903"/>
      <c r="G297" s="903">
        <v>72</v>
      </c>
      <c r="H297" s="903">
        <v>72</v>
      </c>
      <c r="I297" s="898">
        <f t="shared" si="13"/>
        <v>100</v>
      </c>
    </row>
    <row r="298" spans="1:9" ht="15.75" customHeight="1" x14ac:dyDescent="0.2">
      <c r="A298" s="435"/>
      <c r="B298" s="808"/>
      <c r="C298" s="1551"/>
      <c r="D298" s="594"/>
      <c r="E298" s="2742"/>
      <c r="F298" s="903"/>
      <c r="G298" s="903"/>
      <c r="H298" s="903"/>
      <c r="I298" s="898"/>
    </row>
    <row r="299" spans="1:9" ht="15.75" customHeight="1" x14ac:dyDescent="0.25">
      <c r="A299" s="435">
        <v>1024</v>
      </c>
      <c r="B299" s="808">
        <v>3114</v>
      </c>
      <c r="C299" s="1551">
        <v>5336</v>
      </c>
      <c r="D299" s="594"/>
      <c r="E299" s="704" t="s">
        <v>1657</v>
      </c>
      <c r="F299" s="916"/>
      <c r="G299" s="916">
        <f>G301+G302+G300</f>
        <v>7543</v>
      </c>
      <c r="H299" s="916">
        <f>H301+H302+H300</f>
        <v>7543</v>
      </c>
      <c r="I299" s="906">
        <f t="shared" si="13"/>
        <v>100</v>
      </c>
    </row>
    <row r="300" spans="1:9" ht="15.75" customHeight="1" x14ac:dyDescent="0.25">
      <c r="A300" s="435"/>
      <c r="B300" s="808"/>
      <c r="C300" s="1551"/>
      <c r="D300" s="578" t="s">
        <v>1267</v>
      </c>
      <c r="E300" s="474" t="s">
        <v>882</v>
      </c>
      <c r="F300" s="916"/>
      <c r="G300" s="907">
        <v>7285</v>
      </c>
      <c r="H300" s="907">
        <v>7285</v>
      </c>
      <c r="I300" s="898">
        <f t="shared" si="13"/>
        <v>100</v>
      </c>
    </row>
    <row r="301" spans="1:9" ht="15.75" customHeight="1" x14ac:dyDescent="0.2">
      <c r="A301" s="435"/>
      <c r="B301" s="808"/>
      <c r="C301" s="1551"/>
      <c r="D301" s="594" t="s">
        <v>1046</v>
      </c>
      <c r="E301" s="938" t="s">
        <v>1658</v>
      </c>
      <c r="F301" s="903"/>
      <c r="G301" s="903">
        <v>39</v>
      </c>
      <c r="H301" s="903">
        <v>39</v>
      </c>
      <c r="I301" s="898">
        <f t="shared" si="13"/>
        <v>100</v>
      </c>
    </row>
    <row r="302" spans="1:9" ht="15.75" customHeight="1" x14ac:dyDescent="0.2">
      <c r="A302" s="435"/>
      <c r="B302" s="808"/>
      <c r="C302" s="1551"/>
      <c r="D302" s="594" t="s">
        <v>1048</v>
      </c>
      <c r="E302" s="938" t="s">
        <v>1659</v>
      </c>
      <c r="F302" s="903"/>
      <c r="G302" s="903">
        <v>219</v>
      </c>
      <c r="H302" s="903">
        <v>219</v>
      </c>
      <c r="I302" s="898">
        <f t="shared" si="13"/>
        <v>100</v>
      </c>
    </row>
    <row r="303" spans="1:9" ht="15.75" customHeight="1" x14ac:dyDescent="0.25">
      <c r="A303" s="435">
        <v>1024</v>
      </c>
      <c r="B303" s="808">
        <v>3141</v>
      </c>
      <c r="C303" s="1551">
        <v>5331</v>
      </c>
      <c r="D303" s="912"/>
      <c r="E303" s="704" t="s">
        <v>1066</v>
      </c>
      <c r="F303" s="905">
        <f>SUM(F304:F306)</f>
        <v>15</v>
      </c>
      <c r="G303" s="905">
        <v>15</v>
      </c>
      <c r="H303" s="905">
        <v>15</v>
      </c>
      <c r="I303" s="906">
        <f t="shared" si="13"/>
        <v>100</v>
      </c>
    </row>
    <row r="304" spans="1:9" ht="18" customHeight="1" x14ac:dyDescent="0.2">
      <c r="A304" s="435"/>
      <c r="B304" s="808"/>
      <c r="C304" s="1551"/>
      <c r="D304" s="578" t="s">
        <v>636</v>
      </c>
      <c r="E304" s="474" t="s">
        <v>72</v>
      </c>
      <c r="F304" s="903">
        <v>15</v>
      </c>
      <c r="G304" s="903">
        <v>15</v>
      </c>
      <c r="H304" s="903">
        <v>15</v>
      </c>
      <c r="I304" s="898">
        <f t="shared" si="13"/>
        <v>100</v>
      </c>
    </row>
    <row r="305" spans="1:20" ht="15" x14ac:dyDescent="0.25">
      <c r="A305" s="435">
        <v>1024</v>
      </c>
      <c r="B305" s="808">
        <v>3141</v>
      </c>
      <c r="C305" s="1551">
        <v>5336</v>
      </c>
      <c r="D305" s="594"/>
      <c r="E305" s="704" t="s">
        <v>1657</v>
      </c>
      <c r="F305" s="903"/>
      <c r="G305" s="916">
        <v>19</v>
      </c>
      <c r="H305" s="916">
        <v>19</v>
      </c>
      <c r="I305" s="908">
        <f t="shared" si="13"/>
        <v>100</v>
      </c>
    </row>
    <row r="306" spans="1:20" ht="14.25" x14ac:dyDescent="0.2">
      <c r="A306" s="435"/>
      <c r="B306" s="808"/>
      <c r="C306" s="1551"/>
      <c r="D306" s="578" t="s">
        <v>1267</v>
      </c>
      <c r="E306" s="474" t="s">
        <v>882</v>
      </c>
      <c r="F306" s="903"/>
      <c r="G306" s="903">
        <v>19</v>
      </c>
      <c r="H306" s="903">
        <v>19</v>
      </c>
      <c r="I306" s="898">
        <f t="shared" si="13"/>
        <v>100</v>
      </c>
    </row>
    <row r="307" spans="1:20" ht="15" x14ac:dyDescent="0.25">
      <c r="A307" s="435">
        <v>1024</v>
      </c>
      <c r="B307" s="808">
        <v>3143</v>
      </c>
      <c r="C307" s="1551">
        <v>5331</v>
      </c>
      <c r="D307" s="912"/>
      <c r="E307" s="704" t="s">
        <v>1066</v>
      </c>
      <c r="F307" s="905">
        <f>SUM(F308:F310)</f>
        <v>19</v>
      </c>
      <c r="G307" s="905">
        <v>19</v>
      </c>
      <c r="H307" s="905">
        <v>19</v>
      </c>
      <c r="I307" s="906">
        <f t="shared" si="13"/>
        <v>100</v>
      </c>
    </row>
    <row r="308" spans="1:20" ht="20.25" customHeight="1" x14ac:dyDescent="0.2">
      <c r="A308" s="435"/>
      <c r="B308" s="808"/>
      <c r="C308" s="1551"/>
      <c r="D308" s="578" t="s">
        <v>636</v>
      </c>
      <c r="E308" s="474" t="s">
        <v>72</v>
      </c>
      <c r="F308" s="903">
        <v>19</v>
      </c>
      <c r="G308" s="903">
        <v>19</v>
      </c>
      <c r="H308" s="903">
        <v>19</v>
      </c>
      <c r="I308" s="898">
        <f t="shared" si="13"/>
        <v>100</v>
      </c>
    </row>
    <row r="309" spans="1:20" ht="15" x14ac:dyDescent="0.25">
      <c r="A309" s="435">
        <v>1024</v>
      </c>
      <c r="B309" s="808">
        <v>3143</v>
      </c>
      <c r="C309" s="1551">
        <v>5336</v>
      </c>
      <c r="D309" s="594"/>
      <c r="E309" s="704" t="s">
        <v>1657</v>
      </c>
      <c r="F309" s="903"/>
      <c r="G309" s="916">
        <v>568</v>
      </c>
      <c r="H309" s="916">
        <v>568</v>
      </c>
      <c r="I309" s="908">
        <f t="shared" si="13"/>
        <v>100</v>
      </c>
    </row>
    <row r="310" spans="1:20" ht="14.25" x14ac:dyDescent="0.2">
      <c r="A310" s="435"/>
      <c r="B310" s="808"/>
      <c r="C310" s="1551"/>
      <c r="D310" s="578" t="s">
        <v>1267</v>
      </c>
      <c r="E310" s="474" t="s">
        <v>882</v>
      </c>
      <c r="F310" s="903"/>
      <c r="G310" s="903">
        <v>568</v>
      </c>
      <c r="H310" s="903">
        <v>568</v>
      </c>
      <c r="I310" s="898">
        <f t="shared" si="13"/>
        <v>100</v>
      </c>
    </row>
    <row r="311" spans="1:20" ht="15" x14ac:dyDescent="0.25">
      <c r="A311" s="435">
        <v>1024</v>
      </c>
      <c r="B311" s="808">
        <v>3146</v>
      </c>
      <c r="C311" s="1551">
        <v>5331</v>
      </c>
      <c r="D311" s="912"/>
      <c r="E311" s="704" t="s">
        <v>1066</v>
      </c>
      <c r="F311" s="905">
        <v>36</v>
      </c>
      <c r="G311" s="905">
        <v>36</v>
      </c>
      <c r="H311" s="905">
        <v>36</v>
      </c>
      <c r="I311" s="906">
        <f t="shared" si="13"/>
        <v>100</v>
      </c>
    </row>
    <row r="312" spans="1:20" ht="15.75" customHeight="1" x14ac:dyDescent="0.2">
      <c r="A312" s="435"/>
      <c r="B312" s="808"/>
      <c r="C312" s="1551"/>
      <c r="D312" s="578" t="s">
        <v>636</v>
      </c>
      <c r="E312" s="474" t="s">
        <v>72</v>
      </c>
      <c r="F312" s="903">
        <v>36</v>
      </c>
      <c r="G312" s="903">
        <v>36</v>
      </c>
      <c r="H312" s="903">
        <v>36</v>
      </c>
      <c r="I312" s="898">
        <f t="shared" si="13"/>
        <v>100</v>
      </c>
    </row>
    <row r="313" spans="1:20" ht="15.75" customHeight="1" x14ac:dyDescent="0.25">
      <c r="A313" s="435">
        <v>1024</v>
      </c>
      <c r="B313" s="808">
        <v>3146</v>
      </c>
      <c r="C313" s="1551">
        <v>5336</v>
      </c>
      <c r="D313" s="594"/>
      <c r="E313" s="704" t="s">
        <v>1657</v>
      </c>
      <c r="F313" s="903"/>
      <c r="G313" s="916">
        <v>2032</v>
      </c>
      <c r="H313" s="916">
        <v>2032</v>
      </c>
      <c r="I313" s="908">
        <f t="shared" si="13"/>
        <v>100</v>
      </c>
    </row>
    <row r="314" spans="1:20" ht="15.75" customHeight="1" thickBot="1" x14ac:dyDescent="0.25">
      <c r="A314" s="435"/>
      <c r="B314" s="808"/>
      <c r="C314" s="1551"/>
      <c r="D314" s="578" t="s">
        <v>1267</v>
      </c>
      <c r="E314" s="474" t="s">
        <v>882</v>
      </c>
      <c r="F314" s="903"/>
      <c r="G314" s="903">
        <v>2032</v>
      </c>
      <c r="H314" s="903">
        <v>2032</v>
      </c>
      <c r="I314" s="898">
        <f>(H314/G314)*100</f>
        <v>100</v>
      </c>
    </row>
    <row r="315" spans="1:20" s="1684" customFormat="1" ht="15.75" customHeight="1" thickTop="1" thickBot="1" x14ac:dyDescent="0.25">
      <c r="A315" s="2743" t="s">
        <v>1246</v>
      </c>
      <c r="B315" s="2744"/>
      <c r="C315" s="2744"/>
      <c r="D315" s="2744"/>
      <c r="E315" s="2744"/>
      <c r="F315" s="1696">
        <f>SUM(F290,F294,F303,F307,F311)</f>
        <v>1947</v>
      </c>
      <c r="G315" s="1696">
        <f>SUM(G290,G294,G303,G307,G311,G299,G313,G309,G305,G292)</f>
        <v>13100</v>
      </c>
      <c r="H315" s="1696">
        <f>SUM(H290,H294,H303,H307,H311,H299,H313,H309,H305,H292)</f>
        <v>13100</v>
      </c>
      <c r="I315" s="1697">
        <f>(H315/G315)*100</f>
        <v>100</v>
      </c>
      <c r="R315" s="1698">
        <f>F315</f>
        <v>1947</v>
      </c>
      <c r="S315" s="1698">
        <f>G315</f>
        <v>13100</v>
      </c>
      <c r="T315" s="1698">
        <f>H315</f>
        <v>13100</v>
      </c>
    </row>
    <row r="316" spans="1:20" s="1684" customFormat="1" ht="15.75" customHeight="1" thickTop="1" x14ac:dyDescent="0.2">
      <c r="B316" s="1699"/>
      <c r="D316" s="1700"/>
      <c r="F316" s="1698"/>
      <c r="G316" s="1698"/>
      <c r="H316" s="1698"/>
      <c r="I316" s="1701"/>
    </row>
    <row r="317" spans="1:20" ht="15.75" customHeight="1" thickBot="1" x14ac:dyDescent="0.25">
      <c r="A317" s="439" t="s">
        <v>1411</v>
      </c>
      <c r="I317" s="1548" t="s">
        <v>179</v>
      </c>
    </row>
    <row r="318" spans="1:20" s="107" customFormat="1" thickTop="1" thickBot="1" x14ac:dyDescent="0.25">
      <c r="A318" s="657" t="s">
        <v>692</v>
      </c>
      <c r="B318" s="835" t="s">
        <v>180</v>
      </c>
      <c r="C318" s="658" t="s">
        <v>181</v>
      </c>
      <c r="D318" s="660" t="s">
        <v>783</v>
      </c>
      <c r="E318" s="660" t="s">
        <v>182</v>
      </c>
      <c r="F318" s="660" t="s">
        <v>183</v>
      </c>
      <c r="G318" s="660" t="s">
        <v>985</v>
      </c>
      <c r="H318" s="660" t="s">
        <v>986</v>
      </c>
      <c r="I318" s="888" t="s">
        <v>987</v>
      </c>
    </row>
    <row r="319" spans="1:20" s="386" customFormat="1" ht="20.25" customHeight="1" thickTop="1" thickBot="1" x14ac:dyDescent="0.25">
      <c r="A319" s="592">
        <v>1</v>
      </c>
      <c r="B319" s="593">
        <v>2</v>
      </c>
      <c r="C319" s="593">
        <v>3</v>
      </c>
      <c r="D319" s="593">
        <v>4</v>
      </c>
      <c r="E319" s="593">
        <v>5</v>
      </c>
      <c r="F319" s="567">
        <v>6</v>
      </c>
      <c r="G319" s="567">
        <v>7</v>
      </c>
      <c r="H319" s="568">
        <v>8</v>
      </c>
      <c r="I319" s="662" t="s">
        <v>848</v>
      </c>
    </row>
    <row r="320" spans="1:20" ht="15.75" thickTop="1" x14ac:dyDescent="0.25">
      <c r="A320" s="1549">
        <v>1025</v>
      </c>
      <c r="B320" s="836">
        <v>3112</v>
      </c>
      <c r="C320" s="836">
        <v>5336</v>
      </c>
      <c r="D320" s="909"/>
      <c r="E320" s="704" t="s">
        <v>1657</v>
      </c>
      <c r="F320" s="931"/>
      <c r="G320" s="931">
        <v>460</v>
      </c>
      <c r="H320" s="931">
        <v>460</v>
      </c>
      <c r="I320" s="896">
        <f t="shared" ref="I320:I329" si="14">(H320/G320)*100</f>
        <v>100</v>
      </c>
    </row>
    <row r="321" spans="1:27" ht="15.75" customHeight="1" x14ac:dyDescent="0.2">
      <c r="A321" s="435"/>
      <c r="B321" s="705"/>
      <c r="C321" s="1550"/>
      <c r="D321" s="578" t="s">
        <v>1267</v>
      </c>
      <c r="E321" s="474" t="s">
        <v>882</v>
      </c>
      <c r="F321" s="897"/>
      <c r="G321" s="897">
        <v>460</v>
      </c>
      <c r="H321" s="897">
        <v>460</v>
      </c>
      <c r="I321" s="893">
        <f t="shared" si="14"/>
        <v>100</v>
      </c>
    </row>
    <row r="322" spans="1:27" ht="15.75" customHeight="1" x14ac:dyDescent="0.25">
      <c r="A322" s="445">
        <v>1025</v>
      </c>
      <c r="B322" s="705">
        <v>3114</v>
      </c>
      <c r="C322" s="1551">
        <v>5331</v>
      </c>
      <c r="D322" s="912"/>
      <c r="E322" s="704" t="s">
        <v>1066</v>
      </c>
      <c r="F322" s="905">
        <f>F323+F324</f>
        <v>552</v>
      </c>
      <c r="G322" s="905">
        <f>SUM(G323:G324)</f>
        <v>552</v>
      </c>
      <c r="H322" s="905">
        <f>SUM(H323:H324)</f>
        <v>552</v>
      </c>
      <c r="I322" s="906">
        <f t="shared" si="14"/>
        <v>100</v>
      </c>
    </row>
    <row r="323" spans="1:27" ht="15.75" customHeight="1" x14ac:dyDescent="0.2">
      <c r="A323" s="445"/>
      <c r="B323" s="705"/>
      <c r="C323" s="1551"/>
      <c r="D323" s="743" t="s">
        <v>641</v>
      </c>
      <c r="E323" s="1679" t="s">
        <v>883</v>
      </c>
      <c r="F323" s="903">
        <v>13</v>
      </c>
      <c r="G323" s="903">
        <v>13</v>
      </c>
      <c r="H323" s="903">
        <v>13</v>
      </c>
      <c r="I323" s="898">
        <f t="shared" si="14"/>
        <v>100</v>
      </c>
    </row>
    <row r="324" spans="1:27" ht="15.75" customHeight="1" x14ac:dyDescent="0.2">
      <c r="A324" s="445"/>
      <c r="B324" s="705"/>
      <c r="C324" s="1551"/>
      <c r="D324" s="578" t="s">
        <v>636</v>
      </c>
      <c r="E324" s="474" t="s">
        <v>72</v>
      </c>
      <c r="F324" s="903">
        <v>539</v>
      </c>
      <c r="G324" s="903">
        <v>539</v>
      </c>
      <c r="H324" s="903">
        <v>539</v>
      </c>
      <c r="I324" s="898">
        <f t="shared" si="14"/>
        <v>100</v>
      </c>
    </row>
    <row r="325" spans="1:27" ht="15.75" customHeight="1" x14ac:dyDescent="0.25">
      <c r="A325" s="445">
        <v>1025</v>
      </c>
      <c r="B325" s="705">
        <v>3114</v>
      </c>
      <c r="C325" s="1551">
        <v>5336</v>
      </c>
      <c r="D325" s="594"/>
      <c r="E325" s="704" t="s">
        <v>1657</v>
      </c>
      <c r="F325" s="916"/>
      <c r="G325" s="916">
        <f>G327+G328+G326</f>
        <v>4663</v>
      </c>
      <c r="H325" s="916">
        <f>H327+H328+H326</f>
        <v>4663</v>
      </c>
      <c r="I325" s="906">
        <f t="shared" si="14"/>
        <v>100</v>
      </c>
    </row>
    <row r="326" spans="1:27" ht="15.75" customHeight="1" x14ac:dyDescent="0.25">
      <c r="A326" s="445"/>
      <c r="B326" s="705"/>
      <c r="C326" s="1551"/>
      <c r="D326" s="578" t="s">
        <v>1267</v>
      </c>
      <c r="E326" s="474" t="s">
        <v>882</v>
      </c>
      <c r="F326" s="916"/>
      <c r="G326" s="907">
        <v>4418</v>
      </c>
      <c r="H326" s="907">
        <v>4418</v>
      </c>
      <c r="I326" s="898">
        <f t="shared" si="14"/>
        <v>100</v>
      </c>
    </row>
    <row r="327" spans="1:27" ht="15.75" customHeight="1" x14ac:dyDescent="0.2">
      <c r="A327" s="445"/>
      <c r="B327" s="705"/>
      <c r="C327" s="1551"/>
      <c r="D327" s="594" t="s">
        <v>1046</v>
      </c>
      <c r="E327" s="938" t="s">
        <v>1658</v>
      </c>
      <c r="F327" s="903"/>
      <c r="G327" s="903">
        <v>37</v>
      </c>
      <c r="H327" s="903">
        <v>37</v>
      </c>
      <c r="I327" s="898">
        <f t="shared" si="14"/>
        <v>100</v>
      </c>
    </row>
    <row r="328" spans="1:27" ht="18" customHeight="1" thickBot="1" x14ac:dyDescent="0.25">
      <c r="A328" s="445"/>
      <c r="B328" s="705"/>
      <c r="C328" s="1551"/>
      <c r="D328" s="594" t="s">
        <v>1048</v>
      </c>
      <c r="E328" s="938" t="s">
        <v>1659</v>
      </c>
      <c r="F328" s="903"/>
      <c r="G328" s="903">
        <v>208</v>
      </c>
      <c r="H328" s="903">
        <v>208</v>
      </c>
      <c r="I328" s="898">
        <f t="shared" si="14"/>
        <v>100</v>
      </c>
    </row>
    <row r="329" spans="1:27" s="1684" customFormat="1" ht="16.5" thickTop="1" thickBot="1" x14ac:dyDescent="0.25">
      <c r="A329" s="2743" t="s">
        <v>1246</v>
      </c>
      <c r="B329" s="2744"/>
      <c r="C329" s="2744"/>
      <c r="D329" s="2744"/>
      <c r="E329" s="2744"/>
      <c r="F329" s="1696">
        <f>F322+F320+F325</f>
        <v>552</v>
      </c>
      <c r="G329" s="1696">
        <f>G322+G320+G325</f>
        <v>5675</v>
      </c>
      <c r="H329" s="1696">
        <f>H322+H320+H325</f>
        <v>5675</v>
      </c>
      <c r="I329" s="1697">
        <f t="shared" si="14"/>
        <v>100</v>
      </c>
      <c r="J329" s="1698" t="e">
        <f>F329+#REF!</f>
        <v>#REF!</v>
      </c>
      <c r="K329" s="1698" t="e">
        <f>G329+#REF!</f>
        <v>#REF!</v>
      </c>
      <c r="L329" s="1698" t="e">
        <f>H329+#REF!</f>
        <v>#REF!</v>
      </c>
      <c r="R329" s="1698">
        <f>F329</f>
        <v>552</v>
      </c>
      <c r="S329" s="1698">
        <f>G329</f>
        <v>5675</v>
      </c>
      <c r="T329" s="1698">
        <f>H329</f>
        <v>5675</v>
      </c>
      <c r="V329" s="1698"/>
      <c r="W329" s="1698"/>
      <c r="Y329" s="1698"/>
      <c r="Z329" s="1698"/>
      <c r="AA329" s="1698"/>
    </row>
    <row r="330" spans="1:27" ht="20.25" customHeight="1" thickTop="1" x14ac:dyDescent="0.2"/>
    <row r="331" spans="1:27" ht="13.5" thickBot="1" x14ac:dyDescent="0.25">
      <c r="A331" s="439" t="s">
        <v>345</v>
      </c>
      <c r="I331" s="1548" t="s">
        <v>179</v>
      </c>
    </row>
    <row r="332" spans="1:27" s="107" customFormat="1" thickTop="1" thickBot="1" x14ac:dyDescent="0.25">
      <c r="A332" s="657" t="s">
        <v>692</v>
      </c>
      <c r="B332" s="835" t="s">
        <v>180</v>
      </c>
      <c r="C332" s="658" t="s">
        <v>181</v>
      </c>
      <c r="D332" s="660" t="s">
        <v>783</v>
      </c>
      <c r="E332" s="660" t="s">
        <v>182</v>
      </c>
      <c r="F332" s="660" t="s">
        <v>183</v>
      </c>
      <c r="G332" s="660" t="s">
        <v>985</v>
      </c>
      <c r="H332" s="660" t="s">
        <v>986</v>
      </c>
      <c r="I332" s="888" t="s">
        <v>987</v>
      </c>
    </row>
    <row r="333" spans="1:27" s="386" customFormat="1" ht="13.5" thickTop="1" thickBot="1" x14ac:dyDescent="0.25">
      <c r="A333" s="592">
        <v>1</v>
      </c>
      <c r="B333" s="593">
        <v>2</v>
      </c>
      <c r="C333" s="593">
        <v>3</v>
      </c>
      <c r="D333" s="593">
        <v>4</v>
      </c>
      <c r="E333" s="593">
        <v>5</v>
      </c>
      <c r="F333" s="567">
        <v>6</v>
      </c>
      <c r="G333" s="567">
        <v>7</v>
      </c>
      <c r="H333" s="568">
        <v>8</v>
      </c>
      <c r="I333" s="662" t="s">
        <v>848</v>
      </c>
    </row>
    <row r="334" spans="1:27" ht="15.75" thickTop="1" x14ac:dyDescent="0.25">
      <c r="A334" s="1549">
        <v>1026</v>
      </c>
      <c r="B334" s="836">
        <v>3112</v>
      </c>
      <c r="C334" s="836">
        <v>5331</v>
      </c>
      <c r="D334" s="909"/>
      <c r="E334" s="930" t="s">
        <v>1066</v>
      </c>
      <c r="F334" s="931">
        <f>SUM(F335:F337)</f>
        <v>11</v>
      </c>
      <c r="G334" s="931">
        <v>11</v>
      </c>
      <c r="H334" s="931">
        <v>11</v>
      </c>
      <c r="I334" s="896">
        <f t="shared" ref="I334:I347" si="15">(H334/G334)*100</f>
        <v>100</v>
      </c>
    </row>
    <row r="335" spans="1:27" ht="15.75" customHeight="1" x14ac:dyDescent="0.2">
      <c r="A335" s="435"/>
      <c r="B335" s="705"/>
      <c r="C335" s="705"/>
      <c r="D335" s="578" t="s">
        <v>636</v>
      </c>
      <c r="E335" s="474" t="s">
        <v>72</v>
      </c>
      <c r="F335" s="897">
        <v>11</v>
      </c>
      <c r="G335" s="897">
        <v>11</v>
      </c>
      <c r="H335" s="897">
        <v>11</v>
      </c>
      <c r="I335" s="893">
        <f t="shared" si="15"/>
        <v>100</v>
      </c>
    </row>
    <row r="336" spans="1:27" ht="15.75" customHeight="1" x14ac:dyDescent="0.25">
      <c r="A336" s="445">
        <v>1026</v>
      </c>
      <c r="B336" s="705">
        <v>3112</v>
      </c>
      <c r="C336" s="1551">
        <v>5336</v>
      </c>
      <c r="D336" s="594"/>
      <c r="E336" s="704" t="s">
        <v>1657</v>
      </c>
      <c r="F336" s="897"/>
      <c r="G336" s="916">
        <v>779</v>
      </c>
      <c r="H336" s="916">
        <v>779</v>
      </c>
      <c r="I336" s="923">
        <f t="shared" si="15"/>
        <v>100</v>
      </c>
    </row>
    <row r="337" spans="1:20" ht="15.75" customHeight="1" thickBot="1" x14ac:dyDescent="0.25">
      <c r="A337" s="1552"/>
      <c r="B337" s="706"/>
      <c r="C337" s="1560"/>
      <c r="D337" s="757" t="s">
        <v>1267</v>
      </c>
      <c r="E337" s="476" t="s">
        <v>882</v>
      </c>
      <c r="F337" s="941"/>
      <c r="G337" s="963">
        <v>631</v>
      </c>
      <c r="H337" s="963">
        <v>631</v>
      </c>
      <c r="I337" s="925">
        <f t="shared" si="15"/>
        <v>100</v>
      </c>
    </row>
    <row r="338" spans="1:20" ht="13.5" thickTop="1" x14ac:dyDescent="0.2">
      <c r="A338" s="439"/>
      <c r="I338" s="384"/>
    </row>
    <row r="339" spans="1:20" x14ac:dyDescent="0.2">
      <c r="A339" s="439"/>
    </row>
    <row r="340" spans="1:20" ht="13.5" thickBot="1" x14ac:dyDescent="0.25">
      <c r="A340" s="439"/>
      <c r="I340" s="1548" t="s">
        <v>179</v>
      </c>
    </row>
    <row r="341" spans="1:20" s="107" customFormat="1" thickTop="1" thickBot="1" x14ac:dyDescent="0.25">
      <c r="A341" s="657" t="s">
        <v>692</v>
      </c>
      <c r="B341" s="835" t="s">
        <v>180</v>
      </c>
      <c r="C341" s="658" t="s">
        <v>181</v>
      </c>
      <c r="D341" s="660" t="s">
        <v>783</v>
      </c>
      <c r="E341" s="660" t="s">
        <v>182</v>
      </c>
      <c r="F341" s="660" t="s">
        <v>183</v>
      </c>
      <c r="G341" s="660" t="s">
        <v>985</v>
      </c>
      <c r="H341" s="660" t="s">
        <v>986</v>
      </c>
      <c r="I341" s="888" t="s">
        <v>987</v>
      </c>
    </row>
    <row r="342" spans="1:20" s="386" customFormat="1" ht="13.5" thickTop="1" thickBot="1" x14ac:dyDescent="0.25">
      <c r="A342" s="592">
        <v>1</v>
      </c>
      <c r="B342" s="593">
        <v>2</v>
      </c>
      <c r="C342" s="593">
        <v>3</v>
      </c>
      <c r="D342" s="593">
        <v>4</v>
      </c>
      <c r="E342" s="593">
        <v>5</v>
      </c>
      <c r="F342" s="567">
        <v>6</v>
      </c>
      <c r="G342" s="567">
        <v>7</v>
      </c>
      <c r="H342" s="568">
        <v>8</v>
      </c>
      <c r="I342" s="662" t="s">
        <v>848</v>
      </c>
    </row>
    <row r="343" spans="1:20" ht="15.75" customHeight="1" thickTop="1" x14ac:dyDescent="0.25">
      <c r="A343" s="435">
        <v>1026</v>
      </c>
      <c r="B343" s="808">
        <v>3114</v>
      </c>
      <c r="C343" s="1551">
        <v>5331</v>
      </c>
      <c r="D343" s="912"/>
      <c r="E343" s="704" t="s">
        <v>1066</v>
      </c>
      <c r="F343" s="905">
        <v>450</v>
      </c>
      <c r="G343" s="905">
        <v>450</v>
      </c>
      <c r="H343" s="905">
        <v>450</v>
      </c>
      <c r="I343" s="906">
        <f t="shared" si="15"/>
        <v>100</v>
      </c>
    </row>
    <row r="344" spans="1:20" ht="15.75" customHeight="1" x14ac:dyDescent="0.2">
      <c r="A344" s="435"/>
      <c r="B344" s="808"/>
      <c r="C344" s="1551"/>
      <c r="D344" s="578" t="s">
        <v>636</v>
      </c>
      <c r="E344" s="474" t="s">
        <v>72</v>
      </c>
      <c r="F344" s="903">
        <v>450</v>
      </c>
      <c r="G344" s="903">
        <v>450</v>
      </c>
      <c r="H344" s="903">
        <v>450</v>
      </c>
      <c r="I344" s="898">
        <f t="shared" si="15"/>
        <v>100</v>
      </c>
    </row>
    <row r="345" spans="1:20" ht="15.75" customHeight="1" x14ac:dyDescent="0.25">
      <c r="A345" s="445">
        <v>1026</v>
      </c>
      <c r="B345" s="705">
        <v>3114</v>
      </c>
      <c r="C345" s="1551">
        <v>5336</v>
      </c>
      <c r="D345" s="594"/>
      <c r="E345" s="704" t="s">
        <v>1657</v>
      </c>
      <c r="F345" s="903"/>
      <c r="G345" s="916">
        <v>3297</v>
      </c>
      <c r="H345" s="916">
        <v>3297</v>
      </c>
      <c r="I345" s="908">
        <f t="shared" si="15"/>
        <v>100</v>
      </c>
    </row>
    <row r="346" spans="1:20" ht="15.75" customHeight="1" thickBot="1" x14ac:dyDescent="0.25">
      <c r="A346" s="435"/>
      <c r="B346" s="808"/>
      <c r="C346" s="1551"/>
      <c r="D346" s="578" t="s">
        <v>1267</v>
      </c>
      <c r="E346" s="474" t="s">
        <v>882</v>
      </c>
      <c r="F346" s="903"/>
      <c r="G346" s="903">
        <v>3297</v>
      </c>
      <c r="H346" s="903">
        <v>3297</v>
      </c>
      <c r="I346" s="898">
        <f t="shared" si="15"/>
        <v>100</v>
      </c>
    </row>
    <row r="347" spans="1:20" s="1684" customFormat="1" ht="18" customHeight="1" thickTop="1" thickBot="1" x14ac:dyDescent="0.25">
      <c r="A347" s="2743" t="s">
        <v>1246</v>
      </c>
      <c r="B347" s="2744"/>
      <c r="C347" s="2744"/>
      <c r="D347" s="2744"/>
      <c r="E347" s="2744"/>
      <c r="F347" s="1696">
        <f>SUM(F334,F343)</f>
        <v>461</v>
      </c>
      <c r="G347" s="1696">
        <f>SUM(G334,G343,G336,G345)</f>
        <v>4537</v>
      </c>
      <c r="H347" s="1696">
        <f>SUM(H334,H343,H336,H345)</f>
        <v>4537</v>
      </c>
      <c r="I347" s="1697">
        <f t="shared" si="15"/>
        <v>100</v>
      </c>
      <c r="R347" s="1698">
        <f>F347</f>
        <v>461</v>
      </c>
      <c r="S347" s="1698">
        <f>G347</f>
        <v>4537</v>
      </c>
      <c r="T347" s="1698">
        <f>H347</f>
        <v>4537</v>
      </c>
    </row>
    <row r="348" spans="1:20" ht="13.5" thickTop="1" x14ac:dyDescent="0.2"/>
    <row r="350" spans="1:20" ht="20.25" customHeight="1" thickBot="1" x14ac:dyDescent="0.25">
      <c r="A350" s="439" t="s">
        <v>346</v>
      </c>
      <c r="I350" s="1548" t="s">
        <v>179</v>
      </c>
    </row>
    <row r="351" spans="1:20" s="107" customFormat="1" thickTop="1" thickBot="1" x14ac:dyDescent="0.25">
      <c r="A351" s="657" t="s">
        <v>692</v>
      </c>
      <c r="B351" s="835" t="s">
        <v>180</v>
      </c>
      <c r="C351" s="658" t="s">
        <v>181</v>
      </c>
      <c r="D351" s="660" t="s">
        <v>783</v>
      </c>
      <c r="E351" s="660" t="s">
        <v>182</v>
      </c>
      <c r="F351" s="660" t="s">
        <v>183</v>
      </c>
      <c r="G351" s="660" t="s">
        <v>985</v>
      </c>
      <c r="H351" s="660" t="s">
        <v>986</v>
      </c>
      <c r="I351" s="888" t="s">
        <v>987</v>
      </c>
    </row>
    <row r="352" spans="1:20" s="386" customFormat="1" ht="13.5" thickTop="1" thickBot="1" x14ac:dyDescent="0.25">
      <c r="A352" s="592">
        <v>1</v>
      </c>
      <c r="B352" s="593">
        <v>2</v>
      </c>
      <c r="C352" s="593">
        <v>3</v>
      </c>
      <c r="D352" s="593">
        <v>4</v>
      </c>
      <c r="E352" s="593">
        <v>5</v>
      </c>
      <c r="F352" s="567">
        <v>6</v>
      </c>
      <c r="G352" s="567">
        <v>7</v>
      </c>
      <c r="H352" s="568">
        <v>8</v>
      </c>
      <c r="I352" s="662" t="s">
        <v>848</v>
      </c>
    </row>
    <row r="353" spans="1:20" ht="15.75" thickTop="1" x14ac:dyDescent="0.25">
      <c r="A353" s="1549">
        <v>1032</v>
      </c>
      <c r="B353" s="836">
        <v>3114</v>
      </c>
      <c r="C353" s="836">
        <v>5331</v>
      </c>
      <c r="D353" s="909"/>
      <c r="E353" s="930" t="s">
        <v>1066</v>
      </c>
      <c r="F353" s="931">
        <f>SUM(F354:F355)</f>
        <v>1212</v>
      </c>
      <c r="G353" s="931">
        <f>SUM(G354:G355)</f>
        <v>1192</v>
      </c>
      <c r="H353" s="931">
        <f>SUM(H354:H355)</f>
        <v>1192</v>
      </c>
      <c r="I353" s="896">
        <f>(H353/G353)*100</f>
        <v>100</v>
      </c>
    </row>
    <row r="354" spans="1:20" ht="14.25" x14ac:dyDescent="0.2">
      <c r="A354" s="435"/>
      <c r="B354" s="705"/>
      <c r="C354" s="705"/>
      <c r="D354" s="743" t="s">
        <v>641</v>
      </c>
      <c r="E354" s="1679" t="s">
        <v>883</v>
      </c>
      <c r="F354" s="897">
        <v>261</v>
      </c>
      <c r="G354" s="897">
        <v>241</v>
      </c>
      <c r="H354" s="897">
        <v>241</v>
      </c>
      <c r="I354" s="893">
        <f>(H354/G354)*100</f>
        <v>100</v>
      </c>
    </row>
    <row r="355" spans="1:20" ht="14.25" x14ac:dyDescent="0.2">
      <c r="A355" s="435"/>
      <c r="B355" s="705"/>
      <c r="C355" s="705"/>
      <c r="D355" s="578" t="s">
        <v>636</v>
      </c>
      <c r="E355" s="474" t="s">
        <v>72</v>
      </c>
      <c r="F355" s="897">
        <v>951</v>
      </c>
      <c r="G355" s="897">
        <v>951</v>
      </c>
      <c r="H355" s="897">
        <v>951</v>
      </c>
      <c r="I355" s="893">
        <f>(H355/G355)*100</f>
        <v>100</v>
      </c>
    </row>
    <row r="356" spans="1:20" ht="15" x14ac:dyDescent="0.25">
      <c r="A356" s="445">
        <v>1032</v>
      </c>
      <c r="B356" s="705">
        <v>3114</v>
      </c>
      <c r="C356" s="1551">
        <v>5336</v>
      </c>
      <c r="D356" s="594"/>
      <c r="E356" s="704" t="s">
        <v>1657</v>
      </c>
      <c r="F356" s="916"/>
      <c r="G356" s="916">
        <f>G358+G359+G357</f>
        <v>7936</v>
      </c>
      <c r="H356" s="916">
        <f>H358+H359+H357</f>
        <v>7936</v>
      </c>
      <c r="I356" s="906">
        <f t="shared" ref="I356:I364" si="16">(H356/G356)*100</f>
        <v>100</v>
      </c>
    </row>
    <row r="357" spans="1:20" ht="15" x14ac:dyDescent="0.25">
      <c r="A357" s="445"/>
      <c r="B357" s="705"/>
      <c r="C357" s="1551"/>
      <c r="D357" s="1178" t="s">
        <v>771</v>
      </c>
      <c r="E357" s="1428" t="s">
        <v>784</v>
      </c>
      <c r="F357" s="916"/>
      <c r="G357" s="907">
        <v>7664</v>
      </c>
      <c r="H357" s="907">
        <v>7664</v>
      </c>
      <c r="I357" s="898">
        <f t="shared" si="16"/>
        <v>100</v>
      </c>
    </row>
    <row r="358" spans="1:20" ht="14.25" x14ac:dyDescent="0.2">
      <c r="A358" s="445"/>
      <c r="B358" s="705"/>
      <c r="C358" s="1551"/>
      <c r="D358" s="594" t="s">
        <v>1046</v>
      </c>
      <c r="E358" s="938" t="s">
        <v>1658</v>
      </c>
      <c r="F358" s="903"/>
      <c r="G358" s="903">
        <v>41</v>
      </c>
      <c r="H358" s="903">
        <v>41</v>
      </c>
      <c r="I358" s="898">
        <f t="shared" si="16"/>
        <v>100</v>
      </c>
    </row>
    <row r="359" spans="1:20" ht="14.25" x14ac:dyDescent="0.2">
      <c r="A359" s="445"/>
      <c r="B359" s="705"/>
      <c r="C359" s="1551"/>
      <c r="D359" s="594" t="s">
        <v>1048</v>
      </c>
      <c r="E359" s="938" t="s">
        <v>1659</v>
      </c>
      <c r="F359" s="903"/>
      <c r="G359" s="903">
        <v>231</v>
      </c>
      <c r="H359" s="903">
        <v>231</v>
      </c>
      <c r="I359" s="898">
        <f t="shared" si="16"/>
        <v>100</v>
      </c>
    </row>
    <row r="360" spans="1:20" ht="15" x14ac:dyDescent="0.25">
      <c r="A360" s="435">
        <v>1032</v>
      </c>
      <c r="B360" s="808">
        <v>3141</v>
      </c>
      <c r="C360" s="1551">
        <v>5336</v>
      </c>
      <c r="D360" s="594"/>
      <c r="E360" s="704" t="s">
        <v>1657</v>
      </c>
      <c r="F360" s="905"/>
      <c r="G360" s="905">
        <v>7</v>
      </c>
      <c r="H360" s="905">
        <v>7</v>
      </c>
      <c r="I360" s="906">
        <f t="shared" si="16"/>
        <v>100</v>
      </c>
    </row>
    <row r="361" spans="1:20" ht="14.25" x14ac:dyDescent="0.2">
      <c r="A361" s="435"/>
      <c r="B361" s="808"/>
      <c r="C361" s="1551"/>
      <c r="D361" s="578" t="s">
        <v>1267</v>
      </c>
      <c r="E361" s="474" t="s">
        <v>882</v>
      </c>
      <c r="F361" s="903"/>
      <c r="G361" s="903">
        <v>7</v>
      </c>
      <c r="H361" s="903">
        <v>7</v>
      </c>
      <c r="I361" s="898">
        <f t="shared" si="16"/>
        <v>100</v>
      </c>
    </row>
    <row r="362" spans="1:20" ht="15" x14ac:dyDescent="0.25">
      <c r="A362" s="435">
        <v>1032</v>
      </c>
      <c r="B362" s="808">
        <v>3143</v>
      </c>
      <c r="C362" s="1551">
        <v>5336</v>
      </c>
      <c r="D362" s="594"/>
      <c r="E362" s="704" t="s">
        <v>1657</v>
      </c>
      <c r="F362" s="905"/>
      <c r="G362" s="905">
        <v>275</v>
      </c>
      <c r="H362" s="905">
        <v>275</v>
      </c>
      <c r="I362" s="906">
        <f t="shared" si="16"/>
        <v>100</v>
      </c>
    </row>
    <row r="363" spans="1:20" ht="15" thickBot="1" x14ac:dyDescent="0.25">
      <c r="A363" s="435"/>
      <c r="B363" s="808"/>
      <c r="C363" s="1551"/>
      <c r="D363" s="578" t="s">
        <v>1267</v>
      </c>
      <c r="E363" s="474" t="s">
        <v>882</v>
      </c>
      <c r="F363" s="903"/>
      <c r="G363" s="903">
        <v>275</v>
      </c>
      <c r="H363" s="903">
        <v>275</v>
      </c>
      <c r="I363" s="898">
        <f t="shared" si="16"/>
        <v>100</v>
      </c>
    </row>
    <row r="364" spans="1:20" s="1684" customFormat="1" ht="16.5" thickTop="1" thickBot="1" x14ac:dyDescent="0.25">
      <c r="A364" s="2743" t="s">
        <v>1246</v>
      </c>
      <c r="B364" s="2744"/>
      <c r="C364" s="2744"/>
      <c r="D364" s="2744"/>
      <c r="E364" s="2744"/>
      <c r="F364" s="1696">
        <f>SUM(F353+F360)</f>
        <v>1212</v>
      </c>
      <c r="G364" s="1696">
        <f>SUM(G353+G360+G362+G356)</f>
        <v>9410</v>
      </c>
      <c r="H364" s="1696">
        <f>SUM(H353+H360+H362+H356)</f>
        <v>9410</v>
      </c>
      <c r="I364" s="1697">
        <f t="shared" si="16"/>
        <v>100</v>
      </c>
      <c r="R364" s="1698">
        <f>F364</f>
        <v>1212</v>
      </c>
      <c r="S364" s="1698">
        <f>G364</f>
        <v>9410</v>
      </c>
      <c r="T364" s="1698">
        <f>H364</f>
        <v>9410</v>
      </c>
    </row>
    <row r="365" spans="1:20" ht="13.5" thickTop="1" x14ac:dyDescent="0.2"/>
    <row r="367" spans="1:20" ht="13.5" thickBot="1" x14ac:dyDescent="0.25">
      <c r="A367" s="439" t="s">
        <v>347</v>
      </c>
      <c r="I367" s="1548" t="s">
        <v>179</v>
      </c>
    </row>
    <row r="368" spans="1:20" s="107" customFormat="1" ht="20.25" customHeight="1" thickTop="1" thickBot="1" x14ac:dyDescent="0.25">
      <c r="A368" s="657" t="s">
        <v>692</v>
      </c>
      <c r="B368" s="835" t="s">
        <v>180</v>
      </c>
      <c r="C368" s="658" t="s">
        <v>181</v>
      </c>
      <c r="D368" s="660" t="s">
        <v>783</v>
      </c>
      <c r="E368" s="660" t="s">
        <v>182</v>
      </c>
      <c r="F368" s="660" t="s">
        <v>183</v>
      </c>
      <c r="G368" s="660" t="s">
        <v>985</v>
      </c>
      <c r="H368" s="660" t="s">
        <v>986</v>
      </c>
      <c r="I368" s="888" t="s">
        <v>987</v>
      </c>
    </row>
    <row r="369" spans="1:20" s="386" customFormat="1" ht="13.5" thickTop="1" thickBot="1" x14ac:dyDescent="0.25">
      <c r="A369" s="592">
        <v>1</v>
      </c>
      <c r="B369" s="593">
        <v>2</v>
      </c>
      <c r="C369" s="593">
        <v>3</v>
      </c>
      <c r="D369" s="593">
        <v>4</v>
      </c>
      <c r="E369" s="593">
        <v>5</v>
      </c>
      <c r="F369" s="567">
        <v>6</v>
      </c>
      <c r="G369" s="567">
        <v>7</v>
      </c>
      <c r="H369" s="568">
        <v>8</v>
      </c>
      <c r="I369" s="662" t="s">
        <v>848</v>
      </c>
    </row>
    <row r="370" spans="1:20" ht="15.75" thickTop="1" x14ac:dyDescent="0.25">
      <c r="A370" s="1549">
        <v>1033</v>
      </c>
      <c r="B370" s="836">
        <v>3114</v>
      </c>
      <c r="C370" s="836">
        <v>5331</v>
      </c>
      <c r="D370" s="909"/>
      <c r="E370" s="930" t="s">
        <v>1066</v>
      </c>
      <c r="F370" s="931">
        <f>F371+F373</f>
        <v>819</v>
      </c>
      <c r="G370" s="931">
        <f>SUM(G371:G373)</f>
        <v>964</v>
      </c>
      <c r="H370" s="931">
        <f>SUM(H371:H373)</f>
        <v>964</v>
      </c>
      <c r="I370" s="896">
        <f t="shared" ref="I370:I380" si="17">(H370/G370)*100</f>
        <v>100</v>
      </c>
    </row>
    <row r="371" spans="1:20" ht="14.25" x14ac:dyDescent="0.2">
      <c r="A371" s="435"/>
      <c r="B371" s="705"/>
      <c r="C371" s="705"/>
      <c r="D371" s="743" t="s">
        <v>641</v>
      </c>
      <c r="E371" s="1679" t="s">
        <v>883</v>
      </c>
      <c r="F371" s="897">
        <v>28</v>
      </c>
      <c r="G371" s="897">
        <v>43</v>
      </c>
      <c r="H371" s="897">
        <v>43</v>
      </c>
      <c r="I371" s="893">
        <f t="shared" si="17"/>
        <v>100</v>
      </c>
    </row>
    <row r="372" spans="1:20" ht="14.25" x14ac:dyDescent="0.2">
      <c r="A372" s="435"/>
      <c r="B372" s="705"/>
      <c r="C372" s="705"/>
      <c r="D372" s="1169" t="s">
        <v>202</v>
      </c>
      <c r="E372" s="1275" t="s">
        <v>791</v>
      </c>
      <c r="F372" s="897"/>
      <c r="G372" s="897">
        <v>130</v>
      </c>
      <c r="H372" s="897">
        <v>130</v>
      </c>
      <c r="I372" s="893">
        <f t="shared" si="17"/>
        <v>100</v>
      </c>
    </row>
    <row r="373" spans="1:20" ht="14.25" x14ac:dyDescent="0.2">
      <c r="A373" s="435"/>
      <c r="B373" s="705"/>
      <c r="C373" s="705"/>
      <c r="D373" s="578" t="s">
        <v>636</v>
      </c>
      <c r="E373" s="474" t="s">
        <v>72</v>
      </c>
      <c r="F373" s="897">
        <v>791</v>
      </c>
      <c r="G373" s="897">
        <v>791</v>
      </c>
      <c r="H373" s="897">
        <v>791</v>
      </c>
      <c r="I373" s="893">
        <f t="shared" si="17"/>
        <v>100</v>
      </c>
    </row>
    <row r="374" spans="1:20" ht="15" x14ac:dyDescent="0.25">
      <c r="A374" s="445">
        <v>1033</v>
      </c>
      <c r="B374" s="705">
        <v>3114</v>
      </c>
      <c r="C374" s="1551">
        <v>5336</v>
      </c>
      <c r="D374" s="594"/>
      <c r="E374" s="704" t="s">
        <v>1657</v>
      </c>
      <c r="F374" s="897"/>
      <c r="G374" s="921">
        <v>3946</v>
      </c>
      <c r="H374" s="921">
        <v>3946</v>
      </c>
      <c r="I374" s="923">
        <f t="shared" si="17"/>
        <v>100</v>
      </c>
    </row>
    <row r="375" spans="1:20" ht="14.25" x14ac:dyDescent="0.2">
      <c r="A375" s="435"/>
      <c r="B375" s="705"/>
      <c r="C375" s="705"/>
      <c r="D375" s="578" t="s">
        <v>1267</v>
      </c>
      <c r="E375" s="474" t="s">
        <v>882</v>
      </c>
      <c r="F375" s="897"/>
      <c r="G375" s="897">
        <v>3946</v>
      </c>
      <c r="H375" s="897">
        <v>3946</v>
      </c>
      <c r="I375" s="893">
        <f t="shared" si="17"/>
        <v>100</v>
      </c>
    </row>
    <row r="376" spans="1:20" ht="15" x14ac:dyDescent="0.25">
      <c r="A376" s="435">
        <v>1033</v>
      </c>
      <c r="B376" s="808">
        <v>3141</v>
      </c>
      <c r="C376" s="1551">
        <v>5336</v>
      </c>
      <c r="D376" s="594"/>
      <c r="E376" s="704" t="s">
        <v>1657</v>
      </c>
      <c r="F376" s="905"/>
      <c r="G376" s="905">
        <v>51</v>
      </c>
      <c r="H376" s="905">
        <v>51</v>
      </c>
      <c r="I376" s="906">
        <f t="shared" si="17"/>
        <v>100</v>
      </c>
    </row>
    <row r="377" spans="1:20" ht="14.25" x14ac:dyDescent="0.2">
      <c r="A377" s="435"/>
      <c r="B377" s="808"/>
      <c r="C377" s="808"/>
      <c r="D377" s="578" t="s">
        <v>1267</v>
      </c>
      <c r="E377" s="474" t="s">
        <v>882</v>
      </c>
      <c r="F377" s="903"/>
      <c r="G377" s="903">
        <v>51</v>
      </c>
      <c r="H377" s="903">
        <v>51</v>
      </c>
      <c r="I377" s="898">
        <f t="shared" si="17"/>
        <v>100</v>
      </c>
    </row>
    <row r="378" spans="1:20" ht="15" x14ac:dyDescent="0.25">
      <c r="A378" s="435">
        <v>1033</v>
      </c>
      <c r="B378" s="808">
        <v>3143</v>
      </c>
      <c r="C378" s="1551">
        <v>5336</v>
      </c>
      <c r="D378" s="594"/>
      <c r="E378" s="704" t="s">
        <v>1657</v>
      </c>
      <c r="F378" s="905"/>
      <c r="G378" s="905">
        <v>311</v>
      </c>
      <c r="H378" s="905">
        <v>311</v>
      </c>
      <c r="I378" s="906">
        <f t="shared" si="17"/>
        <v>100</v>
      </c>
    </row>
    <row r="379" spans="1:20" ht="15" thickBot="1" x14ac:dyDescent="0.25">
      <c r="A379" s="435"/>
      <c r="B379" s="808"/>
      <c r="C379" s="1551"/>
      <c r="D379" s="578" t="s">
        <v>1267</v>
      </c>
      <c r="E379" s="474" t="s">
        <v>882</v>
      </c>
      <c r="F379" s="903"/>
      <c r="G379" s="903">
        <v>311</v>
      </c>
      <c r="H379" s="903">
        <v>311</v>
      </c>
      <c r="I379" s="898">
        <f t="shared" si="17"/>
        <v>100</v>
      </c>
    </row>
    <row r="380" spans="1:20" s="1684" customFormat="1" ht="16.5" thickTop="1" thickBot="1" x14ac:dyDescent="0.25">
      <c r="A380" s="2743" t="s">
        <v>1246</v>
      </c>
      <c r="B380" s="2744"/>
      <c r="C380" s="2744"/>
      <c r="D380" s="2744"/>
      <c r="E380" s="2744"/>
      <c r="F380" s="1696">
        <f>SUM(F370+F378+F376)</f>
        <v>819</v>
      </c>
      <c r="G380" s="1696">
        <f>G370+G374+G376+G378</f>
        <v>5272</v>
      </c>
      <c r="H380" s="1696">
        <f>H370+H374+H376+H378</f>
        <v>5272</v>
      </c>
      <c r="I380" s="1697">
        <f t="shared" si="17"/>
        <v>100</v>
      </c>
      <c r="R380" s="1698">
        <f>F380</f>
        <v>819</v>
      </c>
      <c r="S380" s="1698">
        <f>G380</f>
        <v>5272</v>
      </c>
      <c r="T380" s="1698">
        <f>H380</f>
        <v>5272</v>
      </c>
    </row>
    <row r="381" spans="1:20" ht="13.5" thickTop="1" x14ac:dyDescent="0.2"/>
    <row r="383" spans="1:20" ht="13.5" thickBot="1" x14ac:dyDescent="0.25">
      <c r="A383" s="439" t="s">
        <v>569</v>
      </c>
      <c r="I383" s="1548" t="s">
        <v>179</v>
      </c>
    </row>
    <row r="384" spans="1:20" s="107" customFormat="1" thickTop="1" thickBot="1" x14ac:dyDescent="0.25">
      <c r="A384" s="657" t="s">
        <v>692</v>
      </c>
      <c r="B384" s="835" t="s">
        <v>180</v>
      </c>
      <c r="C384" s="658" t="s">
        <v>181</v>
      </c>
      <c r="D384" s="660" t="s">
        <v>783</v>
      </c>
      <c r="E384" s="660" t="s">
        <v>182</v>
      </c>
      <c r="F384" s="660" t="s">
        <v>183</v>
      </c>
      <c r="G384" s="660" t="s">
        <v>985</v>
      </c>
      <c r="H384" s="660" t="s">
        <v>986</v>
      </c>
      <c r="I384" s="888" t="s">
        <v>987</v>
      </c>
    </row>
    <row r="385" spans="1:20" s="386" customFormat="1" ht="20.25" customHeight="1" thickTop="1" thickBot="1" x14ac:dyDescent="0.25">
      <c r="A385" s="592">
        <v>1</v>
      </c>
      <c r="B385" s="593">
        <v>2</v>
      </c>
      <c r="C385" s="593">
        <v>3</v>
      </c>
      <c r="D385" s="593">
        <v>4</v>
      </c>
      <c r="E385" s="593">
        <v>5</v>
      </c>
      <c r="F385" s="567">
        <v>6</v>
      </c>
      <c r="G385" s="567">
        <v>7</v>
      </c>
      <c r="H385" s="568">
        <v>8</v>
      </c>
      <c r="I385" s="662" t="s">
        <v>848</v>
      </c>
    </row>
    <row r="386" spans="1:20" ht="15.75" thickTop="1" x14ac:dyDescent="0.25">
      <c r="A386" s="1549">
        <v>1034</v>
      </c>
      <c r="B386" s="836">
        <v>3114</v>
      </c>
      <c r="C386" s="836">
        <v>5331</v>
      </c>
      <c r="D386" s="909"/>
      <c r="E386" s="930" t="s">
        <v>1066</v>
      </c>
      <c r="F386" s="931">
        <f>SUM(F387:F389)</f>
        <v>659</v>
      </c>
      <c r="G386" s="931">
        <v>659</v>
      </c>
      <c r="H386" s="931">
        <v>659</v>
      </c>
      <c r="I386" s="896">
        <f>(H386/G386)*100</f>
        <v>100</v>
      </c>
    </row>
    <row r="387" spans="1:20" ht="14.25" x14ac:dyDescent="0.2">
      <c r="A387" s="435"/>
      <c r="B387" s="705"/>
      <c r="C387" s="705"/>
      <c r="D387" s="578" t="s">
        <v>636</v>
      </c>
      <c r="E387" s="474" t="s">
        <v>72</v>
      </c>
      <c r="F387" s="897">
        <v>659</v>
      </c>
      <c r="G387" s="897">
        <v>659</v>
      </c>
      <c r="H387" s="897">
        <v>659</v>
      </c>
      <c r="I387" s="893">
        <f>(H387/G387)*100</f>
        <v>100</v>
      </c>
    </row>
    <row r="388" spans="1:20" ht="15" x14ac:dyDescent="0.25">
      <c r="A388" s="435">
        <v>1034</v>
      </c>
      <c r="B388" s="808">
        <v>3114</v>
      </c>
      <c r="C388" s="1551">
        <v>5336</v>
      </c>
      <c r="D388" s="594"/>
      <c r="E388" s="704" t="s">
        <v>1657</v>
      </c>
      <c r="F388" s="897"/>
      <c r="G388" s="921">
        <v>4883</v>
      </c>
      <c r="H388" s="921">
        <v>4883</v>
      </c>
      <c r="I388" s="906">
        <f t="shared" ref="I388:I399" si="18">(H388/G388)*100</f>
        <v>100</v>
      </c>
    </row>
    <row r="389" spans="1:20" ht="14.25" x14ac:dyDescent="0.2">
      <c r="A389" s="435"/>
      <c r="B389" s="705"/>
      <c r="C389" s="705"/>
      <c r="D389" s="578" t="s">
        <v>1267</v>
      </c>
      <c r="E389" s="474" t="s">
        <v>882</v>
      </c>
      <c r="F389" s="897"/>
      <c r="G389" s="897">
        <v>4883</v>
      </c>
      <c r="H389" s="897">
        <v>4883</v>
      </c>
      <c r="I389" s="893">
        <f>(H389/G389)*100</f>
        <v>100</v>
      </c>
    </row>
    <row r="390" spans="1:20" ht="15" x14ac:dyDescent="0.25">
      <c r="A390" s="435">
        <v>1034</v>
      </c>
      <c r="B390" s="808">
        <v>3141</v>
      </c>
      <c r="C390" s="1551">
        <v>5331</v>
      </c>
      <c r="D390" s="912"/>
      <c r="E390" s="704" t="s">
        <v>1066</v>
      </c>
      <c r="F390" s="905">
        <v>78</v>
      </c>
      <c r="G390" s="905">
        <v>78</v>
      </c>
      <c r="H390" s="905">
        <v>78</v>
      </c>
      <c r="I390" s="906">
        <f t="shared" si="18"/>
        <v>100</v>
      </c>
    </row>
    <row r="391" spans="1:20" ht="14.25" x14ac:dyDescent="0.2">
      <c r="A391" s="435"/>
      <c r="B391" s="808"/>
      <c r="C391" s="1551"/>
      <c r="D391" s="578" t="s">
        <v>636</v>
      </c>
      <c r="E391" s="474" t="s">
        <v>72</v>
      </c>
      <c r="F391" s="903">
        <v>78</v>
      </c>
      <c r="G391" s="903">
        <v>78</v>
      </c>
      <c r="H391" s="903">
        <v>78</v>
      </c>
      <c r="I391" s="898">
        <f t="shared" si="18"/>
        <v>100</v>
      </c>
    </row>
    <row r="392" spans="1:20" ht="15" x14ac:dyDescent="0.25">
      <c r="A392" s="435">
        <v>1034</v>
      </c>
      <c r="B392" s="808">
        <v>3141</v>
      </c>
      <c r="C392" s="1551">
        <v>5336</v>
      </c>
      <c r="D392" s="594"/>
      <c r="E392" s="704" t="s">
        <v>1657</v>
      </c>
      <c r="F392" s="903"/>
      <c r="G392" s="916">
        <v>133</v>
      </c>
      <c r="H392" s="916">
        <v>133</v>
      </c>
      <c r="I392" s="908">
        <f t="shared" si="18"/>
        <v>100</v>
      </c>
    </row>
    <row r="393" spans="1:20" ht="14.25" x14ac:dyDescent="0.2">
      <c r="A393" s="435"/>
      <c r="B393" s="808"/>
      <c r="C393" s="1551"/>
      <c r="D393" s="578" t="s">
        <v>1267</v>
      </c>
      <c r="E393" s="474" t="s">
        <v>882</v>
      </c>
      <c r="F393" s="903"/>
      <c r="G393" s="903">
        <v>133</v>
      </c>
      <c r="H393" s="903">
        <v>133</v>
      </c>
      <c r="I393" s="898">
        <f t="shared" si="18"/>
        <v>100</v>
      </c>
    </row>
    <row r="394" spans="1:20" ht="15" x14ac:dyDescent="0.25">
      <c r="A394" s="435">
        <v>1034</v>
      </c>
      <c r="B394" s="808">
        <v>4322</v>
      </c>
      <c r="C394" s="1550">
        <v>5331</v>
      </c>
      <c r="D394" s="899"/>
      <c r="E394" s="854" t="s">
        <v>1066</v>
      </c>
      <c r="F394" s="890">
        <f>SUM(F395:F396)</f>
        <v>1481</v>
      </c>
      <c r="G394" s="890">
        <f>SUM(G395:G396)</f>
        <v>1475</v>
      </c>
      <c r="H394" s="890">
        <f>SUM(H395:H396)</f>
        <v>1475</v>
      </c>
      <c r="I394" s="906">
        <f t="shared" si="18"/>
        <v>100</v>
      </c>
    </row>
    <row r="395" spans="1:20" ht="14.25" x14ac:dyDescent="0.2">
      <c r="A395" s="435"/>
      <c r="B395" s="705"/>
      <c r="C395" s="1550"/>
      <c r="D395" s="743" t="s">
        <v>641</v>
      </c>
      <c r="E395" s="1679" t="s">
        <v>883</v>
      </c>
      <c r="F395" s="897">
        <v>303</v>
      </c>
      <c r="G395" s="897">
        <v>297</v>
      </c>
      <c r="H395" s="897">
        <v>297</v>
      </c>
      <c r="I395" s="893">
        <f t="shared" si="18"/>
        <v>100</v>
      </c>
    </row>
    <row r="396" spans="1:20" ht="14.25" x14ac:dyDescent="0.2">
      <c r="A396" s="435"/>
      <c r="B396" s="705"/>
      <c r="C396" s="1550"/>
      <c r="D396" s="578" t="s">
        <v>636</v>
      </c>
      <c r="E396" s="474" t="s">
        <v>72</v>
      </c>
      <c r="F396" s="897">
        <v>1178</v>
      </c>
      <c r="G396" s="897">
        <v>1178</v>
      </c>
      <c r="H396" s="897">
        <v>1178</v>
      </c>
      <c r="I396" s="893">
        <f t="shared" si="18"/>
        <v>100</v>
      </c>
    </row>
    <row r="397" spans="1:20" ht="15" x14ac:dyDescent="0.25">
      <c r="A397" s="435">
        <v>1034</v>
      </c>
      <c r="B397" s="808">
        <v>4322</v>
      </c>
      <c r="C397" s="1551">
        <v>5336</v>
      </c>
      <c r="D397" s="594"/>
      <c r="E397" s="704" t="s">
        <v>1657</v>
      </c>
      <c r="F397" s="897"/>
      <c r="G397" s="921">
        <v>6297</v>
      </c>
      <c r="H397" s="921">
        <v>6297</v>
      </c>
      <c r="I397" s="923">
        <f t="shared" si="18"/>
        <v>100</v>
      </c>
    </row>
    <row r="398" spans="1:20" ht="15" thickBot="1" x14ac:dyDescent="0.25">
      <c r="A398" s="435"/>
      <c r="B398" s="705"/>
      <c r="C398" s="1550"/>
      <c r="D398" s="578" t="s">
        <v>1267</v>
      </c>
      <c r="E398" s="474" t="s">
        <v>882</v>
      </c>
      <c r="F398" s="897"/>
      <c r="G398" s="897">
        <v>6297</v>
      </c>
      <c r="H398" s="897">
        <v>6297</v>
      </c>
      <c r="I398" s="893">
        <f t="shared" si="18"/>
        <v>100</v>
      </c>
    </row>
    <row r="399" spans="1:20" s="1684" customFormat="1" ht="16.5" thickTop="1" thickBot="1" x14ac:dyDescent="0.25">
      <c r="A399" s="2743" t="s">
        <v>1246</v>
      </c>
      <c r="B399" s="2744"/>
      <c r="C399" s="2744"/>
      <c r="D399" s="2744"/>
      <c r="E399" s="2744"/>
      <c r="F399" s="1696">
        <f>SUM(F386,F390,F394)</f>
        <v>2218</v>
      </c>
      <c r="G399" s="1696">
        <f>SUM(G386,G390,G394,G388,G392,G397)</f>
        <v>13525</v>
      </c>
      <c r="H399" s="1696">
        <f>SUM(H386,H390,H394,H388,H392,H397)</f>
        <v>13525</v>
      </c>
      <c r="I399" s="1697">
        <f t="shared" si="18"/>
        <v>100</v>
      </c>
      <c r="R399" s="1698">
        <f>F399</f>
        <v>2218</v>
      </c>
      <c r="S399" s="1698">
        <f>G399</f>
        <v>13525</v>
      </c>
      <c r="T399" s="1698">
        <f>H399</f>
        <v>13525</v>
      </c>
    </row>
    <row r="400" spans="1:20" ht="13.5" thickTop="1" x14ac:dyDescent="0.2"/>
    <row r="402" spans="1:9" ht="13.5" thickBot="1" x14ac:dyDescent="0.25">
      <c r="A402" s="439" t="s">
        <v>1263</v>
      </c>
      <c r="I402" s="1548" t="s">
        <v>179</v>
      </c>
    </row>
    <row r="403" spans="1:9" s="107" customFormat="1" thickTop="1" thickBot="1" x14ac:dyDescent="0.25">
      <c r="A403" s="657" t="s">
        <v>692</v>
      </c>
      <c r="B403" s="835" t="s">
        <v>180</v>
      </c>
      <c r="C403" s="658" t="s">
        <v>181</v>
      </c>
      <c r="D403" s="660" t="s">
        <v>783</v>
      </c>
      <c r="E403" s="660" t="s">
        <v>182</v>
      </c>
      <c r="F403" s="660" t="s">
        <v>183</v>
      </c>
      <c r="G403" s="660" t="s">
        <v>985</v>
      </c>
      <c r="H403" s="660" t="s">
        <v>986</v>
      </c>
      <c r="I403" s="888" t="s">
        <v>987</v>
      </c>
    </row>
    <row r="404" spans="1:9" s="386" customFormat="1" ht="14.25" customHeight="1" thickTop="1" thickBot="1" x14ac:dyDescent="0.25">
      <c r="A404" s="592">
        <v>1</v>
      </c>
      <c r="B404" s="593">
        <v>2</v>
      </c>
      <c r="C404" s="593">
        <v>3</v>
      </c>
      <c r="D404" s="593">
        <v>4</v>
      </c>
      <c r="E404" s="593">
        <v>5</v>
      </c>
      <c r="F404" s="567">
        <v>6</v>
      </c>
      <c r="G404" s="567">
        <v>7</v>
      </c>
      <c r="H404" s="568">
        <v>8</v>
      </c>
      <c r="I404" s="662" t="s">
        <v>848</v>
      </c>
    </row>
    <row r="405" spans="1:9" ht="15.75" thickTop="1" x14ac:dyDescent="0.25">
      <c r="A405" s="1549">
        <v>1035</v>
      </c>
      <c r="B405" s="836">
        <v>3114</v>
      </c>
      <c r="C405" s="836">
        <v>5331</v>
      </c>
      <c r="D405" s="909"/>
      <c r="E405" s="930" t="s">
        <v>1066</v>
      </c>
      <c r="F405" s="931">
        <f>SUM(F406:F407)</f>
        <v>689</v>
      </c>
      <c r="G405" s="931">
        <f>SUM(G406:G407)</f>
        <v>1232</v>
      </c>
      <c r="H405" s="931">
        <f>SUM(H406:H407)</f>
        <v>1232</v>
      </c>
      <c r="I405" s="896">
        <f t="shared" ref="I405:I407" si="19">(H405/G405)*100</f>
        <v>100</v>
      </c>
    </row>
    <row r="406" spans="1:9" ht="14.25" x14ac:dyDescent="0.2">
      <c r="A406" s="435"/>
      <c r="B406" s="705"/>
      <c r="C406" s="705"/>
      <c r="D406" s="578" t="s">
        <v>636</v>
      </c>
      <c r="E406" s="474" t="s">
        <v>72</v>
      </c>
      <c r="F406" s="897">
        <v>689</v>
      </c>
      <c r="G406" s="897">
        <v>689</v>
      </c>
      <c r="H406" s="897">
        <v>689</v>
      </c>
      <c r="I406" s="893">
        <f t="shared" si="19"/>
        <v>100</v>
      </c>
    </row>
    <row r="407" spans="1:9" ht="29.25" thickBot="1" x14ac:dyDescent="0.25">
      <c r="A407" s="1552"/>
      <c r="B407" s="962"/>
      <c r="C407" s="1553"/>
      <c r="D407" s="2617" t="s">
        <v>889</v>
      </c>
      <c r="E407" s="2618" t="s">
        <v>1085</v>
      </c>
      <c r="F407" s="963"/>
      <c r="G407" s="2614">
        <v>543</v>
      </c>
      <c r="H407" s="2614">
        <v>543</v>
      </c>
      <c r="I407" s="2615">
        <f t="shared" si="19"/>
        <v>100</v>
      </c>
    </row>
    <row r="408" spans="1:9" ht="14.25" thickTop="1" thickBot="1" x14ac:dyDescent="0.25">
      <c r="A408" s="439"/>
      <c r="I408" s="1548" t="s">
        <v>179</v>
      </c>
    </row>
    <row r="409" spans="1:9" s="107" customFormat="1" thickTop="1" thickBot="1" x14ac:dyDescent="0.25">
      <c r="A409" s="657" t="s">
        <v>692</v>
      </c>
      <c r="B409" s="835" t="s">
        <v>180</v>
      </c>
      <c r="C409" s="658" t="s">
        <v>181</v>
      </c>
      <c r="D409" s="660" t="s">
        <v>783</v>
      </c>
      <c r="E409" s="660" t="s">
        <v>182</v>
      </c>
      <c r="F409" s="660" t="s">
        <v>183</v>
      </c>
      <c r="G409" s="660" t="s">
        <v>985</v>
      </c>
      <c r="H409" s="660" t="s">
        <v>986</v>
      </c>
      <c r="I409" s="888" t="s">
        <v>987</v>
      </c>
    </row>
    <row r="410" spans="1:9" s="386" customFormat="1" ht="14.25" customHeight="1" thickTop="1" thickBot="1" x14ac:dyDescent="0.25">
      <c r="A410" s="592">
        <v>1</v>
      </c>
      <c r="B410" s="593">
        <v>2</v>
      </c>
      <c r="C410" s="593">
        <v>3</v>
      </c>
      <c r="D410" s="593">
        <v>4</v>
      </c>
      <c r="E410" s="593">
        <v>5</v>
      </c>
      <c r="F410" s="567">
        <v>6</v>
      </c>
      <c r="G410" s="567">
        <v>7</v>
      </c>
      <c r="H410" s="568">
        <v>8</v>
      </c>
      <c r="I410" s="662" t="s">
        <v>848</v>
      </c>
    </row>
    <row r="411" spans="1:9" ht="15.75" thickTop="1" x14ac:dyDescent="0.25">
      <c r="A411" s="435">
        <v>1035</v>
      </c>
      <c r="B411" s="808">
        <v>3114</v>
      </c>
      <c r="C411" s="1551">
        <v>5336</v>
      </c>
      <c r="D411" s="1429"/>
      <c r="E411" s="704" t="s">
        <v>1657</v>
      </c>
      <c r="F411" s="903"/>
      <c r="G411" s="1433">
        <f>G412+G413+G414</f>
        <v>3838</v>
      </c>
      <c r="H411" s="1433">
        <f>H412+H413+H414</f>
        <v>3838</v>
      </c>
      <c r="I411" s="906">
        <f t="shared" ref="I411:I417" si="20">(H411/G411)*100</f>
        <v>100</v>
      </c>
    </row>
    <row r="412" spans="1:9" ht="14.25" x14ac:dyDescent="0.2">
      <c r="A412" s="435"/>
      <c r="B412" s="808"/>
      <c r="C412" s="1551"/>
      <c r="D412" s="578" t="s">
        <v>1267</v>
      </c>
      <c r="E412" s="474" t="s">
        <v>882</v>
      </c>
      <c r="F412" s="903"/>
      <c r="G412" s="1431">
        <v>3519</v>
      </c>
      <c r="H412" s="1431">
        <v>3519</v>
      </c>
      <c r="I412" s="378">
        <f t="shared" si="20"/>
        <v>100</v>
      </c>
    </row>
    <row r="413" spans="1:9" ht="14.25" x14ac:dyDescent="0.2">
      <c r="A413" s="435"/>
      <c r="B413" s="808"/>
      <c r="C413" s="1551"/>
      <c r="D413" s="594" t="s">
        <v>1046</v>
      </c>
      <c r="E413" s="938" t="s">
        <v>1658</v>
      </c>
      <c r="F413" s="903"/>
      <c r="G413" s="1431">
        <v>48</v>
      </c>
      <c r="H413" s="1431">
        <v>48</v>
      </c>
      <c r="I413" s="378">
        <f t="shared" si="20"/>
        <v>100</v>
      </c>
    </row>
    <row r="414" spans="1:9" ht="14.25" x14ac:dyDescent="0.2">
      <c r="A414" s="435"/>
      <c r="B414" s="808"/>
      <c r="C414" s="1551"/>
      <c r="D414" s="594" t="s">
        <v>1048</v>
      </c>
      <c r="E414" s="938" t="s">
        <v>1659</v>
      </c>
      <c r="F414" s="903"/>
      <c r="G414" s="1431">
        <v>271</v>
      </c>
      <c r="H414" s="1431">
        <v>271</v>
      </c>
      <c r="I414" s="378">
        <f t="shared" si="20"/>
        <v>100</v>
      </c>
    </row>
    <row r="415" spans="1:9" ht="15" x14ac:dyDescent="0.25">
      <c r="A415" s="435">
        <v>1035</v>
      </c>
      <c r="B415" s="808">
        <v>3143</v>
      </c>
      <c r="C415" s="808">
        <v>5336</v>
      </c>
      <c r="D415" s="929"/>
      <c r="E415" s="704" t="s">
        <v>1657</v>
      </c>
      <c r="F415" s="905"/>
      <c r="G415" s="905">
        <v>238</v>
      </c>
      <c r="H415" s="905">
        <v>238</v>
      </c>
      <c r="I415" s="906">
        <f t="shared" si="20"/>
        <v>100</v>
      </c>
    </row>
    <row r="416" spans="1:9" ht="15.75" thickBot="1" x14ac:dyDescent="0.3">
      <c r="A416" s="435"/>
      <c r="B416" s="808"/>
      <c r="C416" s="808"/>
      <c r="D416" s="578" t="s">
        <v>1267</v>
      </c>
      <c r="E416" s="474" t="s">
        <v>882</v>
      </c>
      <c r="F416" s="905"/>
      <c r="G416" s="903">
        <v>238</v>
      </c>
      <c r="H416" s="903">
        <v>238</v>
      </c>
      <c r="I416" s="898">
        <f t="shared" si="20"/>
        <v>100</v>
      </c>
    </row>
    <row r="417" spans="1:20" s="1684" customFormat="1" ht="16.5" thickTop="1" thickBot="1" x14ac:dyDescent="0.25">
      <c r="A417" s="2580" t="s">
        <v>1246</v>
      </c>
      <c r="B417" s="2581"/>
      <c r="C417" s="2581"/>
      <c r="D417" s="2581"/>
      <c r="E417" s="2581"/>
      <c r="F417" s="1696">
        <f>SUM(F405,F415)</f>
        <v>689</v>
      </c>
      <c r="G417" s="1696">
        <f>SUM(G405,G415,G411)</f>
        <v>5308</v>
      </c>
      <c r="H417" s="1696">
        <f>SUM(H405,H415,H411)</f>
        <v>5308</v>
      </c>
      <c r="I417" s="1697">
        <f t="shared" si="20"/>
        <v>100</v>
      </c>
      <c r="K417" s="1698" t="e">
        <f>SUM(F417,F399,F380,F364,#REF!,#REF!,F347,#REF!,F315,#REF!,F285,F270,#REF!,F257,F227,F184,F159,F121,F89,#REF!,F54,#REF!,#REF!,F38,F26)</f>
        <v>#REF!</v>
      </c>
      <c r="L417" s="1698" t="e">
        <f>SUM(G417,G399,G380,G364,#REF!,#REF!,G347,#REF!,G315,#REF!,G285,G270,#REF!,G257,G227,G184,G159,G121,G89,#REF!,G54,#REF!,#REF!,G38,G26)</f>
        <v>#REF!</v>
      </c>
      <c r="M417" s="1698" t="e">
        <f>SUM(H417,H399,H380,H364,#REF!,#REF!,H347,#REF!,H315,#REF!,H285,H270,#REF!,H257,H227,H184,H159,H121,H89,#REF!,H54,#REF!,#REF!,H38,H26)</f>
        <v>#REF!</v>
      </c>
      <c r="R417" s="1698">
        <f>F417</f>
        <v>689</v>
      </c>
      <c r="S417" s="1698">
        <f>G417</f>
        <v>5308</v>
      </c>
      <c r="T417" s="1698">
        <f>H417</f>
        <v>5308</v>
      </c>
    </row>
    <row r="418" spans="1:20" ht="13.5" thickTop="1" x14ac:dyDescent="0.2"/>
    <row r="419" spans="1:20" ht="13.5" thickBot="1" x14ac:dyDescent="0.25">
      <c r="A419" s="439" t="s">
        <v>1662</v>
      </c>
      <c r="I419" s="1548" t="s">
        <v>179</v>
      </c>
    </row>
    <row r="420" spans="1:20" s="107" customFormat="1" ht="20.25" customHeight="1" thickTop="1" thickBot="1" x14ac:dyDescent="0.25">
      <c r="A420" s="657" t="s">
        <v>692</v>
      </c>
      <c r="B420" s="835" t="s">
        <v>180</v>
      </c>
      <c r="C420" s="658" t="s">
        <v>181</v>
      </c>
      <c r="D420" s="660" t="s">
        <v>783</v>
      </c>
      <c r="E420" s="660" t="s">
        <v>182</v>
      </c>
      <c r="F420" s="660" t="s">
        <v>183</v>
      </c>
      <c r="G420" s="660" t="s">
        <v>985</v>
      </c>
      <c r="H420" s="660" t="s">
        <v>986</v>
      </c>
      <c r="I420" s="888" t="s">
        <v>987</v>
      </c>
    </row>
    <row r="421" spans="1:20" s="386" customFormat="1" ht="13.5" thickTop="1" thickBot="1" x14ac:dyDescent="0.25">
      <c r="A421" s="592">
        <v>1</v>
      </c>
      <c r="B421" s="593">
        <v>2</v>
      </c>
      <c r="C421" s="593">
        <v>3</v>
      </c>
      <c r="D421" s="593">
        <v>4</v>
      </c>
      <c r="E421" s="593">
        <v>5</v>
      </c>
      <c r="F421" s="567">
        <v>6</v>
      </c>
      <c r="G421" s="567">
        <v>7</v>
      </c>
      <c r="H421" s="568">
        <v>8</v>
      </c>
      <c r="I421" s="662" t="s">
        <v>848</v>
      </c>
    </row>
    <row r="422" spans="1:20" ht="15.75" thickTop="1" x14ac:dyDescent="0.25">
      <c r="A422" s="1549">
        <v>1036</v>
      </c>
      <c r="B422" s="836">
        <v>3112</v>
      </c>
      <c r="C422" s="836">
        <v>5331</v>
      </c>
      <c r="E422" s="854" t="s">
        <v>1066</v>
      </c>
      <c r="F422" s="931">
        <v>45</v>
      </c>
      <c r="G422" s="931">
        <v>45</v>
      </c>
      <c r="H422" s="931">
        <v>45</v>
      </c>
      <c r="I422" s="896">
        <f t="shared" ref="I422:I440" si="21">(H422/G422)*100</f>
        <v>100</v>
      </c>
    </row>
    <row r="423" spans="1:20" ht="14.25" x14ac:dyDescent="0.2">
      <c r="A423" s="435"/>
      <c r="B423" s="705"/>
      <c r="C423" s="705"/>
      <c r="D423" s="578" t="s">
        <v>636</v>
      </c>
      <c r="E423" s="474" t="s">
        <v>72</v>
      </c>
      <c r="F423" s="897">
        <v>45</v>
      </c>
      <c r="G423" s="897">
        <v>45</v>
      </c>
      <c r="H423" s="897">
        <v>45</v>
      </c>
      <c r="I423" s="893">
        <f t="shared" si="21"/>
        <v>100</v>
      </c>
    </row>
    <row r="424" spans="1:20" ht="15" x14ac:dyDescent="0.25">
      <c r="A424" s="435">
        <v>1036</v>
      </c>
      <c r="B424" s="705">
        <v>3112</v>
      </c>
      <c r="C424" s="705">
        <v>5336</v>
      </c>
      <c r="D424" s="578"/>
      <c r="E424" s="704" t="s">
        <v>1657</v>
      </c>
      <c r="F424" s="903"/>
      <c r="G424" s="916">
        <v>1272</v>
      </c>
      <c r="H424" s="916">
        <v>1272</v>
      </c>
      <c r="I424" s="891">
        <f t="shared" si="21"/>
        <v>100</v>
      </c>
    </row>
    <row r="425" spans="1:20" ht="14.25" x14ac:dyDescent="0.2">
      <c r="A425" s="435"/>
      <c r="B425" s="705"/>
      <c r="C425" s="705"/>
      <c r="D425" s="578" t="s">
        <v>1267</v>
      </c>
      <c r="E425" s="474" t="s">
        <v>882</v>
      </c>
      <c r="F425" s="903"/>
      <c r="G425" s="903">
        <v>1272</v>
      </c>
      <c r="H425" s="903">
        <v>1272</v>
      </c>
      <c r="I425" s="898">
        <f t="shared" si="21"/>
        <v>100</v>
      </c>
    </row>
    <row r="426" spans="1:20" ht="15" x14ac:dyDescent="0.25">
      <c r="A426" s="435">
        <v>1036</v>
      </c>
      <c r="B426" s="705">
        <v>3114</v>
      </c>
      <c r="C426" s="705">
        <v>5331</v>
      </c>
      <c r="D426" s="889"/>
      <c r="E426" s="854" t="s">
        <v>1066</v>
      </c>
      <c r="F426" s="890">
        <f>SUM(F427:F429)</f>
        <v>2722</v>
      </c>
      <c r="G426" s="890">
        <f>SUM(G427:G429)</f>
        <v>2822</v>
      </c>
      <c r="H426" s="890">
        <f>SUM(H427:H429)</f>
        <v>2822</v>
      </c>
      <c r="I426" s="891">
        <f t="shared" si="21"/>
        <v>100</v>
      </c>
    </row>
    <row r="427" spans="1:20" ht="14.25" x14ac:dyDescent="0.2">
      <c r="A427" s="435"/>
      <c r="B427" s="705"/>
      <c r="C427" s="705"/>
      <c r="D427" s="743" t="s">
        <v>641</v>
      </c>
      <c r="E427" s="1679" t="s">
        <v>883</v>
      </c>
      <c r="F427" s="897">
        <v>392</v>
      </c>
      <c r="G427" s="897">
        <v>392</v>
      </c>
      <c r="H427" s="897">
        <v>392</v>
      </c>
      <c r="I427" s="893">
        <f t="shared" si="21"/>
        <v>100</v>
      </c>
    </row>
    <row r="428" spans="1:20" ht="14.25" x14ac:dyDescent="0.2">
      <c r="A428" s="435"/>
      <c r="B428" s="705"/>
      <c r="C428" s="705"/>
      <c r="D428" s="578" t="s">
        <v>636</v>
      </c>
      <c r="E428" s="474" t="s">
        <v>72</v>
      </c>
      <c r="F428" s="897">
        <v>2330</v>
      </c>
      <c r="G428" s="897">
        <v>2330</v>
      </c>
      <c r="H428" s="897">
        <v>2330</v>
      </c>
      <c r="I428" s="893">
        <f t="shared" si="21"/>
        <v>100</v>
      </c>
    </row>
    <row r="429" spans="1:20" ht="28.5" x14ac:dyDescent="0.2">
      <c r="A429" s="435"/>
      <c r="B429" s="808"/>
      <c r="C429" s="808"/>
      <c r="D429" s="805" t="s">
        <v>889</v>
      </c>
      <c r="E429" s="475" t="s">
        <v>1085</v>
      </c>
      <c r="F429" s="903"/>
      <c r="G429" s="1431">
        <v>100</v>
      </c>
      <c r="H429" s="1431">
        <v>100</v>
      </c>
      <c r="I429" s="1435">
        <f t="shared" si="21"/>
        <v>100</v>
      </c>
    </row>
    <row r="430" spans="1:20" ht="15" x14ac:dyDescent="0.25">
      <c r="A430" s="804">
        <v>1036</v>
      </c>
      <c r="B430" s="705">
        <v>3114</v>
      </c>
      <c r="C430" s="1551">
        <v>5336</v>
      </c>
      <c r="D430" s="594"/>
      <c r="E430" s="704" t="s">
        <v>1657</v>
      </c>
      <c r="F430" s="916"/>
      <c r="G430" s="916">
        <v>7813</v>
      </c>
      <c r="H430" s="916">
        <v>7813</v>
      </c>
      <c r="I430" s="906">
        <f t="shared" si="21"/>
        <v>100</v>
      </c>
    </row>
    <row r="431" spans="1:20" ht="15" x14ac:dyDescent="0.25">
      <c r="A431" s="804"/>
      <c r="B431" s="705"/>
      <c r="C431" s="1551"/>
      <c r="D431" s="578" t="s">
        <v>1267</v>
      </c>
      <c r="E431" s="474" t="s">
        <v>882</v>
      </c>
      <c r="F431" s="916"/>
      <c r="G431" s="907">
        <v>7813</v>
      </c>
      <c r="H431" s="907">
        <v>7813</v>
      </c>
      <c r="I431" s="893">
        <f t="shared" si="21"/>
        <v>100</v>
      </c>
    </row>
    <row r="432" spans="1:20" ht="29.25" customHeight="1" x14ac:dyDescent="0.25">
      <c r="A432" s="435">
        <v>1036</v>
      </c>
      <c r="B432" s="808">
        <v>3141</v>
      </c>
      <c r="C432" s="1551">
        <v>5331</v>
      </c>
      <c r="D432" s="912"/>
      <c r="E432" s="704" t="s">
        <v>1066</v>
      </c>
      <c r="F432" s="905">
        <f>F433+F435</f>
        <v>20</v>
      </c>
      <c r="G432" s="905">
        <v>20</v>
      </c>
      <c r="H432" s="905">
        <v>20</v>
      </c>
      <c r="I432" s="906">
        <f t="shared" si="21"/>
        <v>100</v>
      </c>
    </row>
    <row r="433" spans="1:20" ht="15" customHeight="1" x14ac:dyDescent="0.2">
      <c r="A433" s="435"/>
      <c r="B433" s="808"/>
      <c r="C433" s="1551"/>
      <c r="D433" s="578" t="s">
        <v>636</v>
      </c>
      <c r="E433" s="474" t="s">
        <v>72</v>
      </c>
      <c r="F433" s="903">
        <v>20</v>
      </c>
      <c r="G433" s="903">
        <v>20</v>
      </c>
      <c r="H433" s="903">
        <v>20</v>
      </c>
      <c r="I433" s="898">
        <f t="shared" si="21"/>
        <v>100</v>
      </c>
    </row>
    <row r="434" spans="1:20" ht="16.5" customHeight="1" x14ac:dyDescent="0.25">
      <c r="A434" s="435">
        <v>1036</v>
      </c>
      <c r="B434" s="808">
        <v>3141</v>
      </c>
      <c r="C434" s="1551">
        <v>5336</v>
      </c>
      <c r="D434" s="578"/>
      <c r="E434" s="704" t="s">
        <v>1657</v>
      </c>
      <c r="F434" s="903"/>
      <c r="G434" s="916">
        <v>30</v>
      </c>
      <c r="H434" s="916">
        <v>30</v>
      </c>
      <c r="I434" s="906">
        <f t="shared" si="21"/>
        <v>100</v>
      </c>
    </row>
    <row r="435" spans="1:20" ht="15" customHeight="1" x14ac:dyDescent="0.2">
      <c r="A435" s="435"/>
      <c r="B435" s="808"/>
      <c r="C435" s="1551"/>
      <c r="D435" s="578" t="s">
        <v>1267</v>
      </c>
      <c r="E435" s="474" t="s">
        <v>882</v>
      </c>
      <c r="F435" s="903"/>
      <c r="G435" s="903">
        <v>30</v>
      </c>
      <c r="H435" s="903">
        <v>30</v>
      </c>
      <c r="I435" s="898">
        <f t="shared" si="21"/>
        <v>100</v>
      </c>
    </row>
    <row r="436" spans="1:20" ht="15" x14ac:dyDescent="0.25">
      <c r="A436" s="435">
        <v>1036</v>
      </c>
      <c r="B436" s="808">
        <v>3143</v>
      </c>
      <c r="C436" s="808">
        <v>5331</v>
      </c>
      <c r="D436" s="929"/>
      <c r="E436" s="704" t="s">
        <v>1066</v>
      </c>
      <c r="F436" s="905">
        <v>2</v>
      </c>
      <c r="G436" s="905">
        <v>2</v>
      </c>
      <c r="H436" s="905">
        <v>2</v>
      </c>
      <c r="I436" s="906">
        <f t="shared" si="21"/>
        <v>100</v>
      </c>
    </row>
    <row r="437" spans="1:20" ht="14.25" x14ac:dyDescent="0.2">
      <c r="A437" s="435"/>
      <c r="B437" s="808"/>
      <c r="C437" s="808"/>
      <c r="D437" s="578" t="s">
        <v>636</v>
      </c>
      <c r="E437" s="474" t="s">
        <v>72</v>
      </c>
      <c r="F437" s="903">
        <v>2</v>
      </c>
      <c r="G437" s="903">
        <v>2</v>
      </c>
      <c r="H437" s="903">
        <v>2</v>
      </c>
      <c r="I437" s="898">
        <f t="shared" si="21"/>
        <v>100</v>
      </c>
    </row>
    <row r="438" spans="1:20" ht="15" x14ac:dyDescent="0.25">
      <c r="A438" s="435">
        <v>1036</v>
      </c>
      <c r="B438" s="808">
        <v>3143</v>
      </c>
      <c r="C438" s="808">
        <v>5336</v>
      </c>
      <c r="D438" s="578"/>
      <c r="E438" s="704" t="s">
        <v>1657</v>
      </c>
      <c r="F438" s="903"/>
      <c r="G438" s="916">
        <v>670</v>
      </c>
      <c r="H438" s="916">
        <v>670</v>
      </c>
      <c r="I438" s="908">
        <f t="shared" si="21"/>
        <v>100</v>
      </c>
    </row>
    <row r="439" spans="1:20" ht="15" thickBot="1" x14ac:dyDescent="0.25">
      <c r="A439" s="435"/>
      <c r="B439" s="808"/>
      <c r="C439" s="1551"/>
      <c r="D439" s="578" t="s">
        <v>1267</v>
      </c>
      <c r="E439" s="474" t="s">
        <v>882</v>
      </c>
      <c r="F439" s="903"/>
      <c r="G439" s="903">
        <v>670</v>
      </c>
      <c r="H439" s="903">
        <v>670</v>
      </c>
      <c r="I439" s="898">
        <f t="shared" si="21"/>
        <v>100</v>
      </c>
    </row>
    <row r="440" spans="1:20" ht="16.5" thickTop="1" thickBot="1" x14ac:dyDescent="0.3">
      <c r="A440" s="2739" t="s">
        <v>1246</v>
      </c>
      <c r="B440" s="2740"/>
      <c r="C440" s="2740"/>
      <c r="D440" s="2740"/>
      <c r="E440" s="2740"/>
      <c r="F440" s="894">
        <f>SUM(F436,F426,F432,F422)</f>
        <v>2789</v>
      </c>
      <c r="G440" s="894">
        <f>SUM(G436,G426,G432,G422,G430,G424,G434,G438)</f>
        <v>12674</v>
      </c>
      <c r="H440" s="894">
        <f>SUM(H436,H426,H432,H422,H430,H424,H434,H438)</f>
        <v>12674</v>
      </c>
      <c r="I440" s="895">
        <f t="shared" si="21"/>
        <v>100</v>
      </c>
      <c r="R440" s="385">
        <f>F440</f>
        <v>2789</v>
      </c>
      <c r="S440" s="385">
        <f>G440</f>
        <v>12674</v>
      </c>
      <c r="T440" s="385">
        <f>H440</f>
        <v>12674</v>
      </c>
    </row>
    <row r="441" spans="1:20" ht="15.75" thickTop="1" x14ac:dyDescent="0.25">
      <c r="A441" s="370"/>
      <c r="B441" s="370"/>
      <c r="C441" s="370"/>
      <c r="D441" s="370"/>
      <c r="E441" s="370"/>
      <c r="F441" s="181"/>
      <c r="G441" s="181"/>
      <c r="H441" s="181"/>
      <c r="I441" s="210"/>
      <c r="R441" s="385"/>
      <c r="S441" s="385"/>
      <c r="T441" s="385"/>
    </row>
    <row r="442" spans="1:20" ht="13.5" thickBot="1" x14ac:dyDescent="0.25">
      <c r="A442" s="439" t="s">
        <v>98</v>
      </c>
      <c r="I442" s="1548" t="s">
        <v>179</v>
      </c>
    </row>
    <row r="443" spans="1:20" s="107" customFormat="1" ht="20.25" customHeight="1" thickTop="1" thickBot="1" x14ac:dyDescent="0.25">
      <c r="A443" s="657" t="s">
        <v>692</v>
      </c>
      <c r="B443" s="835" t="s">
        <v>180</v>
      </c>
      <c r="C443" s="658" t="s">
        <v>181</v>
      </c>
      <c r="D443" s="660" t="s">
        <v>783</v>
      </c>
      <c r="E443" s="660" t="s">
        <v>182</v>
      </c>
      <c r="F443" s="660" t="s">
        <v>183</v>
      </c>
      <c r="G443" s="660" t="s">
        <v>985</v>
      </c>
      <c r="H443" s="660" t="s">
        <v>986</v>
      </c>
      <c r="I443" s="888" t="s">
        <v>987</v>
      </c>
    </row>
    <row r="444" spans="1:20" s="386" customFormat="1" ht="13.5" thickTop="1" thickBot="1" x14ac:dyDescent="0.25">
      <c r="A444" s="592">
        <v>1</v>
      </c>
      <c r="B444" s="593">
        <v>2</v>
      </c>
      <c r="C444" s="593">
        <v>3</v>
      </c>
      <c r="D444" s="593">
        <v>4</v>
      </c>
      <c r="E444" s="593">
        <v>5</v>
      </c>
      <c r="F444" s="567">
        <v>6</v>
      </c>
      <c r="G444" s="567">
        <v>7</v>
      </c>
      <c r="H444" s="568">
        <v>8</v>
      </c>
      <c r="I444" s="662" t="s">
        <v>848</v>
      </c>
    </row>
    <row r="445" spans="1:20" ht="15.75" thickTop="1" x14ac:dyDescent="0.25">
      <c r="A445" s="1549">
        <v>1037</v>
      </c>
      <c r="B445" s="836">
        <v>3112</v>
      </c>
      <c r="C445" s="836">
        <v>5336</v>
      </c>
      <c r="D445" s="909"/>
      <c r="E445" s="704" t="s">
        <v>1657</v>
      </c>
      <c r="F445" s="931"/>
      <c r="G445" s="931">
        <v>341</v>
      </c>
      <c r="H445" s="931">
        <v>341</v>
      </c>
      <c r="I445" s="896">
        <f t="shared" ref="I445:I459" si="22">(H445/G445)*100</f>
        <v>100</v>
      </c>
    </row>
    <row r="446" spans="1:20" ht="14.25" x14ac:dyDescent="0.2">
      <c r="A446" s="435"/>
      <c r="B446" s="705"/>
      <c r="C446" s="705"/>
      <c r="D446" s="578" t="s">
        <v>1267</v>
      </c>
      <c r="E446" s="474" t="s">
        <v>882</v>
      </c>
      <c r="F446" s="897"/>
      <c r="G446" s="897">
        <v>341</v>
      </c>
      <c r="H446" s="897">
        <v>341</v>
      </c>
      <c r="I446" s="893">
        <f t="shared" si="22"/>
        <v>100</v>
      </c>
    </row>
    <row r="447" spans="1:20" ht="15" x14ac:dyDescent="0.25">
      <c r="A447" s="435">
        <v>1037</v>
      </c>
      <c r="B447" s="808">
        <v>3114</v>
      </c>
      <c r="C447" s="808">
        <v>5331</v>
      </c>
      <c r="D447" s="929"/>
      <c r="E447" s="704" t="s">
        <v>1066</v>
      </c>
      <c r="F447" s="905">
        <f>SUM(F448)</f>
        <v>2201</v>
      </c>
      <c r="G447" s="905">
        <f>SUM(G448:G449,G450)</f>
        <v>2514</v>
      </c>
      <c r="H447" s="905">
        <f>SUM(H448:H449,H450)</f>
        <v>2514</v>
      </c>
      <c r="I447" s="906">
        <f t="shared" si="22"/>
        <v>100</v>
      </c>
    </row>
    <row r="448" spans="1:20" ht="14.25" x14ac:dyDescent="0.2">
      <c r="A448" s="435"/>
      <c r="B448" s="808"/>
      <c r="C448" s="808"/>
      <c r="D448" s="578" t="s">
        <v>636</v>
      </c>
      <c r="E448" s="474" t="s">
        <v>72</v>
      </c>
      <c r="F448" s="903">
        <v>2201</v>
      </c>
      <c r="G448" s="903">
        <v>2201</v>
      </c>
      <c r="H448" s="903">
        <v>2201</v>
      </c>
      <c r="I448" s="898">
        <f t="shared" si="22"/>
        <v>100</v>
      </c>
    </row>
    <row r="449" spans="1:20" ht="28.5" x14ac:dyDescent="0.2">
      <c r="A449" s="435"/>
      <c r="B449" s="808"/>
      <c r="C449" s="808"/>
      <c r="D449" s="1421" t="s">
        <v>1645</v>
      </c>
      <c r="E449" s="1695" t="s">
        <v>1910</v>
      </c>
      <c r="F449" s="903"/>
      <c r="G449" s="903">
        <v>120</v>
      </c>
      <c r="H449" s="903">
        <v>120</v>
      </c>
      <c r="I449" s="898">
        <f t="shared" si="22"/>
        <v>100</v>
      </c>
    </row>
    <row r="450" spans="1:20" ht="28.5" x14ac:dyDescent="0.2">
      <c r="A450" s="435"/>
      <c r="B450" s="808"/>
      <c r="C450" s="808"/>
      <c r="D450" s="805" t="s">
        <v>889</v>
      </c>
      <c r="E450" s="1430" t="s">
        <v>1085</v>
      </c>
      <c r="F450" s="903"/>
      <c r="G450" s="903">
        <v>193</v>
      </c>
      <c r="H450" s="903">
        <v>193</v>
      </c>
      <c r="I450" s="898">
        <f t="shared" si="22"/>
        <v>100</v>
      </c>
    </row>
    <row r="451" spans="1:20" s="2040" customFormat="1" ht="15" x14ac:dyDescent="0.25">
      <c r="A451" s="2588">
        <v>1037</v>
      </c>
      <c r="B451" s="808">
        <v>3114</v>
      </c>
      <c r="C451" s="808">
        <v>5336</v>
      </c>
      <c r="D451" s="1429"/>
      <c r="E451" s="704" t="s">
        <v>1657</v>
      </c>
      <c r="F451" s="1431"/>
      <c r="G451" s="1433">
        <f>G452+G453+G454</f>
        <v>10801</v>
      </c>
      <c r="H451" s="1433">
        <f>H452+H453+H454</f>
        <v>10801</v>
      </c>
      <c r="I451" s="906">
        <f t="shared" si="22"/>
        <v>100</v>
      </c>
    </row>
    <row r="452" spans="1:20" s="2040" customFormat="1" ht="14.25" x14ac:dyDescent="0.2">
      <c r="A452" s="2588"/>
      <c r="B452" s="808"/>
      <c r="C452" s="808"/>
      <c r="D452" s="578" t="s">
        <v>1267</v>
      </c>
      <c r="E452" s="474" t="s">
        <v>882</v>
      </c>
      <c r="F452" s="1431"/>
      <c r="G452" s="1431">
        <v>10465</v>
      </c>
      <c r="H452" s="1431">
        <v>10465</v>
      </c>
      <c r="I452" s="898">
        <f t="shared" si="22"/>
        <v>100</v>
      </c>
    </row>
    <row r="453" spans="1:20" s="2040" customFormat="1" ht="33.75" customHeight="1" x14ac:dyDescent="0.2">
      <c r="A453" s="2588"/>
      <c r="B453" s="808"/>
      <c r="C453" s="808"/>
      <c r="D453" s="594" t="s">
        <v>1046</v>
      </c>
      <c r="E453" s="938" t="s">
        <v>1658</v>
      </c>
      <c r="F453" s="1431"/>
      <c r="G453" s="1431">
        <v>50</v>
      </c>
      <c r="H453" s="1431">
        <v>50</v>
      </c>
      <c r="I453" s="898">
        <f t="shared" si="22"/>
        <v>100</v>
      </c>
    </row>
    <row r="454" spans="1:20" s="2040" customFormat="1" ht="14.25" x14ac:dyDescent="0.2">
      <c r="A454" s="2588"/>
      <c r="B454" s="808"/>
      <c r="C454" s="808"/>
      <c r="D454" s="594" t="s">
        <v>1048</v>
      </c>
      <c r="E454" s="938" t="s">
        <v>1659</v>
      </c>
      <c r="F454" s="1431"/>
      <c r="G454" s="1431">
        <v>286</v>
      </c>
      <c r="H454" s="1431">
        <v>286</v>
      </c>
      <c r="I454" s="1435">
        <f t="shared" si="22"/>
        <v>100</v>
      </c>
    </row>
    <row r="455" spans="1:20" ht="15" x14ac:dyDescent="0.25">
      <c r="A455" s="435">
        <v>1037</v>
      </c>
      <c r="B455" s="808">
        <v>3141</v>
      </c>
      <c r="C455" s="808">
        <v>5331</v>
      </c>
      <c r="D455" s="929"/>
      <c r="E455" s="704" t="s">
        <v>1066</v>
      </c>
      <c r="F455" s="905">
        <v>18</v>
      </c>
      <c r="G455" s="905">
        <v>18</v>
      </c>
      <c r="H455" s="905">
        <v>18</v>
      </c>
      <c r="I455" s="906">
        <f t="shared" si="22"/>
        <v>100</v>
      </c>
    </row>
    <row r="456" spans="1:20" ht="14.25" x14ac:dyDescent="0.2">
      <c r="A456" s="435"/>
      <c r="B456" s="808"/>
      <c r="C456" s="808"/>
      <c r="D456" s="578" t="s">
        <v>636</v>
      </c>
      <c r="E456" s="474" t="s">
        <v>72</v>
      </c>
      <c r="F456" s="903">
        <v>18</v>
      </c>
      <c r="G456" s="903">
        <v>18</v>
      </c>
      <c r="H456" s="903">
        <v>18</v>
      </c>
      <c r="I456" s="898">
        <f t="shared" si="22"/>
        <v>100</v>
      </c>
    </row>
    <row r="457" spans="1:20" ht="15" x14ac:dyDescent="0.25">
      <c r="A457" s="435">
        <v>1037</v>
      </c>
      <c r="B457" s="808">
        <v>3143</v>
      </c>
      <c r="C457" s="808">
        <v>5336</v>
      </c>
      <c r="D457" s="929"/>
      <c r="E457" s="704" t="s">
        <v>1066</v>
      </c>
      <c r="F457" s="905"/>
      <c r="G457" s="905">
        <v>347</v>
      </c>
      <c r="H457" s="905">
        <v>347</v>
      </c>
      <c r="I457" s="906">
        <f t="shared" si="22"/>
        <v>100</v>
      </c>
    </row>
    <row r="458" spans="1:20" ht="18" customHeight="1" thickBot="1" x14ac:dyDescent="0.25">
      <c r="A458" s="435"/>
      <c r="B458" s="808"/>
      <c r="C458" s="1551"/>
      <c r="D458" s="578" t="s">
        <v>1267</v>
      </c>
      <c r="E458" s="474" t="s">
        <v>882</v>
      </c>
      <c r="F458" s="903"/>
      <c r="G458" s="903">
        <v>347</v>
      </c>
      <c r="H458" s="903">
        <v>347</v>
      </c>
      <c r="I458" s="898">
        <f t="shared" si="22"/>
        <v>100</v>
      </c>
    </row>
    <row r="459" spans="1:20" ht="18" customHeight="1" thickTop="1" thickBot="1" x14ac:dyDescent="0.3">
      <c r="A459" s="2739" t="s">
        <v>1246</v>
      </c>
      <c r="B459" s="2740"/>
      <c r="C459" s="2740"/>
      <c r="D459" s="2740"/>
      <c r="E459" s="2740"/>
      <c r="F459" s="894">
        <f>SUM(F445,F447,F455,F457)</f>
        <v>2219</v>
      </c>
      <c r="G459" s="894">
        <f>SUM(G445,G447,G455,G457,G451)</f>
        <v>14021</v>
      </c>
      <c r="H459" s="894">
        <f>SUM(H445,H447,H455,H457,H451)</f>
        <v>14021</v>
      </c>
      <c r="I459" s="895">
        <f t="shared" si="22"/>
        <v>100</v>
      </c>
      <c r="R459" s="385">
        <f>F459</f>
        <v>2219</v>
      </c>
      <c r="S459" s="385">
        <f>G459</f>
        <v>14021</v>
      </c>
      <c r="T459" s="385">
        <f>H459</f>
        <v>14021</v>
      </c>
    </row>
    <row r="460" spans="1:20" ht="18" customHeight="1" thickTop="1" x14ac:dyDescent="0.25">
      <c r="A460" s="370"/>
      <c r="B460" s="370"/>
      <c r="C460" s="370"/>
      <c r="D460" s="370"/>
      <c r="E460" s="370"/>
      <c r="F460" s="181"/>
      <c r="G460" s="181"/>
      <c r="H460" s="181"/>
      <c r="I460" s="210"/>
      <c r="R460" s="385"/>
      <c r="S460" s="385"/>
      <c r="T460" s="385"/>
    </row>
    <row r="461" spans="1:20" ht="20.25" customHeight="1" thickBot="1" x14ac:dyDescent="0.25">
      <c r="A461" s="439" t="s">
        <v>1663</v>
      </c>
      <c r="I461" s="1548" t="s">
        <v>179</v>
      </c>
    </row>
    <row r="462" spans="1:20" s="107" customFormat="1" thickTop="1" thickBot="1" x14ac:dyDescent="0.25">
      <c r="A462" s="657" t="s">
        <v>692</v>
      </c>
      <c r="B462" s="835" t="s">
        <v>180</v>
      </c>
      <c r="C462" s="658" t="s">
        <v>181</v>
      </c>
      <c r="D462" s="660" t="s">
        <v>783</v>
      </c>
      <c r="E462" s="660" t="s">
        <v>182</v>
      </c>
      <c r="F462" s="660" t="s">
        <v>183</v>
      </c>
      <c r="G462" s="660" t="s">
        <v>985</v>
      </c>
      <c r="H462" s="660" t="s">
        <v>986</v>
      </c>
      <c r="I462" s="888" t="s">
        <v>987</v>
      </c>
    </row>
    <row r="463" spans="1:20" s="1709" customFormat="1" ht="13.5" thickTop="1" thickBot="1" x14ac:dyDescent="0.25">
      <c r="A463" s="1704">
        <v>1</v>
      </c>
      <c r="B463" s="1705">
        <v>2</v>
      </c>
      <c r="C463" s="1705">
        <v>3</v>
      </c>
      <c r="D463" s="1705">
        <v>4</v>
      </c>
      <c r="E463" s="1705">
        <v>5</v>
      </c>
      <c r="F463" s="1706">
        <v>6</v>
      </c>
      <c r="G463" s="1706">
        <v>7</v>
      </c>
      <c r="H463" s="1707">
        <v>8</v>
      </c>
      <c r="I463" s="1708" t="s">
        <v>848</v>
      </c>
    </row>
    <row r="464" spans="1:20" s="1684" customFormat="1" ht="15.75" thickTop="1" x14ac:dyDescent="0.2">
      <c r="A464" s="1685">
        <v>1038</v>
      </c>
      <c r="B464" s="1686">
        <v>3114</v>
      </c>
      <c r="C464" s="1686">
        <v>5331</v>
      </c>
      <c r="D464" s="1687"/>
      <c r="E464" s="1688" t="s">
        <v>1066</v>
      </c>
      <c r="F464" s="1689">
        <f>SUM(F465:F468)</f>
        <v>1195</v>
      </c>
      <c r="G464" s="1689">
        <f>SUM(G465:G468)</f>
        <v>1800</v>
      </c>
      <c r="H464" s="1689">
        <f>SUM(H465:H468)</f>
        <v>1800</v>
      </c>
      <c r="I464" s="1690">
        <f t="shared" ref="I464:I489" si="23">(H464/G464)*100</f>
        <v>100</v>
      </c>
    </row>
    <row r="465" spans="1:9" s="1684" customFormat="1" ht="14.25" x14ac:dyDescent="0.2">
      <c r="A465" s="1710"/>
      <c r="B465" s="1711"/>
      <c r="C465" s="1711"/>
      <c r="D465" s="927" t="s">
        <v>641</v>
      </c>
      <c r="E465" s="1712" t="s">
        <v>883</v>
      </c>
      <c r="F465" s="1436">
        <v>569</v>
      </c>
      <c r="G465" s="1436">
        <v>556</v>
      </c>
      <c r="H465" s="1436">
        <v>556</v>
      </c>
      <c r="I465" s="1432">
        <f t="shared" si="23"/>
        <v>100</v>
      </c>
    </row>
    <row r="466" spans="1:9" ht="14.25" x14ac:dyDescent="0.2">
      <c r="A466" s="435"/>
      <c r="B466" s="705"/>
      <c r="C466" s="910"/>
      <c r="D466" s="578" t="s">
        <v>636</v>
      </c>
      <c r="E466" s="474" t="s">
        <v>72</v>
      </c>
      <c r="F466" s="897">
        <v>626</v>
      </c>
      <c r="G466" s="897">
        <v>626</v>
      </c>
      <c r="H466" s="897">
        <v>626</v>
      </c>
      <c r="I466" s="893">
        <f t="shared" si="23"/>
        <v>100</v>
      </c>
    </row>
    <row r="467" spans="1:9" ht="14.25" x14ac:dyDescent="0.2">
      <c r="A467" s="435"/>
      <c r="B467" s="705"/>
      <c r="C467" s="705"/>
      <c r="D467" s="1169" t="s">
        <v>1268</v>
      </c>
      <c r="E467" s="1398" t="s">
        <v>1277</v>
      </c>
      <c r="F467" s="897"/>
      <c r="G467" s="897">
        <v>381</v>
      </c>
      <c r="H467" s="897">
        <v>381</v>
      </c>
      <c r="I467" s="893">
        <f t="shared" si="23"/>
        <v>100</v>
      </c>
    </row>
    <row r="468" spans="1:9" ht="28.5" x14ac:dyDescent="0.2">
      <c r="A468" s="435"/>
      <c r="B468" s="705"/>
      <c r="C468" s="1550"/>
      <c r="D468" s="805" t="s">
        <v>889</v>
      </c>
      <c r="E468" s="1430" t="s">
        <v>1085</v>
      </c>
      <c r="F468" s="1436"/>
      <c r="G468" s="1436">
        <v>237</v>
      </c>
      <c r="H468" s="1436">
        <v>237</v>
      </c>
      <c r="I468" s="1432">
        <f t="shared" si="23"/>
        <v>100</v>
      </c>
    </row>
    <row r="469" spans="1:9" ht="15" x14ac:dyDescent="0.25">
      <c r="A469" s="435">
        <v>1038</v>
      </c>
      <c r="B469" s="808">
        <v>3114</v>
      </c>
      <c r="C469" s="808">
        <v>5336</v>
      </c>
      <c r="D469" s="1429"/>
      <c r="E469" s="1564" t="s">
        <v>1357</v>
      </c>
      <c r="F469" s="1433"/>
      <c r="G469" s="1433">
        <v>8244</v>
      </c>
      <c r="H469" s="1433">
        <v>8244</v>
      </c>
      <c r="I469" s="906">
        <f t="shared" si="23"/>
        <v>100</v>
      </c>
    </row>
    <row r="470" spans="1:9" ht="15.75" thickBot="1" x14ac:dyDescent="0.25">
      <c r="A470" s="1552"/>
      <c r="B470" s="962"/>
      <c r="C470" s="962"/>
      <c r="D470" s="757" t="s">
        <v>1267</v>
      </c>
      <c r="E470" s="476" t="s">
        <v>882</v>
      </c>
      <c r="F470" s="2619"/>
      <c r="G470" s="2620">
        <v>8244</v>
      </c>
      <c r="H470" s="2620">
        <v>8244</v>
      </c>
      <c r="I470" s="942">
        <f t="shared" si="23"/>
        <v>100</v>
      </c>
    </row>
    <row r="471" spans="1:9" ht="20.25" customHeight="1" thickTop="1" thickBot="1" x14ac:dyDescent="0.25">
      <c r="A471" s="439"/>
      <c r="I471" s="1548" t="s">
        <v>179</v>
      </c>
    </row>
    <row r="472" spans="1:9" s="107" customFormat="1" thickTop="1" thickBot="1" x14ac:dyDescent="0.25">
      <c r="A472" s="657" t="s">
        <v>692</v>
      </c>
      <c r="B472" s="835" t="s">
        <v>180</v>
      </c>
      <c r="C472" s="658" t="s">
        <v>181</v>
      </c>
      <c r="D472" s="660" t="s">
        <v>783</v>
      </c>
      <c r="E472" s="660" t="s">
        <v>182</v>
      </c>
      <c r="F472" s="660" t="s">
        <v>183</v>
      </c>
      <c r="G472" s="660" t="s">
        <v>985</v>
      </c>
      <c r="H472" s="660" t="s">
        <v>986</v>
      </c>
      <c r="I472" s="888" t="s">
        <v>987</v>
      </c>
    </row>
    <row r="473" spans="1:9" s="1709" customFormat="1" ht="13.5" thickTop="1" thickBot="1" x14ac:dyDescent="0.25">
      <c r="A473" s="1704">
        <v>1</v>
      </c>
      <c r="B473" s="1705">
        <v>2</v>
      </c>
      <c r="C473" s="1705">
        <v>3</v>
      </c>
      <c r="D473" s="1705">
        <v>4</v>
      </c>
      <c r="E473" s="1705">
        <v>5</v>
      </c>
      <c r="F473" s="1706">
        <v>6</v>
      </c>
      <c r="G473" s="1706">
        <v>7</v>
      </c>
      <c r="H473" s="1707">
        <v>8</v>
      </c>
      <c r="I473" s="1708" t="s">
        <v>848</v>
      </c>
    </row>
    <row r="474" spans="1:9" ht="15.75" thickTop="1" x14ac:dyDescent="0.25">
      <c r="A474" s="435">
        <v>1038</v>
      </c>
      <c r="B474" s="808">
        <v>3124</v>
      </c>
      <c r="C474" s="808">
        <v>5331</v>
      </c>
      <c r="D474" s="1713"/>
      <c r="E474" s="704" t="s">
        <v>1066</v>
      </c>
      <c r="F474" s="1433"/>
      <c r="G474" s="1433">
        <v>43</v>
      </c>
      <c r="H474" s="1433">
        <v>43</v>
      </c>
      <c r="I474" s="906">
        <f t="shared" si="23"/>
        <v>100</v>
      </c>
    </row>
    <row r="475" spans="1:9" s="2040" customFormat="1" ht="18.75" customHeight="1" x14ac:dyDescent="0.25">
      <c r="A475" s="2588"/>
      <c r="B475" s="808"/>
      <c r="C475" s="808"/>
      <c r="D475" s="1179" t="s">
        <v>1040</v>
      </c>
      <c r="E475" s="2621" t="s">
        <v>1907</v>
      </c>
      <c r="F475" s="2622"/>
      <c r="G475" s="2623">
        <v>43</v>
      </c>
      <c r="H475" s="2623">
        <v>43</v>
      </c>
      <c r="I475" s="2624">
        <f t="shared" si="23"/>
        <v>100</v>
      </c>
    </row>
    <row r="476" spans="1:9" ht="14.25" customHeight="1" x14ac:dyDescent="0.25">
      <c r="A476" s="435">
        <v>1038</v>
      </c>
      <c r="B476" s="808">
        <v>3124</v>
      </c>
      <c r="C476" s="808">
        <v>5336</v>
      </c>
      <c r="D476" s="1429"/>
      <c r="E476" s="1564" t="s">
        <v>1357</v>
      </c>
      <c r="F476" s="1433"/>
      <c r="G476" s="1433">
        <f>G477+G478+G479</f>
        <v>1850</v>
      </c>
      <c r="H476" s="1433">
        <f>H477+H478+H479</f>
        <v>1850</v>
      </c>
      <c r="I476" s="906">
        <f t="shared" si="23"/>
        <v>100</v>
      </c>
    </row>
    <row r="477" spans="1:9" ht="15" customHeight="1" x14ac:dyDescent="0.2">
      <c r="A477" s="435"/>
      <c r="B477" s="808"/>
      <c r="C477" s="808"/>
      <c r="D477" s="578" t="s">
        <v>1267</v>
      </c>
      <c r="E477" s="474" t="s">
        <v>882</v>
      </c>
      <c r="F477" s="1431"/>
      <c r="G477" s="1431">
        <v>1656</v>
      </c>
      <c r="H477" s="1431">
        <v>1656</v>
      </c>
      <c r="I477" s="898">
        <f t="shared" si="23"/>
        <v>100</v>
      </c>
    </row>
    <row r="478" spans="1:9" ht="14.25" customHeight="1" x14ac:dyDescent="0.2">
      <c r="A478" s="435"/>
      <c r="B478" s="808"/>
      <c r="C478" s="808"/>
      <c r="D478" s="1569" t="s">
        <v>1771</v>
      </c>
      <c r="E478" s="2104" t="s">
        <v>1908</v>
      </c>
      <c r="F478" s="1431"/>
      <c r="G478" s="1431">
        <v>29</v>
      </c>
      <c r="H478" s="1431">
        <v>29</v>
      </c>
      <c r="I478" s="898">
        <f t="shared" si="23"/>
        <v>100</v>
      </c>
    </row>
    <row r="479" spans="1:9" ht="14.25" customHeight="1" x14ac:dyDescent="0.2">
      <c r="A479" s="435"/>
      <c r="B479" s="808"/>
      <c r="C479" s="808"/>
      <c r="D479" s="1569" t="s">
        <v>1773</v>
      </c>
      <c r="E479" s="2104" t="s">
        <v>1908</v>
      </c>
      <c r="F479" s="1431"/>
      <c r="G479" s="1431">
        <v>165</v>
      </c>
      <c r="H479" s="1431">
        <v>165</v>
      </c>
      <c r="I479" s="898">
        <f t="shared" si="23"/>
        <v>100</v>
      </c>
    </row>
    <row r="480" spans="1:9" ht="14.25" customHeight="1" x14ac:dyDescent="0.25">
      <c r="A480" s="435">
        <v>1038</v>
      </c>
      <c r="B480" s="808">
        <v>3141</v>
      </c>
      <c r="C480" s="808">
        <v>5336</v>
      </c>
      <c r="D480" s="1429"/>
      <c r="E480" s="1564" t="s">
        <v>1357</v>
      </c>
      <c r="F480" s="905"/>
      <c r="G480" s="905">
        <v>59</v>
      </c>
      <c r="H480" s="905">
        <v>59</v>
      </c>
      <c r="I480" s="906">
        <f t="shared" si="23"/>
        <v>100</v>
      </c>
    </row>
    <row r="481" spans="1:20" ht="14.25" customHeight="1" x14ac:dyDescent="0.2">
      <c r="A481" s="435"/>
      <c r="B481" s="808"/>
      <c r="C481" s="1551"/>
      <c r="D481" s="578" t="s">
        <v>1267</v>
      </c>
      <c r="E481" s="474" t="s">
        <v>882</v>
      </c>
      <c r="F481" s="903"/>
      <c r="G481" s="903">
        <v>59</v>
      </c>
      <c r="H481" s="903">
        <v>59</v>
      </c>
      <c r="I481" s="898">
        <f t="shared" si="23"/>
        <v>100</v>
      </c>
    </row>
    <row r="482" spans="1:20" ht="15" x14ac:dyDescent="0.25">
      <c r="A482" s="435">
        <v>1038</v>
      </c>
      <c r="B482" s="808">
        <v>3142</v>
      </c>
      <c r="C482" s="1551">
        <v>5336</v>
      </c>
      <c r="D482" s="594"/>
      <c r="E482" s="1564" t="s">
        <v>1357</v>
      </c>
      <c r="F482" s="903"/>
      <c r="G482" s="916">
        <v>12</v>
      </c>
      <c r="H482" s="916">
        <v>12</v>
      </c>
      <c r="I482" s="908">
        <f t="shared" si="23"/>
        <v>100</v>
      </c>
    </row>
    <row r="483" spans="1:20" ht="14.25" x14ac:dyDescent="0.2">
      <c r="A483" s="435"/>
      <c r="B483" s="808"/>
      <c r="C483" s="1551"/>
      <c r="D483" s="578" t="s">
        <v>1267</v>
      </c>
      <c r="E483" s="474" t="s">
        <v>882</v>
      </c>
      <c r="F483" s="903"/>
      <c r="G483" s="903">
        <v>12</v>
      </c>
      <c r="H483" s="903">
        <v>12</v>
      </c>
      <c r="I483" s="898">
        <f t="shared" si="23"/>
        <v>100</v>
      </c>
    </row>
    <row r="484" spans="1:20" ht="15" x14ac:dyDescent="0.25">
      <c r="A484" s="435">
        <v>1038</v>
      </c>
      <c r="B484" s="808">
        <v>3143</v>
      </c>
      <c r="C484" s="808">
        <v>5336</v>
      </c>
      <c r="D484" s="929"/>
      <c r="E484" s="1564" t="s">
        <v>1357</v>
      </c>
      <c r="F484" s="905"/>
      <c r="G484" s="905">
        <v>402</v>
      </c>
      <c r="H484" s="905">
        <v>402</v>
      </c>
      <c r="I484" s="906">
        <f t="shared" si="23"/>
        <v>100</v>
      </c>
    </row>
    <row r="485" spans="1:20" ht="14.25" x14ac:dyDescent="0.2">
      <c r="A485" s="435"/>
      <c r="B485" s="808"/>
      <c r="C485" s="808"/>
      <c r="D485" s="578" t="s">
        <v>1267</v>
      </c>
      <c r="E485" s="474" t="s">
        <v>882</v>
      </c>
      <c r="F485" s="903"/>
      <c r="G485" s="903">
        <v>402</v>
      </c>
      <c r="H485" s="903">
        <v>402</v>
      </c>
      <c r="I485" s="898">
        <f t="shared" si="23"/>
        <v>100</v>
      </c>
    </row>
    <row r="486" spans="1:20" ht="15" x14ac:dyDescent="0.25">
      <c r="A486" s="435">
        <v>1038</v>
      </c>
      <c r="B486" s="808">
        <v>3293</v>
      </c>
      <c r="C486" s="808">
        <v>5331</v>
      </c>
      <c r="D486" s="578"/>
      <c r="E486" s="704" t="s">
        <v>1066</v>
      </c>
      <c r="F486" s="916"/>
      <c r="G486" s="916">
        <v>17</v>
      </c>
      <c r="H486" s="916">
        <v>17</v>
      </c>
      <c r="I486" s="906">
        <f t="shared" si="23"/>
        <v>100</v>
      </c>
    </row>
    <row r="487" spans="1:20" ht="14.25" x14ac:dyDescent="0.2">
      <c r="A487" s="435"/>
      <c r="B487" s="808"/>
      <c r="C487" s="808"/>
      <c r="D487" s="1178" t="s">
        <v>1270</v>
      </c>
      <c r="E487" s="2539" t="s">
        <v>1359</v>
      </c>
      <c r="F487" s="903"/>
      <c r="G487" s="903">
        <v>17</v>
      </c>
      <c r="H487" s="903">
        <v>17</v>
      </c>
      <c r="I487" s="898">
        <f t="shared" si="23"/>
        <v>100</v>
      </c>
    </row>
    <row r="488" spans="1:20" ht="18" customHeight="1" x14ac:dyDescent="0.25">
      <c r="A488" s="435">
        <v>1038</v>
      </c>
      <c r="B488" s="808">
        <v>5399</v>
      </c>
      <c r="C488" s="808">
        <v>5331</v>
      </c>
      <c r="D488" s="1178"/>
      <c r="E488" s="854" t="s">
        <v>1066</v>
      </c>
      <c r="F488" s="903"/>
      <c r="G488" s="916">
        <v>40</v>
      </c>
      <c r="H488" s="916">
        <v>40</v>
      </c>
      <c r="I488" s="908">
        <f t="shared" si="23"/>
        <v>100</v>
      </c>
    </row>
    <row r="489" spans="1:20" ht="15" thickBot="1" x14ac:dyDescent="0.25">
      <c r="A489" s="435"/>
      <c r="B489" s="808"/>
      <c r="C489" s="808"/>
      <c r="D489" s="1463" t="s">
        <v>973</v>
      </c>
      <c r="E489" s="1422" t="s">
        <v>540</v>
      </c>
      <c r="F489" s="903"/>
      <c r="G489" s="903">
        <v>40</v>
      </c>
      <c r="H489" s="903">
        <v>40</v>
      </c>
      <c r="I489" s="898">
        <f t="shared" si="23"/>
        <v>100</v>
      </c>
    </row>
    <row r="490" spans="1:20" ht="16.5" thickTop="1" thickBot="1" x14ac:dyDescent="0.3">
      <c r="A490" s="2739" t="s">
        <v>1246</v>
      </c>
      <c r="B490" s="2740"/>
      <c r="C490" s="2740"/>
      <c r="D490" s="2740"/>
      <c r="E490" s="2740"/>
      <c r="F490" s="894">
        <f>SUM(F464,F480,F484,F469,F486)</f>
        <v>1195</v>
      </c>
      <c r="G490" s="894">
        <f>SUM(G464,G480,G484,G469,G486,G474,G488,G476,G482)</f>
        <v>12467</v>
      </c>
      <c r="H490" s="894">
        <f>SUM(H464,H480,H484,H469,H486,H474,H488,H476,H482)</f>
        <v>12467</v>
      </c>
      <c r="I490" s="895">
        <f>(H490/G490)*100</f>
        <v>100</v>
      </c>
      <c r="R490" s="385">
        <f>F490</f>
        <v>1195</v>
      </c>
      <c r="S490" s="385">
        <f>G490</f>
        <v>12467</v>
      </c>
      <c r="T490" s="385">
        <f>H490</f>
        <v>12467</v>
      </c>
    </row>
    <row r="491" spans="1:20" s="1684" customFormat="1" ht="13.5" thickTop="1" x14ac:dyDescent="0.2">
      <c r="B491" s="1699"/>
      <c r="D491" s="1700"/>
      <c r="F491" s="1698"/>
      <c r="G491" s="1698"/>
      <c r="H491" s="1698"/>
      <c r="I491" s="1701"/>
    </row>
    <row r="492" spans="1:20" s="1684" customFormat="1" x14ac:dyDescent="0.2">
      <c r="B492" s="1699"/>
      <c r="D492" s="1700"/>
      <c r="F492" s="1698"/>
      <c r="G492" s="1698"/>
      <c r="H492" s="1698"/>
      <c r="I492" s="1701"/>
    </row>
    <row r="493" spans="1:20" ht="13.5" thickBot="1" x14ac:dyDescent="0.25">
      <c r="A493" s="439" t="s">
        <v>54</v>
      </c>
      <c r="I493" s="1548" t="s">
        <v>179</v>
      </c>
    </row>
    <row r="494" spans="1:20" s="107" customFormat="1" thickTop="1" thickBot="1" x14ac:dyDescent="0.25">
      <c r="A494" s="657" t="s">
        <v>692</v>
      </c>
      <c r="B494" s="835" t="s">
        <v>180</v>
      </c>
      <c r="C494" s="658" t="s">
        <v>181</v>
      </c>
      <c r="D494" s="660" t="s">
        <v>783</v>
      </c>
      <c r="E494" s="660" t="s">
        <v>182</v>
      </c>
      <c r="F494" s="660" t="s">
        <v>183</v>
      </c>
      <c r="G494" s="660" t="s">
        <v>985</v>
      </c>
      <c r="H494" s="660" t="s">
        <v>986</v>
      </c>
      <c r="I494" s="888" t="s">
        <v>987</v>
      </c>
    </row>
    <row r="495" spans="1:20" s="386" customFormat="1" ht="13.5" thickTop="1" thickBot="1" x14ac:dyDescent="0.25">
      <c r="A495" s="592">
        <v>1</v>
      </c>
      <c r="B495" s="593">
        <v>2</v>
      </c>
      <c r="C495" s="593">
        <v>3</v>
      </c>
      <c r="D495" s="593">
        <v>4</v>
      </c>
      <c r="E495" s="593">
        <v>5</v>
      </c>
      <c r="F495" s="567">
        <v>6</v>
      </c>
      <c r="G495" s="567">
        <v>7</v>
      </c>
      <c r="H495" s="568">
        <v>8</v>
      </c>
      <c r="I495" s="662" t="s">
        <v>848</v>
      </c>
    </row>
    <row r="496" spans="1:20" ht="15.75" thickTop="1" x14ac:dyDescent="0.25">
      <c r="A496" s="1549">
        <v>1040</v>
      </c>
      <c r="B496" s="836">
        <v>3112</v>
      </c>
      <c r="C496" s="836">
        <v>5331</v>
      </c>
      <c r="D496" s="909"/>
      <c r="E496" s="930" t="s">
        <v>1066</v>
      </c>
      <c r="F496" s="931">
        <f>F497+F499</f>
        <v>630</v>
      </c>
      <c r="G496" s="931">
        <v>630</v>
      </c>
      <c r="H496" s="931">
        <v>630</v>
      </c>
      <c r="I496" s="896">
        <f t="shared" ref="I496:I529" si="24">(H496/G496)*100</f>
        <v>100</v>
      </c>
    </row>
    <row r="497" spans="1:9" ht="14.25" x14ac:dyDescent="0.2">
      <c r="A497" s="435"/>
      <c r="B497" s="705"/>
      <c r="C497" s="705"/>
      <c r="D497" s="578" t="s">
        <v>636</v>
      </c>
      <c r="E497" s="474" t="s">
        <v>72</v>
      </c>
      <c r="F497" s="357">
        <v>630</v>
      </c>
      <c r="G497" s="357">
        <v>630</v>
      </c>
      <c r="H497" s="357">
        <v>630</v>
      </c>
      <c r="I497" s="893">
        <f t="shared" si="24"/>
        <v>100</v>
      </c>
    </row>
    <row r="498" spans="1:9" ht="15" x14ac:dyDescent="0.25">
      <c r="A498" s="435">
        <v>1040</v>
      </c>
      <c r="B498" s="808">
        <v>3112</v>
      </c>
      <c r="C498" s="808">
        <v>5336</v>
      </c>
      <c r="D498" s="929"/>
      <c r="E498" s="1564" t="s">
        <v>1357</v>
      </c>
      <c r="F498" s="907"/>
      <c r="G498" s="916">
        <v>6770</v>
      </c>
      <c r="H498" s="916">
        <v>6770</v>
      </c>
      <c r="I498" s="891">
        <f t="shared" si="24"/>
        <v>100</v>
      </c>
    </row>
    <row r="499" spans="1:9" ht="15" x14ac:dyDescent="0.25">
      <c r="A499" s="435"/>
      <c r="B499" s="808"/>
      <c r="C499" s="808"/>
      <c r="D499" s="594" t="s">
        <v>1267</v>
      </c>
      <c r="E499" s="938" t="s">
        <v>882</v>
      </c>
      <c r="F499" s="905"/>
      <c r="G499" s="907">
        <v>6770</v>
      </c>
      <c r="H499" s="907">
        <v>6770</v>
      </c>
      <c r="I499" s="893">
        <f t="shared" si="24"/>
        <v>100</v>
      </c>
    </row>
    <row r="500" spans="1:9" ht="15" x14ac:dyDescent="0.25">
      <c r="A500" s="435">
        <v>1040</v>
      </c>
      <c r="B500" s="705">
        <v>3114</v>
      </c>
      <c r="C500" s="705">
        <v>5331</v>
      </c>
      <c r="D500" s="889"/>
      <c r="E500" s="854" t="s">
        <v>1066</v>
      </c>
      <c r="F500" s="890">
        <f>SUM(F501:F503)</f>
        <v>851</v>
      </c>
      <c r="G500" s="890">
        <f>SUM(G501:G503)</f>
        <v>1342</v>
      </c>
      <c r="H500" s="890">
        <f>SUM(H501:H503)</f>
        <v>1342</v>
      </c>
      <c r="I500" s="891">
        <f t="shared" si="24"/>
        <v>100</v>
      </c>
    </row>
    <row r="501" spans="1:9" ht="14.25" x14ac:dyDescent="0.2">
      <c r="A501" s="435"/>
      <c r="B501" s="705"/>
      <c r="C501" s="705"/>
      <c r="D501" s="743" t="s">
        <v>641</v>
      </c>
      <c r="E501" s="1679" t="s">
        <v>883</v>
      </c>
      <c r="F501" s="897">
        <v>21</v>
      </c>
      <c r="G501" s="897">
        <v>24</v>
      </c>
      <c r="H501" s="897">
        <v>24</v>
      </c>
      <c r="I501" s="893">
        <f t="shared" si="24"/>
        <v>100</v>
      </c>
    </row>
    <row r="502" spans="1:9" ht="14.25" x14ac:dyDescent="0.2">
      <c r="A502" s="435"/>
      <c r="B502" s="705"/>
      <c r="C502" s="705"/>
      <c r="D502" s="578" t="s">
        <v>636</v>
      </c>
      <c r="E502" s="474" t="s">
        <v>72</v>
      </c>
      <c r="F502" s="897">
        <v>830</v>
      </c>
      <c r="G502" s="897">
        <v>830</v>
      </c>
      <c r="H502" s="897">
        <v>830</v>
      </c>
      <c r="I502" s="893">
        <f t="shared" si="24"/>
        <v>100</v>
      </c>
    </row>
    <row r="503" spans="1:9" ht="28.5" x14ac:dyDescent="0.2">
      <c r="A503" s="435"/>
      <c r="B503" s="808"/>
      <c r="C503" s="808"/>
      <c r="D503" s="805" t="s">
        <v>889</v>
      </c>
      <c r="E503" s="1430" t="s">
        <v>1085</v>
      </c>
      <c r="F503" s="1431"/>
      <c r="G503" s="1431">
        <v>488</v>
      </c>
      <c r="H503" s="1431">
        <v>488</v>
      </c>
      <c r="I503" s="1435">
        <f t="shared" si="24"/>
        <v>100</v>
      </c>
    </row>
    <row r="504" spans="1:9" s="2040" customFormat="1" ht="15" x14ac:dyDescent="0.25">
      <c r="A504" s="2588">
        <v>1040</v>
      </c>
      <c r="B504" s="808">
        <v>3114</v>
      </c>
      <c r="C504" s="808">
        <v>5336</v>
      </c>
      <c r="D504" s="1429"/>
      <c r="E504" s="1564" t="s">
        <v>1357</v>
      </c>
      <c r="F504" s="1431"/>
      <c r="G504" s="1433">
        <f>G505+G506+G507</f>
        <v>19461</v>
      </c>
      <c r="H504" s="1433">
        <f>H505+H506+H507</f>
        <v>19461</v>
      </c>
      <c r="I504" s="891">
        <f t="shared" si="24"/>
        <v>100</v>
      </c>
    </row>
    <row r="505" spans="1:9" s="2040" customFormat="1" ht="14.25" x14ac:dyDescent="0.2">
      <c r="A505" s="2588"/>
      <c r="B505" s="808"/>
      <c r="C505" s="808"/>
      <c r="D505" s="578" t="s">
        <v>1267</v>
      </c>
      <c r="E505" s="474" t="s">
        <v>882</v>
      </c>
      <c r="F505" s="1431"/>
      <c r="G505" s="1431">
        <v>18952</v>
      </c>
      <c r="H505" s="1431">
        <v>18952</v>
      </c>
      <c r="I505" s="893">
        <f t="shared" si="24"/>
        <v>100</v>
      </c>
    </row>
    <row r="506" spans="1:9" s="2040" customFormat="1" ht="14.25" x14ac:dyDescent="0.2">
      <c r="A506" s="2588"/>
      <c r="B506" s="808"/>
      <c r="C506" s="808"/>
      <c r="D506" s="594" t="s">
        <v>1046</v>
      </c>
      <c r="E506" s="938" t="s">
        <v>1658</v>
      </c>
      <c r="F506" s="1431"/>
      <c r="G506" s="1431">
        <v>76</v>
      </c>
      <c r="H506" s="1431">
        <v>76</v>
      </c>
      <c r="I506" s="893">
        <f t="shared" si="24"/>
        <v>100</v>
      </c>
    </row>
    <row r="507" spans="1:9" s="2040" customFormat="1" ht="15.75" customHeight="1" x14ac:dyDescent="0.2">
      <c r="A507" s="2588"/>
      <c r="B507" s="808"/>
      <c r="C507" s="808"/>
      <c r="D507" s="594" t="s">
        <v>1048</v>
      </c>
      <c r="E507" s="938" t="s">
        <v>1659</v>
      </c>
      <c r="F507" s="2625"/>
      <c r="G507" s="2625">
        <v>433</v>
      </c>
      <c r="H507" s="2625">
        <v>433</v>
      </c>
      <c r="I507" s="2624">
        <f t="shared" si="24"/>
        <v>100</v>
      </c>
    </row>
    <row r="508" spans="1:9" ht="15" x14ac:dyDescent="0.25">
      <c r="A508" s="435">
        <v>1040</v>
      </c>
      <c r="B508" s="808">
        <v>3124</v>
      </c>
      <c r="C508" s="808">
        <v>5331</v>
      </c>
      <c r="D508" s="912"/>
      <c r="E508" s="854" t="s">
        <v>1066</v>
      </c>
      <c r="F508" s="905">
        <v>105</v>
      </c>
      <c r="G508" s="905">
        <v>105</v>
      </c>
      <c r="H508" s="905">
        <v>105</v>
      </c>
      <c r="I508" s="891">
        <f t="shared" si="24"/>
        <v>100</v>
      </c>
    </row>
    <row r="509" spans="1:9" ht="14.25" x14ac:dyDescent="0.2">
      <c r="A509" s="435"/>
      <c r="B509" s="808"/>
      <c r="C509" s="808"/>
      <c r="D509" s="578" t="s">
        <v>636</v>
      </c>
      <c r="E509" s="474" t="s">
        <v>72</v>
      </c>
      <c r="F509" s="907">
        <v>105</v>
      </c>
      <c r="G509" s="907">
        <v>105</v>
      </c>
      <c r="H509" s="907">
        <v>105</v>
      </c>
      <c r="I509" s="898">
        <f t="shared" si="24"/>
        <v>100</v>
      </c>
    </row>
    <row r="510" spans="1:9" ht="15" x14ac:dyDescent="0.25">
      <c r="A510" s="435">
        <v>1040</v>
      </c>
      <c r="B510" s="808">
        <v>3124</v>
      </c>
      <c r="C510" s="808">
        <v>5336</v>
      </c>
      <c r="D510" s="578"/>
      <c r="E510" s="1564" t="s">
        <v>1357</v>
      </c>
      <c r="F510" s="907"/>
      <c r="G510" s="916">
        <f>G511+G512+G513</f>
        <v>1149</v>
      </c>
      <c r="H510" s="916">
        <f>H511+H512+H513</f>
        <v>1149</v>
      </c>
      <c r="I510" s="891">
        <f t="shared" si="24"/>
        <v>100</v>
      </c>
    </row>
    <row r="511" spans="1:9" ht="14.25" x14ac:dyDescent="0.2">
      <c r="A511" s="435"/>
      <c r="B511" s="808"/>
      <c r="C511" s="808"/>
      <c r="D511" s="578" t="s">
        <v>1267</v>
      </c>
      <c r="E511" s="474" t="s">
        <v>882</v>
      </c>
      <c r="F511" s="903"/>
      <c r="G511" s="903">
        <v>957</v>
      </c>
      <c r="H511" s="903">
        <v>957</v>
      </c>
      <c r="I511" s="898">
        <f t="shared" si="24"/>
        <v>100</v>
      </c>
    </row>
    <row r="512" spans="1:9" ht="14.25" x14ac:dyDescent="0.2">
      <c r="A512" s="435"/>
      <c r="B512" s="808"/>
      <c r="C512" s="808"/>
      <c r="D512" s="1569" t="s">
        <v>1771</v>
      </c>
      <c r="E512" s="1561" t="s">
        <v>1908</v>
      </c>
      <c r="F512" s="903"/>
      <c r="G512" s="903">
        <v>29</v>
      </c>
      <c r="H512" s="903">
        <v>29</v>
      </c>
      <c r="I512" s="898">
        <f t="shared" si="24"/>
        <v>100</v>
      </c>
    </row>
    <row r="513" spans="1:9" ht="14.25" x14ac:dyDescent="0.2">
      <c r="A513" s="435"/>
      <c r="B513" s="808"/>
      <c r="C513" s="808"/>
      <c r="D513" s="1569" t="s">
        <v>1773</v>
      </c>
      <c r="E513" s="1561" t="s">
        <v>1908</v>
      </c>
      <c r="F513" s="903"/>
      <c r="G513" s="903">
        <v>163</v>
      </c>
      <c r="H513" s="903">
        <v>163</v>
      </c>
      <c r="I513" s="898">
        <f t="shared" si="24"/>
        <v>100</v>
      </c>
    </row>
    <row r="514" spans="1:9" ht="15" x14ac:dyDescent="0.25">
      <c r="A514" s="435">
        <v>1040</v>
      </c>
      <c r="B514" s="808">
        <v>3141</v>
      </c>
      <c r="C514" s="808">
        <v>5336</v>
      </c>
      <c r="D514" s="578"/>
      <c r="E514" s="1564" t="s">
        <v>1357</v>
      </c>
      <c r="F514" s="916"/>
      <c r="G514" s="916">
        <v>172</v>
      </c>
      <c r="H514" s="916">
        <v>172</v>
      </c>
      <c r="I514" s="908">
        <f t="shared" si="24"/>
        <v>100</v>
      </c>
    </row>
    <row r="515" spans="1:9" ht="14.25" x14ac:dyDescent="0.2">
      <c r="A515" s="435"/>
      <c r="B515" s="808"/>
      <c r="C515" s="808"/>
      <c r="D515" s="578" t="s">
        <v>1267</v>
      </c>
      <c r="E515" s="474" t="s">
        <v>882</v>
      </c>
      <c r="F515" s="903"/>
      <c r="G515" s="903">
        <v>172</v>
      </c>
      <c r="H515" s="903">
        <v>172</v>
      </c>
      <c r="I515" s="898">
        <f t="shared" si="24"/>
        <v>100</v>
      </c>
    </row>
    <row r="516" spans="1:9" ht="15" x14ac:dyDescent="0.25">
      <c r="A516" s="435">
        <v>1040</v>
      </c>
      <c r="B516" s="808">
        <v>3142</v>
      </c>
      <c r="C516" s="808">
        <v>5331</v>
      </c>
      <c r="D516" s="912"/>
      <c r="E516" s="704" t="s">
        <v>1066</v>
      </c>
      <c r="F516" s="905">
        <f>F517+F519</f>
        <v>210</v>
      </c>
      <c r="G516" s="905">
        <v>210</v>
      </c>
      <c r="H516" s="905">
        <v>210</v>
      </c>
      <c r="I516" s="906">
        <f t="shared" si="24"/>
        <v>100</v>
      </c>
    </row>
    <row r="517" spans="1:9" ht="14.25" x14ac:dyDescent="0.2">
      <c r="A517" s="435"/>
      <c r="B517" s="808"/>
      <c r="C517" s="808"/>
      <c r="D517" s="578" t="s">
        <v>636</v>
      </c>
      <c r="E517" s="474" t="s">
        <v>72</v>
      </c>
      <c r="F517" s="903">
        <v>210</v>
      </c>
      <c r="G517" s="903">
        <v>210</v>
      </c>
      <c r="H517" s="903">
        <v>210</v>
      </c>
      <c r="I517" s="898">
        <f t="shared" si="24"/>
        <v>100</v>
      </c>
    </row>
    <row r="518" spans="1:9" ht="15" x14ac:dyDescent="0.25">
      <c r="A518" s="435">
        <v>1040</v>
      </c>
      <c r="B518" s="808">
        <v>3142</v>
      </c>
      <c r="C518" s="808">
        <v>5336</v>
      </c>
      <c r="D518" s="578"/>
      <c r="E518" s="1564" t="s">
        <v>1357</v>
      </c>
      <c r="F518" s="903"/>
      <c r="G518" s="916">
        <v>43</v>
      </c>
      <c r="H518" s="916">
        <v>43</v>
      </c>
      <c r="I518" s="908">
        <f t="shared" si="24"/>
        <v>100</v>
      </c>
    </row>
    <row r="519" spans="1:9" ht="14.25" x14ac:dyDescent="0.2">
      <c r="A519" s="435"/>
      <c r="B519" s="808"/>
      <c r="C519" s="808"/>
      <c r="D519" s="578" t="s">
        <v>1267</v>
      </c>
      <c r="E519" s="474" t="s">
        <v>882</v>
      </c>
      <c r="F519" s="903"/>
      <c r="G519" s="903">
        <v>43</v>
      </c>
      <c r="H519" s="903">
        <v>43</v>
      </c>
      <c r="I519" s="898">
        <f t="shared" si="24"/>
        <v>100</v>
      </c>
    </row>
    <row r="520" spans="1:9" ht="15" x14ac:dyDescent="0.25">
      <c r="A520" s="435">
        <v>1040</v>
      </c>
      <c r="B520" s="808">
        <v>3143</v>
      </c>
      <c r="C520" s="808">
        <v>5331</v>
      </c>
      <c r="D520" s="929"/>
      <c r="E520" s="704" t="s">
        <v>1066</v>
      </c>
      <c r="F520" s="905">
        <f>F521</f>
        <v>105</v>
      </c>
      <c r="G520" s="905">
        <v>105</v>
      </c>
      <c r="H520" s="905">
        <v>105</v>
      </c>
      <c r="I520" s="906">
        <f t="shared" si="24"/>
        <v>100</v>
      </c>
    </row>
    <row r="521" spans="1:9" ht="14.25" x14ac:dyDescent="0.2">
      <c r="A521" s="435"/>
      <c r="B521" s="808"/>
      <c r="C521" s="808"/>
      <c r="D521" s="578" t="s">
        <v>636</v>
      </c>
      <c r="E521" s="474" t="s">
        <v>72</v>
      </c>
      <c r="F521" s="903">
        <v>105</v>
      </c>
      <c r="G521" s="903">
        <v>105</v>
      </c>
      <c r="H521" s="903">
        <v>105</v>
      </c>
      <c r="I521" s="898">
        <f t="shared" si="24"/>
        <v>100</v>
      </c>
    </row>
    <row r="522" spans="1:9" ht="15" x14ac:dyDescent="0.25">
      <c r="A522" s="435">
        <v>1040</v>
      </c>
      <c r="B522" s="808">
        <v>3143</v>
      </c>
      <c r="C522" s="808">
        <v>5336</v>
      </c>
      <c r="D522" s="578"/>
      <c r="E522" s="1564" t="s">
        <v>1357</v>
      </c>
      <c r="F522" s="903"/>
      <c r="G522" s="916">
        <v>736</v>
      </c>
      <c r="H522" s="916">
        <v>736</v>
      </c>
      <c r="I522" s="908">
        <f t="shared" si="24"/>
        <v>100</v>
      </c>
    </row>
    <row r="523" spans="1:9" ht="14.25" x14ac:dyDescent="0.2">
      <c r="A523" s="435"/>
      <c r="B523" s="808"/>
      <c r="C523" s="1551"/>
      <c r="D523" s="578" t="s">
        <v>1267</v>
      </c>
      <c r="E523" s="474" t="s">
        <v>882</v>
      </c>
      <c r="F523" s="903"/>
      <c r="G523" s="903">
        <v>736</v>
      </c>
      <c r="H523" s="903">
        <v>736</v>
      </c>
      <c r="I523" s="898">
        <f t="shared" si="24"/>
        <v>100</v>
      </c>
    </row>
    <row r="524" spans="1:9" ht="15" x14ac:dyDescent="0.25">
      <c r="A524" s="435">
        <v>1040</v>
      </c>
      <c r="B524" s="808">
        <v>3145</v>
      </c>
      <c r="C524" s="808">
        <v>5331</v>
      </c>
      <c r="D524" s="929"/>
      <c r="E524" s="704" t="s">
        <v>1066</v>
      </c>
      <c r="F524" s="916">
        <v>210</v>
      </c>
      <c r="G524" s="916">
        <v>210</v>
      </c>
      <c r="H524" s="916">
        <v>210</v>
      </c>
      <c r="I524" s="906">
        <f t="shared" si="24"/>
        <v>100</v>
      </c>
    </row>
    <row r="525" spans="1:9" ht="14.25" x14ac:dyDescent="0.2">
      <c r="A525" s="435"/>
      <c r="B525" s="808"/>
      <c r="C525" s="808"/>
      <c r="D525" s="578" t="s">
        <v>636</v>
      </c>
      <c r="E525" s="474" t="s">
        <v>72</v>
      </c>
      <c r="F525" s="903">
        <v>210</v>
      </c>
      <c r="G525" s="903">
        <v>210</v>
      </c>
      <c r="H525" s="903">
        <v>210</v>
      </c>
      <c r="I525" s="898">
        <f t="shared" si="24"/>
        <v>100</v>
      </c>
    </row>
    <row r="526" spans="1:9" ht="15" x14ac:dyDescent="0.25">
      <c r="A526" s="435">
        <v>1040</v>
      </c>
      <c r="B526" s="808">
        <v>3145</v>
      </c>
      <c r="C526" s="808">
        <v>5336</v>
      </c>
      <c r="D526" s="578"/>
      <c r="E526" s="1564" t="s">
        <v>1357</v>
      </c>
      <c r="F526" s="903"/>
      <c r="G526" s="916">
        <v>1107</v>
      </c>
      <c r="H526" s="916">
        <v>1107</v>
      </c>
      <c r="I526" s="908">
        <f t="shared" si="24"/>
        <v>100</v>
      </c>
    </row>
    <row r="527" spans="1:9" ht="14.25" x14ac:dyDescent="0.2">
      <c r="A527" s="435"/>
      <c r="B527" s="808"/>
      <c r="C527" s="1551"/>
      <c r="D527" s="578" t="s">
        <v>1267</v>
      </c>
      <c r="E527" s="474" t="s">
        <v>882</v>
      </c>
      <c r="F527" s="903"/>
      <c r="G527" s="903">
        <v>1107</v>
      </c>
      <c r="H527" s="903">
        <v>1107</v>
      </c>
      <c r="I527" s="898">
        <f t="shared" si="24"/>
        <v>100</v>
      </c>
    </row>
    <row r="528" spans="1:9" ht="15" x14ac:dyDescent="0.25">
      <c r="A528" s="435">
        <v>1040</v>
      </c>
      <c r="B528" s="808">
        <v>3541</v>
      </c>
      <c r="C528" s="1551">
        <v>5331</v>
      </c>
      <c r="D528" s="578"/>
      <c r="E528" s="704" t="s">
        <v>1066</v>
      </c>
      <c r="F528" s="916"/>
      <c r="G528" s="916">
        <v>41</v>
      </c>
      <c r="H528" s="916">
        <v>41</v>
      </c>
      <c r="I528" s="908">
        <f t="shared" si="24"/>
        <v>100</v>
      </c>
    </row>
    <row r="529" spans="1:20" ht="18" customHeight="1" thickBot="1" x14ac:dyDescent="0.25">
      <c r="A529" s="435"/>
      <c r="B529" s="808"/>
      <c r="C529" s="1551"/>
      <c r="D529" s="1178" t="s">
        <v>1768</v>
      </c>
      <c r="E529" s="1561" t="s">
        <v>1911</v>
      </c>
      <c r="F529" s="903"/>
      <c r="G529" s="903">
        <v>41</v>
      </c>
      <c r="H529" s="903">
        <v>41</v>
      </c>
      <c r="I529" s="898">
        <f t="shared" si="24"/>
        <v>100</v>
      </c>
    </row>
    <row r="530" spans="1:20" ht="16.5" thickTop="1" thickBot="1" x14ac:dyDescent="0.3">
      <c r="A530" s="2739" t="s">
        <v>1246</v>
      </c>
      <c r="B530" s="2740"/>
      <c r="C530" s="2740"/>
      <c r="D530" s="2740"/>
      <c r="E530" s="2740"/>
      <c r="F530" s="894">
        <f>F496+F520+F500+F524+F514+F516+F508</f>
        <v>2111</v>
      </c>
      <c r="G530" s="894">
        <f>G496+G520+G500+G524+G514+G516+G508+G528+G498+G504+G526+G522+G518+G510</f>
        <v>32081</v>
      </c>
      <c r="H530" s="894">
        <f>H496+H520+H500+H524+H514+H516+H508+H528+H498+H504+H526+H522+H518+H510</f>
        <v>32081</v>
      </c>
      <c r="I530" s="895">
        <f>(H530/G530)*100</f>
        <v>100</v>
      </c>
      <c r="R530" s="385">
        <f>F530</f>
        <v>2111</v>
      </c>
      <c r="S530" s="385">
        <f>G530</f>
        <v>32081</v>
      </c>
      <c r="T530" s="385">
        <f>H530</f>
        <v>32081</v>
      </c>
    </row>
    <row r="531" spans="1:20" ht="13.5" thickTop="1" x14ac:dyDescent="0.2"/>
    <row r="533" spans="1:20" ht="20.25" customHeight="1" thickBot="1" x14ac:dyDescent="0.25">
      <c r="A533" s="439" t="s">
        <v>63</v>
      </c>
      <c r="I533" s="1548" t="s">
        <v>179</v>
      </c>
    </row>
    <row r="534" spans="1:20" s="107" customFormat="1" thickTop="1" thickBot="1" x14ac:dyDescent="0.25">
      <c r="A534" s="657" t="s">
        <v>692</v>
      </c>
      <c r="B534" s="835" t="s">
        <v>180</v>
      </c>
      <c r="C534" s="658" t="s">
        <v>181</v>
      </c>
      <c r="D534" s="660" t="s">
        <v>783</v>
      </c>
      <c r="E534" s="660" t="s">
        <v>182</v>
      </c>
      <c r="F534" s="660" t="s">
        <v>183</v>
      </c>
      <c r="G534" s="660" t="s">
        <v>985</v>
      </c>
      <c r="H534" s="660" t="s">
        <v>986</v>
      </c>
      <c r="I534" s="888" t="s">
        <v>987</v>
      </c>
    </row>
    <row r="535" spans="1:20" s="386" customFormat="1" ht="13.5" thickTop="1" thickBot="1" x14ac:dyDescent="0.25">
      <c r="A535" s="592">
        <v>1</v>
      </c>
      <c r="B535" s="593">
        <v>2</v>
      </c>
      <c r="C535" s="593">
        <v>3</v>
      </c>
      <c r="D535" s="593">
        <v>4</v>
      </c>
      <c r="E535" s="593">
        <v>5</v>
      </c>
      <c r="F535" s="567">
        <v>6</v>
      </c>
      <c r="G535" s="567">
        <v>7</v>
      </c>
      <c r="H535" s="568">
        <v>8</v>
      </c>
      <c r="I535" s="662" t="s">
        <v>848</v>
      </c>
    </row>
    <row r="536" spans="1:20" ht="15.75" thickTop="1" x14ac:dyDescent="0.25">
      <c r="A536" s="1549">
        <v>1041</v>
      </c>
      <c r="B536" s="836">
        <v>3114</v>
      </c>
      <c r="C536" s="836">
        <v>5331</v>
      </c>
      <c r="D536" s="909"/>
      <c r="E536" s="930" t="s">
        <v>1066</v>
      </c>
      <c r="F536" s="931">
        <f>SUM(F537:F545)</f>
        <v>2181</v>
      </c>
      <c r="G536" s="931">
        <f>SUM(G537:G538)</f>
        <v>2175</v>
      </c>
      <c r="H536" s="931">
        <f>SUM(H537:H538)</f>
        <v>2175</v>
      </c>
      <c r="I536" s="896">
        <f t="shared" ref="I536:I562" si="25">(H536/G536)*100</f>
        <v>100</v>
      </c>
    </row>
    <row r="537" spans="1:20" ht="14.25" x14ac:dyDescent="0.2">
      <c r="A537" s="435"/>
      <c r="B537" s="705"/>
      <c r="C537" s="705"/>
      <c r="D537" s="743" t="s">
        <v>641</v>
      </c>
      <c r="E537" s="1679" t="s">
        <v>883</v>
      </c>
      <c r="F537" s="357">
        <v>1175</v>
      </c>
      <c r="G537" s="897">
        <v>1175</v>
      </c>
      <c r="H537" s="897">
        <v>1175</v>
      </c>
      <c r="I537" s="893">
        <f t="shared" si="25"/>
        <v>100</v>
      </c>
    </row>
    <row r="538" spans="1:20" ht="15" thickBot="1" x14ac:dyDescent="0.25">
      <c r="A538" s="1552"/>
      <c r="B538" s="706"/>
      <c r="C538" s="706"/>
      <c r="D538" s="757" t="s">
        <v>636</v>
      </c>
      <c r="E538" s="476" t="s">
        <v>72</v>
      </c>
      <c r="F538" s="471">
        <v>1000</v>
      </c>
      <c r="G538" s="941">
        <v>1000</v>
      </c>
      <c r="H538" s="941">
        <v>1000</v>
      </c>
      <c r="I538" s="925">
        <f t="shared" si="25"/>
        <v>100</v>
      </c>
    </row>
    <row r="539" spans="1:20" s="1555" customFormat="1" ht="15" thickTop="1" x14ac:dyDescent="0.2">
      <c r="B539" s="803"/>
      <c r="C539" s="803"/>
      <c r="D539" s="853"/>
      <c r="E539" s="67"/>
      <c r="F539" s="953"/>
      <c r="G539" s="911"/>
      <c r="H539" s="911"/>
      <c r="I539" s="964"/>
    </row>
    <row r="540" spans="1:20" s="1555" customFormat="1" ht="14.25" x14ac:dyDescent="0.2">
      <c r="B540" s="803"/>
      <c r="C540" s="803"/>
      <c r="D540" s="853"/>
      <c r="E540" s="67"/>
      <c r="F540" s="953"/>
      <c r="G540" s="911"/>
      <c r="H540" s="911"/>
      <c r="I540" s="964"/>
    </row>
    <row r="541" spans="1:20" ht="20.25" customHeight="1" thickBot="1" x14ac:dyDescent="0.25">
      <c r="A541" s="439"/>
      <c r="I541" s="1548" t="s">
        <v>179</v>
      </c>
    </row>
    <row r="542" spans="1:20" s="107" customFormat="1" thickTop="1" thickBot="1" x14ac:dyDescent="0.25">
      <c r="A542" s="657" t="s">
        <v>692</v>
      </c>
      <c r="B542" s="835" t="s">
        <v>180</v>
      </c>
      <c r="C542" s="658" t="s">
        <v>181</v>
      </c>
      <c r="D542" s="660" t="s">
        <v>783</v>
      </c>
      <c r="E542" s="660" t="s">
        <v>182</v>
      </c>
      <c r="F542" s="660" t="s">
        <v>183</v>
      </c>
      <c r="G542" s="660" t="s">
        <v>985</v>
      </c>
      <c r="H542" s="660" t="s">
        <v>986</v>
      </c>
      <c r="I542" s="888" t="s">
        <v>987</v>
      </c>
    </row>
    <row r="543" spans="1:20" s="386" customFormat="1" ht="13.5" thickTop="1" thickBot="1" x14ac:dyDescent="0.25">
      <c r="A543" s="592">
        <v>1</v>
      </c>
      <c r="B543" s="593">
        <v>2</v>
      </c>
      <c r="C543" s="593">
        <v>3</v>
      </c>
      <c r="D543" s="593">
        <v>4</v>
      </c>
      <c r="E543" s="593">
        <v>5</v>
      </c>
      <c r="F543" s="567">
        <v>6</v>
      </c>
      <c r="G543" s="567">
        <v>7</v>
      </c>
      <c r="H543" s="568">
        <v>8</v>
      </c>
      <c r="I543" s="662" t="s">
        <v>848</v>
      </c>
    </row>
    <row r="544" spans="1:20" ht="15.75" thickTop="1" x14ac:dyDescent="0.25">
      <c r="A544" s="435">
        <v>1041</v>
      </c>
      <c r="B544" s="808">
        <v>3114</v>
      </c>
      <c r="C544" s="808">
        <v>5336</v>
      </c>
      <c r="D544" s="578"/>
      <c r="E544" s="1564" t="s">
        <v>1357</v>
      </c>
      <c r="F544" s="357"/>
      <c r="G544" s="921">
        <f>G545+G546+G547</f>
        <v>7880</v>
      </c>
      <c r="H544" s="921">
        <f>H545+H546+H547</f>
        <v>7880</v>
      </c>
      <c r="I544" s="923">
        <f t="shared" si="25"/>
        <v>100</v>
      </c>
    </row>
    <row r="545" spans="1:9" ht="15" x14ac:dyDescent="0.25">
      <c r="A545" s="435"/>
      <c r="B545" s="705"/>
      <c r="C545" s="705"/>
      <c r="D545" s="578" t="s">
        <v>1267</v>
      </c>
      <c r="E545" s="474" t="s">
        <v>882</v>
      </c>
      <c r="F545" s="890"/>
      <c r="G545" s="897">
        <v>7612</v>
      </c>
      <c r="H545" s="897">
        <v>7612</v>
      </c>
      <c r="I545" s="893">
        <f t="shared" si="25"/>
        <v>100</v>
      </c>
    </row>
    <row r="546" spans="1:9" ht="15" x14ac:dyDescent="0.25">
      <c r="A546" s="435"/>
      <c r="B546" s="808"/>
      <c r="C546" s="808"/>
      <c r="D546" s="594" t="s">
        <v>1046</v>
      </c>
      <c r="E546" s="938" t="s">
        <v>1658</v>
      </c>
      <c r="F546" s="905"/>
      <c r="G546" s="903">
        <v>40</v>
      </c>
      <c r="H546" s="903">
        <v>40</v>
      </c>
      <c r="I546" s="898">
        <f t="shared" si="25"/>
        <v>100</v>
      </c>
    </row>
    <row r="547" spans="1:9" ht="15" x14ac:dyDescent="0.25">
      <c r="A547" s="435"/>
      <c r="B547" s="808"/>
      <c r="C547" s="808"/>
      <c r="D547" s="594" t="s">
        <v>1048</v>
      </c>
      <c r="E547" s="938" t="s">
        <v>1659</v>
      </c>
      <c r="F547" s="905"/>
      <c r="G547" s="903">
        <v>228</v>
      </c>
      <c r="H547" s="903">
        <v>228</v>
      </c>
      <c r="I547" s="898">
        <f t="shared" si="25"/>
        <v>100</v>
      </c>
    </row>
    <row r="548" spans="1:9" ht="15" x14ac:dyDescent="0.25">
      <c r="A548" s="435">
        <v>1041</v>
      </c>
      <c r="B548" s="808">
        <v>3141</v>
      </c>
      <c r="C548" s="1551">
        <v>5331</v>
      </c>
      <c r="D548" s="912"/>
      <c r="E548" s="704" t="s">
        <v>1066</v>
      </c>
      <c r="F548" s="905">
        <f>F549+F551</f>
        <v>400</v>
      </c>
      <c r="G548" s="905">
        <v>400</v>
      </c>
      <c r="H548" s="905">
        <v>400</v>
      </c>
      <c r="I548" s="906">
        <f t="shared" si="25"/>
        <v>100</v>
      </c>
    </row>
    <row r="549" spans="1:9" ht="14.25" x14ac:dyDescent="0.2">
      <c r="A549" s="435"/>
      <c r="B549" s="808"/>
      <c r="C549" s="1551"/>
      <c r="D549" s="578" t="s">
        <v>636</v>
      </c>
      <c r="E549" s="474" t="s">
        <v>72</v>
      </c>
      <c r="F549" s="907">
        <v>400</v>
      </c>
      <c r="G549" s="903">
        <v>400</v>
      </c>
      <c r="H549" s="903">
        <v>400</v>
      </c>
      <c r="I549" s="898">
        <f t="shared" si="25"/>
        <v>100</v>
      </c>
    </row>
    <row r="550" spans="1:9" ht="15" x14ac:dyDescent="0.25">
      <c r="A550" s="435">
        <v>1041</v>
      </c>
      <c r="B550" s="808">
        <v>3141</v>
      </c>
      <c r="C550" s="808">
        <v>5336</v>
      </c>
      <c r="D550" s="578"/>
      <c r="E550" s="1564" t="s">
        <v>1357</v>
      </c>
      <c r="F550" s="907"/>
      <c r="G550" s="916">
        <v>191</v>
      </c>
      <c r="H550" s="916">
        <v>191</v>
      </c>
      <c r="I550" s="908">
        <f t="shared" si="25"/>
        <v>100</v>
      </c>
    </row>
    <row r="551" spans="1:9" ht="15" x14ac:dyDescent="0.25">
      <c r="A551" s="435"/>
      <c r="B551" s="808"/>
      <c r="C551" s="1551"/>
      <c r="D551" s="578" t="s">
        <v>1267</v>
      </c>
      <c r="E551" s="474" t="s">
        <v>882</v>
      </c>
      <c r="F551" s="905"/>
      <c r="G551" s="903">
        <v>191</v>
      </c>
      <c r="H551" s="903">
        <v>191</v>
      </c>
      <c r="I551" s="898">
        <f t="shared" si="25"/>
        <v>100</v>
      </c>
    </row>
    <row r="552" spans="1:9" ht="15" x14ac:dyDescent="0.25">
      <c r="A552" s="435">
        <v>1041</v>
      </c>
      <c r="B552" s="808">
        <v>3142</v>
      </c>
      <c r="C552" s="1551">
        <v>5336</v>
      </c>
      <c r="D552" s="594"/>
      <c r="E552" s="1564" t="s">
        <v>1357</v>
      </c>
      <c r="F552" s="905"/>
      <c r="G552" s="916">
        <v>414</v>
      </c>
      <c r="H552" s="916">
        <v>414</v>
      </c>
      <c r="I552" s="908">
        <f t="shared" si="25"/>
        <v>100</v>
      </c>
    </row>
    <row r="553" spans="1:9" ht="15" x14ac:dyDescent="0.25">
      <c r="A553" s="435"/>
      <c r="B553" s="808"/>
      <c r="C553" s="1551"/>
      <c r="D553" s="578" t="s">
        <v>1267</v>
      </c>
      <c r="E553" s="474" t="s">
        <v>882</v>
      </c>
      <c r="F553" s="905"/>
      <c r="G553" s="903">
        <v>414</v>
      </c>
      <c r="H553" s="903">
        <v>414</v>
      </c>
      <c r="I553" s="898">
        <f t="shared" si="25"/>
        <v>100</v>
      </c>
    </row>
    <row r="554" spans="1:9" ht="15" x14ac:dyDescent="0.25">
      <c r="A554" s="435">
        <v>1041</v>
      </c>
      <c r="B554" s="808">
        <v>3143</v>
      </c>
      <c r="C554" s="1551">
        <v>5331</v>
      </c>
      <c r="D554" s="912"/>
      <c r="E554" s="704" t="s">
        <v>1066</v>
      </c>
      <c r="F554" s="905">
        <f>SUM(F555:F557)</f>
        <v>25</v>
      </c>
      <c r="G554" s="905">
        <v>25</v>
      </c>
      <c r="H554" s="905">
        <v>25</v>
      </c>
      <c r="I554" s="906">
        <f t="shared" si="25"/>
        <v>100</v>
      </c>
    </row>
    <row r="555" spans="1:9" ht="14.25" x14ac:dyDescent="0.2">
      <c r="A555" s="435"/>
      <c r="B555" s="808"/>
      <c r="C555" s="1551"/>
      <c r="D555" s="578" t="s">
        <v>636</v>
      </c>
      <c r="E555" s="474" t="s">
        <v>72</v>
      </c>
      <c r="F555" s="907">
        <v>25</v>
      </c>
      <c r="G555" s="903">
        <v>25</v>
      </c>
      <c r="H555" s="903">
        <v>25</v>
      </c>
      <c r="I555" s="898">
        <f t="shared" si="25"/>
        <v>100</v>
      </c>
    </row>
    <row r="556" spans="1:9" ht="15" customHeight="1" x14ac:dyDescent="0.25">
      <c r="A556" s="435">
        <v>1041</v>
      </c>
      <c r="B556" s="808">
        <v>3143</v>
      </c>
      <c r="C556" s="1551">
        <v>5336</v>
      </c>
      <c r="D556" s="594"/>
      <c r="E556" s="1564" t="s">
        <v>1357</v>
      </c>
      <c r="F556" s="907"/>
      <c r="G556" s="916">
        <v>402</v>
      </c>
      <c r="H556" s="916">
        <v>402</v>
      </c>
      <c r="I556" s="908">
        <f t="shared" si="25"/>
        <v>100</v>
      </c>
    </row>
    <row r="557" spans="1:9" ht="15" customHeight="1" x14ac:dyDescent="0.2">
      <c r="A557" s="435"/>
      <c r="B557" s="808"/>
      <c r="C557" s="1551"/>
      <c r="D557" s="578" t="s">
        <v>1267</v>
      </c>
      <c r="E557" s="474" t="s">
        <v>882</v>
      </c>
      <c r="F557" s="903"/>
      <c r="G557" s="903">
        <v>402</v>
      </c>
      <c r="H557" s="903">
        <v>402</v>
      </c>
      <c r="I557" s="898">
        <f t="shared" si="25"/>
        <v>100</v>
      </c>
    </row>
    <row r="558" spans="1:9" ht="18" customHeight="1" x14ac:dyDescent="0.25">
      <c r="A558" s="435">
        <v>1041</v>
      </c>
      <c r="B558" s="808">
        <v>3792</v>
      </c>
      <c r="C558" s="808">
        <v>5331</v>
      </c>
      <c r="D558" s="929"/>
      <c r="E558" s="704" t="s">
        <v>1066</v>
      </c>
      <c r="F558" s="905"/>
      <c r="G558" s="905">
        <v>25</v>
      </c>
      <c r="H558" s="905">
        <v>25</v>
      </c>
      <c r="I558" s="906">
        <f t="shared" si="25"/>
        <v>100</v>
      </c>
    </row>
    <row r="559" spans="1:9" ht="15" x14ac:dyDescent="0.25">
      <c r="A559" s="435"/>
      <c r="B559" s="808"/>
      <c r="C559" s="808"/>
      <c r="D559" s="1169" t="s">
        <v>1479</v>
      </c>
      <c r="E559" s="117" t="s">
        <v>406</v>
      </c>
      <c r="F559" s="905"/>
      <c r="G559" s="907">
        <v>25</v>
      </c>
      <c r="H559" s="907">
        <v>25</v>
      </c>
      <c r="I559" s="378">
        <f t="shared" si="25"/>
        <v>100</v>
      </c>
    </row>
    <row r="560" spans="1:9" ht="15" x14ac:dyDescent="0.25">
      <c r="A560" s="435">
        <v>1041</v>
      </c>
      <c r="B560" s="808">
        <v>4322</v>
      </c>
      <c r="C560" s="808">
        <v>5331</v>
      </c>
      <c r="D560" s="929"/>
      <c r="E560" s="704" t="s">
        <v>1066</v>
      </c>
      <c r="F560" s="905">
        <f>F561</f>
        <v>4970</v>
      </c>
      <c r="G560" s="905">
        <f>G561+G562+G564</f>
        <v>5542</v>
      </c>
      <c r="H560" s="905">
        <f>H561+H562+H564</f>
        <v>5542</v>
      </c>
      <c r="I560" s="906">
        <f t="shared" si="25"/>
        <v>100</v>
      </c>
    </row>
    <row r="561" spans="1:20" ht="14.25" x14ac:dyDescent="0.2">
      <c r="A561" s="435"/>
      <c r="B561" s="808"/>
      <c r="C561" s="808"/>
      <c r="D561" s="578" t="s">
        <v>636</v>
      </c>
      <c r="E561" s="474" t="s">
        <v>72</v>
      </c>
      <c r="F561" s="903">
        <v>4970</v>
      </c>
      <c r="G561" s="903">
        <v>4970</v>
      </c>
      <c r="H561" s="903">
        <v>4970</v>
      </c>
      <c r="I561" s="898">
        <f t="shared" si="25"/>
        <v>100</v>
      </c>
    </row>
    <row r="562" spans="1:20" ht="14.25" x14ac:dyDescent="0.2">
      <c r="A562" s="435"/>
      <c r="B562" s="808"/>
      <c r="C562" s="808"/>
      <c r="D562" s="1179" t="s">
        <v>642</v>
      </c>
      <c r="E562" s="2730" t="s">
        <v>1912</v>
      </c>
      <c r="F562" s="903"/>
      <c r="G562" s="903">
        <v>267</v>
      </c>
      <c r="H562" s="903">
        <v>267</v>
      </c>
      <c r="I562" s="898">
        <f t="shared" si="25"/>
        <v>100</v>
      </c>
    </row>
    <row r="563" spans="1:20" ht="14.25" x14ac:dyDescent="0.2">
      <c r="A563" s="435"/>
      <c r="B563" s="808"/>
      <c r="C563" s="808"/>
      <c r="D563" s="1179"/>
      <c r="E563" s="2730"/>
      <c r="F563" s="903"/>
      <c r="G563" s="903"/>
      <c r="H563" s="903"/>
      <c r="I563" s="898"/>
    </row>
    <row r="564" spans="1:20" ht="28.5" x14ac:dyDescent="0.2">
      <c r="A564" s="435"/>
      <c r="B564" s="705"/>
      <c r="C564" s="705"/>
      <c r="D564" s="805" t="s">
        <v>889</v>
      </c>
      <c r="E564" s="1430" t="s">
        <v>1085</v>
      </c>
      <c r="F564" s="1436"/>
      <c r="G564" s="1436">
        <v>305</v>
      </c>
      <c r="H564" s="1436">
        <v>305</v>
      </c>
      <c r="I564" s="1432">
        <v>350</v>
      </c>
    </row>
    <row r="565" spans="1:20" ht="20.25" customHeight="1" x14ac:dyDescent="0.25">
      <c r="A565" s="435">
        <v>1041</v>
      </c>
      <c r="B565" s="705">
        <v>4322</v>
      </c>
      <c r="C565" s="705">
        <v>5336</v>
      </c>
      <c r="D565" s="805"/>
      <c r="E565" s="1564" t="s">
        <v>1357</v>
      </c>
      <c r="F565" s="1436"/>
      <c r="G565" s="1767">
        <v>18472</v>
      </c>
      <c r="H565" s="1767">
        <v>18472</v>
      </c>
      <c r="I565" s="906">
        <f t="shared" ref="I565:I566" si="26">(H565/G565)*100</f>
        <v>100</v>
      </c>
    </row>
    <row r="566" spans="1:20" ht="15" thickBot="1" x14ac:dyDescent="0.25">
      <c r="A566" s="435"/>
      <c r="B566" s="705"/>
      <c r="C566" s="705"/>
      <c r="D566" s="578" t="s">
        <v>1267</v>
      </c>
      <c r="E566" s="474" t="s">
        <v>882</v>
      </c>
      <c r="F566" s="1436"/>
      <c r="G566" s="1436">
        <v>18472</v>
      </c>
      <c r="H566" s="1436">
        <v>18472</v>
      </c>
      <c r="I566" s="378">
        <f t="shared" si="26"/>
        <v>100</v>
      </c>
    </row>
    <row r="567" spans="1:20" ht="16.5" thickTop="1" thickBot="1" x14ac:dyDescent="0.3">
      <c r="A567" s="2739" t="s">
        <v>1246</v>
      </c>
      <c r="B567" s="2740"/>
      <c r="C567" s="2740"/>
      <c r="D567" s="2740"/>
      <c r="E567" s="2740"/>
      <c r="F567" s="894">
        <f>F536+F548+F558+F554+F552+F560</f>
        <v>7576</v>
      </c>
      <c r="G567" s="894">
        <f>G536+G548+G558+G554+G552+G565+G560+G556+G550+G544</f>
        <v>35526</v>
      </c>
      <c r="H567" s="894">
        <f>H536+H548+H558+H554+H552+H565+H560+H556+H550+H544</f>
        <v>35526</v>
      </c>
      <c r="I567" s="895">
        <f>(H567/G567)*100</f>
        <v>100</v>
      </c>
      <c r="R567" s="385">
        <f>F567</f>
        <v>7576</v>
      </c>
      <c r="S567" s="385">
        <f>G567</f>
        <v>35526</v>
      </c>
      <c r="T567" s="385">
        <f>H567</f>
        <v>35526</v>
      </c>
    </row>
    <row r="568" spans="1:20" s="1684" customFormat="1" ht="13.5" thickTop="1" x14ac:dyDescent="0.2">
      <c r="B568" s="1699"/>
      <c r="D568" s="1700"/>
      <c r="F568" s="1698"/>
      <c r="G568" s="1698"/>
      <c r="H568" s="1698"/>
      <c r="I568" s="1701"/>
    </row>
    <row r="569" spans="1:20" ht="13.5" thickBot="1" x14ac:dyDescent="0.25">
      <c r="A569" s="439" t="s">
        <v>92</v>
      </c>
      <c r="I569" s="1548" t="s">
        <v>179</v>
      </c>
    </row>
    <row r="570" spans="1:20" s="107" customFormat="1" thickTop="1" thickBot="1" x14ac:dyDescent="0.25">
      <c r="A570" s="657" t="s">
        <v>692</v>
      </c>
      <c r="B570" s="835" t="s">
        <v>180</v>
      </c>
      <c r="C570" s="658" t="s">
        <v>181</v>
      </c>
      <c r="D570" s="660" t="s">
        <v>783</v>
      </c>
      <c r="E570" s="660" t="s">
        <v>182</v>
      </c>
      <c r="F570" s="660" t="s">
        <v>183</v>
      </c>
      <c r="G570" s="660" t="s">
        <v>985</v>
      </c>
      <c r="H570" s="660" t="s">
        <v>986</v>
      </c>
      <c r="I570" s="888" t="s">
        <v>987</v>
      </c>
    </row>
    <row r="571" spans="1:20" s="386" customFormat="1" ht="20.25" customHeight="1" thickTop="1" thickBot="1" x14ac:dyDescent="0.25">
      <c r="A571" s="592">
        <v>1</v>
      </c>
      <c r="B571" s="593">
        <v>2</v>
      </c>
      <c r="C571" s="593">
        <v>3</v>
      </c>
      <c r="D571" s="593">
        <v>4</v>
      </c>
      <c r="E571" s="593">
        <v>5</v>
      </c>
      <c r="F571" s="567">
        <v>6</v>
      </c>
      <c r="G571" s="567">
        <v>7</v>
      </c>
      <c r="H571" s="568">
        <v>8</v>
      </c>
      <c r="I571" s="662" t="s">
        <v>848</v>
      </c>
    </row>
    <row r="572" spans="1:20" ht="15.75" thickTop="1" x14ac:dyDescent="0.25">
      <c r="A572" s="1549">
        <v>1043</v>
      </c>
      <c r="B572" s="836">
        <v>3114</v>
      </c>
      <c r="C572" s="836">
        <v>5331</v>
      </c>
      <c r="D572" s="909"/>
      <c r="E572" s="930" t="s">
        <v>1066</v>
      </c>
      <c r="F572" s="931">
        <f>SUM(F573,F575)</f>
        <v>2338</v>
      </c>
      <c r="G572" s="931">
        <f>G573+G574+G575+G576+G577</f>
        <v>3241</v>
      </c>
      <c r="H572" s="931">
        <f>H573+H574+H575+H576+H577</f>
        <v>3241</v>
      </c>
      <c r="I572" s="896">
        <f t="shared" ref="I572:I585" si="27">(H572/G572)*100</f>
        <v>100</v>
      </c>
    </row>
    <row r="573" spans="1:20" ht="14.25" x14ac:dyDescent="0.2">
      <c r="A573" s="435"/>
      <c r="B573" s="705"/>
      <c r="C573" s="705"/>
      <c r="D573" s="743" t="s">
        <v>641</v>
      </c>
      <c r="E573" s="1679" t="s">
        <v>883</v>
      </c>
      <c r="F573" s="897">
        <v>272</v>
      </c>
      <c r="G573" s="897">
        <v>332</v>
      </c>
      <c r="H573" s="897">
        <v>332</v>
      </c>
      <c r="I573" s="893">
        <f t="shared" si="27"/>
        <v>100</v>
      </c>
    </row>
    <row r="574" spans="1:20" ht="14.25" x14ac:dyDescent="0.2">
      <c r="A574" s="435"/>
      <c r="B574" s="705"/>
      <c r="C574" s="705"/>
      <c r="D574" s="1169" t="s">
        <v>202</v>
      </c>
      <c r="E574" s="1275" t="s">
        <v>791</v>
      </c>
      <c r="F574" s="897"/>
      <c r="G574" s="897">
        <v>86</v>
      </c>
      <c r="H574" s="897">
        <v>86</v>
      </c>
      <c r="I574" s="893">
        <f t="shared" si="27"/>
        <v>100</v>
      </c>
    </row>
    <row r="575" spans="1:20" ht="14.25" x14ac:dyDescent="0.2">
      <c r="A575" s="435"/>
      <c r="B575" s="705"/>
      <c r="C575" s="705"/>
      <c r="D575" s="578" t="s">
        <v>636</v>
      </c>
      <c r="E575" s="474" t="s">
        <v>72</v>
      </c>
      <c r="F575" s="897">
        <v>2066</v>
      </c>
      <c r="G575" s="897">
        <v>2066</v>
      </c>
      <c r="H575" s="897">
        <v>2066</v>
      </c>
      <c r="I575" s="893">
        <f t="shared" si="27"/>
        <v>100</v>
      </c>
    </row>
    <row r="576" spans="1:20" ht="14.25" x14ac:dyDescent="0.2">
      <c r="A576" s="435"/>
      <c r="B576" s="705"/>
      <c r="C576" s="705"/>
      <c r="D576" s="1179" t="s">
        <v>1536</v>
      </c>
      <c r="E576" s="1702" t="s">
        <v>1537</v>
      </c>
      <c r="F576" s="897"/>
      <c r="G576" s="897">
        <v>150</v>
      </c>
      <c r="H576" s="897">
        <v>150</v>
      </c>
      <c r="I576" s="893">
        <f t="shared" si="27"/>
        <v>100</v>
      </c>
    </row>
    <row r="577" spans="1:20" ht="28.5" x14ac:dyDescent="0.2">
      <c r="A577" s="435"/>
      <c r="B577" s="808"/>
      <c r="C577" s="808"/>
      <c r="D577" s="805" t="s">
        <v>889</v>
      </c>
      <c r="E577" s="1430" t="s">
        <v>1085</v>
      </c>
      <c r="F577" s="1431"/>
      <c r="G577" s="1431">
        <v>607</v>
      </c>
      <c r="H577" s="1431">
        <v>607</v>
      </c>
      <c r="I577" s="1432">
        <f t="shared" si="27"/>
        <v>100</v>
      </c>
    </row>
    <row r="578" spans="1:20" ht="15" x14ac:dyDescent="0.25">
      <c r="A578" s="435">
        <v>1043</v>
      </c>
      <c r="B578" s="808">
        <v>3114</v>
      </c>
      <c r="C578" s="808">
        <v>5336</v>
      </c>
      <c r="D578" s="1429"/>
      <c r="E578" s="1564" t="s">
        <v>1357</v>
      </c>
      <c r="F578" s="1433"/>
      <c r="G578" s="1433">
        <f>G580+G581+G579</f>
        <v>17628</v>
      </c>
      <c r="H578" s="1433">
        <f>H580+H581+H579</f>
        <v>17628</v>
      </c>
      <c r="I578" s="906">
        <f t="shared" si="27"/>
        <v>100</v>
      </c>
    </row>
    <row r="579" spans="1:20" ht="15" x14ac:dyDescent="0.2">
      <c r="A579" s="435"/>
      <c r="B579" s="808"/>
      <c r="C579" s="808"/>
      <c r="D579" s="578" t="s">
        <v>1267</v>
      </c>
      <c r="E579" s="474" t="s">
        <v>882</v>
      </c>
      <c r="F579" s="1433"/>
      <c r="G579" s="1756">
        <v>17273</v>
      </c>
      <c r="H579" s="1756">
        <v>17273</v>
      </c>
      <c r="I579" s="898">
        <f t="shared" si="27"/>
        <v>100</v>
      </c>
    </row>
    <row r="580" spans="1:20" ht="14.25" x14ac:dyDescent="0.2">
      <c r="A580" s="435"/>
      <c r="B580" s="808"/>
      <c r="C580" s="808"/>
      <c r="D580" s="1565" t="s">
        <v>1046</v>
      </c>
      <c r="E580" s="1566" t="s">
        <v>1358</v>
      </c>
      <c r="F580" s="1431"/>
      <c r="G580" s="1431">
        <v>53</v>
      </c>
      <c r="H580" s="1431">
        <v>53</v>
      </c>
      <c r="I580" s="898">
        <f t="shared" si="27"/>
        <v>100</v>
      </c>
    </row>
    <row r="581" spans="1:20" ht="14.25" x14ac:dyDescent="0.2">
      <c r="A581" s="435"/>
      <c r="B581" s="808"/>
      <c r="C581" s="808"/>
      <c r="D581" s="1565" t="s">
        <v>1048</v>
      </c>
      <c r="E581" s="1567" t="s">
        <v>1358</v>
      </c>
      <c r="F581" s="1431"/>
      <c r="G581" s="1431">
        <v>302</v>
      </c>
      <c r="H581" s="1431">
        <v>302</v>
      </c>
      <c r="I581" s="898">
        <f t="shared" si="27"/>
        <v>100</v>
      </c>
    </row>
    <row r="582" spans="1:20" ht="15" x14ac:dyDescent="0.25">
      <c r="A582" s="435">
        <v>1043</v>
      </c>
      <c r="B582" s="808">
        <v>3141</v>
      </c>
      <c r="C582" s="1551">
        <v>5336</v>
      </c>
      <c r="D582" s="912"/>
      <c r="E582" s="1564" t="s">
        <v>1357</v>
      </c>
      <c r="F582" s="905"/>
      <c r="G582" s="905">
        <v>24</v>
      </c>
      <c r="H582" s="905">
        <v>24</v>
      </c>
      <c r="I582" s="906">
        <f t="shared" si="27"/>
        <v>100</v>
      </c>
    </row>
    <row r="583" spans="1:20" ht="14.25" x14ac:dyDescent="0.2">
      <c r="A583" s="435"/>
      <c r="B583" s="808"/>
      <c r="C583" s="1551"/>
      <c r="D583" s="578" t="s">
        <v>1267</v>
      </c>
      <c r="E583" s="474" t="s">
        <v>882</v>
      </c>
      <c r="F583" s="903"/>
      <c r="G583" s="903">
        <v>24</v>
      </c>
      <c r="H583" s="903">
        <v>24</v>
      </c>
      <c r="I583" s="898">
        <f t="shared" si="27"/>
        <v>100</v>
      </c>
    </row>
    <row r="584" spans="1:20" ht="15" x14ac:dyDescent="0.25">
      <c r="A584" s="435">
        <v>1043</v>
      </c>
      <c r="B584" s="808">
        <v>3143</v>
      </c>
      <c r="C584" s="1551">
        <v>5336</v>
      </c>
      <c r="D584" s="912"/>
      <c r="E584" s="1564" t="s">
        <v>1357</v>
      </c>
      <c r="F584" s="905"/>
      <c r="G584" s="905">
        <f>SUM(G585:G585)</f>
        <v>1234</v>
      </c>
      <c r="H584" s="905">
        <f>SUM(H585:H585)</f>
        <v>1234</v>
      </c>
      <c r="I584" s="906">
        <f t="shared" si="27"/>
        <v>100</v>
      </c>
    </row>
    <row r="585" spans="1:20" ht="15" thickBot="1" x14ac:dyDescent="0.25">
      <c r="A585" s="435"/>
      <c r="B585" s="808"/>
      <c r="C585" s="1551"/>
      <c r="D585" s="578" t="s">
        <v>1267</v>
      </c>
      <c r="E585" s="474" t="s">
        <v>882</v>
      </c>
      <c r="F585" s="903"/>
      <c r="G585" s="903">
        <v>1234</v>
      </c>
      <c r="H585" s="903">
        <v>1234</v>
      </c>
      <c r="I585" s="898">
        <f t="shared" si="27"/>
        <v>100</v>
      </c>
    </row>
    <row r="586" spans="1:20" ht="16.5" thickTop="1" thickBot="1" x14ac:dyDescent="0.3">
      <c r="A586" s="2739" t="s">
        <v>1246</v>
      </c>
      <c r="B586" s="2740"/>
      <c r="C586" s="2740"/>
      <c r="D586" s="2740"/>
      <c r="E586" s="2740"/>
      <c r="F586" s="894">
        <f>F572+F582+F584</f>
        <v>2338</v>
      </c>
      <c r="G586" s="894">
        <f>G572+G582+G584+G578</f>
        <v>22127</v>
      </c>
      <c r="H586" s="894">
        <f>H572+H582+H584+H578</f>
        <v>22127</v>
      </c>
      <c r="I586" s="895">
        <f>(H586/G586)*100</f>
        <v>100</v>
      </c>
      <c r="R586" s="385">
        <f>F586</f>
        <v>2338</v>
      </c>
      <c r="S586" s="385">
        <f>G586</f>
        <v>22127</v>
      </c>
      <c r="T586" s="385">
        <f>H586</f>
        <v>22127</v>
      </c>
    </row>
    <row r="587" spans="1:20" ht="15.75" thickTop="1" x14ac:dyDescent="0.25">
      <c r="A587" s="370"/>
      <c r="B587" s="370"/>
      <c r="C587" s="370"/>
      <c r="D587" s="370"/>
      <c r="E587" s="370"/>
      <c r="F587" s="181"/>
      <c r="G587" s="181"/>
      <c r="H587" s="181"/>
      <c r="I587" s="210"/>
      <c r="R587" s="385"/>
      <c r="S587" s="385"/>
      <c r="T587" s="385"/>
    </row>
    <row r="588" spans="1:20" ht="13.5" thickBot="1" x14ac:dyDescent="0.25">
      <c r="A588" s="439" t="s">
        <v>424</v>
      </c>
      <c r="I588" s="1548" t="s">
        <v>179</v>
      </c>
    </row>
    <row r="589" spans="1:20" s="107" customFormat="1" ht="15" customHeight="1" thickTop="1" thickBot="1" x14ac:dyDescent="0.25">
      <c r="A589" s="657" t="s">
        <v>692</v>
      </c>
      <c r="B589" s="835" t="s">
        <v>180</v>
      </c>
      <c r="C589" s="658" t="s">
        <v>181</v>
      </c>
      <c r="D589" s="660" t="s">
        <v>783</v>
      </c>
      <c r="E589" s="660" t="s">
        <v>182</v>
      </c>
      <c r="F589" s="660" t="s">
        <v>183</v>
      </c>
      <c r="G589" s="660" t="s">
        <v>985</v>
      </c>
      <c r="H589" s="660" t="s">
        <v>986</v>
      </c>
      <c r="I589" s="888" t="s">
        <v>987</v>
      </c>
    </row>
    <row r="590" spans="1:20" s="386" customFormat="1" ht="14.25" customHeight="1" thickTop="1" thickBot="1" x14ac:dyDescent="0.25">
      <c r="A590" s="592">
        <v>1</v>
      </c>
      <c r="B590" s="593">
        <v>2</v>
      </c>
      <c r="C590" s="593">
        <v>3</v>
      </c>
      <c r="D590" s="593">
        <v>4</v>
      </c>
      <c r="E590" s="593">
        <v>5</v>
      </c>
      <c r="F590" s="567">
        <v>6</v>
      </c>
      <c r="G590" s="567">
        <v>7</v>
      </c>
      <c r="H590" s="568">
        <v>8</v>
      </c>
      <c r="I590" s="662" t="s">
        <v>848</v>
      </c>
    </row>
    <row r="591" spans="1:20" s="386" customFormat="1" ht="15" customHeight="1" thickTop="1" x14ac:dyDescent="0.25">
      <c r="A591" s="1549">
        <v>1044</v>
      </c>
      <c r="B591" s="836">
        <v>3114</v>
      </c>
      <c r="C591" s="836">
        <v>5162</v>
      </c>
      <c r="D591" s="909"/>
      <c r="E591" s="930" t="s">
        <v>967</v>
      </c>
      <c r="F591" s="1320"/>
      <c r="G591" s="2589">
        <v>1</v>
      </c>
      <c r="H591" s="2589">
        <v>1</v>
      </c>
      <c r="I591" s="896">
        <f t="shared" ref="I591:I602" si="28">(H591/G591)*100</f>
        <v>100</v>
      </c>
    </row>
    <row r="592" spans="1:20" ht="15" x14ac:dyDescent="0.25">
      <c r="A592" s="435">
        <v>1044</v>
      </c>
      <c r="B592" s="705">
        <v>3114</v>
      </c>
      <c r="C592" s="705">
        <v>5331</v>
      </c>
      <c r="D592" s="889"/>
      <c r="E592" s="854" t="s">
        <v>1066</v>
      </c>
      <c r="F592" s="890">
        <f>SUM(F593:F595)</f>
        <v>396</v>
      </c>
      <c r="G592" s="890">
        <f>G593+G594+G595</f>
        <v>399</v>
      </c>
      <c r="H592" s="890">
        <f>H593+H594+H595</f>
        <v>399</v>
      </c>
      <c r="I592" s="891">
        <f t="shared" si="28"/>
        <v>100</v>
      </c>
    </row>
    <row r="593" spans="1:20" ht="20.25" customHeight="1" x14ac:dyDescent="0.2">
      <c r="A593" s="435"/>
      <c r="B593" s="705"/>
      <c r="C593" s="705"/>
      <c r="D593" s="743" t="s">
        <v>641</v>
      </c>
      <c r="E593" s="1679" t="s">
        <v>883</v>
      </c>
      <c r="F593" s="897">
        <v>1</v>
      </c>
      <c r="G593" s="897">
        <v>1</v>
      </c>
      <c r="H593" s="897">
        <v>1</v>
      </c>
      <c r="I593" s="893">
        <f t="shared" si="28"/>
        <v>100</v>
      </c>
    </row>
    <row r="594" spans="1:20" ht="14.25" x14ac:dyDescent="0.2">
      <c r="A594" s="435"/>
      <c r="B594" s="705"/>
      <c r="C594" s="705"/>
      <c r="D594" s="578" t="s">
        <v>636</v>
      </c>
      <c r="E594" s="474" t="s">
        <v>72</v>
      </c>
      <c r="F594" s="897">
        <v>395</v>
      </c>
      <c r="G594" s="897">
        <v>270</v>
      </c>
      <c r="H594" s="897">
        <v>270</v>
      </c>
      <c r="I594" s="893">
        <f t="shared" si="28"/>
        <v>100</v>
      </c>
    </row>
    <row r="595" spans="1:20" ht="28.5" x14ac:dyDescent="0.2">
      <c r="A595" s="435"/>
      <c r="B595" s="808"/>
      <c r="C595" s="808"/>
      <c r="D595" s="805" t="s">
        <v>889</v>
      </c>
      <c r="E595" s="1430" t="s">
        <v>1085</v>
      </c>
      <c r="F595" s="1431"/>
      <c r="G595" s="1431">
        <v>128</v>
      </c>
      <c r="H595" s="1431">
        <v>128</v>
      </c>
      <c r="I595" s="1435">
        <f t="shared" si="28"/>
        <v>100</v>
      </c>
    </row>
    <row r="596" spans="1:20" ht="15" x14ac:dyDescent="0.25">
      <c r="A596" s="435">
        <v>1044</v>
      </c>
      <c r="B596" s="808">
        <v>3114</v>
      </c>
      <c r="C596" s="808">
        <v>5336</v>
      </c>
      <c r="D596" s="1429"/>
      <c r="E596" s="1564" t="s">
        <v>1357</v>
      </c>
      <c r="F596" s="1431"/>
      <c r="G596" s="1433">
        <f>G597+G598+G599</f>
        <v>2783</v>
      </c>
      <c r="H596" s="1433">
        <f>H597+H598+H599</f>
        <v>2718</v>
      </c>
      <c r="I596" s="923">
        <f t="shared" si="28"/>
        <v>97.664390945023356</v>
      </c>
    </row>
    <row r="597" spans="1:20" ht="14.25" x14ac:dyDescent="0.2">
      <c r="A597" s="435"/>
      <c r="B597" s="808"/>
      <c r="C597" s="808"/>
      <c r="D597" s="578" t="s">
        <v>1267</v>
      </c>
      <c r="E597" s="474" t="s">
        <v>882</v>
      </c>
      <c r="F597" s="1431"/>
      <c r="G597" s="1431">
        <v>2571</v>
      </c>
      <c r="H597" s="1431">
        <v>2506</v>
      </c>
      <c r="I597" s="893">
        <f t="shared" si="28"/>
        <v>97.471800855698177</v>
      </c>
    </row>
    <row r="598" spans="1:20" ht="14.25" x14ac:dyDescent="0.2">
      <c r="A598" s="435"/>
      <c r="B598" s="808"/>
      <c r="C598" s="808"/>
      <c r="D598" s="1565" t="s">
        <v>1046</v>
      </c>
      <c r="E598" s="1566" t="s">
        <v>1358</v>
      </c>
      <c r="F598" s="1431"/>
      <c r="G598" s="1431">
        <v>32</v>
      </c>
      <c r="H598" s="1431">
        <v>32</v>
      </c>
      <c r="I598" s="893">
        <f t="shared" si="28"/>
        <v>100</v>
      </c>
    </row>
    <row r="599" spans="1:20" ht="14.25" x14ac:dyDescent="0.2">
      <c r="A599" s="435"/>
      <c r="B599" s="808"/>
      <c r="C599" s="808"/>
      <c r="D599" s="1565" t="s">
        <v>1048</v>
      </c>
      <c r="E599" s="1567" t="s">
        <v>1358</v>
      </c>
      <c r="F599" s="1431"/>
      <c r="G599" s="1431">
        <v>180</v>
      </c>
      <c r="H599" s="1431">
        <v>180</v>
      </c>
      <c r="I599" s="893">
        <f t="shared" si="28"/>
        <v>100</v>
      </c>
    </row>
    <row r="600" spans="1:20" ht="15" x14ac:dyDescent="0.25">
      <c r="A600" s="435">
        <v>1044</v>
      </c>
      <c r="B600" s="808">
        <v>3141</v>
      </c>
      <c r="C600" s="1551">
        <v>5336</v>
      </c>
      <c r="D600" s="912"/>
      <c r="E600" s="1564" t="s">
        <v>1357</v>
      </c>
      <c r="F600" s="905"/>
      <c r="G600" s="905">
        <v>7</v>
      </c>
      <c r="H600" s="905">
        <v>7</v>
      </c>
      <c r="I600" s="906">
        <f t="shared" si="28"/>
        <v>100</v>
      </c>
    </row>
    <row r="601" spans="1:20" ht="14.25" x14ac:dyDescent="0.2">
      <c r="A601" s="435"/>
      <c r="B601" s="808"/>
      <c r="C601" s="1551"/>
      <c r="D601" s="578" t="s">
        <v>1267</v>
      </c>
      <c r="E601" s="474" t="s">
        <v>882</v>
      </c>
      <c r="F601" s="903"/>
      <c r="G601" s="903">
        <v>7</v>
      </c>
      <c r="H601" s="903">
        <v>7</v>
      </c>
      <c r="I601" s="898">
        <v>100</v>
      </c>
    </row>
    <row r="602" spans="1:20" ht="15" x14ac:dyDescent="0.25">
      <c r="A602" s="435">
        <v>1044</v>
      </c>
      <c r="B602" s="808">
        <v>3299</v>
      </c>
      <c r="C602" s="1551">
        <v>5901</v>
      </c>
      <c r="D602" s="578"/>
      <c r="E602" s="2012" t="s">
        <v>670</v>
      </c>
      <c r="F602" s="903"/>
      <c r="G602" s="916">
        <v>46</v>
      </c>
      <c r="H602" s="916">
        <v>0</v>
      </c>
      <c r="I602" s="906">
        <f t="shared" si="28"/>
        <v>0</v>
      </c>
    </row>
    <row r="603" spans="1:20" ht="15" thickBot="1" x14ac:dyDescent="0.25">
      <c r="A603" s="435"/>
      <c r="B603" s="808"/>
      <c r="C603" s="1551"/>
      <c r="D603" s="578" t="s">
        <v>1267</v>
      </c>
      <c r="E603" s="474" t="s">
        <v>882</v>
      </c>
      <c r="F603" s="903"/>
      <c r="G603" s="903">
        <v>46</v>
      </c>
      <c r="H603" s="903">
        <v>0</v>
      </c>
      <c r="I603" s="898">
        <v>100</v>
      </c>
    </row>
    <row r="604" spans="1:20" ht="16.5" thickTop="1" thickBot="1" x14ac:dyDescent="0.3">
      <c r="A604" s="2739" t="s">
        <v>1246</v>
      </c>
      <c r="B604" s="2740"/>
      <c r="C604" s="2740"/>
      <c r="D604" s="2740"/>
      <c r="E604" s="2740"/>
      <c r="F604" s="894">
        <f>F592+F600</f>
        <v>396</v>
      </c>
      <c r="G604" s="894">
        <f>G592+G600+G591+G596+G602</f>
        <v>3236</v>
      </c>
      <c r="H604" s="894">
        <f>H592+H600+H591+H596+H602</f>
        <v>3125</v>
      </c>
      <c r="I604" s="895">
        <f>(H604/G604)*100</f>
        <v>96.56983930778739</v>
      </c>
      <c r="R604" s="385">
        <f>F604</f>
        <v>396</v>
      </c>
      <c r="S604" s="385">
        <f>G604</f>
        <v>3236</v>
      </c>
      <c r="T604" s="385">
        <f>H604</f>
        <v>3125</v>
      </c>
    </row>
    <row r="605" spans="1:20" ht="18" customHeight="1" thickTop="1" x14ac:dyDescent="0.2"/>
    <row r="607" spans="1:20" ht="20.25" customHeight="1" thickBot="1" x14ac:dyDescent="0.25">
      <c r="A607" s="439" t="s">
        <v>1463</v>
      </c>
      <c r="I607" s="1548" t="s">
        <v>179</v>
      </c>
    </row>
    <row r="608" spans="1:20" s="107" customFormat="1" thickTop="1" thickBot="1" x14ac:dyDescent="0.25">
      <c r="A608" s="657" t="s">
        <v>692</v>
      </c>
      <c r="B608" s="835" t="s">
        <v>180</v>
      </c>
      <c r="C608" s="658" t="s">
        <v>181</v>
      </c>
      <c r="D608" s="660" t="s">
        <v>783</v>
      </c>
      <c r="E608" s="660" t="s">
        <v>182</v>
      </c>
      <c r="F608" s="660" t="s">
        <v>183</v>
      </c>
      <c r="G608" s="660" t="s">
        <v>985</v>
      </c>
      <c r="H608" s="660" t="s">
        <v>986</v>
      </c>
      <c r="I608" s="888" t="s">
        <v>987</v>
      </c>
    </row>
    <row r="609" spans="1:20" s="386" customFormat="1" ht="13.5" thickTop="1" thickBot="1" x14ac:dyDescent="0.25">
      <c r="A609" s="592">
        <v>1</v>
      </c>
      <c r="B609" s="593">
        <v>2</v>
      </c>
      <c r="C609" s="593">
        <v>3</v>
      </c>
      <c r="D609" s="593">
        <v>4</v>
      </c>
      <c r="E609" s="593">
        <v>5</v>
      </c>
      <c r="F609" s="567">
        <v>6</v>
      </c>
      <c r="G609" s="567">
        <v>7</v>
      </c>
      <c r="H609" s="568">
        <v>8</v>
      </c>
      <c r="I609" s="662" t="s">
        <v>848</v>
      </c>
    </row>
    <row r="610" spans="1:20" ht="15.75" thickTop="1" x14ac:dyDescent="0.25">
      <c r="A610" s="1549">
        <v>1100</v>
      </c>
      <c r="B610" s="836">
        <v>3121</v>
      </c>
      <c r="C610" s="836">
        <v>5331</v>
      </c>
      <c r="D610" s="909"/>
      <c r="E610" s="930" t="s">
        <v>1066</v>
      </c>
      <c r="F610" s="931">
        <f>SUM(F611:F613)</f>
        <v>3046</v>
      </c>
      <c r="G610" s="931">
        <f>SUM(G611:G614)</f>
        <v>3068</v>
      </c>
      <c r="H610" s="931">
        <f>SUM(H611:H614)</f>
        <v>3068</v>
      </c>
      <c r="I610" s="896">
        <f t="shared" ref="I610:I618" si="29">(H610/G610)*100</f>
        <v>100</v>
      </c>
    </row>
    <row r="611" spans="1:20" ht="14.25" x14ac:dyDescent="0.2">
      <c r="A611" s="435"/>
      <c r="B611" s="705"/>
      <c r="C611" s="705"/>
      <c r="D611" s="743" t="s">
        <v>641</v>
      </c>
      <c r="E611" s="1679" t="s">
        <v>883</v>
      </c>
      <c r="F611" s="897">
        <v>62</v>
      </c>
      <c r="G611" s="897">
        <v>62</v>
      </c>
      <c r="H611" s="897">
        <v>62</v>
      </c>
      <c r="I611" s="893">
        <f t="shared" si="29"/>
        <v>100</v>
      </c>
    </row>
    <row r="612" spans="1:20" ht="14.25" x14ac:dyDescent="0.2">
      <c r="A612" s="435"/>
      <c r="B612" s="705"/>
      <c r="C612" s="705"/>
      <c r="D612" s="805" t="s">
        <v>385</v>
      </c>
      <c r="E612" s="474" t="s">
        <v>930</v>
      </c>
      <c r="F612" s="903"/>
      <c r="G612" s="897">
        <v>15</v>
      </c>
      <c r="H612" s="897">
        <v>15</v>
      </c>
      <c r="I612" s="893">
        <f t="shared" si="29"/>
        <v>100</v>
      </c>
    </row>
    <row r="613" spans="1:20" ht="14.25" x14ac:dyDescent="0.2">
      <c r="A613" s="435"/>
      <c r="B613" s="705"/>
      <c r="C613" s="705"/>
      <c r="D613" s="578" t="s">
        <v>636</v>
      </c>
      <c r="E613" s="474" t="s">
        <v>72</v>
      </c>
      <c r="F613" s="903">
        <v>2984</v>
      </c>
      <c r="G613" s="897">
        <v>2984</v>
      </c>
      <c r="H613" s="897">
        <v>2984</v>
      </c>
      <c r="I613" s="893">
        <f t="shared" si="29"/>
        <v>100</v>
      </c>
    </row>
    <row r="614" spans="1:20" ht="14.25" x14ac:dyDescent="0.2">
      <c r="A614" s="435"/>
      <c r="B614" s="808"/>
      <c r="C614" s="705"/>
      <c r="D614" s="578" t="s">
        <v>1398</v>
      </c>
      <c r="E614" s="1446" t="s">
        <v>785</v>
      </c>
      <c r="F614" s="903"/>
      <c r="G614" s="903">
        <v>7</v>
      </c>
      <c r="H614" s="897">
        <v>7</v>
      </c>
      <c r="I614" s="893">
        <f t="shared" si="29"/>
        <v>100</v>
      </c>
    </row>
    <row r="615" spans="1:20" ht="15" x14ac:dyDescent="0.25">
      <c r="A615" s="435">
        <v>1100</v>
      </c>
      <c r="B615" s="808">
        <v>3121</v>
      </c>
      <c r="C615" s="705">
        <v>5336</v>
      </c>
      <c r="D615" s="578"/>
      <c r="E615" s="1564" t="s">
        <v>1357</v>
      </c>
      <c r="F615" s="903"/>
      <c r="G615" s="916">
        <f>G616+G617+G618</f>
        <v>14656</v>
      </c>
      <c r="H615" s="916">
        <f>H616+H617+H618</f>
        <v>14656</v>
      </c>
      <c r="I615" s="923">
        <f t="shared" si="29"/>
        <v>100</v>
      </c>
    </row>
    <row r="616" spans="1:20" ht="14.25" x14ac:dyDescent="0.2">
      <c r="A616" s="435"/>
      <c r="B616" s="808"/>
      <c r="C616" s="705"/>
      <c r="D616" s="578" t="s">
        <v>1267</v>
      </c>
      <c r="E616" s="474" t="s">
        <v>882</v>
      </c>
      <c r="F616" s="903"/>
      <c r="G616" s="903">
        <v>13925</v>
      </c>
      <c r="H616" s="897">
        <v>13925</v>
      </c>
      <c r="I616" s="893">
        <f t="shared" si="29"/>
        <v>100</v>
      </c>
    </row>
    <row r="617" spans="1:20" ht="14.25" x14ac:dyDescent="0.2">
      <c r="A617" s="435"/>
      <c r="B617" s="808"/>
      <c r="C617" s="808"/>
      <c r="D617" s="1569" t="s">
        <v>1771</v>
      </c>
      <c r="E617" s="1561" t="s">
        <v>1908</v>
      </c>
      <c r="F617" s="903"/>
      <c r="G617" s="903">
        <v>110</v>
      </c>
      <c r="H617" s="903">
        <v>110</v>
      </c>
      <c r="I617" s="898">
        <f t="shared" si="29"/>
        <v>100</v>
      </c>
    </row>
    <row r="618" spans="1:20" ht="14.25" x14ac:dyDescent="0.2">
      <c r="A618" s="435"/>
      <c r="B618" s="808"/>
      <c r="C618" s="808"/>
      <c r="D618" s="1569" t="s">
        <v>1773</v>
      </c>
      <c r="E618" s="1561" t="s">
        <v>1908</v>
      </c>
      <c r="F618" s="903"/>
      <c r="G618" s="903">
        <v>621</v>
      </c>
      <c r="H618" s="903">
        <v>621</v>
      </c>
      <c r="I618" s="898">
        <f t="shared" si="29"/>
        <v>100</v>
      </c>
    </row>
    <row r="619" spans="1:20" ht="15" x14ac:dyDescent="0.25">
      <c r="A619" s="435">
        <v>1100</v>
      </c>
      <c r="B619" s="808">
        <v>3142</v>
      </c>
      <c r="C619" s="1551">
        <v>5331</v>
      </c>
      <c r="D619" s="912"/>
      <c r="E619" s="704" t="s">
        <v>1066</v>
      </c>
      <c r="F619" s="905">
        <f>F620</f>
        <v>400</v>
      </c>
      <c r="G619" s="905">
        <f>G620</f>
        <v>400</v>
      </c>
      <c r="H619" s="905">
        <f>H620</f>
        <v>400</v>
      </c>
      <c r="I619" s="906">
        <f>(H619/G619)*100</f>
        <v>100</v>
      </c>
    </row>
    <row r="620" spans="1:20" ht="15" thickBot="1" x14ac:dyDescent="0.25">
      <c r="A620" s="435"/>
      <c r="B620" s="808"/>
      <c r="C620" s="1551"/>
      <c r="D620" s="578" t="s">
        <v>636</v>
      </c>
      <c r="E620" s="474" t="s">
        <v>72</v>
      </c>
      <c r="F620" s="903">
        <v>400</v>
      </c>
      <c r="G620" s="903">
        <v>400</v>
      </c>
      <c r="H620" s="903">
        <v>400</v>
      </c>
      <c r="I620" s="898">
        <v>100</v>
      </c>
    </row>
    <row r="621" spans="1:20" ht="16.5" thickTop="1" thickBot="1" x14ac:dyDescent="0.3">
      <c r="A621" s="2739" t="s">
        <v>1246</v>
      </c>
      <c r="B621" s="2740"/>
      <c r="C621" s="2740"/>
      <c r="D621" s="2740"/>
      <c r="E621" s="2740"/>
      <c r="F621" s="894">
        <f>F610+F619+F615</f>
        <v>3446</v>
      </c>
      <c r="G621" s="894">
        <f>G610+G619+G615</f>
        <v>18124</v>
      </c>
      <c r="H621" s="894">
        <f>H610+H619+H615</f>
        <v>18124</v>
      </c>
      <c r="I621" s="895">
        <f>(H621/G621)*100</f>
        <v>100</v>
      </c>
      <c r="R621" s="385">
        <f>F621</f>
        <v>3446</v>
      </c>
      <c r="S621" s="385">
        <f>G621</f>
        <v>18124</v>
      </c>
      <c r="T621" s="385">
        <f>H621</f>
        <v>18124</v>
      </c>
    </row>
    <row r="622" spans="1:20" ht="18" customHeight="1" thickTop="1" x14ac:dyDescent="0.2"/>
    <row r="623" spans="1:20" ht="20.25" customHeight="1" thickBot="1" x14ac:dyDescent="0.25">
      <c r="A623" s="439" t="s">
        <v>1464</v>
      </c>
      <c r="I623" s="1548" t="s">
        <v>179</v>
      </c>
    </row>
    <row r="624" spans="1:20" s="107" customFormat="1" thickTop="1" thickBot="1" x14ac:dyDescent="0.25">
      <c r="A624" s="657" t="s">
        <v>692</v>
      </c>
      <c r="B624" s="835" t="s">
        <v>180</v>
      </c>
      <c r="C624" s="658" t="s">
        <v>181</v>
      </c>
      <c r="D624" s="660" t="s">
        <v>783</v>
      </c>
      <c r="E624" s="660" t="s">
        <v>182</v>
      </c>
      <c r="F624" s="660" t="s">
        <v>183</v>
      </c>
      <c r="G624" s="660" t="s">
        <v>985</v>
      </c>
      <c r="H624" s="660" t="s">
        <v>986</v>
      </c>
      <c r="I624" s="888" t="s">
        <v>987</v>
      </c>
    </row>
    <row r="625" spans="1:9" s="386" customFormat="1" ht="13.5" thickTop="1" thickBot="1" x14ac:dyDescent="0.25">
      <c r="A625" s="592">
        <v>1</v>
      </c>
      <c r="B625" s="593">
        <v>2</v>
      </c>
      <c r="C625" s="593">
        <v>3</v>
      </c>
      <c r="D625" s="593">
        <v>4</v>
      </c>
      <c r="E625" s="593">
        <v>5</v>
      </c>
      <c r="F625" s="567">
        <v>6</v>
      </c>
      <c r="G625" s="567">
        <v>7</v>
      </c>
      <c r="H625" s="568">
        <v>8</v>
      </c>
      <c r="I625" s="662" t="s">
        <v>848</v>
      </c>
    </row>
    <row r="626" spans="1:9" ht="15.75" thickTop="1" x14ac:dyDescent="0.25">
      <c r="A626" s="1549">
        <v>1101</v>
      </c>
      <c r="B626" s="836">
        <v>3121</v>
      </c>
      <c r="C626" s="836">
        <v>5331</v>
      </c>
      <c r="D626" s="909"/>
      <c r="E626" s="930" t="s">
        <v>1066</v>
      </c>
      <c r="F626" s="931">
        <f>SUM(F627:F632)</f>
        <v>3187</v>
      </c>
      <c r="G626" s="931">
        <f>SUM(G627:G632)</f>
        <v>3566</v>
      </c>
      <c r="H626" s="931">
        <f>SUM(H627:H632)</f>
        <v>3566</v>
      </c>
      <c r="I626" s="896">
        <f t="shared" ref="I626:I645" si="30">(H626/G626)*100</f>
        <v>100</v>
      </c>
    </row>
    <row r="627" spans="1:9" ht="14.25" x14ac:dyDescent="0.2">
      <c r="A627" s="435"/>
      <c r="B627" s="705"/>
      <c r="C627" s="705"/>
      <c r="D627" s="743" t="s">
        <v>641</v>
      </c>
      <c r="E627" s="1679" t="s">
        <v>883</v>
      </c>
      <c r="F627" s="897">
        <v>218</v>
      </c>
      <c r="G627" s="897">
        <v>280</v>
      </c>
      <c r="H627" s="897">
        <v>280</v>
      </c>
      <c r="I627" s="893">
        <f t="shared" si="30"/>
        <v>100</v>
      </c>
    </row>
    <row r="628" spans="1:9" ht="14.25" x14ac:dyDescent="0.2">
      <c r="A628" s="435"/>
      <c r="B628" s="705"/>
      <c r="C628" s="705"/>
      <c r="D628" s="578" t="s">
        <v>636</v>
      </c>
      <c r="E628" s="474" t="s">
        <v>72</v>
      </c>
      <c r="F628" s="897">
        <v>2969</v>
      </c>
      <c r="G628" s="897">
        <v>2969</v>
      </c>
      <c r="H628" s="897">
        <v>2969</v>
      </c>
      <c r="I628" s="893">
        <f t="shared" si="30"/>
        <v>100</v>
      </c>
    </row>
    <row r="629" spans="1:9" ht="14.25" x14ac:dyDescent="0.2">
      <c r="A629" s="435"/>
      <c r="B629" s="705"/>
      <c r="C629" s="705"/>
      <c r="D629" s="1169" t="s">
        <v>1265</v>
      </c>
      <c r="E629" s="1275" t="s">
        <v>24</v>
      </c>
      <c r="F629" s="897"/>
      <c r="G629" s="897">
        <v>15</v>
      </c>
      <c r="H629" s="897">
        <v>15</v>
      </c>
      <c r="I629" s="893">
        <f t="shared" si="30"/>
        <v>100</v>
      </c>
    </row>
    <row r="630" spans="1:9" ht="14.25" x14ac:dyDescent="0.2">
      <c r="A630" s="435"/>
      <c r="B630" s="705"/>
      <c r="C630" s="705"/>
      <c r="D630" s="1179" t="s">
        <v>1536</v>
      </c>
      <c r="E630" s="1702" t="s">
        <v>1537</v>
      </c>
      <c r="F630" s="897"/>
      <c r="G630" s="897">
        <v>200</v>
      </c>
      <c r="H630" s="897">
        <v>200</v>
      </c>
      <c r="I630" s="893">
        <f t="shared" si="30"/>
        <v>100</v>
      </c>
    </row>
    <row r="631" spans="1:9" ht="14.25" x14ac:dyDescent="0.2">
      <c r="A631" s="435"/>
      <c r="B631" s="705"/>
      <c r="C631" s="705"/>
      <c r="D631" s="1178" t="s">
        <v>1763</v>
      </c>
      <c r="E631" s="2590" t="s">
        <v>1913</v>
      </c>
      <c r="F631" s="897"/>
      <c r="G631" s="897">
        <v>24</v>
      </c>
      <c r="H631" s="897">
        <v>24</v>
      </c>
      <c r="I631" s="893">
        <f t="shared" si="30"/>
        <v>100</v>
      </c>
    </row>
    <row r="632" spans="1:9" ht="14.25" x14ac:dyDescent="0.2">
      <c r="A632" s="435"/>
      <c r="B632" s="705"/>
      <c r="C632" s="705"/>
      <c r="D632" s="927" t="s">
        <v>1273</v>
      </c>
      <c r="E632" s="478" t="s">
        <v>991</v>
      </c>
      <c r="F632" s="897"/>
      <c r="G632" s="897">
        <v>78</v>
      </c>
      <c r="H632" s="897">
        <v>78</v>
      </c>
      <c r="I632" s="893">
        <f t="shared" si="30"/>
        <v>100</v>
      </c>
    </row>
    <row r="633" spans="1:9" ht="15" x14ac:dyDescent="0.25">
      <c r="A633" s="435">
        <v>1101</v>
      </c>
      <c r="B633" s="808">
        <v>3121</v>
      </c>
      <c r="C633" s="808">
        <v>5336</v>
      </c>
      <c r="D633" s="805"/>
      <c r="E633" s="1564" t="s">
        <v>1357</v>
      </c>
      <c r="F633" s="897"/>
      <c r="G633" s="921">
        <f>G634+G635+G636</f>
        <v>24530</v>
      </c>
      <c r="H633" s="921">
        <f>H634+H635+H636</f>
        <v>24530</v>
      </c>
      <c r="I633" s="923">
        <f t="shared" si="30"/>
        <v>100</v>
      </c>
    </row>
    <row r="634" spans="1:9" ht="14.25" x14ac:dyDescent="0.2">
      <c r="A634" s="435"/>
      <c r="B634" s="808"/>
      <c r="C634" s="808"/>
      <c r="D634" s="578" t="s">
        <v>1267</v>
      </c>
      <c r="E634" s="474" t="s">
        <v>882</v>
      </c>
      <c r="F634" s="897"/>
      <c r="G634" s="897">
        <v>23526</v>
      </c>
      <c r="H634" s="897">
        <v>23526</v>
      </c>
      <c r="I634" s="893">
        <f t="shared" si="30"/>
        <v>100</v>
      </c>
    </row>
    <row r="635" spans="1:9" ht="14.25" x14ac:dyDescent="0.2">
      <c r="A635" s="435"/>
      <c r="B635" s="808"/>
      <c r="C635" s="808"/>
      <c r="D635" s="1569" t="s">
        <v>1771</v>
      </c>
      <c r="E635" s="1561" t="s">
        <v>1908</v>
      </c>
      <c r="F635" s="903"/>
      <c r="G635" s="903">
        <v>150</v>
      </c>
      <c r="H635" s="903">
        <v>150</v>
      </c>
      <c r="I635" s="898">
        <f t="shared" si="30"/>
        <v>100</v>
      </c>
    </row>
    <row r="636" spans="1:9" ht="14.25" x14ac:dyDescent="0.2">
      <c r="A636" s="435"/>
      <c r="B636" s="808"/>
      <c r="C636" s="808"/>
      <c r="D636" s="1569" t="s">
        <v>1773</v>
      </c>
      <c r="E636" s="1561" t="s">
        <v>1908</v>
      </c>
      <c r="F636" s="903"/>
      <c r="G636" s="903">
        <v>854</v>
      </c>
      <c r="H636" s="903">
        <v>854</v>
      </c>
      <c r="I636" s="898">
        <f t="shared" si="30"/>
        <v>100</v>
      </c>
    </row>
    <row r="637" spans="1:9" ht="15" x14ac:dyDescent="0.25">
      <c r="A637" s="435">
        <v>1101</v>
      </c>
      <c r="B637" s="808">
        <v>3141</v>
      </c>
      <c r="C637" s="808">
        <v>5336</v>
      </c>
      <c r="D637" s="594"/>
      <c r="E637" s="1564" t="s">
        <v>1357</v>
      </c>
      <c r="F637" s="916"/>
      <c r="G637" s="916">
        <v>146</v>
      </c>
      <c r="H637" s="916">
        <v>146</v>
      </c>
      <c r="I637" s="908">
        <f t="shared" si="30"/>
        <v>100</v>
      </c>
    </row>
    <row r="638" spans="1:9" ht="14.25" x14ac:dyDescent="0.2">
      <c r="A638" s="435"/>
      <c r="B638" s="808"/>
      <c r="C638" s="808"/>
      <c r="D638" s="578" t="s">
        <v>1267</v>
      </c>
      <c r="E638" s="474" t="s">
        <v>882</v>
      </c>
      <c r="F638" s="903"/>
      <c r="G638" s="903">
        <v>146</v>
      </c>
      <c r="H638" s="903">
        <v>146</v>
      </c>
      <c r="I638" s="898">
        <f t="shared" si="30"/>
        <v>100</v>
      </c>
    </row>
    <row r="639" spans="1:9" ht="15" x14ac:dyDescent="0.25">
      <c r="A639" s="435">
        <v>1101</v>
      </c>
      <c r="B639" s="808">
        <v>3142</v>
      </c>
      <c r="C639" s="1551">
        <v>5331</v>
      </c>
      <c r="D639" s="912"/>
      <c r="E639" s="704" t="s">
        <v>1066</v>
      </c>
      <c r="F639" s="905">
        <f>SUM(F640:F643)</f>
        <v>649</v>
      </c>
      <c r="G639" s="905">
        <f>SUM(G640:G641)</f>
        <v>649</v>
      </c>
      <c r="H639" s="905">
        <f>SUM(H640:H641)</f>
        <v>649</v>
      </c>
      <c r="I639" s="906">
        <f t="shared" si="30"/>
        <v>100</v>
      </c>
    </row>
    <row r="640" spans="1:9" ht="18" customHeight="1" x14ac:dyDescent="0.2">
      <c r="A640" s="435"/>
      <c r="B640" s="808"/>
      <c r="C640" s="1551"/>
      <c r="D640" s="743" t="s">
        <v>641</v>
      </c>
      <c r="E640" s="1679" t="s">
        <v>883</v>
      </c>
      <c r="F640" s="903">
        <v>99</v>
      </c>
      <c r="G640" s="903">
        <v>99</v>
      </c>
      <c r="H640" s="903">
        <v>99</v>
      </c>
      <c r="I640" s="898">
        <f t="shared" si="30"/>
        <v>100</v>
      </c>
    </row>
    <row r="641" spans="1:20" ht="14.25" x14ac:dyDescent="0.2">
      <c r="A641" s="435"/>
      <c r="B641" s="808"/>
      <c r="C641" s="1551"/>
      <c r="D641" s="578" t="s">
        <v>636</v>
      </c>
      <c r="E641" s="474" t="s">
        <v>72</v>
      </c>
      <c r="F641" s="903">
        <v>550</v>
      </c>
      <c r="G641" s="903">
        <v>550</v>
      </c>
      <c r="H641" s="903">
        <v>550</v>
      </c>
      <c r="I641" s="898">
        <f t="shared" si="30"/>
        <v>100</v>
      </c>
    </row>
    <row r="642" spans="1:20" ht="15" x14ac:dyDescent="0.25">
      <c r="A642" s="435">
        <v>1101</v>
      </c>
      <c r="B642" s="808">
        <v>3142</v>
      </c>
      <c r="C642" s="1551">
        <v>5336</v>
      </c>
      <c r="D642" s="578"/>
      <c r="E642" s="1564" t="s">
        <v>1357</v>
      </c>
      <c r="F642" s="903"/>
      <c r="G642" s="916">
        <v>209</v>
      </c>
      <c r="H642" s="916">
        <v>209</v>
      </c>
      <c r="I642" s="908">
        <f t="shared" si="30"/>
        <v>100</v>
      </c>
    </row>
    <row r="643" spans="1:20" ht="20.25" customHeight="1" x14ac:dyDescent="0.2">
      <c r="A643" s="435"/>
      <c r="B643" s="808"/>
      <c r="C643" s="1551"/>
      <c r="D643" s="578" t="s">
        <v>1267</v>
      </c>
      <c r="E643" s="474" t="s">
        <v>882</v>
      </c>
      <c r="F643" s="903"/>
      <c r="G643" s="903">
        <v>209</v>
      </c>
      <c r="H643" s="903">
        <v>209</v>
      </c>
      <c r="I643" s="898">
        <v>100</v>
      </c>
    </row>
    <row r="644" spans="1:20" ht="15" x14ac:dyDescent="0.25">
      <c r="A644" s="435">
        <v>1101</v>
      </c>
      <c r="B644" s="808">
        <v>3299</v>
      </c>
      <c r="C644" s="1551">
        <v>5331</v>
      </c>
      <c r="D644" s="578"/>
      <c r="E644" s="704" t="s">
        <v>1066</v>
      </c>
      <c r="F644" s="903"/>
      <c r="G644" s="916">
        <v>8</v>
      </c>
      <c r="H644" s="916">
        <v>8</v>
      </c>
      <c r="I644" s="908">
        <f t="shared" si="30"/>
        <v>100</v>
      </c>
    </row>
    <row r="645" spans="1:20" ht="15" thickBot="1" x14ac:dyDescent="0.25">
      <c r="A645" s="435"/>
      <c r="B645" s="808"/>
      <c r="C645" s="1551"/>
      <c r="D645" s="1523" t="s">
        <v>407</v>
      </c>
      <c r="E645" s="2591" t="s">
        <v>1499</v>
      </c>
      <c r="F645" s="903"/>
      <c r="G645" s="903">
        <v>8</v>
      </c>
      <c r="H645" s="903">
        <v>8</v>
      </c>
      <c r="I645" s="898">
        <f t="shared" si="30"/>
        <v>100</v>
      </c>
    </row>
    <row r="646" spans="1:20" ht="16.5" thickTop="1" thickBot="1" x14ac:dyDescent="0.3">
      <c r="A646" s="2739" t="s">
        <v>1246</v>
      </c>
      <c r="B646" s="2740"/>
      <c r="C646" s="2740"/>
      <c r="D646" s="2740"/>
      <c r="E646" s="2740"/>
      <c r="F646" s="894">
        <f>F626+F639</f>
        <v>3836</v>
      </c>
      <c r="G646" s="894">
        <f>G626+G639+G637+G633+G642+G644</f>
        <v>29108</v>
      </c>
      <c r="H646" s="894">
        <f>H626+H639+H637+H633+H642+H644</f>
        <v>29108</v>
      </c>
      <c r="I646" s="895">
        <f>(H646/G646)*100</f>
        <v>100</v>
      </c>
      <c r="R646" s="385">
        <f>F646</f>
        <v>3836</v>
      </c>
      <c r="S646" s="385">
        <f>G646</f>
        <v>29108</v>
      </c>
      <c r="T646" s="385">
        <f>H646</f>
        <v>29108</v>
      </c>
    </row>
    <row r="647" spans="1:20" ht="13.5" thickTop="1" x14ac:dyDescent="0.2"/>
    <row r="648" spans="1:20" ht="13.5" thickBot="1" x14ac:dyDescent="0.25">
      <c r="A648" s="439" t="s">
        <v>435</v>
      </c>
      <c r="I648" s="1548" t="s">
        <v>179</v>
      </c>
    </row>
    <row r="649" spans="1:20" s="107" customFormat="1" thickTop="1" thickBot="1" x14ac:dyDescent="0.25">
      <c r="A649" s="657" t="s">
        <v>692</v>
      </c>
      <c r="B649" s="835" t="s">
        <v>180</v>
      </c>
      <c r="C649" s="658" t="s">
        <v>181</v>
      </c>
      <c r="D649" s="660" t="s">
        <v>783</v>
      </c>
      <c r="E649" s="660" t="s">
        <v>182</v>
      </c>
      <c r="F649" s="660" t="s">
        <v>183</v>
      </c>
      <c r="G649" s="660" t="s">
        <v>985</v>
      </c>
      <c r="H649" s="660" t="s">
        <v>986</v>
      </c>
      <c r="I649" s="888" t="s">
        <v>987</v>
      </c>
    </row>
    <row r="650" spans="1:20" s="386" customFormat="1" ht="13.5" thickTop="1" thickBot="1" x14ac:dyDescent="0.25">
      <c r="A650" s="592">
        <v>1</v>
      </c>
      <c r="B650" s="593">
        <v>2</v>
      </c>
      <c r="C650" s="593">
        <v>3</v>
      </c>
      <c r="D650" s="593">
        <v>4</v>
      </c>
      <c r="E650" s="593">
        <v>5</v>
      </c>
      <c r="F650" s="567">
        <v>6</v>
      </c>
      <c r="G650" s="567">
        <v>7</v>
      </c>
      <c r="H650" s="568">
        <v>8</v>
      </c>
      <c r="I650" s="662" t="s">
        <v>848</v>
      </c>
    </row>
    <row r="651" spans="1:20" ht="15.75" thickTop="1" x14ac:dyDescent="0.25">
      <c r="A651" s="1549">
        <v>1102</v>
      </c>
      <c r="B651" s="836">
        <v>3121</v>
      </c>
      <c r="C651" s="836">
        <v>5331</v>
      </c>
      <c r="D651" s="909"/>
      <c r="E651" s="930" t="s">
        <v>1066</v>
      </c>
      <c r="F651" s="931">
        <f>F652+F653+F654+F655+F656+F657</f>
        <v>5261</v>
      </c>
      <c r="G651" s="931">
        <f>G652+G653+G654+G655+G656+G657</f>
        <v>5527</v>
      </c>
      <c r="H651" s="931">
        <f>H652+H653+H654+H655+H656+H657</f>
        <v>5527</v>
      </c>
      <c r="I651" s="896">
        <f t="shared" ref="I651:I663" si="31">(H651/G651)*100</f>
        <v>100</v>
      </c>
    </row>
    <row r="652" spans="1:20" ht="14.25" x14ac:dyDescent="0.2">
      <c r="A652" s="435"/>
      <c r="B652" s="705"/>
      <c r="C652" s="705"/>
      <c r="D652" s="743" t="s">
        <v>641</v>
      </c>
      <c r="E652" s="1679" t="s">
        <v>883</v>
      </c>
      <c r="F652" s="897">
        <v>515</v>
      </c>
      <c r="G652" s="897">
        <v>532</v>
      </c>
      <c r="H652" s="897">
        <v>532</v>
      </c>
      <c r="I652" s="893">
        <f t="shared" si="31"/>
        <v>100</v>
      </c>
    </row>
    <row r="653" spans="1:20" ht="14.25" x14ac:dyDescent="0.2">
      <c r="A653" s="435"/>
      <c r="B653" s="705"/>
      <c r="C653" s="705"/>
      <c r="D653" s="578" t="s">
        <v>636</v>
      </c>
      <c r="E653" s="474" t="s">
        <v>72</v>
      </c>
      <c r="F653" s="897">
        <v>4746</v>
      </c>
      <c r="G653" s="897">
        <v>4742</v>
      </c>
      <c r="H653" s="897">
        <v>4742</v>
      </c>
      <c r="I653" s="893">
        <f t="shared" si="31"/>
        <v>100</v>
      </c>
    </row>
    <row r="654" spans="1:20" ht="14.25" x14ac:dyDescent="0.2">
      <c r="A654" s="435"/>
      <c r="B654" s="808"/>
      <c r="C654" s="705"/>
      <c r="D654" s="578" t="s">
        <v>735</v>
      </c>
      <c r="E654" s="474" t="s">
        <v>1257</v>
      </c>
      <c r="F654" s="897"/>
      <c r="G654" s="897">
        <v>4</v>
      </c>
      <c r="H654" s="897">
        <v>4</v>
      </c>
      <c r="I654" s="893">
        <f t="shared" si="31"/>
        <v>100</v>
      </c>
    </row>
    <row r="655" spans="1:20" ht="14.25" x14ac:dyDescent="0.2">
      <c r="A655" s="435"/>
      <c r="B655" s="808"/>
      <c r="C655" s="705"/>
      <c r="D655" s="1169" t="s">
        <v>1265</v>
      </c>
      <c r="E655" s="1275" t="s">
        <v>24</v>
      </c>
      <c r="F655" s="897"/>
      <c r="G655" s="897">
        <v>10</v>
      </c>
      <c r="H655" s="897">
        <v>10</v>
      </c>
      <c r="I655" s="893">
        <f t="shared" si="31"/>
        <v>100</v>
      </c>
    </row>
    <row r="656" spans="1:20" ht="14.25" x14ac:dyDescent="0.2">
      <c r="A656" s="435"/>
      <c r="B656" s="808"/>
      <c r="C656" s="705"/>
      <c r="D656" s="1178" t="s">
        <v>1643</v>
      </c>
      <c r="E656" s="1561" t="s">
        <v>1665</v>
      </c>
      <c r="F656" s="897"/>
      <c r="G656" s="897">
        <v>96</v>
      </c>
      <c r="H656" s="897">
        <v>96</v>
      </c>
      <c r="I656" s="893">
        <f t="shared" si="31"/>
        <v>100</v>
      </c>
    </row>
    <row r="657" spans="1:20" ht="14.25" x14ac:dyDescent="0.2">
      <c r="A657" s="435"/>
      <c r="B657" s="808"/>
      <c r="C657" s="705"/>
      <c r="D657" s="1178" t="s">
        <v>1763</v>
      </c>
      <c r="E657" s="2590" t="s">
        <v>1913</v>
      </c>
      <c r="F657" s="897"/>
      <c r="G657" s="897">
        <v>143</v>
      </c>
      <c r="H657" s="897">
        <v>143</v>
      </c>
      <c r="I657" s="893">
        <f t="shared" si="31"/>
        <v>100</v>
      </c>
    </row>
    <row r="658" spans="1:20" ht="15" x14ac:dyDescent="0.25">
      <c r="A658" s="435">
        <v>1102</v>
      </c>
      <c r="B658" s="808">
        <v>3121</v>
      </c>
      <c r="C658" s="808">
        <v>5336</v>
      </c>
      <c r="D658" s="805"/>
      <c r="E658" s="1564" t="s">
        <v>1357</v>
      </c>
      <c r="F658" s="897"/>
      <c r="G658" s="921">
        <f>G659+G660+G661</f>
        <v>40558</v>
      </c>
      <c r="H658" s="921">
        <f>H659+H660+H661</f>
        <v>40558</v>
      </c>
      <c r="I658" s="923">
        <f t="shared" si="31"/>
        <v>100</v>
      </c>
    </row>
    <row r="659" spans="1:20" ht="14.25" x14ac:dyDescent="0.2">
      <c r="A659" s="435"/>
      <c r="B659" s="808"/>
      <c r="C659" s="705"/>
      <c r="D659" s="578" t="s">
        <v>1267</v>
      </c>
      <c r="E659" s="474" t="s">
        <v>882</v>
      </c>
      <c r="F659" s="897"/>
      <c r="G659" s="897">
        <v>39004</v>
      </c>
      <c r="H659" s="897">
        <v>39004</v>
      </c>
      <c r="I659" s="893">
        <f t="shared" si="31"/>
        <v>100</v>
      </c>
    </row>
    <row r="660" spans="1:20" ht="14.25" x14ac:dyDescent="0.2">
      <c r="A660" s="435"/>
      <c r="B660" s="808"/>
      <c r="C660" s="808"/>
      <c r="D660" s="1569" t="s">
        <v>1771</v>
      </c>
      <c r="E660" s="1561" t="s">
        <v>1908</v>
      </c>
      <c r="F660" s="903"/>
      <c r="G660" s="903">
        <v>233</v>
      </c>
      <c r="H660" s="903">
        <v>233</v>
      </c>
      <c r="I660" s="898">
        <f t="shared" si="31"/>
        <v>100</v>
      </c>
    </row>
    <row r="661" spans="1:20" ht="14.25" x14ac:dyDescent="0.2">
      <c r="A661" s="435"/>
      <c r="B661" s="808"/>
      <c r="C661" s="808"/>
      <c r="D661" s="1569" t="s">
        <v>1773</v>
      </c>
      <c r="E661" s="1561" t="s">
        <v>1908</v>
      </c>
      <c r="F661" s="903"/>
      <c r="G661" s="903">
        <v>1321</v>
      </c>
      <c r="H661" s="903">
        <v>1321</v>
      </c>
      <c r="I661" s="898">
        <f t="shared" si="31"/>
        <v>100</v>
      </c>
    </row>
    <row r="662" spans="1:20" ht="15" x14ac:dyDescent="0.25">
      <c r="A662" s="435">
        <v>1102</v>
      </c>
      <c r="B662" s="808">
        <v>3141</v>
      </c>
      <c r="C662" s="808">
        <v>5336</v>
      </c>
      <c r="D662" s="594"/>
      <c r="E662" s="1564" t="s">
        <v>1357</v>
      </c>
      <c r="F662" s="916"/>
      <c r="G662" s="916">
        <v>177</v>
      </c>
      <c r="H662" s="916">
        <v>177</v>
      </c>
      <c r="I662" s="908">
        <f t="shared" si="31"/>
        <v>100</v>
      </c>
    </row>
    <row r="663" spans="1:20" ht="14.25" x14ac:dyDescent="0.2">
      <c r="A663" s="435"/>
      <c r="B663" s="808"/>
      <c r="C663" s="808"/>
      <c r="D663" s="578" t="s">
        <v>1267</v>
      </c>
      <c r="E663" s="474" t="s">
        <v>882</v>
      </c>
      <c r="F663" s="903"/>
      <c r="G663" s="903">
        <v>177</v>
      </c>
      <c r="H663" s="903">
        <v>177</v>
      </c>
      <c r="I663" s="898">
        <f t="shared" si="31"/>
        <v>100</v>
      </c>
    </row>
    <row r="664" spans="1:20" ht="15" x14ac:dyDescent="0.25">
      <c r="A664" s="435">
        <v>1102</v>
      </c>
      <c r="B664" s="808">
        <v>3142</v>
      </c>
      <c r="C664" s="808">
        <v>5331</v>
      </c>
      <c r="D664" s="929"/>
      <c r="E664" s="704" t="s">
        <v>1066</v>
      </c>
      <c r="F664" s="905">
        <f>F665</f>
        <v>1000</v>
      </c>
      <c r="G664" s="905">
        <v>1000</v>
      </c>
      <c r="H664" s="905">
        <v>1000</v>
      </c>
      <c r="I664" s="906" t="s">
        <v>575</v>
      </c>
      <c r="R664" s="966"/>
      <c r="S664" s="2752"/>
    </row>
    <row r="665" spans="1:20" ht="14.25" x14ac:dyDescent="0.2">
      <c r="A665" s="435"/>
      <c r="B665" s="808"/>
      <c r="C665" s="808"/>
      <c r="D665" s="578" t="s">
        <v>636</v>
      </c>
      <c r="E665" s="474" t="s">
        <v>72</v>
      </c>
      <c r="F665" s="903">
        <v>1000</v>
      </c>
      <c r="G665" s="903">
        <v>1000</v>
      </c>
      <c r="H665" s="903">
        <v>1000</v>
      </c>
      <c r="I665" s="898">
        <f>(H665/G665)*100</f>
        <v>100</v>
      </c>
      <c r="R665" s="967"/>
      <c r="S665" s="2752"/>
    </row>
    <row r="666" spans="1:20" ht="18" customHeight="1" x14ac:dyDescent="0.25">
      <c r="A666" s="435">
        <v>1102</v>
      </c>
      <c r="B666" s="808">
        <v>3142</v>
      </c>
      <c r="C666" s="808">
        <v>5336</v>
      </c>
      <c r="D666" s="594"/>
      <c r="E666" s="1564" t="s">
        <v>1357</v>
      </c>
      <c r="F666" s="903"/>
      <c r="G666" s="916">
        <v>509</v>
      </c>
      <c r="H666" s="916">
        <v>509</v>
      </c>
      <c r="I666" s="908">
        <f>(H666/G666)*100</f>
        <v>100</v>
      </c>
      <c r="R666" s="967"/>
      <c r="S666" s="2540"/>
    </row>
    <row r="667" spans="1:20" ht="14.25" x14ac:dyDescent="0.2">
      <c r="A667" s="435"/>
      <c r="B667" s="808"/>
      <c r="C667" s="1551"/>
      <c r="D667" s="578" t="s">
        <v>1267</v>
      </c>
      <c r="E667" s="474" t="s">
        <v>882</v>
      </c>
      <c r="F667" s="903"/>
      <c r="G667" s="903">
        <v>509</v>
      </c>
      <c r="H667" s="903">
        <v>509</v>
      </c>
      <c r="I667" s="898">
        <f>(H667/G667)*100</f>
        <v>100</v>
      </c>
      <c r="R667" s="968"/>
      <c r="S667" s="2752"/>
    </row>
    <row r="668" spans="1:20" ht="15" x14ac:dyDescent="0.25">
      <c r="A668" s="435">
        <v>1102</v>
      </c>
      <c r="B668" s="705">
        <v>3299</v>
      </c>
      <c r="C668" s="1550">
        <v>5331</v>
      </c>
      <c r="D668" s="899"/>
      <c r="E668" s="854" t="s">
        <v>1066</v>
      </c>
      <c r="F668" s="905"/>
      <c r="G668" s="905">
        <f>SUM(G669:G669)</f>
        <v>55</v>
      </c>
      <c r="H668" s="905">
        <f>SUM(H669:H669)</f>
        <v>55</v>
      </c>
      <c r="I668" s="891">
        <v>100</v>
      </c>
      <c r="R668" s="967"/>
      <c r="S668" s="2752"/>
    </row>
    <row r="669" spans="1:20" ht="20.25" customHeight="1" x14ac:dyDescent="0.25">
      <c r="A669" s="435"/>
      <c r="B669" s="705"/>
      <c r="C669" s="1550"/>
      <c r="D669" s="1437" t="s">
        <v>407</v>
      </c>
      <c r="E669" s="479" t="s">
        <v>1260</v>
      </c>
      <c r="F669" s="890"/>
      <c r="G669" s="897">
        <v>55</v>
      </c>
      <c r="H669" s="897">
        <v>55</v>
      </c>
      <c r="I669" s="893">
        <f t="shared" ref="I669:I672" si="32">(H669/G669)*100</f>
        <v>100</v>
      </c>
    </row>
    <row r="670" spans="1:20" ht="15" x14ac:dyDescent="0.25">
      <c r="A670" s="435">
        <v>1102</v>
      </c>
      <c r="B670" s="705">
        <v>3792</v>
      </c>
      <c r="C670" s="1550">
        <v>5331</v>
      </c>
      <c r="D670" s="1437"/>
      <c r="E670" s="704" t="s">
        <v>1066</v>
      </c>
      <c r="F670" s="890"/>
      <c r="G670" s="921">
        <v>6</v>
      </c>
      <c r="H670" s="921">
        <v>6</v>
      </c>
      <c r="I670" s="923">
        <f t="shared" si="32"/>
        <v>100</v>
      </c>
    </row>
    <row r="671" spans="1:20" ht="15.75" thickBot="1" x14ac:dyDescent="0.3">
      <c r="A671" s="435"/>
      <c r="B671" s="705"/>
      <c r="C671" s="1550"/>
      <c r="D671" s="1437" t="s">
        <v>1479</v>
      </c>
      <c r="E671" s="479" t="s">
        <v>1259</v>
      </c>
      <c r="F671" s="890"/>
      <c r="G671" s="897">
        <v>6</v>
      </c>
      <c r="H671" s="897">
        <v>6</v>
      </c>
      <c r="I671" s="893">
        <f t="shared" si="32"/>
        <v>100</v>
      </c>
    </row>
    <row r="672" spans="1:20" ht="16.5" thickTop="1" thickBot="1" x14ac:dyDescent="0.3">
      <c r="A672" s="2739" t="s">
        <v>1246</v>
      </c>
      <c r="B672" s="2740"/>
      <c r="C672" s="2740"/>
      <c r="D672" s="2740"/>
      <c r="E672" s="2740"/>
      <c r="F672" s="894">
        <f>F651+F664+F668</f>
        <v>6261</v>
      </c>
      <c r="G672" s="894">
        <f>G651+G664+G668+G670+G658+G662+G666</f>
        <v>47832</v>
      </c>
      <c r="H672" s="894">
        <f>H651+H664+H668+H670+H658+H662+H666</f>
        <v>47832</v>
      </c>
      <c r="I672" s="895">
        <f t="shared" si="32"/>
        <v>100</v>
      </c>
      <c r="R672" s="385">
        <f>F672</f>
        <v>6261</v>
      </c>
      <c r="S672" s="385">
        <f>G672</f>
        <v>47832</v>
      </c>
      <c r="T672" s="385">
        <f>H672</f>
        <v>47832</v>
      </c>
    </row>
    <row r="673" spans="1:9" ht="13.5" thickTop="1" x14ac:dyDescent="0.2"/>
    <row r="677" spans="1:9" ht="13.5" thickBot="1" x14ac:dyDescent="0.25">
      <c r="A677" s="439" t="s">
        <v>1465</v>
      </c>
      <c r="I677" s="1548" t="s">
        <v>179</v>
      </c>
    </row>
    <row r="678" spans="1:9" s="107" customFormat="1" thickTop="1" thickBot="1" x14ac:dyDescent="0.25">
      <c r="A678" s="657" t="s">
        <v>692</v>
      </c>
      <c r="B678" s="835" t="s">
        <v>180</v>
      </c>
      <c r="C678" s="658" t="s">
        <v>181</v>
      </c>
      <c r="D678" s="660" t="s">
        <v>783</v>
      </c>
      <c r="E678" s="660" t="s">
        <v>182</v>
      </c>
      <c r="F678" s="660" t="s">
        <v>183</v>
      </c>
      <c r="G678" s="660" t="s">
        <v>985</v>
      </c>
      <c r="H678" s="660" t="s">
        <v>986</v>
      </c>
      <c r="I678" s="888" t="s">
        <v>987</v>
      </c>
    </row>
    <row r="679" spans="1:9" s="386" customFormat="1" ht="13.5" thickTop="1" thickBot="1" x14ac:dyDescent="0.25">
      <c r="A679" s="592">
        <v>1</v>
      </c>
      <c r="B679" s="593">
        <v>2</v>
      </c>
      <c r="C679" s="593">
        <v>3</v>
      </c>
      <c r="D679" s="593">
        <v>4</v>
      </c>
      <c r="E679" s="593">
        <v>5</v>
      </c>
      <c r="F679" s="567">
        <v>6</v>
      </c>
      <c r="G679" s="567">
        <v>7</v>
      </c>
      <c r="H679" s="568">
        <v>8</v>
      </c>
      <c r="I679" s="662" t="s">
        <v>848</v>
      </c>
    </row>
    <row r="680" spans="1:9" ht="15.75" thickTop="1" x14ac:dyDescent="0.25">
      <c r="A680" s="1549">
        <v>1103</v>
      </c>
      <c r="B680" s="836">
        <v>3121</v>
      </c>
      <c r="C680" s="836">
        <v>5331</v>
      </c>
      <c r="D680" s="909"/>
      <c r="E680" s="930" t="s">
        <v>1066</v>
      </c>
      <c r="F680" s="931">
        <f>F681+F682+F683+F684+F685+F686</f>
        <v>7960</v>
      </c>
      <c r="G680" s="931">
        <f>G681+G682+G683+G684+G685+G686</f>
        <v>8854</v>
      </c>
      <c r="H680" s="931">
        <f>H681+H682+H683+H684+H685+H686</f>
        <v>8854</v>
      </c>
      <c r="I680" s="896">
        <f t="shared" ref="I680:I691" si="33">(H680/G680)*100</f>
        <v>100</v>
      </c>
    </row>
    <row r="681" spans="1:9" ht="14.25" x14ac:dyDescent="0.2">
      <c r="A681" s="435"/>
      <c r="B681" s="705"/>
      <c r="C681" s="705"/>
      <c r="D681" s="743" t="s">
        <v>641</v>
      </c>
      <c r="E681" s="1679" t="s">
        <v>883</v>
      </c>
      <c r="F681" s="897">
        <v>2441</v>
      </c>
      <c r="G681" s="897">
        <v>2438</v>
      </c>
      <c r="H681" s="897">
        <v>2438</v>
      </c>
      <c r="I681" s="893">
        <f t="shared" si="33"/>
        <v>100</v>
      </c>
    </row>
    <row r="682" spans="1:9" ht="14.25" x14ac:dyDescent="0.2">
      <c r="A682" s="435"/>
      <c r="B682" s="705"/>
      <c r="C682" s="705"/>
      <c r="D682" s="578" t="s">
        <v>636</v>
      </c>
      <c r="E682" s="474" t="s">
        <v>72</v>
      </c>
      <c r="F682" s="897">
        <v>5519</v>
      </c>
      <c r="G682" s="897">
        <v>5501</v>
      </c>
      <c r="H682" s="897">
        <v>5501</v>
      </c>
      <c r="I682" s="893">
        <f t="shared" si="33"/>
        <v>100</v>
      </c>
    </row>
    <row r="683" spans="1:9" ht="14.25" x14ac:dyDescent="0.2">
      <c r="A683" s="435"/>
      <c r="B683" s="705"/>
      <c r="C683" s="705"/>
      <c r="D683" s="1565" t="s">
        <v>22</v>
      </c>
      <c r="E683" s="1275" t="s">
        <v>1351</v>
      </c>
      <c r="F683" s="897"/>
      <c r="G683" s="897">
        <v>95</v>
      </c>
      <c r="H683" s="897">
        <v>95</v>
      </c>
      <c r="I683" s="893">
        <f t="shared" si="33"/>
        <v>100</v>
      </c>
    </row>
    <row r="684" spans="1:9" ht="14.25" x14ac:dyDescent="0.2">
      <c r="A684" s="435"/>
      <c r="B684" s="705"/>
      <c r="C684" s="705"/>
      <c r="D684" s="578" t="s">
        <v>735</v>
      </c>
      <c r="E684" s="474" t="s">
        <v>76</v>
      </c>
      <c r="F684" s="897"/>
      <c r="G684" s="897">
        <v>18</v>
      </c>
      <c r="H684" s="897">
        <v>18</v>
      </c>
      <c r="I684" s="893">
        <f t="shared" si="33"/>
        <v>100</v>
      </c>
    </row>
    <row r="685" spans="1:9" ht="14.25" x14ac:dyDescent="0.2">
      <c r="A685" s="435"/>
      <c r="B685" s="705"/>
      <c r="C685" s="705"/>
      <c r="D685" s="1179" t="s">
        <v>1536</v>
      </c>
      <c r="E685" s="1702" t="s">
        <v>1537</v>
      </c>
      <c r="F685" s="897"/>
      <c r="G685" s="897">
        <v>720</v>
      </c>
      <c r="H685" s="897">
        <v>720</v>
      </c>
      <c r="I685" s="893">
        <f t="shared" si="33"/>
        <v>100</v>
      </c>
    </row>
    <row r="686" spans="1:9" ht="14.25" x14ac:dyDescent="0.2">
      <c r="A686" s="435"/>
      <c r="B686" s="705"/>
      <c r="C686" s="705"/>
      <c r="D686" s="1178" t="s">
        <v>1763</v>
      </c>
      <c r="E686" s="2590" t="s">
        <v>1913</v>
      </c>
      <c r="F686" s="897"/>
      <c r="G686" s="897">
        <v>82</v>
      </c>
      <c r="H686" s="897">
        <v>82</v>
      </c>
      <c r="I686" s="893">
        <f t="shared" si="33"/>
        <v>100</v>
      </c>
    </row>
    <row r="687" spans="1:9" ht="15" x14ac:dyDescent="0.25">
      <c r="A687" s="435">
        <v>1103</v>
      </c>
      <c r="B687" s="808">
        <v>3121</v>
      </c>
      <c r="C687" s="808">
        <v>5336</v>
      </c>
      <c r="D687" s="594"/>
      <c r="E687" s="1564" t="s">
        <v>1357</v>
      </c>
      <c r="F687" s="916"/>
      <c r="G687" s="916">
        <f>G688+G689+G690+G691</f>
        <v>47558</v>
      </c>
      <c r="H687" s="916">
        <f>H688+H689+H690+H691</f>
        <v>47558</v>
      </c>
      <c r="I687" s="908">
        <f t="shared" si="33"/>
        <v>100</v>
      </c>
    </row>
    <row r="688" spans="1:9" ht="14.25" x14ac:dyDescent="0.2">
      <c r="A688" s="435"/>
      <c r="B688" s="705"/>
      <c r="C688" s="705"/>
      <c r="D688" s="578" t="s">
        <v>1267</v>
      </c>
      <c r="E688" s="474" t="s">
        <v>882</v>
      </c>
      <c r="F688" s="897"/>
      <c r="G688" s="897">
        <v>45722</v>
      </c>
      <c r="H688" s="897">
        <v>45722</v>
      </c>
      <c r="I688" s="893">
        <f t="shared" si="33"/>
        <v>100</v>
      </c>
    </row>
    <row r="689" spans="1:20" ht="14.25" x14ac:dyDescent="0.2">
      <c r="A689" s="435"/>
      <c r="B689" s="808"/>
      <c r="C689" s="808"/>
      <c r="D689" s="1179" t="s">
        <v>1720</v>
      </c>
      <c r="E689" s="2585" t="s">
        <v>1743</v>
      </c>
      <c r="F689" s="903"/>
      <c r="G689" s="903">
        <v>65</v>
      </c>
      <c r="H689" s="903">
        <v>65</v>
      </c>
      <c r="I689" s="898">
        <f t="shared" si="33"/>
        <v>100</v>
      </c>
    </row>
    <row r="690" spans="1:20" ht="14.25" x14ac:dyDescent="0.2">
      <c r="A690" s="435"/>
      <c r="B690" s="808"/>
      <c r="C690" s="808"/>
      <c r="D690" s="1569" t="s">
        <v>1771</v>
      </c>
      <c r="E690" s="1561" t="s">
        <v>1908</v>
      </c>
      <c r="F690" s="903"/>
      <c r="G690" s="903">
        <v>266</v>
      </c>
      <c r="H690" s="903">
        <v>266</v>
      </c>
      <c r="I690" s="898">
        <f t="shared" si="33"/>
        <v>100</v>
      </c>
    </row>
    <row r="691" spans="1:20" ht="18" customHeight="1" x14ac:dyDescent="0.2">
      <c r="A691" s="435"/>
      <c r="B691" s="808"/>
      <c r="C691" s="808"/>
      <c r="D691" s="1569" t="s">
        <v>1773</v>
      </c>
      <c r="E691" s="1561" t="s">
        <v>1908</v>
      </c>
      <c r="F691" s="903"/>
      <c r="G691" s="903">
        <v>1505</v>
      </c>
      <c r="H691" s="903">
        <v>1505</v>
      </c>
      <c r="I691" s="898">
        <f t="shared" si="33"/>
        <v>100</v>
      </c>
    </row>
    <row r="692" spans="1:20" ht="18" customHeight="1" x14ac:dyDescent="0.25">
      <c r="A692" s="435">
        <v>1103</v>
      </c>
      <c r="B692" s="705">
        <v>3299</v>
      </c>
      <c r="C692" s="1550">
        <v>5331</v>
      </c>
      <c r="D692" s="899"/>
      <c r="E692" s="854" t="s">
        <v>1066</v>
      </c>
      <c r="F692" s="905"/>
      <c r="G692" s="905">
        <v>20</v>
      </c>
      <c r="H692" s="905">
        <v>20</v>
      </c>
      <c r="I692" s="906">
        <v>100</v>
      </c>
    </row>
    <row r="693" spans="1:20" ht="18" customHeight="1" x14ac:dyDescent="0.25">
      <c r="A693" s="435"/>
      <c r="B693" s="705"/>
      <c r="C693" s="1550"/>
      <c r="D693" s="578" t="s">
        <v>1265</v>
      </c>
      <c r="E693" s="479" t="s">
        <v>1258</v>
      </c>
      <c r="F693" s="905"/>
      <c r="G693" s="907">
        <v>15</v>
      </c>
      <c r="H693" s="907">
        <v>15</v>
      </c>
      <c r="I693" s="898">
        <f>(H693/G693)*100</f>
        <v>100</v>
      </c>
    </row>
    <row r="694" spans="1:20" ht="15.75" thickBot="1" x14ac:dyDescent="0.3">
      <c r="A694" s="435"/>
      <c r="B694" s="705"/>
      <c r="C694" s="1550"/>
      <c r="D694" s="1437" t="s">
        <v>407</v>
      </c>
      <c r="E694" s="479" t="s">
        <v>1260</v>
      </c>
      <c r="F694" s="890"/>
      <c r="G694" s="897">
        <v>5</v>
      </c>
      <c r="H694" s="897">
        <v>5</v>
      </c>
      <c r="I694" s="893">
        <f>(H694/G694)*100</f>
        <v>100</v>
      </c>
    </row>
    <row r="695" spans="1:20" ht="20.25" customHeight="1" thickTop="1" thickBot="1" x14ac:dyDescent="0.3">
      <c r="A695" s="2739" t="s">
        <v>1246</v>
      </c>
      <c r="B695" s="2740"/>
      <c r="C695" s="2740"/>
      <c r="D695" s="2740"/>
      <c r="E695" s="2740"/>
      <c r="F695" s="894">
        <f>F680+F692</f>
        <v>7960</v>
      </c>
      <c r="G695" s="894">
        <f>G680+G687+G692</f>
        <v>56432</v>
      </c>
      <c r="H695" s="894">
        <f>H680+H687+H692</f>
        <v>56432</v>
      </c>
      <c r="I695" s="895">
        <f>(H695/G695)*100</f>
        <v>100</v>
      </c>
      <c r="R695" s="385">
        <f>F695</f>
        <v>7960</v>
      </c>
      <c r="S695" s="385">
        <f>G695</f>
        <v>56432</v>
      </c>
      <c r="T695" s="385">
        <f>H695</f>
        <v>56432</v>
      </c>
    </row>
    <row r="696" spans="1:20" ht="20.25" customHeight="1" thickTop="1" x14ac:dyDescent="0.25">
      <c r="A696" s="370"/>
      <c r="B696" s="370"/>
      <c r="C696" s="370"/>
      <c r="D696" s="370"/>
      <c r="E696" s="370"/>
      <c r="F696" s="181"/>
      <c r="G696" s="181"/>
      <c r="H696" s="181"/>
      <c r="I696" s="210"/>
      <c r="R696" s="385"/>
      <c r="S696" s="385"/>
      <c r="T696" s="385"/>
    </row>
    <row r="697" spans="1:20" ht="13.5" thickBot="1" x14ac:dyDescent="0.25">
      <c r="A697" s="439" t="s">
        <v>364</v>
      </c>
      <c r="I697" s="1548" t="s">
        <v>179</v>
      </c>
    </row>
    <row r="698" spans="1:20" s="107" customFormat="1" thickTop="1" thickBot="1" x14ac:dyDescent="0.25">
      <c r="A698" s="657" t="s">
        <v>692</v>
      </c>
      <c r="B698" s="835" t="s">
        <v>180</v>
      </c>
      <c r="C698" s="658" t="s">
        <v>181</v>
      </c>
      <c r="D698" s="660" t="s">
        <v>783</v>
      </c>
      <c r="E698" s="660" t="s">
        <v>182</v>
      </c>
      <c r="F698" s="660" t="s">
        <v>183</v>
      </c>
      <c r="G698" s="660" t="s">
        <v>985</v>
      </c>
      <c r="H698" s="660" t="s">
        <v>986</v>
      </c>
      <c r="I698" s="888" t="s">
        <v>987</v>
      </c>
    </row>
    <row r="699" spans="1:20" s="386" customFormat="1" ht="13.5" thickTop="1" thickBot="1" x14ac:dyDescent="0.25">
      <c r="A699" s="592">
        <v>1</v>
      </c>
      <c r="B699" s="593">
        <v>2</v>
      </c>
      <c r="C699" s="593">
        <v>3</v>
      </c>
      <c r="D699" s="593">
        <v>4</v>
      </c>
      <c r="E699" s="593">
        <v>5</v>
      </c>
      <c r="F699" s="567">
        <v>6</v>
      </c>
      <c r="G699" s="567">
        <v>7</v>
      </c>
      <c r="H699" s="568">
        <v>8</v>
      </c>
      <c r="I699" s="662" t="s">
        <v>848</v>
      </c>
    </row>
    <row r="700" spans="1:20" ht="15.75" thickTop="1" x14ac:dyDescent="0.25">
      <c r="A700" s="1549">
        <v>1104</v>
      </c>
      <c r="B700" s="836">
        <v>3121</v>
      </c>
      <c r="C700" s="836">
        <v>5331</v>
      </c>
      <c r="D700" s="909"/>
      <c r="E700" s="930" t="s">
        <v>1066</v>
      </c>
      <c r="F700" s="931">
        <f>F701+F702+F703</f>
        <v>4628</v>
      </c>
      <c r="G700" s="931">
        <f>G701+G702+G703</f>
        <v>4662</v>
      </c>
      <c r="H700" s="931">
        <f>H701+H702+H703</f>
        <v>4662</v>
      </c>
      <c r="I700" s="896">
        <f t="shared" ref="I700:I708" si="34">(H700/G700)*100</f>
        <v>100</v>
      </c>
    </row>
    <row r="701" spans="1:20" ht="14.25" x14ac:dyDescent="0.2">
      <c r="A701" s="435"/>
      <c r="B701" s="705"/>
      <c r="C701" s="705"/>
      <c r="D701" s="743" t="s">
        <v>641</v>
      </c>
      <c r="E701" s="1679" t="s">
        <v>883</v>
      </c>
      <c r="F701" s="897">
        <v>1510</v>
      </c>
      <c r="G701" s="897">
        <v>1476</v>
      </c>
      <c r="H701" s="897">
        <v>1476</v>
      </c>
      <c r="I701" s="893">
        <f t="shared" si="34"/>
        <v>100</v>
      </c>
    </row>
    <row r="702" spans="1:20" ht="14.25" x14ac:dyDescent="0.2">
      <c r="A702" s="435"/>
      <c r="B702" s="705"/>
      <c r="C702" s="705"/>
      <c r="D702" s="578" t="s">
        <v>636</v>
      </c>
      <c r="E702" s="474" t="s">
        <v>72</v>
      </c>
      <c r="F702" s="897">
        <v>3118</v>
      </c>
      <c r="G702" s="897">
        <v>3118</v>
      </c>
      <c r="H702" s="897">
        <v>3118</v>
      </c>
      <c r="I702" s="893">
        <f t="shared" si="34"/>
        <v>100</v>
      </c>
    </row>
    <row r="703" spans="1:20" ht="14.25" x14ac:dyDescent="0.2">
      <c r="A703" s="435"/>
      <c r="B703" s="705"/>
      <c r="C703" s="705"/>
      <c r="D703" s="1178" t="s">
        <v>1763</v>
      </c>
      <c r="E703" s="2590" t="s">
        <v>1913</v>
      </c>
      <c r="F703" s="897"/>
      <c r="G703" s="897">
        <v>68</v>
      </c>
      <c r="H703" s="897">
        <v>68</v>
      </c>
      <c r="I703" s="893">
        <f t="shared" si="34"/>
        <v>100</v>
      </c>
    </row>
    <row r="704" spans="1:20" ht="15" x14ac:dyDescent="0.25">
      <c r="A704" s="435">
        <v>1104</v>
      </c>
      <c r="B704" s="808">
        <v>3121</v>
      </c>
      <c r="C704" s="808">
        <v>5336</v>
      </c>
      <c r="D704" s="594"/>
      <c r="E704" s="1564" t="s">
        <v>1357</v>
      </c>
      <c r="F704" s="916"/>
      <c r="G704" s="916">
        <f>G705+G706+G707</f>
        <v>19882</v>
      </c>
      <c r="H704" s="916">
        <f>H705+H706+H707</f>
        <v>19882</v>
      </c>
      <c r="I704" s="908">
        <f t="shared" si="34"/>
        <v>100</v>
      </c>
    </row>
    <row r="705" spans="1:20" ht="14.25" x14ac:dyDescent="0.2">
      <c r="A705" s="435"/>
      <c r="B705" s="705"/>
      <c r="C705" s="705"/>
      <c r="D705" s="578" t="s">
        <v>1267</v>
      </c>
      <c r="E705" s="474" t="s">
        <v>882</v>
      </c>
      <c r="F705" s="897"/>
      <c r="G705" s="897">
        <v>18950</v>
      </c>
      <c r="H705" s="897">
        <v>18950</v>
      </c>
      <c r="I705" s="893">
        <f t="shared" si="34"/>
        <v>100</v>
      </c>
    </row>
    <row r="706" spans="1:20" ht="14.25" x14ac:dyDescent="0.2">
      <c r="A706" s="435"/>
      <c r="B706" s="808"/>
      <c r="C706" s="808"/>
      <c r="D706" s="1569" t="s">
        <v>1771</v>
      </c>
      <c r="E706" s="1561" t="s">
        <v>1908</v>
      </c>
      <c r="F706" s="903"/>
      <c r="G706" s="903">
        <v>140</v>
      </c>
      <c r="H706" s="903">
        <v>140</v>
      </c>
      <c r="I706" s="898">
        <f t="shared" si="34"/>
        <v>100</v>
      </c>
    </row>
    <row r="707" spans="1:20" ht="15" thickBot="1" x14ac:dyDescent="0.25">
      <c r="A707" s="435"/>
      <c r="B707" s="808"/>
      <c r="C707" s="808"/>
      <c r="D707" s="1569" t="s">
        <v>1773</v>
      </c>
      <c r="E707" s="1561" t="s">
        <v>1908</v>
      </c>
      <c r="F707" s="903"/>
      <c r="G707" s="903">
        <v>792</v>
      </c>
      <c r="H707" s="903">
        <v>792</v>
      </c>
      <c r="I707" s="898">
        <f t="shared" si="34"/>
        <v>100</v>
      </c>
    </row>
    <row r="708" spans="1:20" ht="16.5" thickTop="1" thickBot="1" x14ac:dyDescent="0.3">
      <c r="A708" s="2739" t="s">
        <v>1246</v>
      </c>
      <c r="B708" s="2740"/>
      <c r="C708" s="2740"/>
      <c r="D708" s="2740"/>
      <c r="E708" s="2740"/>
      <c r="F708" s="894">
        <f>F700</f>
        <v>4628</v>
      </c>
      <c r="G708" s="894">
        <f>G700+G704</f>
        <v>24544</v>
      </c>
      <c r="H708" s="894">
        <f>H700+H704</f>
        <v>24544</v>
      </c>
      <c r="I708" s="895">
        <f t="shared" si="34"/>
        <v>100</v>
      </c>
      <c r="R708" s="385">
        <f>F708</f>
        <v>4628</v>
      </c>
      <c r="S708" s="385">
        <f>G708</f>
        <v>24544</v>
      </c>
      <c r="T708" s="385">
        <f>H708</f>
        <v>24544</v>
      </c>
    </row>
    <row r="709" spans="1:20" ht="18" customHeight="1" thickTop="1" x14ac:dyDescent="0.25">
      <c r="A709" s="370"/>
      <c r="B709" s="370"/>
      <c r="C709" s="370"/>
      <c r="D709" s="370"/>
      <c r="E709" s="370"/>
      <c r="F709" s="181"/>
      <c r="G709" s="181"/>
      <c r="H709" s="181"/>
      <c r="I709" s="210"/>
      <c r="R709" s="385"/>
      <c r="S709" s="385"/>
      <c r="T709" s="385"/>
    </row>
    <row r="710" spans="1:20" ht="13.5" thickBot="1" x14ac:dyDescent="0.25">
      <c r="A710" s="439" t="s">
        <v>365</v>
      </c>
      <c r="I710" s="1548" t="s">
        <v>179</v>
      </c>
    </row>
    <row r="711" spans="1:20" s="107" customFormat="1" thickTop="1" thickBot="1" x14ac:dyDescent="0.25">
      <c r="A711" s="657" t="s">
        <v>692</v>
      </c>
      <c r="B711" s="835" t="s">
        <v>180</v>
      </c>
      <c r="C711" s="658" t="s">
        <v>181</v>
      </c>
      <c r="D711" s="660" t="s">
        <v>783</v>
      </c>
      <c r="E711" s="660" t="s">
        <v>182</v>
      </c>
      <c r="F711" s="660" t="s">
        <v>183</v>
      </c>
      <c r="G711" s="660" t="s">
        <v>985</v>
      </c>
      <c r="H711" s="660" t="s">
        <v>986</v>
      </c>
      <c r="I711" s="888" t="s">
        <v>987</v>
      </c>
    </row>
    <row r="712" spans="1:20" s="386" customFormat="1" ht="13.5" customHeight="1" thickTop="1" thickBot="1" x14ac:dyDescent="0.25">
      <c r="A712" s="592">
        <v>1</v>
      </c>
      <c r="B712" s="593">
        <v>2</v>
      </c>
      <c r="C712" s="593">
        <v>3</v>
      </c>
      <c r="D712" s="593">
        <v>4</v>
      </c>
      <c r="E712" s="593">
        <v>5</v>
      </c>
      <c r="F712" s="567">
        <v>6</v>
      </c>
      <c r="G712" s="567">
        <v>7</v>
      </c>
      <c r="H712" s="568">
        <v>8</v>
      </c>
      <c r="I712" s="662" t="s">
        <v>848</v>
      </c>
    </row>
    <row r="713" spans="1:20" ht="13.5" customHeight="1" thickTop="1" x14ac:dyDescent="0.25">
      <c r="A713" s="1549">
        <v>1105</v>
      </c>
      <c r="B713" s="836">
        <v>3121</v>
      </c>
      <c r="C713" s="836">
        <v>5331</v>
      </c>
      <c r="D713" s="909"/>
      <c r="E713" s="930" t="s">
        <v>1066</v>
      </c>
      <c r="F713" s="931">
        <f>F714+F715+F716</f>
        <v>2592</v>
      </c>
      <c r="G713" s="931">
        <f>G714+G715+G716</f>
        <v>2715</v>
      </c>
      <c r="H713" s="931">
        <f>H714+H715+H716</f>
        <v>2715</v>
      </c>
      <c r="I713" s="896">
        <f t="shared" ref="I713:I723" si="35">(H713/G713)*100</f>
        <v>100</v>
      </c>
    </row>
    <row r="714" spans="1:20" ht="13.5" customHeight="1" x14ac:dyDescent="0.2">
      <c r="A714" s="435"/>
      <c r="B714" s="705"/>
      <c r="C714" s="705"/>
      <c r="D714" s="743" t="s">
        <v>641</v>
      </c>
      <c r="E714" s="1679" t="s">
        <v>883</v>
      </c>
      <c r="F714" s="897">
        <v>822</v>
      </c>
      <c r="G714" s="897">
        <v>822</v>
      </c>
      <c r="H714" s="897">
        <v>822</v>
      </c>
      <c r="I714" s="893">
        <f t="shared" si="35"/>
        <v>100</v>
      </c>
    </row>
    <row r="715" spans="1:20" ht="13.5" customHeight="1" x14ac:dyDescent="0.2">
      <c r="A715" s="435"/>
      <c r="B715" s="705"/>
      <c r="C715" s="705"/>
      <c r="D715" s="578" t="s">
        <v>636</v>
      </c>
      <c r="E715" s="474" t="s">
        <v>72</v>
      </c>
      <c r="F715" s="897">
        <v>1770</v>
      </c>
      <c r="G715" s="897">
        <v>1770</v>
      </c>
      <c r="H715" s="897">
        <v>1770</v>
      </c>
      <c r="I715" s="893">
        <f t="shared" si="35"/>
        <v>100</v>
      </c>
    </row>
    <row r="716" spans="1:20" ht="13.5" customHeight="1" x14ac:dyDescent="0.2">
      <c r="A716" s="435"/>
      <c r="B716" s="705"/>
      <c r="C716" s="705"/>
      <c r="D716" s="1178" t="s">
        <v>1763</v>
      </c>
      <c r="E716" s="2590" t="s">
        <v>1913</v>
      </c>
      <c r="F716" s="897"/>
      <c r="G716" s="897">
        <v>123</v>
      </c>
      <c r="H716" s="897">
        <v>123</v>
      </c>
      <c r="I716" s="893">
        <f t="shared" si="35"/>
        <v>100</v>
      </c>
    </row>
    <row r="717" spans="1:20" ht="15" x14ac:dyDescent="0.25">
      <c r="A717" s="435">
        <v>1105</v>
      </c>
      <c r="B717" s="808">
        <v>3121</v>
      </c>
      <c r="C717" s="808">
        <v>5336</v>
      </c>
      <c r="D717" s="594"/>
      <c r="E717" s="1564" t="s">
        <v>1357</v>
      </c>
      <c r="F717" s="916"/>
      <c r="G717" s="916">
        <f>G718+G719+G720</f>
        <v>14678</v>
      </c>
      <c r="H717" s="916">
        <f>H718+H719+H720</f>
        <v>14678</v>
      </c>
      <c r="I717" s="908">
        <f t="shared" si="35"/>
        <v>100</v>
      </c>
    </row>
    <row r="718" spans="1:20" ht="20.25" customHeight="1" x14ac:dyDescent="0.2">
      <c r="A718" s="435"/>
      <c r="B718" s="705"/>
      <c r="C718" s="705"/>
      <c r="D718" s="578" t="s">
        <v>1267</v>
      </c>
      <c r="E718" s="474" t="s">
        <v>882</v>
      </c>
      <c r="F718" s="897"/>
      <c r="G718" s="897">
        <v>13936</v>
      </c>
      <c r="H718" s="897">
        <v>13936</v>
      </c>
      <c r="I718" s="893">
        <f t="shared" si="35"/>
        <v>100</v>
      </c>
    </row>
    <row r="719" spans="1:20" ht="14.25" x14ac:dyDescent="0.2">
      <c r="A719" s="435"/>
      <c r="B719" s="808"/>
      <c r="C719" s="808"/>
      <c r="D719" s="1569" t="s">
        <v>1771</v>
      </c>
      <c r="E719" s="1561" t="s">
        <v>1908</v>
      </c>
      <c r="F719" s="903"/>
      <c r="G719" s="903">
        <v>111</v>
      </c>
      <c r="H719" s="903">
        <v>111</v>
      </c>
      <c r="I719" s="898">
        <f t="shared" si="35"/>
        <v>100</v>
      </c>
    </row>
    <row r="720" spans="1:20" ht="14.25" x14ac:dyDescent="0.2">
      <c r="A720" s="435"/>
      <c r="B720" s="808"/>
      <c r="C720" s="808"/>
      <c r="D720" s="1569" t="s">
        <v>1773</v>
      </c>
      <c r="E720" s="1561" t="s">
        <v>1908</v>
      </c>
      <c r="F720" s="903"/>
      <c r="G720" s="903">
        <v>631</v>
      </c>
      <c r="H720" s="903">
        <v>631</v>
      </c>
      <c r="I720" s="898">
        <f t="shared" si="35"/>
        <v>100</v>
      </c>
    </row>
    <row r="721" spans="1:20" ht="15" x14ac:dyDescent="0.25">
      <c r="A721" s="435">
        <v>1105</v>
      </c>
      <c r="B721" s="808">
        <v>3299</v>
      </c>
      <c r="C721" s="1551">
        <v>5331</v>
      </c>
      <c r="D721" s="578"/>
      <c r="E721" s="854" t="s">
        <v>1066</v>
      </c>
      <c r="F721" s="916"/>
      <c r="G721" s="916">
        <v>16</v>
      </c>
      <c r="H721" s="916">
        <v>16</v>
      </c>
      <c r="I721" s="908">
        <f t="shared" si="35"/>
        <v>100</v>
      </c>
    </row>
    <row r="722" spans="1:20" ht="15" thickBot="1" x14ac:dyDescent="0.25">
      <c r="A722" s="435"/>
      <c r="B722" s="808"/>
      <c r="C722" s="1551"/>
      <c r="D722" s="1437" t="s">
        <v>407</v>
      </c>
      <c r="E722" s="479" t="s">
        <v>1260</v>
      </c>
      <c r="F722" s="903"/>
      <c r="G722" s="903">
        <v>16</v>
      </c>
      <c r="H722" s="903">
        <v>16</v>
      </c>
      <c r="I722" s="898">
        <f t="shared" si="35"/>
        <v>100</v>
      </c>
    </row>
    <row r="723" spans="1:20" ht="16.5" thickTop="1" thickBot="1" x14ac:dyDescent="0.3">
      <c r="A723" s="2739" t="s">
        <v>1246</v>
      </c>
      <c r="B723" s="2740"/>
      <c r="C723" s="2740"/>
      <c r="D723" s="2740"/>
      <c r="E723" s="2740"/>
      <c r="F723" s="894">
        <f>F713+F721</f>
        <v>2592</v>
      </c>
      <c r="G723" s="894">
        <f>G713+G721+G717</f>
        <v>17409</v>
      </c>
      <c r="H723" s="894">
        <f>H713+H721+H717</f>
        <v>17409</v>
      </c>
      <c r="I723" s="895">
        <f t="shared" si="35"/>
        <v>100</v>
      </c>
      <c r="R723" s="385">
        <f>F723</f>
        <v>2592</v>
      </c>
      <c r="S723" s="385">
        <f>G723</f>
        <v>17409</v>
      </c>
      <c r="T723" s="385">
        <f>H723</f>
        <v>17409</v>
      </c>
    </row>
    <row r="724" spans="1:20" ht="13.5" thickTop="1" x14ac:dyDescent="0.2"/>
    <row r="725" spans="1:20" ht="13.5" thickBot="1" x14ac:dyDescent="0.25">
      <c r="A725" s="439" t="s">
        <v>366</v>
      </c>
      <c r="I725" s="1548" t="s">
        <v>179</v>
      </c>
    </row>
    <row r="726" spans="1:20" s="107" customFormat="1" ht="18" customHeight="1" thickTop="1" thickBot="1" x14ac:dyDescent="0.25">
      <c r="A726" s="657" t="s">
        <v>692</v>
      </c>
      <c r="B726" s="835" t="s">
        <v>180</v>
      </c>
      <c r="C726" s="658" t="s">
        <v>181</v>
      </c>
      <c r="D726" s="660" t="s">
        <v>783</v>
      </c>
      <c r="E726" s="660" t="s">
        <v>182</v>
      </c>
      <c r="F726" s="660" t="s">
        <v>183</v>
      </c>
      <c r="G726" s="660" t="s">
        <v>985</v>
      </c>
      <c r="H726" s="660" t="s">
        <v>986</v>
      </c>
      <c r="I726" s="888" t="s">
        <v>987</v>
      </c>
    </row>
    <row r="727" spans="1:20" s="386" customFormat="1" ht="13.5" thickTop="1" thickBot="1" x14ac:dyDescent="0.25">
      <c r="A727" s="592">
        <v>1</v>
      </c>
      <c r="B727" s="593">
        <v>2</v>
      </c>
      <c r="C727" s="593">
        <v>3</v>
      </c>
      <c r="D727" s="593">
        <v>4</v>
      </c>
      <c r="E727" s="593">
        <v>5</v>
      </c>
      <c r="F727" s="567">
        <v>6</v>
      </c>
      <c r="G727" s="567">
        <v>7</v>
      </c>
      <c r="H727" s="568">
        <v>8</v>
      </c>
      <c r="I727" s="662" t="s">
        <v>848</v>
      </c>
    </row>
    <row r="728" spans="1:20" ht="15.75" thickTop="1" x14ac:dyDescent="0.25">
      <c r="A728" s="1549">
        <v>1106</v>
      </c>
      <c r="B728" s="836">
        <v>3121</v>
      </c>
      <c r="C728" s="836">
        <v>5331</v>
      </c>
      <c r="D728" s="909"/>
      <c r="E728" s="930" t="s">
        <v>1066</v>
      </c>
      <c r="F728" s="931">
        <f>SUM(F729:F734)</f>
        <v>4214</v>
      </c>
      <c r="G728" s="931">
        <f>G729+G730+G731+G732</f>
        <v>4478</v>
      </c>
      <c r="H728" s="931">
        <f>H729+H730+H731+H732</f>
        <v>4478</v>
      </c>
      <c r="I728" s="896">
        <f t="shared" ref="I728:I739" si="36">(H728/G728)*100</f>
        <v>100</v>
      </c>
    </row>
    <row r="729" spans="1:20" ht="14.25" x14ac:dyDescent="0.2">
      <c r="A729" s="435"/>
      <c r="B729" s="705"/>
      <c r="C729" s="705"/>
      <c r="D729" s="743" t="s">
        <v>641</v>
      </c>
      <c r="E729" s="1679" t="s">
        <v>883</v>
      </c>
      <c r="F729" s="897">
        <v>711</v>
      </c>
      <c r="G729" s="897">
        <v>876</v>
      </c>
      <c r="H729" s="897">
        <v>876</v>
      </c>
      <c r="I729" s="893">
        <f t="shared" si="36"/>
        <v>100</v>
      </c>
    </row>
    <row r="730" spans="1:20" ht="14.25" x14ac:dyDescent="0.2">
      <c r="A730" s="435"/>
      <c r="B730" s="705"/>
      <c r="C730" s="705"/>
      <c r="D730" s="578" t="s">
        <v>636</v>
      </c>
      <c r="E730" s="474" t="s">
        <v>72</v>
      </c>
      <c r="F730" s="897">
        <v>3503</v>
      </c>
      <c r="G730" s="897">
        <v>3503</v>
      </c>
      <c r="H730" s="897">
        <v>3503</v>
      </c>
      <c r="I730" s="893">
        <f t="shared" si="36"/>
        <v>100</v>
      </c>
    </row>
    <row r="731" spans="1:20" ht="14.25" x14ac:dyDescent="0.2">
      <c r="A731" s="435"/>
      <c r="B731" s="705"/>
      <c r="C731" s="705"/>
      <c r="D731" s="578" t="s">
        <v>1265</v>
      </c>
      <c r="E731" s="479" t="s">
        <v>1258</v>
      </c>
      <c r="F731" s="897"/>
      <c r="G731" s="897">
        <v>10</v>
      </c>
      <c r="H731" s="897">
        <v>10</v>
      </c>
      <c r="I731" s="893">
        <f t="shared" si="36"/>
        <v>100</v>
      </c>
    </row>
    <row r="732" spans="1:20" ht="14.25" x14ac:dyDescent="0.2">
      <c r="A732" s="435"/>
      <c r="B732" s="705"/>
      <c r="C732" s="705"/>
      <c r="D732" s="1178" t="s">
        <v>1763</v>
      </c>
      <c r="E732" s="2590" t="s">
        <v>1913</v>
      </c>
      <c r="F732" s="897"/>
      <c r="G732" s="897">
        <v>89</v>
      </c>
      <c r="H732" s="897">
        <v>89</v>
      </c>
      <c r="I732" s="893">
        <f t="shared" si="36"/>
        <v>100</v>
      </c>
    </row>
    <row r="733" spans="1:20" ht="20.25" customHeight="1" x14ac:dyDescent="0.25">
      <c r="A733" s="435">
        <v>1106</v>
      </c>
      <c r="B733" s="808">
        <v>3121</v>
      </c>
      <c r="C733" s="808">
        <v>5336</v>
      </c>
      <c r="D733" s="594"/>
      <c r="E733" s="1564" t="s">
        <v>1357</v>
      </c>
      <c r="F733" s="916"/>
      <c r="G733" s="916">
        <f>G734+G735+G736</f>
        <v>30120</v>
      </c>
      <c r="H733" s="916">
        <f>H734+H735+H736</f>
        <v>30120</v>
      </c>
      <c r="I733" s="908">
        <f t="shared" si="36"/>
        <v>100</v>
      </c>
    </row>
    <row r="734" spans="1:20" ht="14.25" x14ac:dyDescent="0.2">
      <c r="A734" s="435"/>
      <c r="B734" s="705"/>
      <c r="C734" s="705"/>
      <c r="D734" s="578" t="s">
        <v>1267</v>
      </c>
      <c r="E734" s="474" t="s">
        <v>882</v>
      </c>
      <c r="F734" s="897"/>
      <c r="G734" s="897">
        <v>28907</v>
      </c>
      <c r="H734" s="897">
        <v>28907</v>
      </c>
      <c r="I734" s="893">
        <f t="shared" si="36"/>
        <v>100</v>
      </c>
    </row>
    <row r="735" spans="1:20" ht="14.25" x14ac:dyDescent="0.2">
      <c r="A735" s="435"/>
      <c r="B735" s="808"/>
      <c r="C735" s="808"/>
      <c r="D735" s="1569" t="s">
        <v>1771</v>
      </c>
      <c r="E735" s="1561" t="s">
        <v>1908</v>
      </c>
      <c r="F735" s="903"/>
      <c r="G735" s="903">
        <v>182</v>
      </c>
      <c r="H735" s="903">
        <v>182</v>
      </c>
      <c r="I735" s="898">
        <f t="shared" si="36"/>
        <v>100</v>
      </c>
    </row>
    <row r="736" spans="1:20" ht="14.25" x14ac:dyDescent="0.2">
      <c r="A736" s="435"/>
      <c r="B736" s="808"/>
      <c r="C736" s="808"/>
      <c r="D736" s="1569" t="s">
        <v>1773</v>
      </c>
      <c r="E736" s="1561" t="s">
        <v>1908</v>
      </c>
      <c r="F736" s="903"/>
      <c r="G736" s="903">
        <v>1031</v>
      </c>
      <c r="H736" s="903">
        <v>1031</v>
      </c>
      <c r="I736" s="898">
        <f t="shared" si="36"/>
        <v>100</v>
      </c>
    </row>
    <row r="737" spans="1:23" ht="15" x14ac:dyDescent="0.25">
      <c r="A737" s="435">
        <v>1106</v>
      </c>
      <c r="B737" s="808">
        <v>3143</v>
      </c>
      <c r="C737" s="808">
        <v>5336</v>
      </c>
      <c r="D737" s="912"/>
      <c r="E737" s="1564" t="s">
        <v>1357</v>
      </c>
      <c r="F737" s="905"/>
      <c r="G737" s="905">
        <v>273</v>
      </c>
      <c r="H737" s="905">
        <v>273</v>
      </c>
      <c r="I737" s="906">
        <f t="shared" si="36"/>
        <v>100</v>
      </c>
    </row>
    <row r="738" spans="1:23" ht="15" thickBot="1" x14ac:dyDescent="0.25">
      <c r="A738" s="435"/>
      <c r="B738" s="808"/>
      <c r="C738" s="808"/>
      <c r="D738" s="578" t="s">
        <v>1267</v>
      </c>
      <c r="E738" s="474" t="s">
        <v>882</v>
      </c>
      <c r="F738" s="903"/>
      <c r="G738" s="903">
        <v>273</v>
      </c>
      <c r="H738" s="903">
        <v>273</v>
      </c>
      <c r="I738" s="898">
        <f t="shared" si="36"/>
        <v>100</v>
      </c>
    </row>
    <row r="739" spans="1:23" ht="16.5" thickTop="1" thickBot="1" x14ac:dyDescent="0.3">
      <c r="A739" s="2739" t="s">
        <v>1246</v>
      </c>
      <c r="B739" s="2740"/>
      <c r="C739" s="2740"/>
      <c r="D739" s="2740"/>
      <c r="E739" s="2740"/>
      <c r="F739" s="894">
        <f>SUM(F728,F737)</f>
        <v>4214</v>
      </c>
      <c r="G739" s="894">
        <f>SUM(G728,G737,G733)</f>
        <v>34871</v>
      </c>
      <c r="H739" s="894">
        <f>SUM(H728,H737,H733)</f>
        <v>34871</v>
      </c>
      <c r="I739" s="895">
        <f t="shared" si="36"/>
        <v>100</v>
      </c>
      <c r="Q739" s="1555"/>
      <c r="R739" s="969">
        <f>F739</f>
        <v>4214</v>
      </c>
      <c r="S739" s="969">
        <f>G739</f>
        <v>34871</v>
      </c>
      <c r="T739" s="969">
        <f>H739</f>
        <v>34871</v>
      </c>
      <c r="U739" s="1555"/>
      <c r="V739" s="1555"/>
    </row>
    <row r="740" spans="1:23" ht="15.75" thickTop="1" x14ac:dyDescent="0.25">
      <c r="A740" s="435">
        <v>1106</v>
      </c>
      <c r="B740" s="705">
        <v>3121</v>
      </c>
      <c r="C740" s="705">
        <v>6351</v>
      </c>
      <c r="D740" s="889"/>
      <c r="E740" s="650" t="s">
        <v>1317</v>
      </c>
      <c r="F740" s="890">
        <v>0</v>
      </c>
      <c r="G740" s="890">
        <v>666</v>
      </c>
      <c r="H740" s="890">
        <v>666</v>
      </c>
      <c r="I740" s="891">
        <f>(H740/G740)*100</f>
        <v>100</v>
      </c>
    </row>
    <row r="741" spans="1:23" ht="15.75" thickBot="1" x14ac:dyDescent="0.3">
      <c r="A741" s="435"/>
      <c r="B741" s="705"/>
      <c r="C741" s="705"/>
      <c r="D741" s="1438" t="s">
        <v>1329</v>
      </c>
      <c r="E741" s="1441" t="s">
        <v>1664</v>
      </c>
      <c r="F741" s="890"/>
      <c r="G741" s="357">
        <v>666</v>
      </c>
      <c r="H741" s="357">
        <v>666</v>
      </c>
      <c r="I741" s="1440">
        <v>100</v>
      </c>
    </row>
    <row r="742" spans="1:23" ht="16.5" thickTop="1" thickBot="1" x14ac:dyDescent="0.3">
      <c r="A742" s="2739" t="s">
        <v>1247</v>
      </c>
      <c r="B742" s="2740"/>
      <c r="C742" s="2740"/>
      <c r="D742" s="2740"/>
      <c r="E742" s="2740"/>
      <c r="F742" s="894">
        <f>F740</f>
        <v>0</v>
      </c>
      <c r="G742" s="894">
        <f>G740</f>
        <v>666</v>
      </c>
      <c r="H742" s="894">
        <f>H740</f>
        <v>666</v>
      </c>
      <c r="I742" s="895">
        <f>(H742/G742)*100</f>
        <v>100</v>
      </c>
      <c r="R742" s="385"/>
      <c r="S742" s="385"/>
      <c r="T742" s="385"/>
      <c r="U742" s="385">
        <f>F742</f>
        <v>0</v>
      </c>
      <c r="V742" s="385">
        <f>G742</f>
        <v>666</v>
      </c>
      <c r="W742" s="385">
        <f>H742</f>
        <v>666</v>
      </c>
    </row>
    <row r="743" spans="1:23" ht="18" customHeight="1" thickTop="1" x14ac:dyDescent="0.25">
      <c r="A743" s="370"/>
      <c r="B743" s="370"/>
      <c r="C743" s="370"/>
      <c r="D743" s="370"/>
      <c r="E743" s="370"/>
      <c r="F743" s="181"/>
      <c r="G743" s="181"/>
      <c r="H743" s="181"/>
      <c r="I743" s="210"/>
      <c r="Q743" s="1555"/>
      <c r="R743" s="969"/>
      <c r="S743" s="969"/>
      <c r="T743" s="969"/>
      <c r="U743" s="1555"/>
      <c r="V743" s="1555"/>
    </row>
    <row r="744" spans="1:23" ht="18" customHeight="1" x14ac:dyDescent="0.25">
      <c r="A744" s="370"/>
      <c r="B744" s="370"/>
      <c r="C744" s="370"/>
      <c r="D744" s="370"/>
      <c r="E744" s="370"/>
      <c r="F744" s="181"/>
      <c r="G744" s="181"/>
      <c r="H744" s="181"/>
      <c r="I744" s="210"/>
      <c r="Q744" s="1555"/>
      <c r="R744" s="969"/>
      <c r="S744" s="969"/>
      <c r="T744" s="969"/>
      <c r="U744" s="1555"/>
      <c r="V744" s="1555"/>
    </row>
    <row r="745" spans="1:23" ht="18" customHeight="1" x14ac:dyDescent="0.25">
      <c r="A745" s="370"/>
      <c r="B745" s="370"/>
      <c r="C745" s="370"/>
      <c r="D745" s="370"/>
      <c r="E745" s="370"/>
      <c r="F745" s="181"/>
      <c r="G745" s="181"/>
      <c r="H745" s="181"/>
      <c r="I745" s="210"/>
      <c r="Q745" s="1555"/>
      <c r="R745" s="969"/>
      <c r="S745" s="969"/>
      <c r="T745" s="969"/>
      <c r="U745" s="1555"/>
      <c r="V745" s="1555"/>
    </row>
    <row r="746" spans="1:23" ht="13.5" thickBot="1" x14ac:dyDescent="0.25">
      <c r="A746" s="439" t="s">
        <v>367</v>
      </c>
      <c r="I746" s="1548" t="s">
        <v>179</v>
      </c>
    </row>
    <row r="747" spans="1:23" s="107" customFormat="1" thickTop="1" thickBot="1" x14ac:dyDescent="0.25">
      <c r="A747" s="657" t="s">
        <v>692</v>
      </c>
      <c r="B747" s="835" t="s">
        <v>180</v>
      </c>
      <c r="C747" s="658" t="s">
        <v>181</v>
      </c>
      <c r="D747" s="660" t="s">
        <v>783</v>
      </c>
      <c r="E747" s="660" t="s">
        <v>182</v>
      </c>
      <c r="F747" s="660" t="s">
        <v>183</v>
      </c>
      <c r="G747" s="660" t="s">
        <v>985</v>
      </c>
      <c r="H747" s="660" t="s">
        <v>986</v>
      </c>
      <c r="I747" s="888" t="s">
        <v>987</v>
      </c>
    </row>
    <row r="748" spans="1:23" s="107" customFormat="1" ht="18" customHeight="1" thickTop="1" thickBot="1" x14ac:dyDescent="0.25">
      <c r="A748" s="714"/>
      <c r="B748" s="717"/>
      <c r="C748" s="715"/>
      <c r="D748" s="718"/>
      <c r="E748" s="718"/>
      <c r="F748" s="718"/>
      <c r="G748" s="718"/>
      <c r="H748" s="718"/>
      <c r="I748" s="719"/>
    </row>
    <row r="749" spans="1:23" ht="18" customHeight="1" thickTop="1" x14ac:dyDescent="0.25">
      <c r="A749" s="1549">
        <v>1108</v>
      </c>
      <c r="B749" s="836">
        <v>3121</v>
      </c>
      <c r="C749" s="836">
        <v>5331</v>
      </c>
      <c r="D749" s="909"/>
      <c r="E749" s="930" t="s">
        <v>1066</v>
      </c>
      <c r="F749" s="931">
        <f>SUM(F750:F752)</f>
        <v>4942</v>
      </c>
      <c r="G749" s="931">
        <f>G750+G751+G752</f>
        <v>4989</v>
      </c>
      <c r="H749" s="931">
        <f>SUM(H750:H752)</f>
        <v>4989</v>
      </c>
      <c r="I749" s="896">
        <f t="shared" ref="I749:I752" si="37">(H749/G749)*100</f>
        <v>100</v>
      </c>
    </row>
    <row r="750" spans="1:23" ht="18" customHeight="1" x14ac:dyDescent="0.2">
      <c r="A750" s="435"/>
      <c r="B750" s="705"/>
      <c r="C750" s="705"/>
      <c r="D750" s="743" t="s">
        <v>641</v>
      </c>
      <c r="E750" s="1679" t="s">
        <v>883</v>
      </c>
      <c r="F750" s="897">
        <v>428</v>
      </c>
      <c r="G750" s="897">
        <v>468</v>
      </c>
      <c r="H750" s="897">
        <v>468</v>
      </c>
      <c r="I750" s="893">
        <f t="shared" si="37"/>
        <v>100</v>
      </c>
    </row>
    <row r="751" spans="1:23" ht="18" customHeight="1" x14ac:dyDescent="0.2">
      <c r="A751" s="435"/>
      <c r="B751" s="705"/>
      <c r="C751" s="705"/>
      <c r="D751" s="578" t="s">
        <v>636</v>
      </c>
      <c r="E751" s="474" t="s">
        <v>72</v>
      </c>
      <c r="F751" s="897">
        <v>4514</v>
      </c>
      <c r="G751" s="897">
        <v>4514</v>
      </c>
      <c r="H751" s="897">
        <v>4514</v>
      </c>
      <c r="I751" s="893">
        <f t="shared" si="37"/>
        <v>100</v>
      </c>
    </row>
    <row r="752" spans="1:23" ht="18" customHeight="1" x14ac:dyDescent="0.2">
      <c r="A752" s="435"/>
      <c r="B752" s="705"/>
      <c r="C752" s="705"/>
      <c r="D752" s="1178" t="s">
        <v>1763</v>
      </c>
      <c r="E752" s="2590" t="s">
        <v>1913</v>
      </c>
      <c r="F752" s="897"/>
      <c r="G752" s="897">
        <v>7</v>
      </c>
      <c r="H752" s="897">
        <v>7</v>
      </c>
      <c r="I752" s="893">
        <f t="shared" si="37"/>
        <v>100</v>
      </c>
    </row>
    <row r="753" spans="1:20" ht="18" customHeight="1" x14ac:dyDescent="0.25">
      <c r="A753" s="435">
        <v>1108</v>
      </c>
      <c r="B753" s="808">
        <v>3121</v>
      </c>
      <c r="C753" s="808">
        <v>5336</v>
      </c>
      <c r="D753" s="1429"/>
      <c r="E753" s="1564" t="s">
        <v>1357</v>
      </c>
      <c r="F753" s="916"/>
      <c r="G753" s="916">
        <f>G754+G755+G756+G757+G758</f>
        <v>33696</v>
      </c>
      <c r="H753" s="916">
        <f>H754+H755+H756+H757+H758</f>
        <v>33696</v>
      </c>
      <c r="I753" s="906">
        <f>(H753/G753)*100</f>
        <v>100</v>
      </c>
    </row>
    <row r="754" spans="1:20" ht="18" customHeight="1" x14ac:dyDescent="0.2">
      <c r="A754" s="435"/>
      <c r="B754" s="705"/>
      <c r="C754" s="705"/>
      <c r="D754" s="578" t="s">
        <v>1267</v>
      </c>
      <c r="E754" s="474" t="s">
        <v>882</v>
      </c>
      <c r="F754" s="897"/>
      <c r="G754" s="897">
        <v>29597</v>
      </c>
      <c r="H754" s="897">
        <v>29597</v>
      </c>
      <c r="I754" s="893">
        <f t="shared" ref="I754" si="38">(H754/G754)*100</f>
        <v>100</v>
      </c>
    </row>
    <row r="755" spans="1:20" ht="18" customHeight="1" x14ac:dyDescent="0.2">
      <c r="A755" s="435"/>
      <c r="B755" s="808"/>
      <c r="C755" s="808"/>
      <c r="D755" s="1569" t="s">
        <v>772</v>
      </c>
      <c r="E755" s="1570" t="s">
        <v>1360</v>
      </c>
      <c r="F755" s="903"/>
      <c r="G755" s="903">
        <v>430</v>
      </c>
      <c r="H755" s="903">
        <v>430</v>
      </c>
      <c r="I755" s="898">
        <f>(H755/G755)*100</f>
        <v>100</v>
      </c>
    </row>
    <row r="756" spans="1:20" ht="14.25" x14ac:dyDescent="0.2">
      <c r="A756" s="435"/>
      <c r="B756" s="808"/>
      <c r="C756" s="808"/>
      <c r="D756" s="1569" t="s">
        <v>773</v>
      </c>
      <c r="E756" s="1570" t="s">
        <v>1360</v>
      </c>
      <c r="F756" s="903"/>
      <c r="G756" s="903">
        <v>2439</v>
      </c>
      <c r="H756" s="903">
        <v>2439</v>
      </c>
      <c r="I756" s="898">
        <f>(H756/G756)*100</f>
        <v>100</v>
      </c>
    </row>
    <row r="757" spans="1:20" ht="20.25" customHeight="1" x14ac:dyDescent="0.2">
      <c r="A757" s="435"/>
      <c r="B757" s="808"/>
      <c r="C757" s="808"/>
      <c r="D757" s="1569" t="s">
        <v>1771</v>
      </c>
      <c r="E757" s="1561" t="s">
        <v>1908</v>
      </c>
      <c r="F757" s="903"/>
      <c r="G757" s="903">
        <v>185</v>
      </c>
      <c r="H757" s="903">
        <v>185</v>
      </c>
      <c r="I757" s="898">
        <f>(H757/G757)*100</f>
        <v>100</v>
      </c>
    </row>
    <row r="758" spans="1:20" ht="20.25" customHeight="1" x14ac:dyDescent="0.2">
      <c r="A758" s="435"/>
      <c r="B758" s="808"/>
      <c r="C758" s="808"/>
      <c r="D758" s="1569" t="s">
        <v>1773</v>
      </c>
      <c r="E758" s="1561" t="s">
        <v>1908</v>
      </c>
      <c r="F758" s="903"/>
      <c r="G758" s="903">
        <v>1045</v>
      </c>
      <c r="H758" s="903">
        <v>1045</v>
      </c>
      <c r="I758" s="898">
        <f>(H758/G758)*100</f>
        <v>100</v>
      </c>
    </row>
    <row r="759" spans="1:20" ht="15" x14ac:dyDescent="0.25">
      <c r="A759" s="435">
        <v>1108</v>
      </c>
      <c r="B759" s="808">
        <v>3142</v>
      </c>
      <c r="C759" s="1551">
        <v>5331</v>
      </c>
      <c r="D759" s="912"/>
      <c r="E759" s="704" t="s">
        <v>1066</v>
      </c>
      <c r="F759" s="905">
        <f>F760</f>
        <v>1010</v>
      </c>
      <c r="G759" s="905">
        <f>G760</f>
        <v>1010</v>
      </c>
      <c r="H759" s="905">
        <f>H760</f>
        <v>1010</v>
      </c>
      <c r="I759" s="906">
        <v>100</v>
      </c>
    </row>
    <row r="760" spans="1:20" ht="14.25" x14ac:dyDescent="0.2">
      <c r="A760" s="435"/>
      <c r="B760" s="808"/>
      <c r="C760" s="1551"/>
      <c r="D760" s="578" t="s">
        <v>636</v>
      </c>
      <c r="E760" s="474" t="s">
        <v>72</v>
      </c>
      <c r="F760" s="903">
        <v>1010</v>
      </c>
      <c r="G760" s="903">
        <v>1010</v>
      </c>
      <c r="H760" s="903">
        <v>1010</v>
      </c>
      <c r="I760" s="898">
        <v>100</v>
      </c>
    </row>
    <row r="761" spans="1:20" ht="15" x14ac:dyDescent="0.25">
      <c r="A761" s="435">
        <v>1108</v>
      </c>
      <c r="B761" s="808">
        <v>3299</v>
      </c>
      <c r="C761" s="808">
        <v>5331</v>
      </c>
      <c r="D761" s="929"/>
      <c r="E761" s="704" t="s">
        <v>1066</v>
      </c>
      <c r="F761" s="905"/>
      <c r="G761" s="905">
        <f>G762</f>
        <v>8</v>
      </c>
      <c r="H761" s="905">
        <f>H762</f>
        <v>8</v>
      </c>
      <c r="I761" s="906">
        <f>(H761/G761)*100</f>
        <v>100</v>
      </c>
    </row>
    <row r="762" spans="1:20" ht="15.75" thickBot="1" x14ac:dyDescent="0.3">
      <c r="A762" s="435"/>
      <c r="B762" s="808"/>
      <c r="C762" s="808"/>
      <c r="D762" s="1437" t="s">
        <v>407</v>
      </c>
      <c r="E762" s="479" t="s">
        <v>1260</v>
      </c>
      <c r="F762" s="905"/>
      <c r="G762" s="903">
        <v>8</v>
      </c>
      <c r="H762" s="903">
        <v>8</v>
      </c>
      <c r="I762" s="898">
        <f>(H762/G762)*100</f>
        <v>100</v>
      </c>
    </row>
    <row r="763" spans="1:20" ht="16.5" thickTop="1" thickBot="1" x14ac:dyDescent="0.3">
      <c r="A763" s="2739" t="s">
        <v>1246</v>
      </c>
      <c r="B763" s="2740"/>
      <c r="C763" s="2740"/>
      <c r="D763" s="2740"/>
      <c r="E763" s="2740"/>
      <c r="F763" s="894">
        <f>F749+F759</f>
        <v>5952</v>
      </c>
      <c r="G763" s="894">
        <f>G749+G753+G759+G761</f>
        <v>39703</v>
      </c>
      <c r="H763" s="894">
        <f>H749+H759+H761+H753</f>
        <v>39703</v>
      </c>
      <c r="I763" s="895">
        <f>(H763/G763)*100</f>
        <v>100</v>
      </c>
      <c r="R763" s="385">
        <f>F763</f>
        <v>5952</v>
      </c>
      <c r="S763" s="385">
        <f>G763</f>
        <v>39703</v>
      </c>
      <c r="T763" s="385">
        <f>H763</f>
        <v>39703</v>
      </c>
    </row>
    <row r="764" spans="1:20" ht="15.75" thickTop="1" x14ac:dyDescent="0.25">
      <c r="A764" s="370"/>
      <c r="B764" s="370"/>
      <c r="C764" s="370"/>
      <c r="D764" s="370"/>
      <c r="E764" s="370"/>
      <c r="F764" s="181"/>
      <c r="G764" s="181"/>
      <c r="H764" s="181"/>
      <c r="I764" s="210"/>
      <c r="R764" s="385"/>
      <c r="S764" s="385"/>
      <c r="T764" s="385"/>
    </row>
    <row r="765" spans="1:20" ht="13.5" thickBot="1" x14ac:dyDescent="0.25">
      <c r="A765" s="439" t="s">
        <v>1914</v>
      </c>
      <c r="I765" s="1548" t="s">
        <v>179</v>
      </c>
    </row>
    <row r="766" spans="1:20" s="107" customFormat="1" thickTop="1" thickBot="1" x14ac:dyDescent="0.25">
      <c r="A766" s="657" t="s">
        <v>692</v>
      </c>
      <c r="B766" s="835" t="s">
        <v>180</v>
      </c>
      <c r="C766" s="658" t="s">
        <v>181</v>
      </c>
      <c r="D766" s="660" t="s">
        <v>783</v>
      </c>
      <c r="E766" s="660" t="s">
        <v>182</v>
      </c>
      <c r="F766" s="660" t="s">
        <v>183</v>
      </c>
      <c r="G766" s="660" t="s">
        <v>985</v>
      </c>
      <c r="H766" s="660" t="s">
        <v>986</v>
      </c>
      <c r="I766" s="888" t="s">
        <v>987</v>
      </c>
    </row>
    <row r="767" spans="1:20" s="386" customFormat="1" ht="13.5" thickTop="1" thickBot="1" x14ac:dyDescent="0.25">
      <c r="A767" s="592">
        <v>1</v>
      </c>
      <c r="B767" s="593">
        <v>2</v>
      </c>
      <c r="C767" s="593">
        <v>3</v>
      </c>
      <c r="D767" s="593">
        <v>4</v>
      </c>
      <c r="E767" s="593">
        <v>5</v>
      </c>
      <c r="F767" s="567">
        <v>6</v>
      </c>
      <c r="G767" s="567">
        <v>7</v>
      </c>
      <c r="H767" s="568">
        <v>8</v>
      </c>
      <c r="I767" s="662" t="s">
        <v>848</v>
      </c>
    </row>
    <row r="768" spans="1:20" ht="15.75" thickTop="1" x14ac:dyDescent="0.25">
      <c r="A768" s="1549">
        <v>1109</v>
      </c>
      <c r="B768" s="836">
        <v>3121</v>
      </c>
      <c r="C768" s="836">
        <v>5331</v>
      </c>
      <c r="D768" s="909"/>
      <c r="E768" s="930" t="s">
        <v>1066</v>
      </c>
      <c r="F768" s="931">
        <f>SUM(F769:F773)</f>
        <v>2589</v>
      </c>
      <c r="G768" s="931">
        <f>G769+G770+G771</f>
        <v>2630</v>
      </c>
      <c r="H768" s="931">
        <f>H769+H770+H771</f>
        <v>2630</v>
      </c>
      <c r="I768" s="896">
        <f t="shared" ref="I768:I778" si="39">(H768/G768)*100</f>
        <v>100</v>
      </c>
    </row>
    <row r="769" spans="1:20" ht="14.25" x14ac:dyDescent="0.2">
      <c r="A769" s="435"/>
      <c r="B769" s="705"/>
      <c r="C769" s="705"/>
      <c r="D769" s="743" t="s">
        <v>641</v>
      </c>
      <c r="E769" s="1679" t="s">
        <v>883</v>
      </c>
      <c r="F769" s="897">
        <v>799</v>
      </c>
      <c r="G769" s="897">
        <v>799</v>
      </c>
      <c r="H769" s="897">
        <v>799</v>
      </c>
      <c r="I769" s="893">
        <f t="shared" si="39"/>
        <v>100</v>
      </c>
    </row>
    <row r="770" spans="1:20" ht="14.25" x14ac:dyDescent="0.2">
      <c r="A770" s="435"/>
      <c r="B770" s="705"/>
      <c r="C770" s="705"/>
      <c r="D770" s="578" t="s">
        <v>636</v>
      </c>
      <c r="E770" s="474" t="s">
        <v>72</v>
      </c>
      <c r="F770" s="897">
        <v>1790</v>
      </c>
      <c r="G770" s="897">
        <v>1790</v>
      </c>
      <c r="H770" s="897">
        <v>1790</v>
      </c>
      <c r="I770" s="893">
        <f t="shared" si="39"/>
        <v>100</v>
      </c>
    </row>
    <row r="771" spans="1:20" ht="14.25" x14ac:dyDescent="0.2">
      <c r="A771" s="435"/>
      <c r="B771" s="705"/>
      <c r="C771" s="705"/>
      <c r="D771" s="1178" t="s">
        <v>1763</v>
      </c>
      <c r="E771" s="2590" t="s">
        <v>1913</v>
      </c>
      <c r="F771" s="897"/>
      <c r="G771" s="897">
        <v>41</v>
      </c>
      <c r="H771" s="897">
        <v>41</v>
      </c>
      <c r="I771" s="893">
        <f t="shared" si="39"/>
        <v>100</v>
      </c>
    </row>
    <row r="772" spans="1:20" ht="18" customHeight="1" x14ac:dyDescent="0.25">
      <c r="A772" s="435">
        <v>1109</v>
      </c>
      <c r="B772" s="808">
        <v>3121</v>
      </c>
      <c r="C772" s="808">
        <v>5336</v>
      </c>
      <c r="D772" s="1429"/>
      <c r="E772" s="1564" t="s">
        <v>1357</v>
      </c>
      <c r="F772" s="916"/>
      <c r="G772" s="916">
        <f>G773+G774+G775</f>
        <v>17010</v>
      </c>
      <c r="H772" s="916">
        <f>H773+H774+H775</f>
        <v>17010</v>
      </c>
      <c r="I772" s="906">
        <f>(H772/G772)*100</f>
        <v>100</v>
      </c>
    </row>
    <row r="773" spans="1:20" ht="18" customHeight="1" x14ac:dyDescent="0.2">
      <c r="A773" s="435"/>
      <c r="B773" s="705"/>
      <c r="C773" s="705"/>
      <c r="D773" s="578" t="s">
        <v>1267</v>
      </c>
      <c r="E773" s="474" t="s">
        <v>882</v>
      </c>
      <c r="F773" s="897"/>
      <c r="G773" s="897">
        <v>16205</v>
      </c>
      <c r="H773" s="897">
        <v>16205</v>
      </c>
      <c r="I773" s="893">
        <f t="shared" si="39"/>
        <v>100</v>
      </c>
    </row>
    <row r="774" spans="1:20" ht="18" customHeight="1" x14ac:dyDescent="0.2">
      <c r="A774" s="435"/>
      <c r="B774" s="808"/>
      <c r="C774" s="808"/>
      <c r="D774" s="1569" t="s">
        <v>1771</v>
      </c>
      <c r="E774" s="1561" t="s">
        <v>1908</v>
      </c>
      <c r="F774" s="903"/>
      <c r="G774" s="903">
        <v>121</v>
      </c>
      <c r="H774" s="903">
        <v>121</v>
      </c>
      <c r="I774" s="898">
        <f t="shared" si="39"/>
        <v>100</v>
      </c>
    </row>
    <row r="775" spans="1:20" ht="14.25" x14ac:dyDescent="0.2">
      <c r="A775" s="435"/>
      <c r="B775" s="808"/>
      <c r="C775" s="808"/>
      <c r="D775" s="1569" t="s">
        <v>1773</v>
      </c>
      <c r="E775" s="1561" t="s">
        <v>1908</v>
      </c>
      <c r="F775" s="903"/>
      <c r="G775" s="903">
        <v>684</v>
      </c>
      <c r="H775" s="903">
        <v>684</v>
      </c>
      <c r="I775" s="898">
        <f t="shared" si="39"/>
        <v>100</v>
      </c>
    </row>
    <row r="776" spans="1:20" ht="20.25" customHeight="1" x14ac:dyDescent="0.25">
      <c r="A776" s="435">
        <v>1109</v>
      </c>
      <c r="B776" s="808">
        <v>3142</v>
      </c>
      <c r="C776" s="808">
        <v>5331</v>
      </c>
      <c r="D776" s="929"/>
      <c r="E776" s="704" t="s">
        <v>1066</v>
      </c>
      <c r="F776" s="905">
        <f>SUM(F777:F777)</f>
        <v>400</v>
      </c>
      <c r="G776" s="905">
        <f>G777</f>
        <v>400</v>
      </c>
      <c r="H776" s="905">
        <f>H777</f>
        <v>400</v>
      </c>
      <c r="I776" s="906">
        <f t="shared" si="39"/>
        <v>100</v>
      </c>
    </row>
    <row r="777" spans="1:20" ht="14.25" x14ac:dyDescent="0.2">
      <c r="A777" s="435"/>
      <c r="B777" s="808"/>
      <c r="C777" s="808"/>
      <c r="D777" s="578" t="s">
        <v>636</v>
      </c>
      <c r="E777" s="474" t="s">
        <v>72</v>
      </c>
      <c r="F777" s="903">
        <v>400</v>
      </c>
      <c r="G777" s="903">
        <v>400</v>
      </c>
      <c r="H777" s="903">
        <v>400</v>
      </c>
      <c r="I777" s="898">
        <f t="shared" si="39"/>
        <v>100</v>
      </c>
    </row>
    <row r="778" spans="1:20" ht="15" x14ac:dyDescent="0.25">
      <c r="A778" s="435">
        <v>1109</v>
      </c>
      <c r="B778" s="705">
        <v>3299</v>
      </c>
      <c r="C778" s="705">
        <v>5331</v>
      </c>
      <c r="D778" s="899"/>
      <c r="E778" s="854" t="s">
        <v>1066</v>
      </c>
      <c r="F778" s="890"/>
      <c r="G778" s="890">
        <f>SUM(G779:G779)</f>
        <v>15</v>
      </c>
      <c r="H778" s="890">
        <f>SUM(H779:H779)</f>
        <v>15</v>
      </c>
      <c r="I778" s="891">
        <f t="shared" si="39"/>
        <v>100</v>
      </c>
    </row>
    <row r="779" spans="1:20" ht="15" thickBot="1" x14ac:dyDescent="0.25">
      <c r="A779" s="435"/>
      <c r="B779" s="705"/>
      <c r="C779" s="705"/>
      <c r="D779" s="578" t="s">
        <v>1265</v>
      </c>
      <c r="E779" s="478" t="s">
        <v>441</v>
      </c>
      <c r="F779" s="897"/>
      <c r="G779" s="897">
        <v>15</v>
      </c>
      <c r="H779" s="897">
        <v>15</v>
      </c>
      <c r="I779" s="893">
        <v>100</v>
      </c>
    </row>
    <row r="780" spans="1:20" s="1684" customFormat="1" ht="16.5" thickTop="1" thickBot="1" x14ac:dyDescent="0.25">
      <c r="A780" s="2743" t="s">
        <v>1246</v>
      </c>
      <c r="B780" s="2744"/>
      <c r="C780" s="2744"/>
      <c r="D780" s="2744"/>
      <c r="E780" s="2744"/>
      <c r="F780" s="1696">
        <f>F768+F776</f>
        <v>2989</v>
      </c>
      <c r="G780" s="1696">
        <f>G768+G772+G776+G778</f>
        <v>20055</v>
      </c>
      <c r="H780" s="1696">
        <f>H768+H772+H776+H778</f>
        <v>20055</v>
      </c>
      <c r="I780" s="1697">
        <f>(H780/G780)*100</f>
        <v>100</v>
      </c>
      <c r="R780" s="1698">
        <f>F780</f>
        <v>2989</v>
      </c>
      <c r="S780" s="1698">
        <f>G780</f>
        <v>20055</v>
      </c>
      <c r="T780" s="1698">
        <f>H780</f>
        <v>20055</v>
      </c>
    </row>
    <row r="781" spans="1:20" s="1684" customFormat="1" ht="13.5" thickTop="1" x14ac:dyDescent="0.2">
      <c r="B781" s="1699"/>
      <c r="D781" s="1700"/>
      <c r="F781" s="1698"/>
      <c r="G781" s="1698"/>
      <c r="H781" s="1698"/>
      <c r="I781" s="1701"/>
    </row>
    <row r="782" spans="1:20" ht="13.5" thickBot="1" x14ac:dyDescent="0.25">
      <c r="A782" s="439" t="s">
        <v>800</v>
      </c>
      <c r="I782" s="1548" t="s">
        <v>179</v>
      </c>
    </row>
    <row r="783" spans="1:20" s="107" customFormat="1" thickTop="1" thickBot="1" x14ac:dyDescent="0.25">
      <c r="A783" s="657" t="s">
        <v>692</v>
      </c>
      <c r="B783" s="835" t="s">
        <v>180</v>
      </c>
      <c r="C783" s="658" t="s">
        <v>181</v>
      </c>
      <c r="D783" s="660" t="s">
        <v>783</v>
      </c>
      <c r="E783" s="660" t="s">
        <v>182</v>
      </c>
      <c r="F783" s="660" t="s">
        <v>183</v>
      </c>
      <c r="G783" s="660" t="s">
        <v>985</v>
      </c>
      <c r="H783" s="660" t="s">
        <v>986</v>
      </c>
      <c r="I783" s="888" t="s">
        <v>987</v>
      </c>
    </row>
    <row r="784" spans="1:20" s="386" customFormat="1" ht="13.5" thickTop="1" thickBot="1" x14ac:dyDescent="0.25">
      <c r="A784" s="592">
        <v>1</v>
      </c>
      <c r="B784" s="593">
        <v>2</v>
      </c>
      <c r="C784" s="593">
        <v>3</v>
      </c>
      <c r="D784" s="593">
        <v>4</v>
      </c>
      <c r="E784" s="593">
        <v>5</v>
      </c>
      <c r="F784" s="567">
        <v>6</v>
      </c>
      <c r="G784" s="567">
        <v>7</v>
      </c>
      <c r="H784" s="568">
        <v>8</v>
      </c>
      <c r="I784" s="662" t="s">
        <v>848</v>
      </c>
    </row>
    <row r="785" spans="1:20" ht="15.75" thickTop="1" x14ac:dyDescent="0.25">
      <c r="A785" s="1549">
        <v>1110</v>
      </c>
      <c r="B785" s="836">
        <v>3121</v>
      </c>
      <c r="C785" s="836">
        <v>5331</v>
      </c>
      <c r="D785" s="909"/>
      <c r="E785" s="930" t="s">
        <v>1066</v>
      </c>
      <c r="F785" s="931">
        <f>SUM(F786:F790)</f>
        <v>2864</v>
      </c>
      <c r="G785" s="931">
        <f>G786+G787+G788</f>
        <v>2966</v>
      </c>
      <c r="H785" s="931">
        <f>H786+H787+H788</f>
        <v>2966</v>
      </c>
      <c r="I785" s="896">
        <f t="shared" ref="I785:I794" si="40">(H785/G785)*100</f>
        <v>100</v>
      </c>
    </row>
    <row r="786" spans="1:20" ht="18" customHeight="1" x14ac:dyDescent="0.2">
      <c r="A786" s="435"/>
      <c r="B786" s="705"/>
      <c r="C786" s="705"/>
      <c r="D786" s="743" t="s">
        <v>641</v>
      </c>
      <c r="E786" s="1679" t="s">
        <v>883</v>
      </c>
      <c r="F786" s="897">
        <v>1224</v>
      </c>
      <c r="G786" s="897">
        <v>1223</v>
      </c>
      <c r="H786" s="897">
        <v>1223</v>
      </c>
      <c r="I786" s="893">
        <f t="shared" si="40"/>
        <v>100</v>
      </c>
    </row>
    <row r="787" spans="1:20" ht="14.25" x14ac:dyDescent="0.2">
      <c r="A787" s="435"/>
      <c r="B787" s="705"/>
      <c r="C787" s="705"/>
      <c r="D787" s="578" t="s">
        <v>636</v>
      </c>
      <c r="E787" s="474" t="s">
        <v>72</v>
      </c>
      <c r="F787" s="897">
        <v>1640</v>
      </c>
      <c r="G787" s="897">
        <v>1709</v>
      </c>
      <c r="H787" s="897">
        <v>1709</v>
      </c>
      <c r="I787" s="893">
        <f t="shared" si="40"/>
        <v>100</v>
      </c>
    </row>
    <row r="788" spans="1:20" ht="14.25" x14ac:dyDescent="0.2">
      <c r="A788" s="435"/>
      <c r="B788" s="705"/>
      <c r="C788" s="705"/>
      <c r="D788" s="1178" t="s">
        <v>1763</v>
      </c>
      <c r="E788" s="2590" t="s">
        <v>1913</v>
      </c>
      <c r="F788" s="897"/>
      <c r="G788" s="897">
        <v>34</v>
      </c>
      <c r="H788" s="897">
        <v>34</v>
      </c>
      <c r="I788" s="893">
        <f t="shared" si="40"/>
        <v>100</v>
      </c>
    </row>
    <row r="789" spans="1:20" ht="15" x14ac:dyDescent="0.25">
      <c r="A789" s="435">
        <v>1110</v>
      </c>
      <c r="B789" s="808">
        <v>3121</v>
      </c>
      <c r="C789" s="808">
        <v>5336</v>
      </c>
      <c r="D789" s="1429"/>
      <c r="E789" s="1564" t="s">
        <v>1357</v>
      </c>
      <c r="F789" s="916"/>
      <c r="G789" s="916">
        <f>G790+G791+G792</f>
        <v>13177</v>
      </c>
      <c r="H789" s="916">
        <f>H790+H791+H792</f>
        <v>13177</v>
      </c>
      <c r="I789" s="906">
        <f>(H789/G789)*100</f>
        <v>100</v>
      </c>
    </row>
    <row r="790" spans="1:20" ht="20.25" customHeight="1" x14ac:dyDescent="0.2">
      <c r="A790" s="435"/>
      <c r="B790" s="705"/>
      <c r="C790" s="1550"/>
      <c r="D790" s="578" t="s">
        <v>1267</v>
      </c>
      <c r="E790" s="474" t="s">
        <v>882</v>
      </c>
      <c r="F790" s="897"/>
      <c r="G790" s="897">
        <v>12522</v>
      </c>
      <c r="H790" s="897">
        <v>12522</v>
      </c>
      <c r="I790" s="893">
        <f t="shared" si="40"/>
        <v>100</v>
      </c>
    </row>
    <row r="791" spans="1:20" ht="14.25" x14ac:dyDescent="0.2">
      <c r="A791" s="435"/>
      <c r="B791" s="808"/>
      <c r="C791" s="1551"/>
      <c r="D791" s="1569" t="s">
        <v>1771</v>
      </c>
      <c r="E791" s="1561" t="s">
        <v>1908</v>
      </c>
      <c r="F791" s="903"/>
      <c r="G791" s="903">
        <v>98</v>
      </c>
      <c r="H791" s="903">
        <v>98</v>
      </c>
      <c r="I791" s="898">
        <f t="shared" si="40"/>
        <v>100</v>
      </c>
    </row>
    <row r="792" spans="1:20" ht="14.25" x14ac:dyDescent="0.2">
      <c r="A792" s="435"/>
      <c r="B792" s="808"/>
      <c r="C792" s="1551"/>
      <c r="D792" s="1569" t="s">
        <v>1773</v>
      </c>
      <c r="E792" s="1561" t="s">
        <v>1908</v>
      </c>
      <c r="F792" s="903"/>
      <c r="G792" s="903">
        <v>557</v>
      </c>
      <c r="H792" s="903">
        <v>557</v>
      </c>
      <c r="I792" s="898">
        <f t="shared" si="40"/>
        <v>100</v>
      </c>
    </row>
    <row r="793" spans="1:20" ht="15" x14ac:dyDescent="0.25">
      <c r="A793" s="435">
        <v>1110</v>
      </c>
      <c r="B793" s="808">
        <v>3142</v>
      </c>
      <c r="C793" s="808">
        <v>5331</v>
      </c>
      <c r="D793" s="929"/>
      <c r="E793" s="704" t="s">
        <v>1066</v>
      </c>
      <c r="F793" s="905">
        <f>F794</f>
        <v>450</v>
      </c>
      <c r="G793" s="905">
        <f>G794</f>
        <v>450</v>
      </c>
      <c r="H793" s="905">
        <f>H794</f>
        <v>450</v>
      </c>
      <c r="I793" s="906">
        <f t="shared" si="40"/>
        <v>100</v>
      </c>
    </row>
    <row r="794" spans="1:20" ht="15" thickBot="1" x14ac:dyDescent="0.25">
      <c r="A794" s="435"/>
      <c r="B794" s="705"/>
      <c r="C794" s="705"/>
      <c r="D794" s="578" t="s">
        <v>636</v>
      </c>
      <c r="E794" s="474" t="s">
        <v>72</v>
      </c>
      <c r="F794" s="897">
        <v>450</v>
      </c>
      <c r="G794" s="897">
        <v>450</v>
      </c>
      <c r="H794" s="897">
        <v>450</v>
      </c>
      <c r="I794" s="893">
        <f t="shared" si="40"/>
        <v>100</v>
      </c>
    </row>
    <row r="795" spans="1:20" ht="16.5" thickTop="1" thickBot="1" x14ac:dyDescent="0.3">
      <c r="A795" s="2739" t="s">
        <v>1246</v>
      </c>
      <c r="B795" s="2740"/>
      <c r="C795" s="2740"/>
      <c r="D795" s="2740"/>
      <c r="E795" s="2740"/>
      <c r="F795" s="894">
        <f>F785+F793</f>
        <v>3314</v>
      </c>
      <c r="G795" s="894">
        <f>G785+G789+G793</f>
        <v>16593</v>
      </c>
      <c r="H795" s="894">
        <f>H785+H789+H793</f>
        <v>16593</v>
      </c>
      <c r="I795" s="895">
        <f>(H795/G795)*100</f>
        <v>100</v>
      </c>
      <c r="K795" s="385" t="e">
        <f>SUM(F795,#REF!,#REF!,#REF!,#REF!,F723,#REF!,#REF!,F672,F646,F621,F604,F586,#REF!,F567,F530,F490,F459,F440)</f>
        <v>#REF!</v>
      </c>
      <c r="L795" s="385" t="e">
        <f>SUM(G795,#REF!,#REF!,#REF!,#REF!,G723,#REF!,#REF!,G672,G646,G621,G604,G586,#REF!,G567,G530,G490,G459,G440)</f>
        <v>#REF!</v>
      </c>
      <c r="M795" s="385" t="e">
        <f>SUM(H795,#REF!,#REF!,#REF!,#REF!,H723,#REF!,#REF!,H672,H646,H621,H604,H586,#REF!,H567,H530,H490,H459,H440)</f>
        <v>#REF!</v>
      </c>
      <c r="R795" s="385">
        <f>F795</f>
        <v>3314</v>
      </c>
      <c r="S795" s="385">
        <f>G795</f>
        <v>16593</v>
      </c>
      <c r="T795" s="385">
        <f>H795</f>
        <v>16593</v>
      </c>
    </row>
    <row r="796" spans="1:20" ht="15.75" thickTop="1" x14ac:dyDescent="0.25">
      <c r="A796" s="370"/>
      <c r="B796" s="370"/>
      <c r="C796" s="370"/>
      <c r="D796" s="370"/>
      <c r="E796" s="370"/>
      <c r="F796" s="181"/>
      <c r="G796" s="181"/>
      <c r="H796" s="181"/>
      <c r="I796" s="210"/>
      <c r="K796" s="385"/>
      <c r="L796" s="385"/>
      <c r="M796" s="385"/>
      <c r="R796" s="385"/>
      <c r="S796" s="385"/>
      <c r="T796" s="385"/>
    </row>
    <row r="797" spans="1:20" ht="13.5" thickBot="1" x14ac:dyDescent="0.25">
      <c r="A797" s="439" t="s">
        <v>710</v>
      </c>
      <c r="I797" s="1548" t="s">
        <v>179</v>
      </c>
    </row>
    <row r="798" spans="1:20" s="107" customFormat="1" ht="18" customHeight="1" thickTop="1" thickBot="1" x14ac:dyDescent="0.25">
      <c r="A798" s="657" t="s">
        <v>692</v>
      </c>
      <c r="B798" s="835" t="s">
        <v>180</v>
      </c>
      <c r="C798" s="658" t="s">
        <v>181</v>
      </c>
      <c r="D798" s="660" t="s">
        <v>783</v>
      </c>
      <c r="E798" s="660" t="s">
        <v>182</v>
      </c>
      <c r="F798" s="660" t="s">
        <v>183</v>
      </c>
      <c r="G798" s="660" t="s">
        <v>985</v>
      </c>
      <c r="H798" s="660" t="s">
        <v>986</v>
      </c>
      <c r="I798" s="888" t="s">
        <v>987</v>
      </c>
    </row>
    <row r="799" spans="1:20" s="386" customFormat="1" ht="18" customHeight="1" thickTop="1" thickBot="1" x14ac:dyDescent="0.25">
      <c r="A799" s="592">
        <v>1</v>
      </c>
      <c r="B799" s="593">
        <v>2</v>
      </c>
      <c r="C799" s="593">
        <v>3</v>
      </c>
      <c r="D799" s="593">
        <v>4</v>
      </c>
      <c r="E799" s="593">
        <v>5</v>
      </c>
      <c r="F799" s="567">
        <v>6</v>
      </c>
      <c r="G799" s="567">
        <v>7</v>
      </c>
      <c r="H799" s="568">
        <v>8</v>
      </c>
      <c r="I799" s="662" t="s">
        <v>848</v>
      </c>
    </row>
    <row r="800" spans="1:20" ht="15.75" thickTop="1" x14ac:dyDescent="0.25">
      <c r="A800" s="1549">
        <v>1111</v>
      </c>
      <c r="B800" s="836">
        <v>3121</v>
      </c>
      <c r="C800" s="836">
        <v>5331</v>
      </c>
      <c r="D800" s="909"/>
      <c r="E800" s="930" t="s">
        <v>1066</v>
      </c>
      <c r="F800" s="931">
        <f>F801+F802+F803+F804</f>
        <v>4679</v>
      </c>
      <c r="G800" s="931">
        <f>G801+G802+G803+G804</f>
        <v>4723</v>
      </c>
      <c r="H800" s="931">
        <f>H801+H802+H803+H804</f>
        <v>4723</v>
      </c>
      <c r="I800" s="896">
        <f t="shared" ref="I800:I822" si="41">(H800/G800)*100</f>
        <v>100</v>
      </c>
    </row>
    <row r="801" spans="1:9" ht="14.25" x14ac:dyDescent="0.2">
      <c r="A801" s="435"/>
      <c r="B801" s="705"/>
      <c r="C801" s="705"/>
      <c r="D801" s="743" t="s">
        <v>641</v>
      </c>
      <c r="E801" s="1679" t="s">
        <v>883</v>
      </c>
      <c r="F801" s="897">
        <v>1392</v>
      </c>
      <c r="G801" s="897">
        <v>1395</v>
      </c>
      <c r="H801" s="897">
        <v>1395</v>
      </c>
      <c r="I801" s="893">
        <f t="shared" si="41"/>
        <v>100</v>
      </c>
    </row>
    <row r="802" spans="1:9" ht="20.25" customHeight="1" x14ac:dyDescent="0.2">
      <c r="A802" s="435"/>
      <c r="B802" s="705"/>
      <c r="C802" s="705"/>
      <c r="D802" s="1169" t="s">
        <v>385</v>
      </c>
      <c r="E802" s="1275" t="s">
        <v>996</v>
      </c>
      <c r="F802" s="897"/>
      <c r="G802" s="897">
        <v>10</v>
      </c>
      <c r="H802" s="897">
        <v>10</v>
      </c>
      <c r="I802" s="893">
        <f t="shared" si="41"/>
        <v>100</v>
      </c>
    </row>
    <row r="803" spans="1:9" ht="14.25" x14ac:dyDescent="0.2">
      <c r="A803" s="435"/>
      <c r="B803" s="705"/>
      <c r="C803" s="705"/>
      <c r="D803" s="578" t="s">
        <v>636</v>
      </c>
      <c r="E803" s="474" t="s">
        <v>72</v>
      </c>
      <c r="F803" s="897">
        <v>3287</v>
      </c>
      <c r="G803" s="897">
        <v>3287</v>
      </c>
      <c r="H803" s="897">
        <v>3287</v>
      </c>
      <c r="I803" s="893">
        <f t="shared" si="41"/>
        <v>100</v>
      </c>
    </row>
    <row r="804" spans="1:9" ht="14.25" x14ac:dyDescent="0.2">
      <c r="A804" s="435"/>
      <c r="B804" s="705"/>
      <c r="C804" s="705"/>
      <c r="D804" s="1178" t="s">
        <v>1763</v>
      </c>
      <c r="E804" s="2590" t="s">
        <v>1913</v>
      </c>
      <c r="F804" s="897"/>
      <c r="G804" s="897">
        <v>31</v>
      </c>
      <c r="H804" s="897">
        <v>31</v>
      </c>
      <c r="I804" s="893">
        <f t="shared" si="41"/>
        <v>100</v>
      </c>
    </row>
    <row r="805" spans="1:9" ht="15" x14ac:dyDescent="0.25">
      <c r="A805" s="435">
        <v>1111</v>
      </c>
      <c r="B805" s="808">
        <v>3121</v>
      </c>
      <c r="C805" s="808">
        <v>5336</v>
      </c>
      <c r="D805" s="1429"/>
      <c r="E805" s="1564" t="s">
        <v>1357</v>
      </c>
      <c r="F805" s="916"/>
      <c r="G805" s="916">
        <f>G806+G807+G808</f>
        <v>26250</v>
      </c>
      <c r="H805" s="916">
        <f>H806+H807+H808</f>
        <v>26250</v>
      </c>
      <c r="I805" s="906">
        <f>(H805/G805)*100</f>
        <v>100</v>
      </c>
    </row>
    <row r="806" spans="1:9" ht="14.25" x14ac:dyDescent="0.2">
      <c r="A806" s="435"/>
      <c r="B806" s="705"/>
      <c r="C806" s="1550"/>
      <c r="D806" s="578" t="s">
        <v>1267</v>
      </c>
      <c r="E806" s="474" t="s">
        <v>882</v>
      </c>
      <c r="F806" s="897"/>
      <c r="G806" s="897">
        <v>25103</v>
      </c>
      <c r="H806" s="897">
        <v>25103</v>
      </c>
      <c r="I806" s="893">
        <f t="shared" si="41"/>
        <v>100</v>
      </c>
    </row>
    <row r="807" spans="1:9" ht="14.25" x14ac:dyDescent="0.2">
      <c r="A807" s="435"/>
      <c r="B807" s="808"/>
      <c r="C807" s="1551"/>
      <c r="D807" s="1569" t="s">
        <v>1771</v>
      </c>
      <c r="E807" s="1561" t="s">
        <v>1908</v>
      </c>
      <c r="F807" s="903"/>
      <c r="G807" s="903">
        <v>172</v>
      </c>
      <c r="H807" s="903">
        <v>172</v>
      </c>
      <c r="I807" s="893">
        <f t="shared" si="41"/>
        <v>100</v>
      </c>
    </row>
    <row r="808" spans="1:9" ht="14.25" x14ac:dyDescent="0.2">
      <c r="A808" s="435"/>
      <c r="B808" s="808"/>
      <c r="C808" s="1551"/>
      <c r="D808" s="1569" t="s">
        <v>1773</v>
      </c>
      <c r="E808" s="1561" t="s">
        <v>1908</v>
      </c>
      <c r="F808" s="903"/>
      <c r="G808" s="903">
        <v>975</v>
      </c>
      <c r="H808" s="903">
        <v>975</v>
      </c>
      <c r="I808" s="893">
        <f t="shared" si="41"/>
        <v>100</v>
      </c>
    </row>
    <row r="809" spans="1:9" ht="15" x14ac:dyDescent="0.25">
      <c r="A809" s="435">
        <v>1111</v>
      </c>
      <c r="B809" s="808">
        <v>3141</v>
      </c>
      <c r="C809" s="1551">
        <v>5336</v>
      </c>
      <c r="D809" s="594"/>
      <c r="E809" s="1564" t="s">
        <v>1357</v>
      </c>
      <c r="F809" s="916"/>
      <c r="G809" s="916">
        <f>G810</f>
        <v>405</v>
      </c>
      <c r="H809" s="916">
        <f>H810</f>
        <v>405</v>
      </c>
      <c r="I809" s="923">
        <f t="shared" si="41"/>
        <v>100</v>
      </c>
    </row>
    <row r="810" spans="1:9" ht="15" thickBot="1" x14ac:dyDescent="0.25">
      <c r="A810" s="1552"/>
      <c r="B810" s="962"/>
      <c r="C810" s="1553"/>
      <c r="D810" s="757" t="s">
        <v>1267</v>
      </c>
      <c r="E810" s="476" t="s">
        <v>882</v>
      </c>
      <c r="F810" s="963"/>
      <c r="G810" s="963">
        <v>405</v>
      </c>
      <c r="H810" s="963">
        <v>405</v>
      </c>
      <c r="I810" s="925">
        <f t="shared" si="41"/>
        <v>100</v>
      </c>
    </row>
    <row r="811" spans="1:9" s="1555" customFormat="1" ht="15" thickTop="1" x14ac:dyDescent="0.2">
      <c r="B811" s="803"/>
      <c r="D811" s="853"/>
      <c r="E811" s="67"/>
      <c r="F811" s="911"/>
      <c r="G811" s="911"/>
      <c r="H811" s="911"/>
      <c r="I811" s="964"/>
    </row>
    <row r="812" spans="1:9" ht="13.5" thickBot="1" x14ac:dyDescent="0.25">
      <c r="A812" s="439"/>
      <c r="I812" s="1548" t="s">
        <v>179</v>
      </c>
    </row>
    <row r="813" spans="1:9" s="107" customFormat="1" ht="18" customHeight="1" thickTop="1" thickBot="1" x14ac:dyDescent="0.25">
      <c r="A813" s="657" t="s">
        <v>692</v>
      </c>
      <c r="B813" s="835" t="s">
        <v>180</v>
      </c>
      <c r="C813" s="658" t="s">
        <v>181</v>
      </c>
      <c r="D813" s="660" t="s">
        <v>783</v>
      </c>
      <c r="E813" s="660" t="s">
        <v>182</v>
      </c>
      <c r="F813" s="660" t="s">
        <v>183</v>
      </c>
      <c r="G813" s="660" t="s">
        <v>985</v>
      </c>
      <c r="H813" s="660" t="s">
        <v>986</v>
      </c>
      <c r="I813" s="888" t="s">
        <v>987</v>
      </c>
    </row>
    <row r="814" spans="1:9" s="386" customFormat="1" ht="18" customHeight="1" thickTop="1" thickBot="1" x14ac:dyDescent="0.25">
      <c r="A814" s="592">
        <v>1</v>
      </c>
      <c r="B814" s="593">
        <v>2</v>
      </c>
      <c r="C814" s="593">
        <v>3</v>
      </c>
      <c r="D814" s="593">
        <v>4</v>
      </c>
      <c r="E814" s="593">
        <v>5</v>
      </c>
      <c r="F814" s="567">
        <v>6</v>
      </c>
      <c r="G814" s="567">
        <v>7</v>
      </c>
      <c r="H814" s="568">
        <v>8</v>
      </c>
      <c r="I814" s="662" t="s">
        <v>848</v>
      </c>
    </row>
    <row r="815" spans="1:9" ht="15.75" thickTop="1" x14ac:dyDescent="0.25">
      <c r="A815" s="435">
        <v>1111</v>
      </c>
      <c r="B815" s="808">
        <v>3142</v>
      </c>
      <c r="C815" s="808">
        <v>5331</v>
      </c>
      <c r="D815" s="929"/>
      <c r="E815" s="704" t="s">
        <v>1066</v>
      </c>
      <c r="F815" s="905">
        <f>SUM(F816:F819)</f>
        <v>659</v>
      </c>
      <c r="G815" s="905">
        <f>G816+G817</f>
        <v>688</v>
      </c>
      <c r="H815" s="905">
        <f>H816+H817</f>
        <v>688</v>
      </c>
      <c r="I815" s="906">
        <f t="shared" si="41"/>
        <v>100</v>
      </c>
    </row>
    <row r="816" spans="1:9" ht="14.25" x14ac:dyDescent="0.2">
      <c r="A816" s="435"/>
      <c r="B816" s="808"/>
      <c r="C816" s="808"/>
      <c r="D816" s="743" t="s">
        <v>641</v>
      </c>
      <c r="E816" s="1679" t="s">
        <v>883</v>
      </c>
      <c r="F816" s="903">
        <v>89</v>
      </c>
      <c r="G816" s="903">
        <v>118</v>
      </c>
      <c r="H816" s="903">
        <v>118</v>
      </c>
      <c r="I816" s="898">
        <f t="shared" si="41"/>
        <v>100</v>
      </c>
    </row>
    <row r="817" spans="1:20" ht="14.25" x14ac:dyDescent="0.2">
      <c r="A817" s="435"/>
      <c r="B817" s="808"/>
      <c r="C817" s="808"/>
      <c r="D817" s="578" t="s">
        <v>636</v>
      </c>
      <c r="E817" s="474" t="s">
        <v>72</v>
      </c>
      <c r="F817" s="903">
        <v>570</v>
      </c>
      <c r="G817" s="903">
        <v>570</v>
      </c>
      <c r="H817" s="903">
        <v>570</v>
      </c>
      <c r="I817" s="898">
        <f t="shared" si="41"/>
        <v>100</v>
      </c>
    </row>
    <row r="818" spans="1:20" ht="15" x14ac:dyDescent="0.25">
      <c r="A818" s="435">
        <v>1111</v>
      </c>
      <c r="B818" s="808">
        <v>3142</v>
      </c>
      <c r="C818" s="808">
        <v>5336</v>
      </c>
      <c r="D818" s="578"/>
      <c r="E818" s="1564" t="s">
        <v>1357</v>
      </c>
      <c r="F818" s="903"/>
      <c r="G818" s="916">
        <v>931</v>
      </c>
      <c r="H818" s="916">
        <v>931</v>
      </c>
      <c r="I818" s="908">
        <f t="shared" si="41"/>
        <v>100</v>
      </c>
    </row>
    <row r="819" spans="1:20" ht="14.25" x14ac:dyDescent="0.2">
      <c r="A819" s="435"/>
      <c r="B819" s="808"/>
      <c r="C819" s="1551"/>
      <c r="D819" s="578" t="s">
        <v>1267</v>
      </c>
      <c r="E819" s="474" t="s">
        <v>882</v>
      </c>
      <c r="F819" s="903"/>
      <c r="G819" s="903">
        <v>931</v>
      </c>
      <c r="H819" s="903">
        <v>931</v>
      </c>
      <c r="I819" s="898">
        <f t="shared" si="41"/>
        <v>100</v>
      </c>
    </row>
    <row r="820" spans="1:20" ht="18" customHeight="1" x14ac:dyDescent="0.25">
      <c r="A820" s="435">
        <v>1111</v>
      </c>
      <c r="B820" s="808">
        <v>3299</v>
      </c>
      <c r="C820" s="1551">
        <v>5331</v>
      </c>
      <c r="D820" s="578"/>
      <c r="E820" s="704" t="s">
        <v>1066</v>
      </c>
      <c r="F820" s="903"/>
      <c r="G820" s="916">
        <v>20</v>
      </c>
      <c r="H820" s="916">
        <v>20</v>
      </c>
      <c r="I820" s="908">
        <f t="shared" si="41"/>
        <v>100</v>
      </c>
    </row>
    <row r="821" spans="1:20" ht="14.25" x14ac:dyDescent="0.2">
      <c r="A821" s="435"/>
      <c r="B821" s="808"/>
      <c r="C821" s="1551"/>
      <c r="D821" s="578" t="s">
        <v>1265</v>
      </c>
      <c r="E821" s="478" t="s">
        <v>441</v>
      </c>
      <c r="F821" s="903"/>
      <c r="G821" s="903">
        <v>15</v>
      </c>
      <c r="H821" s="903">
        <v>15</v>
      </c>
      <c r="I821" s="898">
        <f t="shared" si="41"/>
        <v>100</v>
      </c>
    </row>
    <row r="822" spans="1:20" ht="20.25" customHeight="1" thickBot="1" x14ac:dyDescent="0.25">
      <c r="A822" s="435"/>
      <c r="B822" s="808"/>
      <c r="C822" s="1551"/>
      <c r="D822" s="1437" t="s">
        <v>407</v>
      </c>
      <c r="E822" s="479" t="s">
        <v>1260</v>
      </c>
      <c r="F822" s="903"/>
      <c r="G822" s="903">
        <v>5</v>
      </c>
      <c r="H822" s="903">
        <v>5</v>
      </c>
      <c r="I822" s="898">
        <f t="shared" si="41"/>
        <v>100</v>
      </c>
    </row>
    <row r="823" spans="1:20" ht="16.5" thickTop="1" thickBot="1" x14ac:dyDescent="0.3">
      <c r="A823" s="2739" t="s">
        <v>1246</v>
      </c>
      <c r="B823" s="2740"/>
      <c r="C823" s="2740"/>
      <c r="D823" s="2740"/>
      <c r="E823" s="2740"/>
      <c r="F823" s="894">
        <f>SUM(F815,F800,F809)</f>
        <v>5338</v>
      </c>
      <c r="G823" s="894">
        <f>G800+G805+G809+G815+G818+G820</f>
        <v>33017</v>
      </c>
      <c r="H823" s="894">
        <f>H800+H805+H809+H815+H818+H820</f>
        <v>33017</v>
      </c>
      <c r="I823" s="895">
        <f>(H823/G823)*100</f>
        <v>100</v>
      </c>
      <c r="R823" s="385">
        <f>F823</f>
        <v>5338</v>
      </c>
      <c r="S823" s="385">
        <f>G823</f>
        <v>33017</v>
      </c>
      <c r="T823" s="385">
        <f>H823</f>
        <v>33017</v>
      </c>
    </row>
    <row r="824" spans="1:20" ht="15.75" thickTop="1" x14ac:dyDescent="0.25">
      <c r="A824" s="370"/>
      <c r="B824" s="370"/>
      <c r="C824" s="370"/>
      <c r="D824" s="370"/>
      <c r="E824" s="370"/>
      <c r="F824" s="181"/>
      <c r="G824" s="181"/>
      <c r="H824" s="181"/>
      <c r="I824" s="210"/>
      <c r="R824" s="385"/>
      <c r="S824" s="385"/>
      <c r="T824" s="385"/>
    </row>
    <row r="825" spans="1:20" ht="13.5" thickBot="1" x14ac:dyDescent="0.25">
      <c r="A825" s="439" t="s">
        <v>1666</v>
      </c>
      <c r="I825" s="1548" t="s">
        <v>179</v>
      </c>
    </row>
    <row r="826" spans="1:20" s="107" customFormat="1" thickTop="1" thickBot="1" x14ac:dyDescent="0.25">
      <c r="A826" s="657" t="s">
        <v>692</v>
      </c>
      <c r="B826" s="835" t="s">
        <v>180</v>
      </c>
      <c r="C826" s="658" t="s">
        <v>181</v>
      </c>
      <c r="D826" s="660" t="s">
        <v>783</v>
      </c>
      <c r="E826" s="660" t="s">
        <v>182</v>
      </c>
      <c r="F826" s="660" t="s">
        <v>183</v>
      </c>
      <c r="G826" s="660" t="s">
        <v>985</v>
      </c>
      <c r="H826" s="660" t="s">
        <v>986</v>
      </c>
      <c r="I826" s="888" t="s">
        <v>987</v>
      </c>
    </row>
    <row r="827" spans="1:20" s="386" customFormat="1" ht="13.5" thickTop="1" thickBot="1" x14ac:dyDescent="0.25">
      <c r="A827" s="592">
        <v>1</v>
      </c>
      <c r="B827" s="593">
        <v>2</v>
      </c>
      <c r="C827" s="593">
        <v>3</v>
      </c>
      <c r="D827" s="593">
        <v>4</v>
      </c>
      <c r="E827" s="593">
        <v>5</v>
      </c>
      <c r="F827" s="567">
        <v>6</v>
      </c>
      <c r="G827" s="567">
        <v>7</v>
      </c>
      <c r="H827" s="568">
        <v>8</v>
      </c>
      <c r="I827" s="662" t="s">
        <v>848</v>
      </c>
    </row>
    <row r="828" spans="1:20" ht="15.75" thickTop="1" x14ac:dyDescent="0.25">
      <c r="A828" s="1549">
        <v>1112</v>
      </c>
      <c r="B828" s="836">
        <v>3121</v>
      </c>
      <c r="C828" s="836">
        <v>5331</v>
      </c>
      <c r="D828" s="909"/>
      <c r="E828" s="930" t="s">
        <v>1066</v>
      </c>
      <c r="F828" s="931">
        <f>F829+F830</f>
        <v>2768</v>
      </c>
      <c r="G828" s="931">
        <f>G829+G830+G831</f>
        <v>2853</v>
      </c>
      <c r="H828" s="931">
        <f>H829+H830+H831</f>
        <v>2853</v>
      </c>
      <c r="I828" s="896">
        <f>(H828/G828)*100</f>
        <v>100</v>
      </c>
    </row>
    <row r="829" spans="1:20" ht="14.25" x14ac:dyDescent="0.2">
      <c r="A829" s="435"/>
      <c r="B829" s="705"/>
      <c r="C829" s="705"/>
      <c r="D829" s="743" t="s">
        <v>641</v>
      </c>
      <c r="E829" s="1679" t="s">
        <v>883</v>
      </c>
      <c r="F829" s="897">
        <v>267</v>
      </c>
      <c r="G829" s="897">
        <v>267</v>
      </c>
      <c r="H829" s="897">
        <v>267</v>
      </c>
      <c r="I829" s="893">
        <f>(H829/G829)*100</f>
        <v>100</v>
      </c>
    </row>
    <row r="830" spans="1:20" ht="14.25" x14ac:dyDescent="0.2">
      <c r="A830" s="435"/>
      <c r="B830" s="705"/>
      <c r="C830" s="705"/>
      <c r="D830" s="578" t="s">
        <v>636</v>
      </c>
      <c r="E830" s="474" t="s">
        <v>72</v>
      </c>
      <c r="F830" s="897">
        <v>2501</v>
      </c>
      <c r="G830" s="897">
        <v>2501</v>
      </c>
      <c r="H830" s="897">
        <v>2501</v>
      </c>
      <c r="I830" s="893">
        <v>100</v>
      </c>
    </row>
    <row r="831" spans="1:20" ht="14.25" x14ac:dyDescent="0.2">
      <c r="A831" s="435"/>
      <c r="B831" s="705"/>
      <c r="C831" s="705"/>
      <c r="D831" s="1178" t="s">
        <v>1763</v>
      </c>
      <c r="E831" s="2590" t="s">
        <v>1913</v>
      </c>
      <c r="F831" s="897"/>
      <c r="G831" s="897">
        <v>85</v>
      </c>
      <c r="H831" s="897">
        <v>85</v>
      </c>
      <c r="I831" s="893">
        <v>100</v>
      </c>
    </row>
    <row r="832" spans="1:20" ht="16.5" customHeight="1" x14ac:dyDescent="0.25">
      <c r="A832" s="435">
        <v>1112</v>
      </c>
      <c r="B832" s="808">
        <v>3121</v>
      </c>
      <c r="C832" s="808">
        <v>5336</v>
      </c>
      <c r="D832" s="578"/>
      <c r="E832" s="1564" t="s">
        <v>1357</v>
      </c>
      <c r="F832" s="903"/>
      <c r="G832" s="916">
        <f>G833+G834+G835</f>
        <v>15587</v>
      </c>
      <c r="H832" s="916">
        <f>H833+H834+H835</f>
        <v>15587</v>
      </c>
      <c r="I832" s="908">
        <f>(H832/G832)*100</f>
        <v>100</v>
      </c>
    </row>
    <row r="833" spans="1:20" ht="14.25" x14ac:dyDescent="0.2">
      <c r="A833" s="435"/>
      <c r="B833" s="705"/>
      <c r="C833" s="1550"/>
      <c r="D833" s="578" t="s">
        <v>1267</v>
      </c>
      <c r="E833" s="474" t="s">
        <v>882</v>
      </c>
      <c r="F833" s="897"/>
      <c r="G833" s="897">
        <v>14840</v>
      </c>
      <c r="H833" s="897">
        <v>14840</v>
      </c>
      <c r="I833" s="898">
        <f t="shared" ref="I833:I844" si="42">(H833/G833)*100</f>
        <v>100</v>
      </c>
    </row>
    <row r="834" spans="1:20" ht="20.25" customHeight="1" x14ac:dyDescent="0.2">
      <c r="A834" s="435"/>
      <c r="B834" s="808"/>
      <c r="C834" s="1551"/>
      <c r="D834" s="1569" t="s">
        <v>1771</v>
      </c>
      <c r="E834" s="1561" t="s">
        <v>1908</v>
      </c>
      <c r="F834" s="903"/>
      <c r="G834" s="903">
        <v>112</v>
      </c>
      <c r="H834" s="903">
        <v>112</v>
      </c>
      <c r="I834" s="898">
        <f t="shared" si="42"/>
        <v>100</v>
      </c>
    </row>
    <row r="835" spans="1:20" ht="14.25" x14ac:dyDescent="0.2">
      <c r="A835" s="435"/>
      <c r="B835" s="808"/>
      <c r="C835" s="1551"/>
      <c r="D835" s="1569" t="s">
        <v>1773</v>
      </c>
      <c r="E835" s="1561" t="s">
        <v>1908</v>
      </c>
      <c r="F835" s="903"/>
      <c r="G835" s="903">
        <v>635</v>
      </c>
      <c r="H835" s="903">
        <v>635</v>
      </c>
      <c r="I835" s="898">
        <f t="shared" si="42"/>
        <v>100</v>
      </c>
    </row>
    <row r="836" spans="1:20" ht="15" x14ac:dyDescent="0.25">
      <c r="A836" s="435">
        <v>1112</v>
      </c>
      <c r="B836" s="808">
        <v>3141</v>
      </c>
      <c r="C836" s="1551">
        <v>5336</v>
      </c>
      <c r="D836" s="594"/>
      <c r="E836" s="1564" t="s">
        <v>1357</v>
      </c>
      <c r="F836" s="916"/>
      <c r="G836" s="916">
        <v>243</v>
      </c>
      <c r="H836" s="916">
        <v>243</v>
      </c>
      <c r="I836" s="908">
        <f t="shared" si="42"/>
        <v>100</v>
      </c>
    </row>
    <row r="837" spans="1:20" ht="14.25" x14ac:dyDescent="0.2">
      <c r="A837" s="435"/>
      <c r="B837" s="808"/>
      <c r="C837" s="1551"/>
      <c r="D837" s="578" t="s">
        <v>1267</v>
      </c>
      <c r="E837" s="474" t="s">
        <v>882</v>
      </c>
      <c r="F837" s="903"/>
      <c r="G837" s="903">
        <v>243</v>
      </c>
      <c r="H837" s="903">
        <v>243</v>
      </c>
      <c r="I837" s="898">
        <f t="shared" si="42"/>
        <v>100</v>
      </c>
    </row>
    <row r="838" spans="1:20" ht="15" x14ac:dyDescent="0.25">
      <c r="A838" s="435">
        <v>1112</v>
      </c>
      <c r="B838" s="808">
        <v>3142</v>
      </c>
      <c r="C838" s="808">
        <v>5331</v>
      </c>
      <c r="D838" s="929"/>
      <c r="E838" s="704" t="s">
        <v>1066</v>
      </c>
      <c r="F838" s="905">
        <f>F839</f>
        <v>487</v>
      </c>
      <c r="G838" s="905">
        <f>G839+G841</f>
        <v>870</v>
      </c>
      <c r="H838" s="905">
        <f>H839+H841</f>
        <v>870</v>
      </c>
      <c r="I838" s="906">
        <f t="shared" si="42"/>
        <v>100</v>
      </c>
    </row>
    <row r="839" spans="1:20" ht="14.25" x14ac:dyDescent="0.2">
      <c r="A839" s="435"/>
      <c r="B839" s="808"/>
      <c r="C839" s="808"/>
      <c r="D839" s="578" t="s">
        <v>636</v>
      </c>
      <c r="E839" s="474" t="s">
        <v>72</v>
      </c>
      <c r="F839" s="903">
        <v>487</v>
      </c>
      <c r="G839" s="903">
        <v>487</v>
      </c>
      <c r="H839" s="903">
        <v>487</v>
      </c>
      <c r="I839" s="898">
        <f t="shared" si="42"/>
        <v>100</v>
      </c>
    </row>
    <row r="840" spans="1:20" ht="15" x14ac:dyDescent="0.2">
      <c r="A840" s="435">
        <v>1112</v>
      </c>
      <c r="B840" s="808">
        <v>3142</v>
      </c>
      <c r="C840" s="808">
        <v>5336</v>
      </c>
      <c r="D840" s="578"/>
      <c r="E840" s="1564" t="s">
        <v>1357</v>
      </c>
      <c r="F840" s="903"/>
      <c r="G840" s="903">
        <v>383</v>
      </c>
      <c r="H840" s="903">
        <v>383</v>
      </c>
      <c r="I840" s="898">
        <f t="shared" si="42"/>
        <v>100</v>
      </c>
    </row>
    <row r="841" spans="1:20" ht="14.25" x14ac:dyDescent="0.2">
      <c r="A841" s="435"/>
      <c r="B841" s="808"/>
      <c r="C841" s="1551"/>
      <c r="D841" s="578" t="s">
        <v>1267</v>
      </c>
      <c r="E841" s="474" t="s">
        <v>882</v>
      </c>
      <c r="F841" s="903"/>
      <c r="G841" s="903">
        <v>383</v>
      </c>
      <c r="H841" s="903">
        <v>383</v>
      </c>
      <c r="I841" s="898">
        <f t="shared" si="42"/>
        <v>100</v>
      </c>
    </row>
    <row r="842" spans="1:20" ht="15" x14ac:dyDescent="0.25">
      <c r="A842" s="435">
        <v>1112</v>
      </c>
      <c r="B842" s="808">
        <v>3299</v>
      </c>
      <c r="C842" s="1551">
        <v>5331</v>
      </c>
      <c r="D842" s="578"/>
      <c r="E842" s="704" t="s">
        <v>1066</v>
      </c>
      <c r="F842" s="903"/>
      <c r="G842" s="916">
        <v>10</v>
      </c>
      <c r="H842" s="916">
        <v>10</v>
      </c>
      <c r="I842" s="908">
        <f t="shared" si="42"/>
        <v>100</v>
      </c>
    </row>
    <row r="843" spans="1:20" ht="15" thickBot="1" x14ac:dyDescent="0.25">
      <c r="A843" s="435"/>
      <c r="B843" s="808"/>
      <c r="C843" s="1551"/>
      <c r="D843" s="1169" t="s">
        <v>535</v>
      </c>
      <c r="E843" s="1275" t="s">
        <v>1396</v>
      </c>
      <c r="F843" s="903"/>
      <c r="G843" s="903">
        <v>10</v>
      </c>
      <c r="H843" s="903">
        <v>10</v>
      </c>
      <c r="I843" s="898">
        <f t="shared" si="42"/>
        <v>100</v>
      </c>
    </row>
    <row r="844" spans="1:20" ht="16.5" thickTop="1" thickBot="1" x14ac:dyDescent="0.3">
      <c r="A844" s="2739" t="s">
        <v>1246</v>
      </c>
      <c r="B844" s="2740"/>
      <c r="C844" s="2740"/>
      <c r="D844" s="2740"/>
      <c r="E844" s="2740"/>
      <c r="F844" s="894">
        <f>F828+F838</f>
        <v>3255</v>
      </c>
      <c r="G844" s="894">
        <f>G828+G832+G836+G838+G842</f>
        <v>19563</v>
      </c>
      <c r="H844" s="894">
        <f>H828+H832+H836+H838+H842</f>
        <v>19563</v>
      </c>
      <c r="I844" s="895">
        <f t="shared" si="42"/>
        <v>100</v>
      </c>
      <c r="R844" s="385">
        <f>F844</f>
        <v>3255</v>
      </c>
      <c r="S844" s="385">
        <f>G844</f>
        <v>19563</v>
      </c>
      <c r="T844" s="385">
        <f>H844</f>
        <v>19563</v>
      </c>
    </row>
    <row r="845" spans="1:20" ht="15.75" thickTop="1" x14ac:dyDescent="0.25">
      <c r="A845" s="370"/>
      <c r="B845" s="370"/>
      <c r="C845" s="370"/>
      <c r="D845" s="370"/>
      <c r="E845" s="370"/>
      <c r="F845" s="181"/>
      <c r="G845" s="181"/>
      <c r="H845" s="181"/>
      <c r="I845" s="210"/>
      <c r="R845" s="385"/>
      <c r="S845" s="385"/>
      <c r="T845" s="385"/>
    </row>
    <row r="846" spans="1:20" ht="13.5" thickBot="1" x14ac:dyDescent="0.25">
      <c r="A846" s="439" t="s">
        <v>1242</v>
      </c>
      <c r="I846" s="1548" t="s">
        <v>179</v>
      </c>
    </row>
    <row r="847" spans="1:20" s="107" customFormat="1" thickTop="1" thickBot="1" x14ac:dyDescent="0.25">
      <c r="A847" s="657" t="s">
        <v>692</v>
      </c>
      <c r="B847" s="835" t="s">
        <v>180</v>
      </c>
      <c r="C847" s="658" t="s">
        <v>181</v>
      </c>
      <c r="D847" s="660" t="s">
        <v>783</v>
      </c>
      <c r="E847" s="660" t="s">
        <v>182</v>
      </c>
      <c r="F847" s="660" t="s">
        <v>183</v>
      </c>
      <c r="G847" s="660" t="s">
        <v>985</v>
      </c>
      <c r="H847" s="660" t="s">
        <v>986</v>
      </c>
      <c r="I847" s="888" t="s">
        <v>987</v>
      </c>
    </row>
    <row r="848" spans="1:20" s="386" customFormat="1" ht="13.5" thickTop="1" thickBot="1" x14ac:dyDescent="0.25">
      <c r="A848" s="592">
        <v>1</v>
      </c>
      <c r="B848" s="593">
        <v>2</v>
      </c>
      <c r="C848" s="593">
        <v>3</v>
      </c>
      <c r="D848" s="593">
        <v>4</v>
      </c>
      <c r="E848" s="593">
        <v>5</v>
      </c>
      <c r="F848" s="567">
        <v>6</v>
      </c>
      <c r="G848" s="567">
        <v>7</v>
      </c>
      <c r="H848" s="568">
        <v>8</v>
      </c>
      <c r="I848" s="662" t="s">
        <v>848</v>
      </c>
    </row>
    <row r="849" spans="1:20" ht="20.25" customHeight="1" thickTop="1" x14ac:dyDescent="0.25">
      <c r="A849" s="1549">
        <v>1113</v>
      </c>
      <c r="B849" s="836">
        <v>3121</v>
      </c>
      <c r="C849" s="836">
        <v>5331</v>
      </c>
      <c r="D849" s="909"/>
      <c r="E849" s="930" t="s">
        <v>1066</v>
      </c>
      <c r="F849" s="931">
        <f>SUM(F850:F854)</f>
        <v>3822</v>
      </c>
      <c r="G849" s="931">
        <f>G850+G851+G852</f>
        <v>3853</v>
      </c>
      <c r="H849" s="931">
        <f>H850+H851+H852</f>
        <v>3853</v>
      </c>
      <c r="I849" s="896">
        <f t="shared" ref="I849:I863" si="43">(H849/G849)*100</f>
        <v>100</v>
      </c>
    </row>
    <row r="850" spans="1:20" ht="14.25" x14ac:dyDescent="0.2">
      <c r="A850" s="435"/>
      <c r="B850" s="705"/>
      <c r="C850" s="705"/>
      <c r="D850" s="743" t="s">
        <v>641</v>
      </c>
      <c r="E850" s="1679" t="s">
        <v>883</v>
      </c>
      <c r="F850" s="897">
        <v>953</v>
      </c>
      <c r="G850" s="897">
        <v>946</v>
      </c>
      <c r="H850" s="897">
        <v>946</v>
      </c>
      <c r="I850" s="893">
        <f t="shared" si="43"/>
        <v>100</v>
      </c>
    </row>
    <row r="851" spans="1:20" ht="14.25" x14ac:dyDescent="0.2">
      <c r="A851" s="435"/>
      <c r="B851" s="705"/>
      <c r="C851" s="705"/>
      <c r="D851" s="578" t="s">
        <v>636</v>
      </c>
      <c r="E851" s="474" t="s">
        <v>72</v>
      </c>
      <c r="F851" s="897">
        <v>2869</v>
      </c>
      <c r="G851" s="897">
        <v>2869</v>
      </c>
      <c r="H851" s="897">
        <v>2869</v>
      </c>
      <c r="I851" s="893">
        <f t="shared" si="43"/>
        <v>100</v>
      </c>
    </row>
    <row r="852" spans="1:20" ht="14.25" x14ac:dyDescent="0.2">
      <c r="A852" s="435"/>
      <c r="B852" s="705"/>
      <c r="C852" s="705"/>
      <c r="D852" s="1178" t="s">
        <v>1763</v>
      </c>
      <c r="E852" s="2590" t="s">
        <v>1913</v>
      </c>
      <c r="F852" s="897"/>
      <c r="G852" s="897">
        <v>38</v>
      </c>
      <c r="H852" s="903">
        <v>38</v>
      </c>
      <c r="I852" s="893">
        <f t="shared" si="43"/>
        <v>100</v>
      </c>
    </row>
    <row r="853" spans="1:20" ht="15" x14ac:dyDescent="0.25">
      <c r="A853" s="435">
        <v>1113</v>
      </c>
      <c r="B853" s="808">
        <v>3121</v>
      </c>
      <c r="C853" s="808">
        <v>5336</v>
      </c>
      <c r="D853" s="578"/>
      <c r="E853" s="1564" t="s">
        <v>1357</v>
      </c>
      <c r="F853" s="897"/>
      <c r="G853" s="921">
        <f>G854+G855+G856</f>
        <v>19644</v>
      </c>
      <c r="H853" s="921">
        <f>H854+H855+H856</f>
        <v>19644</v>
      </c>
      <c r="I853" s="923">
        <f t="shared" si="43"/>
        <v>100</v>
      </c>
    </row>
    <row r="854" spans="1:20" ht="14.25" x14ac:dyDescent="0.2">
      <c r="A854" s="435"/>
      <c r="B854" s="705"/>
      <c r="C854" s="705"/>
      <c r="D854" s="578" t="s">
        <v>1267</v>
      </c>
      <c r="E854" s="474" t="s">
        <v>882</v>
      </c>
      <c r="F854" s="897"/>
      <c r="G854" s="897">
        <v>18752</v>
      </c>
      <c r="H854" s="903">
        <v>18752</v>
      </c>
      <c r="I854" s="893">
        <f t="shared" si="43"/>
        <v>100</v>
      </c>
    </row>
    <row r="855" spans="1:20" ht="14.25" x14ac:dyDescent="0.2">
      <c r="A855" s="435"/>
      <c r="B855" s="705"/>
      <c r="C855" s="705"/>
      <c r="D855" s="1569" t="s">
        <v>1771</v>
      </c>
      <c r="E855" s="1561" t="s">
        <v>1908</v>
      </c>
      <c r="F855" s="897"/>
      <c r="G855" s="897">
        <v>134</v>
      </c>
      <c r="H855" s="903">
        <v>134</v>
      </c>
      <c r="I855" s="893">
        <f t="shared" si="43"/>
        <v>100</v>
      </c>
    </row>
    <row r="856" spans="1:20" ht="14.25" x14ac:dyDescent="0.2">
      <c r="A856" s="435"/>
      <c r="B856" s="705"/>
      <c r="C856" s="705"/>
      <c r="D856" s="1569" t="s">
        <v>1773</v>
      </c>
      <c r="E856" s="1561" t="s">
        <v>1908</v>
      </c>
      <c r="F856" s="897"/>
      <c r="G856" s="897">
        <v>758</v>
      </c>
      <c r="H856" s="903">
        <v>758</v>
      </c>
      <c r="I856" s="893">
        <f t="shared" si="43"/>
        <v>100</v>
      </c>
    </row>
    <row r="857" spans="1:20" ht="15" x14ac:dyDescent="0.25">
      <c r="A857" s="435">
        <v>1113</v>
      </c>
      <c r="B857" s="705">
        <v>3141</v>
      </c>
      <c r="C857" s="705">
        <v>5336</v>
      </c>
      <c r="D857" s="578"/>
      <c r="E857" s="1564" t="s">
        <v>1357</v>
      </c>
      <c r="F857" s="921"/>
      <c r="G857" s="921">
        <v>102</v>
      </c>
      <c r="H857" s="916">
        <v>102</v>
      </c>
      <c r="I857" s="923">
        <f t="shared" si="43"/>
        <v>100</v>
      </c>
    </row>
    <row r="858" spans="1:20" ht="14.25" x14ac:dyDescent="0.2">
      <c r="A858" s="435"/>
      <c r="B858" s="705"/>
      <c r="C858" s="705"/>
      <c r="D858" s="578" t="s">
        <v>1267</v>
      </c>
      <c r="E858" s="938" t="s">
        <v>882</v>
      </c>
      <c r="F858" s="897"/>
      <c r="G858" s="897">
        <v>102</v>
      </c>
      <c r="H858" s="903">
        <v>102</v>
      </c>
      <c r="I858" s="893">
        <f t="shared" si="43"/>
        <v>100</v>
      </c>
    </row>
    <row r="859" spans="1:20" ht="15" x14ac:dyDescent="0.25">
      <c r="A859" s="435">
        <v>1113</v>
      </c>
      <c r="B859" s="705">
        <v>3142</v>
      </c>
      <c r="C859" s="705">
        <v>5331</v>
      </c>
      <c r="D859" s="578"/>
      <c r="E859" s="704" t="s">
        <v>1066</v>
      </c>
      <c r="F859" s="921"/>
      <c r="G859" s="921">
        <v>141</v>
      </c>
      <c r="H859" s="916">
        <v>141</v>
      </c>
      <c r="I859" s="923">
        <f t="shared" si="43"/>
        <v>100</v>
      </c>
    </row>
    <row r="860" spans="1:20" ht="14.25" x14ac:dyDescent="0.2">
      <c r="A860" s="435"/>
      <c r="B860" s="705"/>
      <c r="C860" s="705"/>
      <c r="D860" s="578" t="s">
        <v>1267</v>
      </c>
      <c r="E860" s="938" t="s">
        <v>882</v>
      </c>
      <c r="F860" s="897"/>
      <c r="G860" s="897">
        <v>141</v>
      </c>
      <c r="H860" s="903">
        <v>141</v>
      </c>
      <c r="I860" s="893">
        <f t="shared" si="43"/>
        <v>100</v>
      </c>
    </row>
    <row r="861" spans="1:20" ht="15" x14ac:dyDescent="0.25">
      <c r="A861" s="435">
        <v>1113</v>
      </c>
      <c r="B861" s="705">
        <v>3299</v>
      </c>
      <c r="C861" s="705">
        <v>5331</v>
      </c>
      <c r="D861" s="578"/>
      <c r="E861" s="704" t="s">
        <v>1066</v>
      </c>
      <c r="F861" s="921"/>
      <c r="G861" s="921">
        <v>5</v>
      </c>
      <c r="H861" s="916">
        <v>5</v>
      </c>
      <c r="I861" s="923">
        <f t="shared" si="43"/>
        <v>100</v>
      </c>
    </row>
    <row r="862" spans="1:20" ht="15" thickBot="1" x14ac:dyDescent="0.25">
      <c r="A862" s="1552"/>
      <c r="B862" s="706"/>
      <c r="C862" s="706"/>
      <c r="D862" s="1715" t="s">
        <v>407</v>
      </c>
      <c r="E862" s="479" t="s">
        <v>1260</v>
      </c>
      <c r="F862" s="897"/>
      <c r="G862" s="897">
        <v>5</v>
      </c>
      <c r="H862" s="903">
        <v>5</v>
      </c>
      <c r="I862" s="893">
        <f t="shared" si="43"/>
        <v>100</v>
      </c>
    </row>
    <row r="863" spans="1:20" ht="18" customHeight="1" thickTop="1" thickBot="1" x14ac:dyDescent="0.3">
      <c r="A863" s="2745" t="s">
        <v>1246</v>
      </c>
      <c r="B863" s="2746"/>
      <c r="C863" s="2746"/>
      <c r="D863" s="2746"/>
      <c r="E863" s="2747"/>
      <c r="F863" s="894">
        <f>F849</f>
        <v>3822</v>
      </c>
      <c r="G863" s="894">
        <f>G849+G853+G857+G859+G861</f>
        <v>23745</v>
      </c>
      <c r="H863" s="894">
        <f>H849+H853+H857+H859+H861</f>
        <v>23745</v>
      </c>
      <c r="I863" s="895">
        <f t="shared" si="43"/>
        <v>100</v>
      </c>
      <c r="R863" s="385">
        <f>F863</f>
        <v>3822</v>
      </c>
      <c r="S863" s="385">
        <f>G863</f>
        <v>23745</v>
      </c>
      <c r="T863" s="385">
        <f>H863</f>
        <v>23745</v>
      </c>
    </row>
    <row r="864" spans="1:20" ht="20.25" customHeight="1" thickTop="1" x14ac:dyDescent="0.2"/>
    <row r="865" spans="1:9" ht="13.5" thickBot="1" x14ac:dyDescent="0.25">
      <c r="A865" s="439" t="s">
        <v>1243</v>
      </c>
      <c r="I865" s="1548" t="s">
        <v>179</v>
      </c>
    </row>
    <row r="866" spans="1:9" s="107" customFormat="1" thickTop="1" thickBot="1" x14ac:dyDescent="0.25">
      <c r="A866" s="657" t="s">
        <v>692</v>
      </c>
      <c r="B866" s="835" t="s">
        <v>180</v>
      </c>
      <c r="C866" s="658" t="s">
        <v>181</v>
      </c>
      <c r="D866" s="660" t="s">
        <v>783</v>
      </c>
      <c r="E866" s="660" t="s">
        <v>182</v>
      </c>
      <c r="F866" s="660" t="s">
        <v>183</v>
      </c>
      <c r="G866" s="660" t="s">
        <v>985</v>
      </c>
      <c r="H866" s="660" t="s">
        <v>986</v>
      </c>
      <c r="I866" s="888" t="s">
        <v>987</v>
      </c>
    </row>
    <row r="867" spans="1:9" s="386" customFormat="1" ht="13.5" thickTop="1" thickBot="1" x14ac:dyDescent="0.25">
      <c r="A867" s="592">
        <v>1</v>
      </c>
      <c r="B867" s="593">
        <v>2</v>
      </c>
      <c r="C867" s="593">
        <v>3</v>
      </c>
      <c r="D867" s="593">
        <v>4</v>
      </c>
      <c r="E867" s="593">
        <v>5</v>
      </c>
      <c r="F867" s="567">
        <v>6</v>
      </c>
      <c r="G867" s="567">
        <v>7</v>
      </c>
      <c r="H867" s="568">
        <v>8</v>
      </c>
      <c r="I867" s="662" t="s">
        <v>848</v>
      </c>
    </row>
    <row r="868" spans="1:9" ht="15.75" thickTop="1" x14ac:dyDescent="0.25">
      <c r="A868" s="1549">
        <v>1120</v>
      </c>
      <c r="B868" s="836">
        <v>3122</v>
      </c>
      <c r="C868" s="836">
        <v>5331</v>
      </c>
      <c r="D868" s="909"/>
      <c r="E868" s="930" t="s">
        <v>1066</v>
      </c>
      <c r="F868" s="931">
        <f>SUM(F869:F873)</f>
        <v>2137</v>
      </c>
      <c r="G868" s="931">
        <f>G869+G870+G871</f>
        <v>2221</v>
      </c>
      <c r="H868" s="931">
        <f>H869+H870+H871</f>
        <v>2221</v>
      </c>
      <c r="I868" s="896">
        <f t="shared" ref="I868:I890" si="44">(H868/G868)*100</f>
        <v>100</v>
      </c>
    </row>
    <row r="869" spans="1:9" ht="14.25" x14ac:dyDescent="0.2">
      <c r="A869" s="435"/>
      <c r="B869" s="705"/>
      <c r="C869" s="705"/>
      <c r="D869" s="743" t="s">
        <v>641</v>
      </c>
      <c r="E869" s="1679" t="s">
        <v>883</v>
      </c>
      <c r="F869" s="897">
        <v>359</v>
      </c>
      <c r="G869" s="897">
        <v>358</v>
      </c>
      <c r="H869" s="897">
        <v>358</v>
      </c>
      <c r="I869" s="893">
        <f t="shared" si="44"/>
        <v>100</v>
      </c>
    </row>
    <row r="870" spans="1:9" ht="14.25" x14ac:dyDescent="0.2">
      <c r="A870" s="435"/>
      <c r="B870" s="705"/>
      <c r="C870" s="1550"/>
      <c r="D870" s="578" t="s">
        <v>636</v>
      </c>
      <c r="E870" s="474" t="s">
        <v>72</v>
      </c>
      <c r="F870" s="897">
        <v>1778</v>
      </c>
      <c r="G870" s="897">
        <v>1778</v>
      </c>
      <c r="H870" s="897">
        <v>1778</v>
      </c>
      <c r="I870" s="893">
        <f t="shared" si="44"/>
        <v>100</v>
      </c>
    </row>
    <row r="871" spans="1:9" ht="14.25" x14ac:dyDescent="0.2">
      <c r="A871" s="435"/>
      <c r="B871" s="808"/>
      <c r="C871" s="1551"/>
      <c r="D871" s="1178" t="s">
        <v>1763</v>
      </c>
      <c r="E871" s="2590" t="s">
        <v>1913</v>
      </c>
      <c r="F871" s="903"/>
      <c r="G871" s="903">
        <v>85</v>
      </c>
      <c r="H871" s="903">
        <v>85</v>
      </c>
      <c r="I871" s="893">
        <f t="shared" si="44"/>
        <v>100</v>
      </c>
    </row>
    <row r="872" spans="1:9" ht="18" customHeight="1" x14ac:dyDescent="0.25">
      <c r="A872" s="435">
        <v>1120</v>
      </c>
      <c r="B872" s="705">
        <v>3122</v>
      </c>
      <c r="C872" s="705">
        <v>5336</v>
      </c>
      <c r="D872" s="578"/>
      <c r="E872" s="1564" t="s">
        <v>1357</v>
      </c>
      <c r="F872" s="921"/>
      <c r="G872" s="921">
        <f>G873+G874+G875</f>
        <v>17051</v>
      </c>
      <c r="H872" s="921">
        <f>H873+H874+H875</f>
        <v>17051</v>
      </c>
      <c r="I872" s="923">
        <f t="shared" si="44"/>
        <v>100</v>
      </c>
    </row>
    <row r="873" spans="1:9" ht="17.25" customHeight="1" x14ac:dyDescent="0.2">
      <c r="A873" s="435"/>
      <c r="B873" s="808"/>
      <c r="C873" s="1551"/>
      <c r="D873" s="578" t="s">
        <v>1267</v>
      </c>
      <c r="E873" s="474" t="s">
        <v>882</v>
      </c>
      <c r="F873" s="903"/>
      <c r="G873" s="903">
        <v>16301</v>
      </c>
      <c r="H873" s="903">
        <v>16301</v>
      </c>
      <c r="I873" s="898">
        <f t="shared" si="44"/>
        <v>100</v>
      </c>
    </row>
    <row r="874" spans="1:9" ht="14.25" x14ac:dyDescent="0.2">
      <c r="A874" s="435"/>
      <c r="B874" s="808"/>
      <c r="C874" s="1551"/>
      <c r="D874" s="1569" t="s">
        <v>1771</v>
      </c>
      <c r="E874" s="1561" t="s">
        <v>1908</v>
      </c>
      <c r="F874" s="903"/>
      <c r="G874" s="903">
        <v>112</v>
      </c>
      <c r="H874" s="903">
        <v>112</v>
      </c>
      <c r="I874" s="898">
        <f t="shared" si="44"/>
        <v>100</v>
      </c>
    </row>
    <row r="875" spans="1:9" ht="14.25" x14ac:dyDescent="0.2">
      <c r="A875" s="435"/>
      <c r="B875" s="808"/>
      <c r="C875" s="1551"/>
      <c r="D875" s="1569" t="s">
        <v>1773</v>
      </c>
      <c r="E875" s="1561" t="s">
        <v>1908</v>
      </c>
      <c r="F875" s="903"/>
      <c r="G875" s="903">
        <v>638</v>
      </c>
      <c r="H875" s="903">
        <v>638</v>
      </c>
      <c r="I875" s="898">
        <f t="shared" si="44"/>
        <v>100</v>
      </c>
    </row>
    <row r="876" spans="1:9" ht="15" x14ac:dyDescent="0.25">
      <c r="A876" s="435">
        <v>1120</v>
      </c>
      <c r="B876" s="808">
        <v>3142</v>
      </c>
      <c r="C876" s="808">
        <v>5331</v>
      </c>
      <c r="D876" s="929"/>
      <c r="E876" s="704" t="s">
        <v>1066</v>
      </c>
      <c r="F876" s="905">
        <f>SUM(F877:F879)</f>
        <v>450</v>
      </c>
      <c r="G876" s="905">
        <v>450</v>
      </c>
      <c r="H876" s="905">
        <v>450</v>
      </c>
      <c r="I876" s="906">
        <f t="shared" si="44"/>
        <v>100</v>
      </c>
    </row>
    <row r="877" spans="1:9" ht="14.25" x14ac:dyDescent="0.2">
      <c r="A877" s="435"/>
      <c r="B877" s="808"/>
      <c r="C877" s="808"/>
      <c r="D877" s="578" t="s">
        <v>636</v>
      </c>
      <c r="E877" s="474" t="s">
        <v>72</v>
      </c>
      <c r="F877" s="903">
        <v>450</v>
      </c>
      <c r="G877" s="903">
        <v>450</v>
      </c>
      <c r="H877" s="903">
        <v>450</v>
      </c>
      <c r="I877" s="898">
        <f t="shared" si="44"/>
        <v>100</v>
      </c>
    </row>
    <row r="878" spans="1:9" ht="15" x14ac:dyDescent="0.25">
      <c r="A878" s="435">
        <v>1120</v>
      </c>
      <c r="B878" s="705">
        <v>3142</v>
      </c>
      <c r="C878" s="705">
        <v>5336</v>
      </c>
      <c r="D878" s="578"/>
      <c r="E878" s="1564" t="s">
        <v>1357</v>
      </c>
      <c r="F878" s="921"/>
      <c r="G878" s="921">
        <v>241</v>
      </c>
      <c r="H878" s="921">
        <v>241</v>
      </c>
      <c r="I878" s="923">
        <f t="shared" si="44"/>
        <v>100</v>
      </c>
    </row>
    <row r="879" spans="1:9" ht="20.25" customHeight="1" thickBot="1" x14ac:dyDescent="0.25">
      <c r="A879" s="1552"/>
      <c r="B879" s="962"/>
      <c r="C879" s="1553"/>
      <c r="D879" s="757" t="s">
        <v>1267</v>
      </c>
      <c r="E879" s="476" t="s">
        <v>882</v>
      </c>
      <c r="F879" s="963"/>
      <c r="G879" s="963">
        <v>241</v>
      </c>
      <c r="H879" s="963">
        <v>241</v>
      </c>
      <c r="I879" s="942">
        <f t="shared" si="44"/>
        <v>100</v>
      </c>
    </row>
    <row r="880" spans="1:9" s="1555" customFormat="1" ht="20.25" customHeight="1" thickTop="1" x14ac:dyDescent="0.2">
      <c r="B880" s="803"/>
      <c r="D880" s="853"/>
      <c r="E880" s="67"/>
      <c r="F880" s="911"/>
      <c r="G880" s="911"/>
      <c r="H880" s="911"/>
      <c r="I880" s="964"/>
    </row>
    <row r="881" spans="1:20" ht="13.5" thickBot="1" x14ac:dyDescent="0.25">
      <c r="A881" s="439"/>
      <c r="I881" s="1548" t="s">
        <v>179</v>
      </c>
    </row>
    <row r="882" spans="1:20" s="107" customFormat="1" thickTop="1" thickBot="1" x14ac:dyDescent="0.25">
      <c r="A882" s="657" t="s">
        <v>692</v>
      </c>
      <c r="B882" s="835" t="s">
        <v>180</v>
      </c>
      <c r="C882" s="658" t="s">
        <v>181</v>
      </c>
      <c r="D882" s="660" t="s">
        <v>783</v>
      </c>
      <c r="E882" s="660" t="s">
        <v>182</v>
      </c>
      <c r="F882" s="660" t="s">
        <v>183</v>
      </c>
      <c r="G882" s="660" t="s">
        <v>985</v>
      </c>
      <c r="H882" s="660" t="s">
        <v>986</v>
      </c>
      <c r="I882" s="888" t="s">
        <v>987</v>
      </c>
    </row>
    <row r="883" spans="1:20" s="386" customFormat="1" ht="13.5" thickTop="1" thickBot="1" x14ac:dyDescent="0.25">
      <c r="A883" s="592">
        <v>1</v>
      </c>
      <c r="B883" s="593">
        <v>2</v>
      </c>
      <c r="C883" s="593">
        <v>3</v>
      </c>
      <c r="D883" s="593">
        <v>4</v>
      </c>
      <c r="E883" s="593">
        <v>5</v>
      </c>
      <c r="F883" s="567">
        <v>6</v>
      </c>
      <c r="G883" s="567">
        <v>7</v>
      </c>
      <c r="H883" s="568">
        <v>8</v>
      </c>
      <c r="I883" s="662" t="s">
        <v>848</v>
      </c>
    </row>
    <row r="884" spans="1:20" ht="15.75" thickTop="1" x14ac:dyDescent="0.25">
      <c r="A884" s="435">
        <v>1120</v>
      </c>
      <c r="B884" s="808">
        <v>3150</v>
      </c>
      <c r="C884" s="808">
        <v>5331</v>
      </c>
      <c r="D884" s="929"/>
      <c r="E884" s="704" t="s">
        <v>1066</v>
      </c>
      <c r="F884" s="905">
        <f>F885</f>
        <v>650</v>
      </c>
      <c r="G884" s="905">
        <v>650</v>
      </c>
      <c r="H884" s="905">
        <v>650</v>
      </c>
      <c r="I884" s="906">
        <f t="shared" si="44"/>
        <v>100</v>
      </c>
    </row>
    <row r="885" spans="1:20" ht="14.25" x14ac:dyDescent="0.2">
      <c r="A885" s="435"/>
      <c r="B885" s="808"/>
      <c r="C885" s="808"/>
      <c r="D885" s="578" t="s">
        <v>636</v>
      </c>
      <c r="E885" s="474" t="s">
        <v>72</v>
      </c>
      <c r="F885" s="903">
        <v>650</v>
      </c>
      <c r="G885" s="903">
        <v>650</v>
      </c>
      <c r="H885" s="903">
        <v>650</v>
      </c>
      <c r="I885" s="898">
        <f t="shared" si="44"/>
        <v>100</v>
      </c>
    </row>
    <row r="886" spans="1:20" ht="15" x14ac:dyDescent="0.25">
      <c r="A886" s="435">
        <v>1120</v>
      </c>
      <c r="B886" s="705">
        <v>3150</v>
      </c>
      <c r="C886" s="705">
        <v>5336</v>
      </c>
      <c r="D886" s="578"/>
      <c r="E886" s="1564" t="s">
        <v>1357</v>
      </c>
      <c r="F886" s="921"/>
      <c r="G886" s="921">
        <f>G887+G888+G889</f>
        <v>7686</v>
      </c>
      <c r="H886" s="921">
        <f>H887+H888+H889</f>
        <v>7686</v>
      </c>
      <c r="I886" s="923">
        <f t="shared" si="44"/>
        <v>100</v>
      </c>
    </row>
    <row r="887" spans="1:20" ht="14.25" x14ac:dyDescent="0.2">
      <c r="A887" s="435"/>
      <c r="B887" s="808"/>
      <c r="C887" s="1551"/>
      <c r="D887" s="578" t="s">
        <v>1267</v>
      </c>
      <c r="E887" s="474" t="s">
        <v>882</v>
      </c>
      <c r="F887" s="903"/>
      <c r="G887" s="903">
        <v>5960</v>
      </c>
      <c r="H887" s="903">
        <v>5960</v>
      </c>
      <c r="I887" s="898">
        <f t="shared" si="44"/>
        <v>100</v>
      </c>
    </row>
    <row r="888" spans="1:20" ht="14.25" x14ac:dyDescent="0.2">
      <c r="A888" s="435"/>
      <c r="B888" s="808"/>
      <c r="C888" s="1551"/>
      <c r="D888" s="1530" t="s">
        <v>772</v>
      </c>
      <c r="E888" s="1570" t="s">
        <v>1360</v>
      </c>
      <c r="F888" s="903"/>
      <c r="G888" s="903">
        <v>259</v>
      </c>
      <c r="H888" s="903">
        <v>259</v>
      </c>
      <c r="I888" s="898">
        <f t="shared" si="44"/>
        <v>100</v>
      </c>
    </row>
    <row r="889" spans="1:20" ht="15" thickBot="1" x14ac:dyDescent="0.25">
      <c r="A889" s="435"/>
      <c r="B889" s="808"/>
      <c r="C889" s="1551"/>
      <c r="D889" s="1530" t="s">
        <v>773</v>
      </c>
      <c r="E889" s="1570" t="s">
        <v>1360</v>
      </c>
      <c r="F889" s="903"/>
      <c r="G889" s="903">
        <v>1467</v>
      </c>
      <c r="H889" s="903">
        <v>1467</v>
      </c>
      <c r="I889" s="898">
        <f t="shared" si="44"/>
        <v>100</v>
      </c>
    </row>
    <row r="890" spans="1:20" ht="16.5" thickTop="1" thickBot="1" x14ac:dyDescent="0.3">
      <c r="A890" s="2739" t="s">
        <v>1246</v>
      </c>
      <c r="B890" s="2740"/>
      <c r="C890" s="2740"/>
      <c r="D890" s="2740"/>
      <c r="E890" s="2740"/>
      <c r="F890" s="894">
        <f>F868+F876+F884</f>
        <v>3237</v>
      </c>
      <c r="G890" s="894">
        <f>G868+G876+G884+G872+G886+G878</f>
        <v>28299</v>
      </c>
      <c r="H890" s="894">
        <f>H868+H876+H884+H872+H886+H878</f>
        <v>28299</v>
      </c>
      <c r="I890" s="895">
        <f t="shared" si="44"/>
        <v>100</v>
      </c>
      <c r="R890" s="385">
        <f>F890</f>
        <v>3237</v>
      </c>
      <c r="S890" s="385">
        <f>G890</f>
        <v>28299</v>
      </c>
      <c r="T890" s="385">
        <f>H890</f>
        <v>28299</v>
      </c>
    </row>
    <row r="891" spans="1:20" ht="13.5" thickTop="1" x14ac:dyDescent="0.2"/>
    <row r="892" spans="1:20" ht="13.5" thickBot="1" x14ac:dyDescent="0.25">
      <c r="A892" s="439" t="s">
        <v>368</v>
      </c>
      <c r="I892" s="1548" t="s">
        <v>179</v>
      </c>
    </row>
    <row r="893" spans="1:20" s="107" customFormat="1" thickTop="1" thickBot="1" x14ac:dyDescent="0.25">
      <c r="A893" s="657" t="s">
        <v>692</v>
      </c>
      <c r="B893" s="835" t="s">
        <v>180</v>
      </c>
      <c r="C893" s="658" t="s">
        <v>181</v>
      </c>
      <c r="D893" s="660" t="s">
        <v>783</v>
      </c>
      <c r="E893" s="660" t="s">
        <v>182</v>
      </c>
      <c r="F893" s="660" t="s">
        <v>183</v>
      </c>
      <c r="G893" s="660" t="s">
        <v>985</v>
      </c>
      <c r="H893" s="660" t="s">
        <v>986</v>
      </c>
      <c r="I893" s="888" t="s">
        <v>987</v>
      </c>
    </row>
    <row r="894" spans="1:20" s="386" customFormat="1" ht="13.5" thickTop="1" thickBot="1" x14ac:dyDescent="0.25">
      <c r="A894" s="592">
        <v>1</v>
      </c>
      <c r="B894" s="593">
        <v>2</v>
      </c>
      <c r="C894" s="593">
        <v>3</v>
      </c>
      <c r="D894" s="593">
        <v>4</v>
      </c>
      <c r="E894" s="593">
        <v>5</v>
      </c>
      <c r="F894" s="567">
        <v>6</v>
      </c>
      <c r="G894" s="567">
        <v>7</v>
      </c>
      <c r="H894" s="568">
        <v>8</v>
      </c>
      <c r="I894" s="662" t="s">
        <v>848</v>
      </c>
    </row>
    <row r="895" spans="1:20" ht="15.75" thickTop="1" x14ac:dyDescent="0.25">
      <c r="A895" s="1549">
        <v>1121</v>
      </c>
      <c r="B895" s="836">
        <v>3122</v>
      </c>
      <c r="C895" s="836">
        <v>5331</v>
      </c>
      <c r="D895" s="909"/>
      <c r="E895" s="930" t="s">
        <v>1066</v>
      </c>
      <c r="F895" s="931">
        <f>SUM(F896:F900)</f>
        <v>2326</v>
      </c>
      <c r="G895" s="931">
        <f>G896+G897+G898</f>
        <v>2269</v>
      </c>
      <c r="H895" s="931">
        <f>H896+H897+H898</f>
        <v>2269</v>
      </c>
      <c r="I895" s="896">
        <f t="shared" ref="I895:I903" si="45">(H895/G895)*100</f>
        <v>100</v>
      </c>
    </row>
    <row r="896" spans="1:20" ht="18" customHeight="1" x14ac:dyDescent="0.2">
      <c r="A896" s="435"/>
      <c r="B896" s="705"/>
      <c r="C896" s="705"/>
      <c r="D896" s="743" t="s">
        <v>641</v>
      </c>
      <c r="E896" s="1679" t="s">
        <v>883</v>
      </c>
      <c r="F896" s="897">
        <v>654</v>
      </c>
      <c r="G896" s="897">
        <v>529</v>
      </c>
      <c r="H896" s="897">
        <v>529</v>
      </c>
      <c r="I896" s="893">
        <f t="shared" si="45"/>
        <v>100</v>
      </c>
    </row>
    <row r="897" spans="1:20" ht="14.25" x14ac:dyDescent="0.2">
      <c r="A897" s="435"/>
      <c r="B897" s="705"/>
      <c r="C897" s="705"/>
      <c r="D897" s="578" t="s">
        <v>636</v>
      </c>
      <c r="E897" s="474" t="s">
        <v>72</v>
      </c>
      <c r="F897" s="897">
        <v>1672</v>
      </c>
      <c r="G897" s="897">
        <v>1672</v>
      </c>
      <c r="H897" s="897">
        <v>1672</v>
      </c>
      <c r="I897" s="893">
        <f t="shared" si="45"/>
        <v>100</v>
      </c>
    </row>
    <row r="898" spans="1:20" ht="14.25" x14ac:dyDescent="0.2">
      <c r="A898" s="435"/>
      <c r="B898" s="705"/>
      <c r="C898" s="705"/>
      <c r="D898" s="1178" t="s">
        <v>1763</v>
      </c>
      <c r="E898" s="2590" t="s">
        <v>1913</v>
      </c>
      <c r="F898" s="897"/>
      <c r="G898" s="897">
        <v>68</v>
      </c>
      <c r="H898" s="897">
        <v>68</v>
      </c>
      <c r="I898" s="893">
        <f t="shared" si="45"/>
        <v>100</v>
      </c>
    </row>
    <row r="899" spans="1:20" ht="15" x14ac:dyDescent="0.25">
      <c r="A899" s="435">
        <v>1121</v>
      </c>
      <c r="B899" s="705">
        <v>3122</v>
      </c>
      <c r="C899" s="705">
        <v>5336</v>
      </c>
      <c r="D899" s="578"/>
      <c r="E899" s="1564" t="s">
        <v>1357</v>
      </c>
      <c r="F899" s="921"/>
      <c r="G899" s="921">
        <f>G900+G901+G902</f>
        <v>13833</v>
      </c>
      <c r="H899" s="921">
        <f>H900+H901+H902</f>
        <v>13833</v>
      </c>
      <c r="I899" s="923">
        <f t="shared" si="45"/>
        <v>100</v>
      </c>
    </row>
    <row r="900" spans="1:20" ht="14.25" x14ac:dyDescent="0.2">
      <c r="A900" s="435"/>
      <c r="B900" s="705"/>
      <c r="C900" s="705"/>
      <c r="D900" s="578" t="s">
        <v>1267</v>
      </c>
      <c r="E900" s="474" t="s">
        <v>882</v>
      </c>
      <c r="F900" s="897"/>
      <c r="G900" s="897">
        <v>13062</v>
      </c>
      <c r="H900" s="897">
        <v>13062</v>
      </c>
      <c r="I900" s="893">
        <f t="shared" si="45"/>
        <v>100</v>
      </c>
    </row>
    <row r="901" spans="1:20" ht="14.25" x14ac:dyDescent="0.2">
      <c r="A901" s="435"/>
      <c r="B901" s="705"/>
      <c r="C901" s="705"/>
      <c r="D901" s="1569" t="s">
        <v>1771</v>
      </c>
      <c r="E901" s="1561" t="s">
        <v>1908</v>
      </c>
      <c r="F901" s="897"/>
      <c r="G901" s="897">
        <v>116</v>
      </c>
      <c r="H901" s="897">
        <v>116</v>
      </c>
      <c r="I901" s="893">
        <f t="shared" si="45"/>
        <v>100</v>
      </c>
    </row>
    <row r="902" spans="1:20" ht="20.25" customHeight="1" thickBot="1" x14ac:dyDescent="0.25">
      <c r="A902" s="435"/>
      <c r="B902" s="705"/>
      <c r="C902" s="705"/>
      <c r="D902" s="1569" t="s">
        <v>1773</v>
      </c>
      <c r="E902" s="1561" t="s">
        <v>1908</v>
      </c>
      <c r="F902" s="897"/>
      <c r="G902" s="897">
        <v>655</v>
      </c>
      <c r="H902" s="897">
        <v>655</v>
      </c>
      <c r="I902" s="893">
        <f t="shared" si="45"/>
        <v>100</v>
      </c>
    </row>
    <row r="903" spans="1:20" ht="16.5" thickTop="1" thickBot="1" x14ac:dyDescent="0.3">
      <c r="A903" s="2739" t="s">
        <v>1246</v>
      </c>
      <c r="B903" s="2740"/>
      <c r="C903" s="2740"/>
      <c r="D903" s="2740"/>
      <c r="E903" s="2740"/>
      <c r="F903" s="894">
        <f>SUM(F895)</f>
        <v>2326</v>
      </c>
      <c r="G903" s="894">
        <f>G895+G899</f>
        <v>16102</v>
      </c>
      <c r="H903" s="894">
        <f>H895+H899</f>
        <v>16102</v>
      </c>
      <c r="I903" s="895">
        <f t="shared" si="45"/>
        <v>100</v>
      </c>
      <c r="R903" s="385">
        <f>F903</f>
        <v>2326</v>
      </c>
      <c r="S903" s="385">
        <f>G903</f>
        <v>16102</v>
      </c>
      <c r="T903" s="385">
        <f>H903</f>
        <v>16102</v>
      </c>
    </row>
    <row r="904" spans="1:20" ht="13.5" thickTop="1" x14ac:dyDescent="0.2"/>
    <row r="905" spans="1:20" ht="13.5" thickBot="1" x14ac:dyDescent="0.25">
      <c r="A905" s="439" t="s">
        <v>527</v>
      </c>
      <c r="I905" s="1548" t="s">
        <v>179</v>
      </c>
    </row>
    <row r="906" spans="1:20" s="107" customFormat="1" thickTop="1" thickBot="1" x14ac:dyDescent="0.25">
      <c r="A906" s="657" t="s">
        <v>692</v>
      </c>
      <c r="B906" s="835" t="s">
        <v>180</v>
      </c>
      <c r="C906" s="658" t="s">
        <v>181</v>
      </c>
      <c r="D906" s="660" t="s">
        <v>783</v>
      </c>
      <c r="E906" s="660" t="s">
        <v>182</v>
      </c>
      <c r="F906" s="660" t="s">
        <v>183</v>
      </c>
      <c r="G906" s="660" t="s">
        <v>985</v>
      </c>
      <c r="H906" s="660" t="s">
        <v>986</v>
      </c>
      <c r="I906" s="888" t="s">
        <v>987</v>
      </c>
    </row>
    <row r="907" spans="1:20" s="386" customFormat="1" ht="14.25" customHeight="1" thickTop="1" thickBot="1" x14ac:dyDescent="0.25">
      <c r="A907" s="592">
        <v>1</v>
      </c>
      <c r="B907" s="593">
        <v>2</v>
      </c>
      <c r="C907" s="593">
        <v>3</v>
      </c>
      <c r="D907" s="593">
        <v>4</v>
      </c>
      <c r="E907" s="593">
        <v>5</v>
      </c>
      <c r="F907" s="567">
        <v>6</v>
      </c>
      <c r="G907" s="567">
        <v>7</v>
      </c>
      <c r="H907" s="568">
        <v>8</v>
      </c>
      <c r="I907" s="662" t="s">
        <v>848</v>
      </c>
    </row>
    <row r="908" spans="1:20" ht="15.75" thickTop="1" x14ac:dyDescent="0.25">
      <c r="A908" s="1549">
        <v>1122</v>
      </c>
      <c r="B908" s="836">
        <v>3122</v>
      </c>
      <c r="C908" s="836">
        <v>5331</v>
      </c>
      <c r="D908" s="909"/>
      <c r="E908" s="930" t="s">
        <v>1066</v>
      </c>
      <c r="F908" s="931">
        <f>SUM(F909:F913)</f>
        <v>2610</v>
      </c>
      <c r="G908" s="931">
        <f>G909+G910+G911</f>
        <v>4492</v>
      </c>
      <c r="H908" s="931">
        <f>H909+H910+H911</f>
        <v>4492</v>
      </c>
      <c r="I908" s="896">
        <f t="shared" ref="I908:I934" si="46">(H908/G908)*100</f>
        <v>100</v>
      </c>
    </row>
    <row r="909" spans="1:20" ht="14.25" x14ac:dyDescent="0.2">
      <c r="A909" s="435"/>
      <c r="B909" s="705"/>
      <c r="C909" s="705"/>
      <c r="D909" s="743" t="s">
        <v>641</v>
      </c>
      <c r="E909" s="1679" t="s">
        <v>883</v>
      </c>
      <c r="F909" s="897">
        <v>313</v>
      </c>
      <c r="G909" s="897">
        <v>850</v>
      </c>
      <c r="H909" s="897">
        <v>850</v>
      </c>
      <c r="I909" s="893">
        <f t="shared" si="46"/>
        <v>100</v>
      </c>
    </row>
    <row r="910" spans="1:20" ht="14.25" x14ac:dyDescent="0.2">
      <c r="A910" s="435"/>
      <c r="B910" s="705"/>
      <c r="C910" s="705"/>
      <c r="D910" s="578" t="s">
        <v>636</v>
      </c>
      <c r="E910" s="474" t="s">
        <v>72</v>
      </c>
      <c r="F910" s="897">
        <v>2297</v>
      </c>
      <c r="G910" s="897">
        <v>3639</v>
      </c>
      <c r="H910" s="897">
        <v>3639</v>
      </c>
      <c r="I910" s="893">
        <f t="shared" si="46"/>
        <v>100</v>
      </c>
    </row>
    <row r="911" spans="1:20" ht="14.25" x14ac:dyDescent="0.2">
      <c r="A911" s="435"/>
      <c r="B911" s="705"/>
      <c r="C911" s="705"/>
      <c r="D911" s="1178" t="s">
        <v>1763</v>
      </c>
      <c r="E911" s="2590" t="s">
        <v>1913</v>
      </c>
      <c r="F911" s="897"/>
      <c r="G911" s="897">
        <v>3</v>
      </c>
      <c r="H911" s="897">
        <v>3</v>
      </c>
      <c r="I911" s="893">
        <f t="shared" si="46"/>
        <v>100</v>
      </c>
    </row>
    <row r="912" spans="1:20" ht="15" x14ac:dyDescent="0.25">
      <c r="A912" s="435">
        <v>1122</v>
      </c>
      <c r="B912" s="705">
        <v>3122</v>
      </c>
      <c r="C912" s="705">
        <v>5336</v>
      </c>
      <c r="D912" s="578"/>
      <c r="E912" s="1564" t="s">
        <v>1357</v>
      </c>
      <c r="F912" s="921"/>
      <c r="G912" s="921">
        <f>G913+G914+G915</f>
        <v>14421</v>
      </c>
      <c r="H912" s="921">
        <f>H913+H914+H915</f>
        <v>14421</v>
      </c>
      <c r="I912" s="923">
        <f t="shared" si="46"/>
        <v>100</v>
      </c>
    </row>
    <row r="913" spans="1:9" ht="14.25" x14ac:dyDescent="0.2">
      <c r="A913" s="435"/>
      <c r="B913" s="705"/>
      <c r="C913" s="705"/>
      <c r="D913" s="578" t="s">
        <v>1267</v>
      </c>
      <c r="E913" s="474" t="s">
        <v>882</v>
      </c>
      <c r="F913" s="897"/>
      <c r="G913" s="897">
        <v>13803</v>
      </c>
      <c r="H913" s="897">
        <v>13803</v>
      </c>
      <c r="I913" s="893">
        <f t="shared" si="46"/>
        <v>100</v>
      </c>
    </row>
    <row r="914" spans="1:9" ht="14.25" x14ac:dyDescent="0.2">
      <c r="A914" s="435"/>
      <c r="B914" s="808"/>
      <c r="C914" s="808"/>
      <c r="D914" s="1569" t="s">
        <v>1771</v>
      </c>
      <c r="E914" s="1561" t="s">
        <v>1908</v>
      </c>
      <c r="F914" s="903"/>
      <c r="G914" s="903">
        <v>93</v>
      </c>
      <c r="H914" s="903">
        <v>93</v>
      </c>
      <c r="I914" s="898">
        <f t="shared" si="46"/>
        <v>100</v>
      </c>
    </row>
    <row r="915" spans="1:9" ht="14.25" x14ac:dyDescent="0.2">
      <c r="A915" s="435"/>
      <c r="B915" s="808"/>
      <c r="C915" s="808"/>
      <c r="D915" s="1569" t="s">
        <v>1773</v>
      </c>
      <c r="E915" s="1561" t="s">
        <v>1908</v>
      </c>
      <c r="F915" s="903"/>
      <c r="G915" s="903">
        <v>525</v>
      </c>
      <c r="H915" s="903">
        <v>525</v>
      </c>
      <c r="I915" s="898">
        <f t="shared" si="46"/>
        <v>100</v>
      </c>
    </row>
    <row r="916" spans="1:9" ht="15" x14ac:dyDescent="0.25">
      <c r="A916" s="435">
        <v>1122</v>
      </c>
      <c r="B916" s="808">
        <v>3123</v>
      </c>
      <c r="C916" s="808">
        <v>5331</v>
      </c>
      <c r="D916" s="2592"/>
      <c r="E916" s="704" t="s">
        <v>1066</v>
      </c>
      <c r="F916" s="903"/>
      <c r="G916" s="916">
        <v>271</v>
      </c>
      <c r="H916" s="916">
        <v>271</v>
      </c>
      <c r="I916" s="908">
        <f t="shared" si="46"/>
        <v>100</v>
      </c>
    </row>
    <row r="917" spans="1:9" ht="14.25" x14ac:dyDescent="0.2">
      <c r="A917" s="435"/>
      <c r="B917" s="808"/>
      <c r="C917" s="808"/>
      <c r="D917" s="1169" t="s">
        <v>1038</v>
      </c>
      <c r="E917" s="1275" t="s">
        <v>1039</v>
      </c>
      <c r="F917" s="903"/>
      <c r="G917" s="903">
        <v>271</v>
      </c>
      <c r="H917" s="903">
        <v>271</v>
      </c>
      <c r="I917" s="898">
        <f t="shared" si="46"/>
        <v>100</v>
      </c>
    </row>
    <row r="918" spans="1:9" ht="15" x14ac:dyDescent="0.25">
      <c r="A918" s="435">
        <v>1122</v>
      </c>
      <c r="B918" s="808">
        <v>3123</v>
      </c>
      <c r="C918" s="808">
        <v>5336</v>
      </c>
      <c r="D918" s="2592"/>
      <c r="E918" s="1564" t="s">
        <v>1357</v>
      </c>
      <c r="F918" s="903"/>
      <c r="G918" s="916">
        <f>G919+G920+G921</f>
        <v>5223</v>
      </c>
      <c r="H918" s="916">
        <f>H919+H920+H921</f>
        <v>5223</v>
      </c>
      <c r="I918" s="923">
        <f t="shared" si="46"/>
        <v>100</v>
      </c>
    </row>
    <row r="919" spans="1:9" ht="14.25" x14ac:dyDescent="0.2">
      <c r="A919" s="435"/>
      <c r="B919" s="808"/>
      <c r="C919" s="808"/>
      <c r="D919" s="578" t="s">
        <v>1267</v>
      </c>
      <c r="E919" s="474" t="s">
        <v>882</v>
      </c>
      <c r="F919" s="903"/>
      <c r="G919" s="903">
        <v>4682</v>
      </c>
      <c r="H919" s="903">
        <v>4682</v>
      </c>
      <c r="I919" s="924">
        <f t="shared" si="46"/>
        <v>100</v>
      </c>
    </row>
    <row r="920" spans="1:9" ht="14.25" x14ac:dyDescent="0.2">
      <c r="A920" s="435"/>
      <c r="B920" s="808"/>
      <c r="C920" s="808"/>
      <c r="D920" s="1569" t="s">
        <v>1771</v>
      </c>
      <c r="E920" s="1561" t="s">
        <v>1908</v>
      </c>
      <c r="F920" s="903"/>
      <c r="G920" s="903">
        <v>81</v>
      </c>
      <c r="H920" s="903">
        <v>81</v>
      </c>
      <c r="I920" s="924">
        <f t="shared" si="46"/>
        <v>100</v>
      </c>
    </row>
    <row r="921" spans="1:9" ht="14.25" x14ac:dyDescent="0.2">
      <c r="A921" s="435"/>
      <c r="B921" s="808"/>
      <c r="C921" s="808"/>
      <c r="D921" s="1569" t="s">
        <v>1773</v>
      </c>
      <c r="E921" s="1561" t="s">
        <v>1908</v>
      </c>
      <c r="F921" s="903"/>
      <c r="G921" s="903">
        <v>460</v>
      </c>
      <c r="H921" s="903">
        <v>460</v>
      </c>
      <c r="I921" s="924">
        <f t="shared" si="46"/>
        <v>100</v>
      </c>
    </row>
    <row r="922" spans="1:9" ht="15" x14ac:dyDescent="0.25">
      <c r="A922" s="435">
        <v>1122</v>
      </c>
      <c r="B922" s="808">
        <v>3141</v>
      </c>
      <c r="C922" s="808">
        <v>5336</v>
      </c>
      <c r="D922" s="594"/>
      <c r="E922" s="1564" t="s">
        <v>1357</v>
      </c>
      <c r="F922" s="916"/>
      <c r="G922" s="916">
        <v>327</v>
      </c>
      <c r="H922" s="916">
        <v>327</v>
      </c>
      <c r="I922" s="908">
        <f t="shared" si="46"/>
        <v>100</v>
      </c>
    </row>
    <row r="923" spans="1:9" ht="14.25" x14ac:dyDescent="0.2">
      <c r="A923" s="435"/>
      <c r="B923" s="808"/>
      <c r="C923" s="808"/>
      <c r="D923" s="578" t="s">
        <v>1267</v>
      </c>
      <c r="E923" s="474" t="s">
        <v>882</v>
      </c>
      <c r="F923" s="903"/>
      <c r="G923" s="903">
        <v>327</v>
      </c>
      <c r="H923" s="903">
        <v>327</v>
      </c>
      <c r="I923" s="898">
        <f t="shared" si="46"/>
        <v>100</v>
      </c>
    </row>
    <row r="924" spans="1:9" ht="15" x14ac:dyDescent="0.25">
      <c r="A924" s="435">
        <v>1122</v>
      </c>
      <c r="B924" s="808">
        <v>3142</v>
      </c>
      <c r="C924" s="808">
        <v>5331</v>
      </c>
      <c r="D924" s="929"/>
      <c r="E924" s="704" t="s">
        <v>1066</v>
      </c>
      <c r="F924" s="905">
        <f>F925+F926</f>
        <v>637</v>
      </c>
      <c r="G924" s="905">
        <f>G925+G926</f>
        <v>667</v>
      </c>
      <c r="H924" s="905">
        <f>H925+H926</f>
        <v>667</v>
      </c>
      <c r="I924" s="906">
        <f t="shared" si="46"/>
        <v>100</v>
      </c>
    </row>
    <row r="925" spans="1:9" ht="14.25" x14ac:dyDescent="0.2">
      <c r="A925" s="435"/>
      <c r="B925" s="808"/>
      <c r="C925" s="808"/>
      <c r="D925" s="743" t="s">
        <v>641</v>
      </c>
      <c r="E925" s="1679" t="s">
        <v>883</v>
      </c>
      <c r="F925" s="903">
        <v>257</v>
      </c>
      <c r="G925" s="903">
        <v>257</v>
      </c>
      <c r="H925" s="903">
        <v>257</v>
      </c>
      <c r="I925" s="898">
        <f t="shared" si="46"/>
        <v>100</v>
      </c>
    </row>
    <row r="926" spans="1:9" ht="14.25" x14ac:dyDescent="0.2">
      <c r="A926" s="435"/>
      <c r="B926" s="808"/>
      <c r="C926" s="808"/>
      <c r="D926" s="578" t="s">
        <v>636</v>
      </c>
      <c r="E926" s="474" t="s">
        <v>72</v>
      </c>
      <c r="F926" s="903">
        <v>380</v>
      </c>
      <c r="G926" s="903">
        <v>410</v>
      </c>
      <c r="H926" s="903">
        <v>410</v>
      </c>
      <c r="I926" s="898">
        <f t="shared" si="46"/>
        <v>100</v>
      </c>
    </row>
    <row r="927" spans="1:9" ht="15" x14ac:dyDescent="0.25">
      <c r="A927" s="435">
        <v>1122</v>
      </c>
      <c r="B927" s="808">
        <v>3142</v>
      </c>
      <c r="C927" s="808">
        <v>5336</v>
      </c>
      <c r="D927" s="594"/>
      <c r="E927" s="1564" t="s">
        <v>1357</v>
      </c>
      <c r="F927" s="916"/>
      <c r="G927" s="916">
        <v>1422</v>
      </c>
      <c r="H927" s="916">
        <v>1422</v>
      </c>
      <c r="I927" s="908">
        <f t="shared" si="46"/>
        <v>100</v>
      </c>
    </row>
    <row r="928" spans="1:9" ht="14.25" x14ac:dyDescent="0.2">
      <c r="A928" s="435"/>
      <c r="B928" s="808"/>
      <c r="C928" s="808"/>
      <c r="D928" s="578" t="s">
        <v>1267</v>
      </c>
      <c r="E928" s="474" t="s">
        <v>882</v>
      </c>
      <c r="F928" s="903"/>
      <c r="G928" s="903">
        <v>1422</v>
      </c>
      <c r="H928" s="903">
        <v>1422</v>
      </c>
      <c r="I928" s="898">
        <f t="shared" si="46"/>
        <v>100</v>
      </c>
    </row>
    <row r="929" spans="1:20" ht="15" x14ac:dyDescent="0.25">
      <c r="A929" s="435">
        <v>1122</v>
      </c>
      <c r="B929" s="808">
        <v>3147</v>
      </c>
      <c r="C929" s="808">
        <v>5331</v>
      </c>
      <c r="D929" s="929"/>
      <c r="E929" s="854" t="s">
        <v>1066</v>
      </c>
      <c r="F929" s="905">
        <f>SUM(F930:F932)</f>
        <v>200</v>
      </c>
      <c r="G929" s="905">
        <v>233</v>
      </c>
      <c r="H929" s="905">
        <v>233</v>
      </c>
      <c r="I929" s="906">
        <f t="shared" si="46"/>
        <v>100</v>
      </c>
    </row>
    <row r="930" spans="1:20" ht="14.25" x14ac:dyDescent="0.2">
      <c r="A930" s="435"/>
      <c r="B930" s="808"/>
      <c r="C930" s="808"/>
      <c r="D930" s="578" t="s">
        <v>636</v>
      </c>
      <c r="E930" s="474" t="s">
        <v>72</v>
      </c>
      <c r="F930" s="903">
        <v>200</v>
      </c>
      <c r="G930" s="903">
        <v>233</v>
      </c>
      <c r="H930" s="903">
        <v>233</v>
      </c>
      <c r="I930" s="898">
        <f t="shared" si="46"/>
        <v>100</v>
      </c>
    </row>
    <row r="931" spans="1:20" ht="15" x14ac:dyDescent="0.25">
      <c r="A931" s="435">
        <v>1122</v>
      </c>
      <c r="B931" s="808">
        <v>3147</v>
      </c>
      <c r="C931" s="808">
        <v>5336</v>
      </c>
      <c r="D931" s="578"/>
      <c r="E931" s="1564" t="s">
        <v>1357</v>
      </c>
      <c r="F931" s="903"/>
      <c r="G931" s="916">
        <v>1307</v>
      </c>
      <c r="H931" s="916">
        <v>1307</v>
      </c>
      <c r="I931" s="908">
        <f t="shared" si="46"/>
        <v>100</v>
      </c>
    </row>
    <row r="932" spans="1:20" ht="18" customHeight="1" x14ac:dyDescent="0.2">
      <c r="A932" s="435"/>
      <c r="B932" s="808"/>
      <c r="C932" s="1551"/>
      <c r="D932" s="578" t="s">
        <v>1267</v>
      </c>
      <c r="E932" s="474" t="s">
        <v>882</v>
      </c>
      <c r="F932" s="903"/>
      <c r="G932" s="903">
        <v>1307</v>
      </c>
      <c r="H932" s="903">
        <v>1307</v>
      </c>
      <c r="I932" s="898">
        <f t="shared" si="46"/>
        <v>100</v>
      </c>
    </row>
    <row r="933" spans="1:20" ht="17.25" customHeight="1" x14ac:dyDescent="0.25">
      <c r="A933" s="435">
        <v>1122</v>
      </c>
      <c r="B933" s="808">
        <v>3293</v>
      </c>
      <c r="C933" s="1551">
        <v>5331</v>
      </c>
      <c r="D933" s="578"/>
      <c r="E933" s="854" t="s">
        <v>1066</v>
      </c>
      <c r="F933" s="916"/>
      <c r="G933" s="916">
        <v>4</v>
      </c>
      <c r="H933" s="916">
        <v>4</v>
      </c>
      <c r="I933" s="908">
        <f t="shared" si="46"/>
        <v>100</v>
      </c>
    </row>
    <row r="934" spans="1:20" ht="15" thickBot="1" x14ac:dyDescent="0.25">
      <c r="A934" s="435"/>
      <c r="B934" s="808"/>
      <c r="C934" s="1551"/>
      <c r="D934" s="805" t="s">
        <v>1270</v>
      </c>
      <c r="E934" s="1694" t="s">
        <v>62</v>
      </c>
      <c r="F934" s="903"/>
      <c r="G934" s="903">
        <v>4</v>
      </c>
      <c r="H934" s="903">
        <v>4</v>
      </c>
      <c r="I934" s="898">
        <f t="shared" si="46"/>
        <v>100</v>
      </c>
    </row>
    <row r="935" spans="1:20" ht="16.5" thickTop="1" thickBot="1" x14ac:dyDescent="0.3">
      <c r="A935" s="2739" t="s">
        <v>1246</v>
      </c>
      <c r="B935" s="2740"/>
      <c r="C935" s="2740"/>
      <c r="D935" s="2740"/>
      <c r="E935" s="2740"/>
      <c r="F935" s="894">
        <f>SUM(F929,F924,F908,F922,F933)</f>
        <v>3447</v>
      </c>
      <c r="G935" s="894">
        <f>SUM(G929,G924,G908,G922,G933,G931,G927,G918,G916,G912)</f>
        <v>28367</v>
      </c>
      <c r="H935" s="894">
        <f>SUM(H929,H924,H908,H922,H933,H931,H927,H918,H916,H912)</f>
        <v>28367</v>
      </c>
      <c r="I935" s="895">
        <f>(H935/G935)*100</f>
        <v>100</v>
      </c>
      <c r="R935" s="385">
        <f>F935</f>
        <v>3447</v>
      </c>
      <c r="S935" s="385">
        <f>G935</f>
        <v>28367</v>
      </c>
      <c r="T935" s="385">
        <f>H935</f>
        <v>28367</v>
      </c>
    </row>
    <row r="936" spans="1:20" ht="15" customHeight="1" thickTop="1" x14ac:dyDescent="0.2"/>
    <row r="937" spans="1:20" ht="13.5" thickBot="1" x14ac:dyDescent="0.25">
      <c r="A937" s="439" t="s">
        <v>369</v>
      </c>
      <c r="I937" s="1548" t="s">
        <v>179</v>
      </c>
    </row>
    <row r="938" spans="1:20" s="107" customFormat="1" ht="20.25" customHeight="1" thickTop="1" thickBot="1" x14ac:dyDescent="0.25">
      <c r="A938" s="657" t="s">
        <v>692</v>
      </c>
      <c r="B938" s="835" t="s">
        <v>180</v>
      </c>
      <c r="C938" s="658" t="s">
        <v>181</v>
      </c>
      <c r="D938" s="660" t="s">
        <v>783</v>
      </c>
      <c r="E938" s="660" t="s">
        <v>182</v>
      </c>
      <c r="F938" s="660" t="s">
        <v>183</v>
      </c>
      <c r="G938" s="660" t="s">
        <v>985</v>
      </c>
      <c r="H938" s="660" t="s">
        <v>986</v>
      </c>
      <c r="I938" s="888" t="s">
        <v>987</v>
      </c>
    </row>
    <row r="939" spans="1:20" s="386" customFormat="1" ht="13.5" thickTop="1" thickBot="1" x14ac:dyDescent="0.25">
      <c r="A939" s="592">
        <v>1</v>
      </c>
      <c r="B939" s="593">
        <v>2</v>
      </c>
      <c r="C939" s="593">
        <v>3</v>
      </c>
      <c r="D939" s="593">
        <v>4</v>
      </c>
      <c r="E939" s="593">
        <v>5</v>
      </c>
      <c r="F939" s="567">
        <v>6</v>
      </c>
      <c r="G939" s="567">
        <v>7</v>
      </c>
      <c r="H939" s="568">
        <v>8</v>
      </c>
      <c r="I939" s="662" t="s">
        <v>848</v>
      </c>
    </row>
    <row r="940" spans="1:20" ht="15.75" thickTop="1" x14ac:dyDescent="0.25">
      <c r="A940" s="1549">
        <v>1123</v>
      </c>
      <c r="B940" s="836">
        <v>3122</v>
      </c>
      <c r="C940" s="836">
        <v>5331</v>
      </c>
      <c r="D940" s="909"/>
      <c r="E940" s="930" t="s">
        <v>1066</v>
      </c>
      <c r="F940" s="931">
        <f>F941+F942</f>
        <v>2178</v>
      </c>
      <c r="G940" s="931">
        <f>G941+G942+G943+G944+G947</f>
        <v>2460</v>
      </c>
      <c r="H940" s="931">
        <f>H941+H942+H943+H944+H947</f>
        <v>2460</v>
      </c>
      <c r="I940" s="896">
        <f t="shared" ref="I940:I979" si="47">(H940/G940)*100</f>
        <v>100</v>
      </c>
    </row>
    <row r="941" spans="1:20" ht="14.25" x14ac:dyDescent="0.2">
      <c r="A941" s="435"/>
      <c r="B941" s="705"/>
      <c r="C941" s="705"/>
      <c r="D941" s="743" t="s">
        <v>641</v>
      </c>
      <c r="E941" s="1679" t="s">
        <v>883</v>
      </c>
      <c r="F941" s="897">
        <v>418</v>
      </c>
      <c r="G941" s="897">
        <v>418</v>
      </c>
      <c r="H941" s="897">
        <v>418</v>
      </c>
      <c r="I941" s="893">
        <f t="shared" si="47"/>
        <v>100</v>
      </c>
    </row>
    <row r="942" spans="1:20" ht="14.25" x14ac:dyDescent="0.2">
      <c r="A942" s="435"/>
      <c r="B942" s="705"/>
      <c r="C942" s="705"/>
      <c r="D942" s="578" t="s">
        <v>636</v>
      </c>
      <c r="E942" s="474" t="s">
        <v>72</v>
      </c>
      <c r="F942" s="897">
        <v>1760</v>
      </c>
      <c r="G942" s="897">
        <v>1760</v>
      </c>
      <c r="H942" s="897">
        <v>1760</v>
      </c>
      <c r="I942" s="893">
        <f t="shared" si="47"/>
        <v>100</v>
      </c>
    </row>
    <row r="943" spans="1:20" ht="18" customHeight="1" x14ac:dyDescent="0.2">
      <c r="A943" s="435"/>
      <c r="B943" s="705"/>
      <c r="C943" s="705"/>
      <c r="D943" s="1179" t="s">
        <v>1536</v>
      </c>
      <c r="E943" s="1702" t="s">
        <v>1537</v>
      </c>
      <c r="F943" s="897"/>
      <c r="G943" s="897">
        <v>200</v>
      </c>
      <c r="H943" s="897">
        <v>200</v>
      </c>
      <c r="I943" s="893">
        <f t="shared" si="47"/>
        <v>100</v>
      </c>
    </row>
    <row r="944" spans="1:20" ht="15" customHeight="1" x14ac:dyDescent="0.2">
      <c r="A944" s="435"/>
      <c r="B944" s="705"/>
      <c r="C944" s="705"/>
      <c r="D944" s="2708" t="s">
        <v>1641</v>
      </c>
      <c r="E944" s="2748" t="s">
        <v>1667</v>
      </c>
      <c r="F944" s="897"/>
      <c r="G944" s="897">
        <v>65</v>
      </c>
      <c r="H944" s="897">
        <v>65</v>
      </c>
      <c r="I944" s="893">
        <f t="shared" si="47"/>
        <v>100</v>
      </c>
    </row>
    <row r="945" spans="1:9" ht="11.25" customHeight="1" x14ac:dyDescent="0.2">
      <c r="A945" s="435"/>
      <c r="B945" s="705"/>
      <c r="C945" s="705"/>
      <c r="D945" s="2734"/>
      <c r="E945" s="2734"/>
      <c r="F945" s="897"/>
      <c r="G945" s="897"/>
      <c r="H945" s="897"/>
      <c r="I945" s="893"/>
    </row>
    <row r="946" spans="1:9" ht="13.5" customHeight="1" x14ac:dyDescent="0.2">
      <c r="A946" s="435"/>
      <c r="B946" s="705"/>
      <c r="C946" s="705"/>
      <c r="D946" s="2734"/>
      <c r="E946" s="2734"/>
      <c r="F946" s="897"/>
      <c r="G946" s="897"/>
      <c r="H946" s="897"/>
      <c r="I946" s="893"/>
    </row>
    <row r="947" spans="1:9" ht="15" thickBot="1" x14ac:dyDescent="0.25">
      <c r="A947" s="1552"/>
      <c r="B947" s="706"/>
      <c r="C947" s="706"/>
      <c r="D947" s="1301" t="s">
        <v>1763</v>
      </c>
      <c r="E947" s="2598" t="s">
        <v>1913</v>
      </c>
      <c r="F947" s="941"/>
      <c r="G947" s="941">
        <v>17</v>
      </c>
      <c r="H947" s="941">
        <v>17</v>
      </c>
      <c r="I947" s="925">
        <f t="shared" si="47"/>
        <v>100</v>
      </c>
    </row>
    <row r="948" spans="1:9" s="1555" customFormat="1" ht="15" thickTop="1" x14ac:dyDescent="0.2">
      <c r="B948" s="803"/>
      <c r="C948" s="803"/>
      <c r="D948" s="1463"/>
      <c r="E948" s="2626"/>
      <c r="F948" s="911"/>
      <c r="G948" s="911"/>
      <c r="H948" s="911"/>
      <c r="I948" s="964"/>
    </row>
    <row r="949" spans="1:9" s="1555" customFormat="1" ht="14.25" x14ac:dyDescent="0.2">
      <c r="B949" s="803"/>
      <c r="C949" s="803"/>
      <c r="D949" s="1463"/>
      <c r="E949" s="2626"/>
      <c r="F949" s="911"/>
      <c r="G949" s="911"/>
      <c r="H949" s="911"/>
      <c r="I949" s="964"/>
    </row>
    <row r="950" spans="1:9" ht="13.5" thickBot="1" x14ac:dyDescent="0.25">
      <c r="A950" s="439"/>
      <c r="I950" s="1548" t="s">
        <v>179</v>
      </c>
    </row>
    <row r="951" spans="1:9" s="107" customFormat="1" ht="20.25" customHeight="1" thickTop="1" thickBot="1" x14ac:dyDescent="0.25">
      <c r="A951" s="657" t="s">
        <v>692</v>
      </c>
      <c r="B951" s="835" t="s">
        <v>180</v>
      </c>
      <c r="C951" s="658" t="s">
        <v>181</v>
      </c>
      <c r="D951" s="660" t="s">
        <v>783</v>
      </c>
      <c r="E951" s="660" t="s">
        <v>182</v>
      </c>
      <c r="F951" s="660" t="s">
        <v>183</v>
      </c>
      <c r="G951" s="660" t="s">
        <v>985</v>
      </c>
      <c r="H951" s="660" t="s">
        <v>986</v>
      </c>
      <c r="I951" s="888" t="s">
        <v>987</v>
      </c>
    </row>
    <row r="952" spans="1:9" s="386" customFormat="1" ht="13.5" thickTop="1" thickBot="1" x14ac:dyDescent="0.25">
      <c r="A952" s="592">
        <v>1</v>
      </c>
      <c r="B952" s="593">
        <v>2</v>
      </c>
      <c r="C952" s="593">
        <v>3</v>
      </c>
      <c r="D952" s="593">
        <v>4</v>
      </c>
      <c r="E952" s="593">
        <v>5</v>
      </c>
      <c r="F952" s="567">
        <v>6</v>
      </c>
      <c r="G952" s="567">
        <v>7</v>
      </c>
      <c r="H952" s="568">
        <v>8</v>
      </c>
      <c r="I952" s="662" t="s">
        <v>848</v>
      </c>
    </row>
    <row r="953" spans="1:9" ht="20.25" customHeight="1" thickTop="1" x14ac:dyDescent="0.25">
      <c r="A953" s="435">
        <v>1123</v>
      </c>
      <c r="B953" s="808">
        <v>3122</v>
      </c>
      <c r="C953" s="808">
        <v>5336</v>
      </c>
      <c r="D953" s="578"/>
      <c r="E953" s="1564" t="s">
        <v>1357</v>
      </c>
      <c r="F953" s="903"/>
      <c r="G953" s="916">
        <f>G954+G955+G956</f>
        <v>12537</v>
      </c>
      <c r="H953" s="916">
        <f>H954+H955+H956</f>
        <v>12537</v>
      </c>
      <c r="I953" s="908">
        <f t="shared" si="47"/>
        <v>100</v>
      </c>
    </row>
    <row r="954" spans="1:9" ht="14.25" x14ac:dyDescent="0.2">
      <c r="A954" s="435"/>
      <c r="B954" s="705"/>
      <c r="C954" s="705"/>
      <c r="D954" s="578" t="s">
        <v>1267</v>
      </c>
      <c r="E954" s="474" t="s">
        <v>882</v>
      </c>
      <c r="F954" s="897"/>
      <c r="G954" s="897">
        <v>11481</v>
      </c>
      <c r="H954" s="897">
        <v>11481</v>
      </c>
      <c r="I954" s="893">
        <f t="shared" si="47"/>
        <v>100</v>
      </c>
    </row>
    <row r="955" spans="1:9" ht="14.25" x14ac:dyDescent="0.2">
      <c r="A955" s="435"/>
      <c r="B955" s="808"/>
      <c r="C955" s="808"/>
      <c r="D955" s="1569" t="s">
        <v>1771</v>
      </c>
      <c r="E955" s="1561" t="s">
        <v>1908</v>
      </c>
      <c r="F955" s="903"/>
      <c r="G955" s="903">
        <v>158</v>
      </c>
      <c r="H955" s="903">
        <v>158</v>
      </c>
      <c r="I955" s="893">
        <f t="shared" si="47"/>
        <v>100</v>
      </c>
    </row>
    <row r="956" spans="1:9" ht="14.25" x14ac:dyDescent="0.2">
      <c r="A956" s="435"/>
      <c r="B956" s="808"/>
      <c r="C956" s="808"/>
      <c r="D956" s="1569" t="s">
        <v>1773</v>
      </c>
      <c r="E956" s="1561" t="s">
        <v>1908</v>
      </c>
      <c r="F956" s="903"/>
      <c r="G956" s="903">
        <v>898</v>
      </c>
      <c r="H956" s="903">
        <v>898</v>
      </c>
      <c r="I956" s="893">
        <f t="shared" si="47"/>
        <v>100</v>
      </c>
    </row>
    <row r="957" spans="1:9" ht="15" x14ac:dyDescent="0.25">
      <c r="A957" s="435">
        <v>1123</v>
      </c>
      <c r="B957" s="808">
        <v>3123</v>
      </c>
      <c r="C957" s="1551">
        <v>5331</v>
      </c>
      <c r="D957" s="912"/>
      <c r="E957" s="704" t="s">
        <v>1066</v>
      </c>
      <c r="F957" s="905">
        <f>F958+F959</f>
        <v>2522</v>
      </c>
      <c r="G957" s="905">
        <f>G958+G959+G960</f>
        <v>2522</v>
      </c>
      <c r="H957" s="905">
        <f>H958+H959+H960</f>
        <v>2522</v>
      </c>
      <c r="I957" s="906">
        <f t="shared" si="47"/>
        <v>100</v>
      </c>
    </row>
    <row r="958" spans="1:9" ht="14.25" x14ac:dyDescent="0.2">
      <c r="A958" s="435"/>
      <c r="B958" s="808"/>
      <c r="C958" s="1551"/>
      <c r="D958" s="743" t="s">
        <v>641</v>
      </c>
      <c r="E958" s="1679" t="s">
        <v>883</v>
      </c>
      <c r="F958" s="907">
        <v>568</v>
      </c>
      <c r="G958" s="903">
        <v>568</v>
      </c>
      <c r="H958" s="903">
        <v>568</v>
      </c>
      <c r="I958" s="898">
        <f t="shared" si="47"/>
        <v>100</v>
      </c>
    </row>
    <row r="959" spans="1:9" ht="14.25" x14ac:dyDescent="0.2">
      <c r="A959" s="435"/>
      <c r="B959" s="808"/>
      <c r="C959" s="1551"/>
      <c r="D959" s="578" t="s">
        <v>636</v>
      </c>
      <c r="E959" s="474" t="s">
        <v>72</v>
      </c>
      <c r="F959" s="903">
        <v>1954</v>
      </c>
      <c r="G959" s="903">
        <v>1927</v>
      </c>
      <c r="H959" s="903">
        <v>1927</v>
      </c>
      <c r="I959" s="898">
        <f t="shared" si="47"/>
        <v>100</v>
      </c>
    </row>
    <row r="960" spans="1:9" ht="14.25" x14ac:dyDescent="0.2">
      <c r="A960" s="435"/>
      <c r="B960" s="808"/>
      <c r="C960" s="1551"/>
      <c r="D960" s="578" t="s">
        <v>735</v>
      </c>
      <c r="E960" s="474" t="s">
        <v>76</v>
      </c>
      <c r="F960" s="903"/>
      <c r="G960" s="903">
        <v>27</v>
      </c>
      <c r="H960" s="903">
        <v>27</v>
      </c>
      <c r="I960" s="898">
        <v>27</v>
      </c>
    </row>
    <row r="961" spans="1:9" ht="15" x14ac:dyDescent="0.25">
      <c r="A961" s="435">
        <v>1123</v>
      </c>
      <c r="B961" s="808">
        <v>3123</v>
      </c>
      <c r="C961" s="808">
        <v>5336</v>
      </c>
      <c r="D961" s="578"/>
      <c r="E961" s="1564" t="s">
        <v>1357</v>
      </c>
      <c r="F961" s="903"/>
      <c r="G961" s="916">
        <v>9000</v>
      </c>
      <c r="H961" s="916">
        <v>9000</v>
      </c>
      <c r="I961" s="908">
        <f t="shared" ref="I961" si="48">(H961/G961)*100</f>
        <v>100</v>
      </c>
    </row>
    <row r="962" spans="1:9" ht="14.25" x14ac:dyDescent="0.2">
      <c r="A962" s="435"/>
      <c r="B962" s="808"/>
      <c r="C962" s="1551"/>
      <c r="D962" s="578" t="s">
        <v>1267</v>
      </c>
      <c r="E962" s="474" t="s">
        <v>882</v>
      </c>
      <c r="F962" s="903"/>
      <c r="G962" s="903">
        <v>9000</v>
      </c>
      <c r="H962" s="903">
        <v>9000</v>
      </c>
      <c r="I962" s="898">
        <f t="shared" si="47"/>
        <v>100</v>
      </c>
    </row>
    <row r="963" spans="1:9" ht="18" customHeight="1" x14ac:dyDescent="0.25">
      <c r="A963" s="435">
        <v>1123</v>
      </c>
      <c r="B963" s="808">
        <v>3124</v>
      </c>
      <c r="C963" s="1551">
        <v>5331</v>
      </c>
      <c r="D963" s="912"/>
      <c r="E963" s="704" t="s">
        <v>1066</v>
      </c>
      <c r="F963" s="905">
        <f>F964+F965</f>
        <v>933</v>
      </c>
      <c r="G963" s="905">
        <f>G964+G965</f>
        <v>933</v>
      </c>
      <c r="H963" s="905">
        <f>H964+H965</f>
        <v>933</v>
      </c>
      <c r="I963" s="906">
        <f t="shared" si="47"/>
        <v>100</v>
      </c>
    </row>
    <row r="964" spans="1:9" ht="14.25" x14ac:dyDescent="0.2">
      <c r="A964" s="435"/>
      <c r="B964" s="808"/>
      <c r="C964" s="1551"/>
      <c r="D964" s="743" t="s">
        <v>641</v>
      </c>
      <c r="E964" s="1679" t="s">
        <v>883</v>
      </c>
      <c r="F964" s="907">
        <v>279</v>
      </c>
      <c r="G964" s="903">
        <v>279</v>
      </c>
      <c r="H964" s="903">
        <v>279</v>
      </c>
      <c r="I964" s="898">
        <f t="shared" si="47"/>
        <v>100</v>
      </c>
    </row>
    <row r="965" spans="1:9" ht="14.25" x14ac:dyDescent="0.2">
      <c r="A965" s="435"/>
      <c r="B965" s="808"/>
      <c r="C965" s="1551"/>
      <c r="D965" s="578" t="s">
        <v>636</v>
      </c>
      <c r="E965" s="474" t="s">
        <v>72</v>
      </c>
      <c r="F965" s="903">
        <v>654</v>
      </c>
      <c r="G965" s="903">
        <v>654</v>
      </c>
      <c r="H965" s="903">
        <v>654</v>
      </c>
      <c r="I965" s="898">
        <f t="shared" si="47"/>
        <v>100</v>
      </c>
    </row>
    <row r="966" spans="1:9" ht="15" x14ac:dyDescent="0.25">
      <c r="A966" s="435">
        <v>1123</v>
      </c>
      <c r="B966" s="808">
        <v>3124</v>
      </c>
      <c r="C966" s="808">
        <v>5336</v>
      </c>
      <c r="D966" s="578"/>
      <c r="E966" s="1564" t="s">
        <v>1357</v>
      </c>
      <c r="F966" s="903"/>
      <c r="G966" s="916">
        <v>5673</v>
      </c>
      <c r="H966" s="916">
        <v>5673</v>
      </c>
      <c r="I966" s="908">
        <f t="shared" si="47"/>
        <v>100</v>
      </c>
    </row>
    <row r="967" spans="1:9" ht="14.25" x14ac:dyDescent="0.2">
      <c r="A967" s="435"/>
      <c r="B967" s="808"/>
      <c r="C967" s="1551"/>
      <c r="D967" s="578" t="s">
        <v>1267</v>
      </c>
      <c r="E967" s="474" t="s">
        <v>882</v>
      </c>
      <c r="F967" s="903"/>
      <c r="G967" s="903">
        <v>5673</v>
      </c>
      <c r="H967" s="903">
        <v>5673</v>
      </c>
      <c r="I967" s="898">
        <f t="shared" si="47"/>
        <v>100</v>
      </c>
    </row>
    <row r="968" spans="1:9" ht="20.25" customHeight="1" x14ac:dyDescent="0.25">
      <c r="A968" s="435">
        <v>1123</v>
      </c>
      <c r="B968" s="808">
        <v>3142</v>
      </c>
      <c r="C968" s="808">
        <v>5331</v>
      </c>
      <c r="D968" s="929"/>
      <c r="E968" s="704" t="s">
        <v>1066</v>
      </c>
      <c r="F968" s="905">
        <f>F969+F970</f>
        <v>1756</v>
      </c>
      <c r="G968" s="905">
        <f>G969+G970</f>
        <v>1756</v>
      </c>
      <c r="H968" s="905">
        <f>H969+H970</f>
        <v>1756</v>
      </c>
      <c r="I968" s="906">
        <f t="shared" si="47"/>
        <v>100</v>
      </c>
    </row>
    <row r="969" spans="1:9" ht="14.25" x14ac:dyDescent="0.2">
      <c r="A969" s="435"/>
      <c r="B969" s="808"/>
      <c r="C969" s="808"/>
      <c r="D969" s="853" t="s">
        <v>641</v>
      </c>
      <c r="E969" s="1679" t="s">
        <v>883</v>
      </c>
      <c r="F969" s="903">
        <v>26</v>
      </c>
      <c r="G969" s="903">
        <v>26</v>
      </c>
      <c r="H969" s="903">
        <v>26</v>
      </c>
      <c r="I969" s="898">
        <f t="shared" si="47"/>
        <v>100</v>
      </c>
    </row>
    <row r="970" spans="1:9" ht="14.25" x14ac:dyDescent="0.2">
      <c r="A970" s="435"/>
      <c r="B970" s="808"/>
      <c r="C970" s="808"/>
      <c r="D970" s="578" t="s">
        <v>636</v>
      </c>
      <c r="E970" s="474" t="s">
        <v>72</v>
      </c>
      <c r="F970" s="903">
        <v>1730</v>
      </c>
      <c r="G970" s="903">
        <v>1730</v>
      </c>
      <c r="H970" s="903">
        <v>1730</v>
      </c>
      <c r="I970" s="898">
        <f t="shared" si="47"/>
        <v>100</v>
      </c>
    </row>
    <row r="971" spans="1:9" ht="15" x14ac:dyDescent="0.25">
      <c r="A971" s="435">
        <v>1123</v>
      </c>
      <c r="B971" s="808">
        <v>3142</v>
      </c>
      <c r="C971" s="808">
        <v>5336</v>
      </c>
      <c r="D971" s="578"/>
      <c r="E971" s="1564" t="s">
        <v>1357</v>
      </c>
      <c r="F971" s="903"/>
      <c r="G971" s="916">
        <v>1582</v>
      </c>
      <c r="H971" s="916">
        <v>1582</v>
      </c>
      <c r="I971" s="908">
        <f t="shared" si="47"/>
        <v>100</v>
      </c>
    </row>
    <row r="972" spans="1:9" ht="14.25" x14ac:dyDescent="0.2">
      <c r="A972" s="435"/>
      <c r="B972" s="808"/>
      <c r="C972" s="1551"/>
      <c r="D972" s="578" t="s">
        <v>1267</v>
      </c>
      <c r="E972" s="474" t="s">
        <v>882</v>
      </c>
      <c r="F972" s="903"/>
      <c r="G972" s="903">
        <v>1582</v>
      </c>
      <c r="H972" s="903">
        <v>1582</v>
      </c>
      <c r="I972" s="898">
        <f t="shared" si="47"/>
        <v>100</v>
      </c>
    </row>
    <row r="973" spans="1:9" ht="15" x14ac:dyDescent="0.25">
      <c r="A973" s="435">
        <v>1123</v>
      </c>
      <c r="B973" s="808">
        <v>3147</v>
      </c>
      <c r="C973" s="808">
        <v>5331</v>
      </c>
      <c r="D973" s="929"/>
      <c r="E973" s="704" t="s">
        <v>1066</v>
      </c>
      <c r="F973" s="905">
        <f>F974+F975</f>
        <v>1236</v>
      </c>
      <c r="G973" s="905">
        <f>G974+G975</f>
        <v>1236</v>
      </c>
      <c r="H973" s="905">
        <f>H974+H975</f>
        <v>1236</v>
      </c>
      <c r="I973" s="906">
        <f t="shared" si="47"/>
        <v>100</v>
      </c>
    </row>
    <row r="974" spans="1:9" ht="14.25" x14ac:dyDescent="0.2">
      <c r="A974" s="435"/>
      <c r="B974" s="808"/>
      <c r="C974" s="808"/>
      <c r="D974" s="743" t="s">
        <v>641</v>
      </c>
      <c r="E974" s="1679" t="s">
        <v>883</v>
      </c>
      <c r="F974" s="903">
        <v>555</v>
      </c>
      <c r="G974" s="903">
        <v>555</v>
      </c>
      <c r="H974" s="903">
        <v>555</v>
      </c>
      <c r="I974" s="898">
        <f t="shared" si="47"/>
        <v>100</v>
      </c>
    </row>
    <row r="975" spans="1:9" ht="14.25" customHeight="1" x14ac:dyDescent="0.2">
      <c r="A975" s="435"/>
      <c r="B975" s="808"/>
      <c r="C975" s="808"/>
      <c r="D975" s="578" t="s">
        <v>636</v>
      </c>
      <c r="E975" s="474" t="s">
        <v>72</v>
      </c>
      <c r="F975" s="903">
        <v>681</v>
      </c>
      <c r="G975" s="903">
        <v>681</v>
      </c>
      <c r="H975" s="903">
        <v>681</v>
      </c>
      <c r="I975" s="898">
        <f t="shared" si="47"/>
        <v>100</v>
      </c>
    </row>
    <row r="976" spans="1:9" ht="15" x14ac:dyDescent="0.25">
      <c r="A976" s="435">
        <v>1123</v>
      </c>
      <c r="B976" s="808">
        <v>3147</v>
      </c>
      <c r="C976" s="808">
        <v>5336</v>
      </c>
      <c r="D976" s="578"/>
      <c r="E976" s="1564" t="s">
        <v>1357</v>
      </c>
      <c r="F976" s="903"/>
      <c r="G976" s="916">
        <v>3552</v>
      </c>
      <c r="H976" s="916">
        <v>3552</v>
      </c>
      <c r="I976" s="908">
        <f t="shared" si="47"/>
        <v>100</v>
      </c>
    </row>
    <row r="977" spans="1:20" ht="14.25" x14ac:dyDescent="0.2">
      <c r="A977" s="435"/>
      <c r="B977" s="808"/>
      <c r="C977" s="1551"/>
      <c r="D977" s="578" t="s">
        <v>1267</v>
      </c>
      <c r="E977" s="474" t="s">
        <v>882</v>
      </c>
      <c r="F977" s="903"/>
      <c r="G977" s="903">
        <v>3552</v>
      </c>
      <c r="H977" s="903">
        <v>3552</v>
      </c>
      <c r="I977" s="898">
        <f t="shared" si="47"/>
        <v>100</v>
      </c>
    </row>
    <row r="978" spans="1:20" ht="15" x14ac:dyDescent="0.25">
      <c r="A978" s="435">
        <v>1123</v>
      </c>
      <c r="B978" s="808">
        <v>3293</v>
      </c>
      <c r="C978" s="1551">
        <v>5331</v>
      </c>
      <c r="D978" s="899"/>
      <c r="E978" s="854" t="s">
        <v>1066</v>
      </c>
      <c r="F978" s="916"/>
      <c r="G978" s="916">
        <v>3</v>
      </c>
      <c r="H978" s="916">
        <v>3</v>
      </c>
      <c r="I978" s="908">
        <f t="shared" si="47"/>
        <v>100</v>
      </c>
    </row>
    <row r="979" spans="1:20" ht="15" thickBot="1" x14ac:dyDescent="0.25">
      <c r="A979" s="435"/>
      <c r="B979" s="808"/>
      <c r="C979" s="1551"/>
      <c r="D979" s="805" t="s">
        <v>1270</v>
      </c>
      <c r="E979" s="1694" t="s">
        <v>62</v>
      </c>
      <c r="F979" s="903"/>
      <c r="G979" s="903">
        <v>3</v>
      </c>
      <c r="H979" s="903">
        <v>3</v>
      </c>
      <c r="I979" s="898">
        <f t="shared" si="47"/>
        <v>100</v>
      </c>
    </row>
    <row r="980" spans="1:20" ht="16.5" thickTop="1" thickBot="1" x14ac:dyDescent="0.3">
      <c r="A980" s="2739" t="s">
        <v>1246</v>
      </c>
      <c r="B980" s="2740"/>
      <c r="C980" s="2740"/>
      <c r="D980" s="2740"/>
      <c r="E980" s="2740"/>
      <c r="F980" s="894">
        <f>F940+F957+F963+F968+F973+F978</f>
        <v>8625</v>
      </c>
      <c r="G980" s="894">
        <f>G940+G957+G963+G968+G973+G978+G976+G971+G966+G961+G953</f>
        <v>41254</v>
      </c>
      <c r="H980" s="894">
        <f>H940+H957+H963+H968+H973+H978+H976+H971+H966+H961+H953</f>
        <v>41254</v>
      </c>
      <c r="I980" s="895">
        <f>(H980/G980)*100</f>
        <v>100</v>
      </c>
      <c r="R980" s="385">
        <f>F980</f>
        <v>8625</v>
      </c>
      <c r="S980" s="385">
        <f>G980</f>
        <v>41254</v>
      </c>
      <c r="T980" s="385">
        <f>H980</f>
        <v>41254</v>
      </c>
    </row>
    <row r="981" spans="1:20" ht="13.5" thickTop="1" x14ac:dyDescent="0.2"/>
    <row r="982" spans="1:20" ht="13.5" thickBot="1" x14ac:dyDescent="0.25">
      <c r="A982" s="439" t="s">
        <v>528</v>
      </c>
      <c r="I982" s="1548" t="s">
        <v>179</v>
      </c>
    </row>
    <row r="983" spans="1:20" s="107" customFormat="1" thickTop="1" thickBot="1" x14ac:dyDescent="0.25">
      <c r="A983" s="657" t="s">
        <v>692</v>
      </c>
      <c r="B983" s="835" t="s">
        <v>180</v>
      </c>
      <c r="C983" s="658" t="s">
        <v>181</v>
      </c>
      <c r="D983" s="660" t="s">
        <v>783</v>
      </c>
      <c r="E983" s="660" t="s">
        <v>182</v>
      </c>
      <c r="F983" s="660" t="s">
        <v>183</v>
      </c>
      <c r="G983" s="660" t="s">
        <v>985</v>
      </c>
      <c r="H983" s="660" t="s">
        <v>986</v>
      </c>
      <c r="I983" s="888" t="s">
        <v>987</v>
      </c>
    </row>
    <row r="984" spans="1:20" s="386" customFormat="1" ht="13.5" thickTop="1" thickBot="1" x14ac:dyDescent="0.25">
      <c r="A984" s="592">
        <v>1</v>
      </c>
      <c r="B984" s="593">
        <v>2</v>
      </c>
      <c r="C984" s="593">
        <v>3</v>
      </c>
      <c r="D984" s="593">
        <v>4</v>
      </c>
      <c r="E984" s="593">
        <v>5</v>
      </c>
      <c r="F984" s="567">
        <v>6</v>
      </c>
      <c r="G984" s="567">
        <v>7</v>
      </c>
      <c r="H984" s="568">
        <v>8</v>
      </c>
      <c r="I984" s="662" t="s">
        <v>848</v>
      </c>
    </row>
    <row r="985" spans="1:20" ht="15.75" thickTop="1" x14ac:dyDescent="0.25">
      <c r="A985" s="435">
        <v>1124</v>
      </c>
      <c r="B985" s="705">
        <v>3239</v>
      </c>
      <c r="C985" s="705">
        <v>5331</v>
      </c>
      <c r="D985" s="889"/>
      <c r="E985" s="854" t="s">
        <v>1066</v>
      </c>
      <c r="F985" s="890">
        <f>F986</f>
        <v>348</v>
      </c>
      <c r="G985" s="890">
        <f>G986+G987</f>
        <v>348</v>
      </c>
      <c r="H985" s="890">
        <f>H986+H987</f>
        <v>348</v>
      </c>
      <c r="I985" s="891">
        <v>100</v>
      </c>
    </row>
    <row r="986" spans="1:20" ht="18" customHeight="1" x14ac:dyDescent="0.2">
      <c r="A986" s="435"/>
      <c r="B986" s="705"/>
      <c r="C986" s="705"/>
      <c r="D986" s="578" t="s">
        <v>636</v>
      </c>
      <c r="E986" s="474" t="s">
        <v>72</v>
      </c>
      <c r="F986" s="897">
        <v>348</v>
      </c>
      <c r="G986" s="897">
        <v>333</v>
      </c>
      <c r="H986" s="897">
        <v>333</v>
      </c>
      <c r="I986" s="898">
        <f>(H986/G986)*100</f>
        <v>100</v>
      </c>
    </row>
    <row r="987" spans="1:20" ht="15" thickBot="1" x14ac:dyDescent="0.25">
      <c r="A987" s="435"/>
      <c r="B987" s="808"/>
      <c r="C987" s="808"/>
      <c r="D987" s="578" t="s">
        <v>735</v>
      </c>
      <c r="E987" s="474" t="s">
        <v>76</v>
      </c>
      <c r="F987" s="897"/>
      <c r="G987" s="897">
        <v>15</v>
      </c>
      <c r="H987" s="897">
        <v>15</v>
      </c>
      <c r="I987" s="898">
        <f>(H987/G987)*100</f>
        <v>100</v>
      </c>
    </row>
    <row r="988" spans="1:20" ht="16.5" thickTop="1" thickBot="1" x14ac:dyDescent="0.3">
      <c r="A988" s="2739" t="s">
        <v>1246</v>
      </c>
      <c r="B988" s="2740"/>
      <c r="C988" s="2740"/>
      <c r="D988" s="2740"/>
      <c r="E988" s="2740"/>
      <c r="F988" s="894">
        <f>F985</f>
        <v>348</v>
      </c>
      <c r="G988" s="894">
        <f>G985</f>
        <v>348</v>
      </c>
      <c r="H988" s="894">
        <f>H985</f>
        <v>348</v>
      </c>
      <c r="I988" s="970">
        <f>(H988/G988)*100</f>
        <v>100</v>
      </c>
      <c r="R988" s="385">
        <f>F988</f>
        <v>348</v>
      </c>
      <c r="S988" s="385">
        <f>G988</f>
        <v>348</v>
      </c>
      <c r="T988" s="385">
        <f>H988</f>
        <v>348</v>
      </c>
    </row>
    <row r="989" spans="1:20" ht="15.75" thickTop="1" x14ac:dyDescent="0.25">
      <c r="A989" s="370"/>
      <c r="B989" s="370"/>
      <c r="C989" s="370"/>
      <c r="D989" s="370"/>
      <c r="E989" s="370"/>
      <c r="F989" s="183"/>
      <c r="G989" s="183"/>
      <c r="H989" s="183"/>
      <c r="I989" s="214"/>
      <c r="R989" s="385"/>
      <c r="S989" s="385"/>
      <c r="T989" s="385"/>
    </row>
    <row r="990" spans="1:20" ht="13.5" thickBot="1" x14ac:dyDescent="0.25">
      <c r="A990" s="439" t="s">
        <v>1668</v>
      </c>
      <c r="I990" s="1548" t="s">
        <v>179</v>
      </c>
    </row>
    <row r="991" spans="1:20" s="107" customFormat="1" thickTop="1" thickBot="1" x14ac:dyDescent="0.25">
      <c r="A991" s="657" t="s">
        <v>692</v>
      </c>
      <c r="B991" s="835" t="s">
        <v>180</v>
      </c>
      <c r="C991" s="658" t="s">
        <v>181</v>
      </c>
      <c r="D991" s="660" t="s">
        <v>783</v>
      </c>
      <c r="E991" s="660" t="s">
        <v>182</v>
      </c>
      <c r="F991" s="660" t="s">
        <v>183</v>
      </c>
      <c r="G991" s="660" t="s">
        <v>985</v>
      </c>
      <c r="H991" s="660" t="s">
        <v>986</v>
      </c>
      <c r="I991" s="888" t="s">
        <v>987</v>
      </c>
    </row>
    <row r="992" spans="1:20" s="386" customFormat="1" ht="13.5" thickTop="1" thickBot="1" x14ac:dyDescent="0.25">
      <c r="A992" s="592">
        <v>1</v>
      </c>
      <c r="B992" s="593">
        <v>2</v>
      </c>
      <c r="C992" s="593">
        <v>3</v>
      </c>
      <c r="D992" s="593">
        <v>4</v>
      </c>
      <c r="E992" s="593">
        <v>5</v>
      </c>
      <c r="F992" s="567">
        <v>6</v>
      </c>
      <c r="G992" s="567">
        <v>7</v>
      </c>
      <c r="H992" s="568">
        <v>8</v>
      </c>
      <c r="I992" s="662" t="s">
        <v>848</v>
      </c>
    </row>
    <row r="993" spans="1:20" ht="15.75" thickTop="1" x14ac:dyDescent="0.25">
      <c r="A993" s="1549">
        <v>1125</v>
      </c>
      <c r="B993" s="836">
        <v>3122</v>
      </c>
      <c r="C993" s="836">
        <v>5331</v>
      </c>
      <c r="D993" s="909"/>
      <c r="E993" s="930" t="s">
        <v>1066</v>
      </c>
      <c r="F993" s="931">
        <f>F994+F995</f>
        <v>2445</v>
      </c>
      <c r="G993" s="931">
        <f>G994+G995</f>
        <v>2434</v>
      </c>
      <c r="H993" s="931">
        <f>H994+H995</f>
        <v>2434</v>
      </c>
      <c r="I993" s="896">
        <f t="shared" ref="I993:I1007" si="49">(H993/G993)*100</f>
        <v>100</v>
      </c>
    </row>
    <row r="994" spans="1:20" ht="14.25" x14ac:dyDescent="0.2">
      <c r="A994" s="435"/>
      <c r="B994" s="705"/>
      <c r="C994" s="705"/>
      <c r="D994" s="743" t="s">
        <v>641</v>
      </c>
      <c r="E994" s="1679" t="s">
        <v>883</v>
      </c>
      <c r="F994" s="897">
        <v>378</v>
      </c>
      <c r="G994" s="897">
        <v>367</v>
      </c>
      <c r="H994" s="897">
        <v>367</v>
      </c>
      <c r="I994" s="893">
        <f t="shared" si="49"/>
        <v>100</v>
      </c>
    </row>
    <row r="995" spans="1:20" ht="14.25" customHeight="1" x14ac:dyDescent="0.2">
      <c r="A995" s="435"/>
      <c r="B995" s="705"/>
      <c r="C995" s="705"/>
      <c r="D995" s="578" t="s">
        <v>636</v>
      </c>
      <c r="E995" s="474" t="s">
        <v>72</v>
      </c>
      <c r="F995" s="897">
        <v>2067</v>
      </c>
      <c r="G995" s="897">
        <v>2067</v>
      </c>
      <c r="H995" s="897">
        <v>2067</v>
      </c>
      <c r="I995" s="893">
        <f t="shared" si="49"/>
        <v>100</v>
      </c>
    </row>
    <row r="996" spans="1:20" ht="15" x14ac:dyDescent="0.25">
      <c r="A996" s="435">
        <v>1125</v>
      </c>
      <c r="B996" s="705">
        <v>3122</v>
      </c>
      <c r="C996" s="705">
        <v>5336</v>
      </c>
      <c r="D996" s="1178"/>
      <c r="E996" s="1564" t="s">
        <v>1357</v>
      </c>
      <c r="F996" s="897"/>
      <c r="G996" s="921">
        <f>G997+G998+G999</f>
        <v>9890</v>
      </c>
      <c r="H996" s="921">
        <f>H997+H998+H999</f>
        <v>9890</v>
      </c>
      <c r="I996" s="923">
        <f t="shared" si="49"/>
        <v>100</v>
      </c>
    </row>
    <row r="997" spans="1:20" ht="14.25" x14ac:dyDescent="0.2">
      <c r="A997" s="435"/>
      <c r="B997" s="705"/>
      <c r="C997" s="705"/>
      <c r="D997" s="578" t="s">
        <v>1267</v>
      </c>
      <c r="E997" s="474" t="s">
        <v>882</v>
      </c>
      <c r="F997" s="897"/>
      <c r="G997" s="897">
        <v>9467</v>
      </c>
      <c r="H997" s="897">
        <v>9467</v>
      </c>
      <c r="I997" s="893">
        <f t="shared" si="49"/>
        <v>100</v>
      </c>
    </row>
    <row r="998" spans="1:20" ht="14.25" x14ac:dyDescent="0.2">
      <c r="A998" s="435"/>
      <c r="B998" s="808"/>
      <c r="C998" s="808"/>
      <c r="D998" s="1569" t="s">
        <v>1771</v>
      </c>
      <c r="E998" s="1561" t="s">
        <v>1908</v>
      </c>
      <c r="F998" s="903"/>
      <c r="G998" s="903">
        <v>63</v>
      </c>
      <c r="H998" s="903">
        <v>63</v>
      </c>
      <c r="I998" s="898">
        <f t="shared" si="49"/>
        <v>100</v>
      </c>
    </row>
    <row r="999" spans="1:20" ht="14.25" x14ac:dyDescent="0.2">
      <c r="A999" s="435"/>
      <c r="B999" s="808"/>
      <c r="C999" s="808"/>
      <c r="D999" s="1569" t="s">
        <v>1773</v>
      </c>
      <c r="E999" s="1561" t="s">
        <v>1908</v>
      </c>
      <c r="F999" s="903"/>
      <c r="G999" s="903">
        <v>360</v>
      </c>
      <c r="H999" s="903">
        <v>360</v>
      </c>
      <c r="I999" s="898">
        <f t="shared" si="49"/>
        <v>100</v>
      </c>
    </row>
    <row r="1000" spans="1:20" ht="15" x14ac:dyDescent="0.25">
      <c r="A1000" s="435">
        <v>1125</v>
      </c>
      <c r="B1000" s="808">
        <v>3142</v>
      </c>
      <c r="C1000" s="1551">
        <v>5336</v>
      </c>
      <c r="D1000" s="912"/>
      <c r="E1000" s="1564" t="s">
        <v>1357</v>
      </c>
      <c r="F1000" s="905"/>
      <c r="G1000" s="905">
        <v>1043</v>
      </c>
      <c r="H1000" s="905">
        <v>1043</v>
      </c>
      <c r="I1000" s="906">
        <f t="shared" si="49"/>
        <v>100</v>
      </c>
    </row>
    <row r="1001" spans="1:20" ht="20.25" customHeight="1" x14ac:dyDescent="0.2">
      <c r="A1001" s="435"/>
      <c r="B1001" s="808"/>
      <c r="C1001" s="1551"/>
      <c r="D1001" s="578" t="s">
        <v>1267</v>
      </c>
      <c r="E1001" s="474" t="s">
        <v>882</v>
      </c>
      <c r="F1001" s="903"/>
      <c r="G1001" s="903">
        <v>1043</v>
      </c>
      <c r="H1001" s="903">
        <v>1043</v>
      </c>
      <c r="I1001" s="898">
        <f t="shared" si="49"/>
        <v>100</v>
      </c>
    </row>
    <row r="1002" spans="1:20" ht="15" x14ac:dyDescent="0.25">
      <c r="A1002" s="435">
        <v>1125</v>
      </c>
      <c r="B1002" s="808">
        <v>3147</v>
      </c>
      <c r="C1002" s="1551">
        <v>5331</v>
      </c>
      <c r="D1002" s="912"/>
      <c r="E1002" s="704" t="s">
        <v>1066</v>
      </c>
      <c r="F1002" s="905">
        <f>F1003+F1004</f>
        <v>2068</v>
      </c>
      <c r="G1002" s="905">
        <f>G1003+G1004</f>
        <v>2016</v>
      </c>
      <c r="H1002" s="905">
        <f>H1003+H1004</f>
        <v>2016</v>
      </c>
      <c r="I1002" s="906">
        <f t="shared" si="49"/>
        <v>100</v>
      </c>
    </row>
    <row r="1003" spans="1:20" ht="14.25" x14ac:dyDescent="0.2">
      <c r="A1003" s="435"/>
      <c r="B1003" s="808"/>
      <c r="C1003" s="1551"/>
      <c r="D1003" s="743" t="s">
        <v>641</v>
      </c>
      <c r="E1003" s="1679" t="s">
        <v>883</v>
      </c>
      <c r="F1003" s="903">
        <v>449</v>
      </c>
      <c r="G1003" s="903">
        <v>397</v>
      </c>
      <c r="H1003" s="903">
        <v>397</v>
      </c>
      <c r="I1003" s="898">
        <f t="shared" si="49"/>
        <v>100</v>
      </c>
    </row>
    <row r="1004" spans="1:20" ht="14.25" x14ac:dyDescent="0.2">
      <c r="A1004" s="435"/>
      <c r="B1004" s="808"/>
      <c r="C1004" s="1551"/>
      <c r="D1004" s="578" t="s">
        <v>636</v>
      </c>
      <c r="E1004" s="474" t="s">
        <v>72</v>
      </c>
      <c r="F1004" s="903">
        <v>1619</v>
      </c>
      <c r="G1004" s="903">
        <v>1619</v>
      </c>
      <c r="H1004" s="903">
        <v>1619</v>
      </c>
      <c r="I1004" s="898">
        <f t="shared" si="49"/>
        <v>100</v>
      </c>
    </row>
    <row r="1005" spans="1:20" ht="15" x14ac:dyDescent="0.25">
      <c r="A1005" s="435">
        <v>1125</v>
      </c>
      <c r="B1005" s="808">
        <v>3147</v>
      </c>
      <c r="C1005" s="1551">
        <v>5336</v>
      </c>
      <c r="D1005" s="578"/>
      <c r="E1005" s="1564" t="s">
        <v>1357</v>
      </c>
      <c r="F1005" s="903"/>
      <c r="G1005" s="916">
        <v>1754</v>
      </c>
      <c r="H1005" s="916">
        <v>1754</v>
      </c>
      <c r="I1005" s="908">
        <f t="shared" si="49"/>
        <v>100</v>
      </c>
    </row>
    <row r="1006" spans="1:20" ht="15" thickBot="1" x14ac:dyDescent="0.25">
      <c r="A1006" s="435"/>
      <c r="B1006" s="808"/>
      <c r="C1006" s="1551"/>
      <c r="D1006" s="578" t="s">
        <v>1267</v>
      </c>
      <c r="E1006" s="474" t="s">
        <v>882</v>
      </c>
      <c r="F1006" s="903"/>
      <c r="G1006" s="903">
        <v>1754</v>
      </c>
      <c r="H1006" s="903">
        <v>1754</v>
      </c>
      <c r="I1006" s="898">
        <f t="shared" si="49"/>
        <v>100</v>
      </c>
    </row>
    <row r="1007" spans="1:20" ht="16.5" thickTop="1" thickBot="1" x14ac:dyDescent="0.3">
      <c r="A1007" s="2739" t="s">
        <v>1246</v>
      </c>
      <c r="B1007" s="2740"/>
      <c r="C1007" s="2740"/>
      <c r="D1007" s="2740"/>
      <c r="E1007" s="2740"/>
      <c r="F1007" s="894">
        <f>F993+F996+F1000+F1002+F1005</f>
        <v>4513</v>
      </c>
      <c r="G1007" s="894">
        <f>G993+G996+G1000+G1002+G1005</f>
        <v>17137</v>
      </c>
      <c r="H1007" s="894">
        <f>H993+H996+H1000+H1002+H1005</f>
        <v>17137</v>
      </c>
      <c r="I1007" s="895">
        <f t="shared" si="49"/>
        <v>100</v>
      </c>
      <c r="R1007" s="385">
        <f>F1007</f>
        <v>4513</v>
      </c>
      <c r="S1007" s="385">
        <f>G1007</f>
        <v>17137</v>
      </c>
      <c r="T1007" s="385">
        <f>H1007</f>
        <v>17137</v>
      </c>
    </row>
    <row r="1008" spans="1:20" ht="13.5" thickTop="1" x14ac:dyDescent="0.2"/>
    <row r="1009" spans="1:9" ht="13.5" thickBot="1" x14ac:dyDescent="0.25">
      <c r="A1009" s="439" t="s">
        <v>1355</v>
      </c>
      <c r="I1009" s="1548" t="s">
        <v>179</v>
      </c>
    </row>
    <row r="1010" spans="1:9" s="107" customFormat="1" thickTop="1" thickBot="1" x14ac:dyDescent="0.25">
      <c r="A1010" s="657" t="s">
        <v>692</v>
      </c>
      <c r="B1010" s="835" t="s">
        <v>180</v>
      </c>
      <c r="C1010" s="658" t="s">
        <v>181</v>
      </c>
      <c r="D1010" s="660" t="s">
        <v>783</v>
      </c>
      <c r="E1010" s="660" t="s">
        <v>182</v>
      </c>
      <c r="F1010" s="660" t="s">
        <v>183</v>
      </c>
      <c r="G1010" s="660" t="s">
        <v>985</v>
      </c>
      <c r="H1010" s="660" t="s">
        <v>986</v>
      </c>
      <c r="I1010" s="888" t="s">
        <v>987</v>
      </c>
    </row>
    <row r="1011" spans="1:9" s="386" customFormat="1" ht="13.5" thickTop="1" thickBot="1" x14ac:dyDescent="0.25">
      <c r="A1011" s="592">
        <v>1</v>
      </c>
      <c r="B1011" s="593">
        <v>2</v>
      </c>
      <c r="C1011" s="593">
        <v>3</v>
      </c>
      <c r="D1011" s="593">
        <v>4</v>
      </c>
      <c r="E1011" s="593">
        <v>5</v>
      </c>
      <c r="F1011" s="567">
        <v>6</v>
      </c>
      <c r="G1011" s="567">
        <v>7</v>
      </c>
      <c r="H1011" s="568">
        <v>8</v>
      </c>
      <c r="I1011" s="662" t="s">
        <v>848</v>
      </c>
    </row>
    <row r="1012" spans="1:9" ht="15.75" thickTop="1" x14ac:dyDescent="0.25">
      <c r="A1012" s="1549">
        <v>1126</v>
      </c>
      <c r="B1012" s="836">
        <v>3122</v>
      </c>
      <c r="C1012" s="836">
        <v>5331</v>
      </c>
      <c r="D1012" s="909"/>
      <c r="E1012" s="930" t="s">
        <v>1066</v>
      </c>
      <c r="F1012" s="931">
        <f>F1013+F1015</f>
        <v>2832</v>
      </c>
      <c r="G1012" s="931">
        <f>G1013+G1014+G1015+G1016+G1019</f>
        <v>2999</v>
      </c>
      <c r="H1012" s="931">
        <f>H1013+H1014+H1015+H1016+H1019</f>
        <v>2999</v>
      </c>
      <c r="I1012" s="896">
        <f t="shared" ref="I1012:I1035" si="50">(H1012/G1012)*100</f>
        <v>100</v>
      </c>
    </row>
    <row r="1013" spans="1:9" ht="14.25" x14ac:dyDescent="0.2">
      <c r="A1013" s="435"/>
      <c r="B1013" s="705"/>
      <c r="C1013" s="705"/>
      <c r="D1013" s="743" t="s">
        <v>641</v>
      </c>
      <c r="E1013" s="1679" t="s">
        <v>883</v>
      </c>
      <c r="F1013" s="897">
        <v>100</v>
      </c>
      <c r="G1013" s="897">
        <v>119</v>
      </c>
      <c r="H1013" s="897">
        <v>119</v>
      </c>
      <c r="I1013" s="893">
        <f t="shared" si="50"/>
        <v>100</v>
      </c>
    </row>
    <row r="1014" spans="1:9" ht="14.25" x14ac:dyDescent="0.2">
      <c r="A1014" s="435"/>
      <c r="B1014" s="705"/>
      <c r="C1014" s="705"/>
      <c r="D1014" s="1169" t="s">
        <v>385</v>
      </c>
      <c r="E1014" s="1275" t="s">
        <v>996</v>
      </c>
      <c r="F1014" s="897"/>
      <c r="G1014" s="897">
        <v>7</v>
      </c>
      <c r="H1014" s="897">
        <v>7</v>
      </c>
      <c r="I1014" s="893">
        <f t="shared" si="50"/>
        <v>100</v>
      </c>
    </row>
    <row r="1015" spans="1:9" ht="14.25" x14ac:dyDescent="0.2">
      <c r="A1015" s="435"/>
      <c r="B1015" s="705"/>
      <c r="C1015" s="705"/>
      <c r="D1015" s="578" t="s">
        <v>636</v>
      </c>
      <c r="E1015" s="474" t="s">
        <v>72</v>
      </c>
      <c r="F1015" s="897">
        <v>2732</v>
      </c>
      <c r="G1015" s="897">
        <v>2732</v>
      </c>
      <c r="H1015" s="897">
        <v>2732</v>
      </c>
      <c r="I1015" s="893">
        <f t="shared" si="50"/>
        <v>100</v>
      </c>
    </row>
    <row r="1016" spans="1:9" ht="14.25" x14ac:dyDescent="0.2">
      <c r="A1016" s="435"/>
      <c r="B1016" s="705"/>
      <c r="C1016" s="705"/>
      <c r="D1016" s="2708" t="s">
        <v>1641</v>
      </c>
      <c r="E1016" s="2748" t="s">
        <v>1667</v>
      </c>
      <c r="F1016" s="897"/>
      <c r="G1016" s="897">
        <v>90</v>
      </c>
      <c r="H1016" s="897">
        <v>90</v>
      </c>
      <c r="I1016" s="893">
        <f t="shared" si="50"/>
        <v>100</v>
      </c>
    </row>
    <row r="1017" spans="1:9" ht="14.25" x14ac:dyDescent="0.2">
      <c r="A1017" s="435"/>
      <c r="B1017" s="705"/>
      <c r="C1017" s="705"/>
      <c r="D1017" s="2734"/>
      <c r="E1017" s="2734"/>
      <c r="F1017" s="897"/>
      <c r="G1017" s="897"/>
      <c r="H1017" s="897"/>
      <c r="I1017" s="893"/>
    </row>
    <row r="1018" spans="1:9" ht="14.25" x14ac:dyDescent="0.2">
      <c r="A1018" s="435"/>
      <c r="B1018" s="705"/>
      <c r="C1018" s="705"/>
      <c r="D1018" s="2734"/>
      <c r="E1018" s="2734"/>
      <c r="F1018" s="897"/>
      <c r="G1018" s="897"/>
      <c r="H1018" s="897"/>
      <c r="I1018" s="893"/>
    </row>
    <row r="1019" spans="1:9" ht="15" thickBot="1" x14ac:dyDescent="0.25">
      <c r="A1019" s="1552"/>
      <c r="B1019" s="706"/>
      <c r="C1019" s="706"/>
      <c r="D1019" s="1301" t="s">
        <v>1763</v>
      </c>
      <c r="E1019" s="2598" t="s">
        <v>1913</v>
      </c>
      <c r="F1019" s="941"/>
      <c r="G1019" s="941">
        <v>51</v>
      </c>
      <c r="H1019" s="941">
        <v>51</v>
      </c>
      <c r="I1019" s="925">
        <f t="shared" si="50"/>
        <v>100</v>
      </c>
    </row>
    <row r="1020" spans="1:9" ht="15.75" thickTop="1" thickBot="1" x14ac:dyDescent="0.25">
      <c r="A1020" s="2594"/>
      <c r="B1020" s="807"/>
      <c r="C1020" s="807"/>
      <c r="D1020" s="2599"/>
      <c r="E1020" s="2600"/>
      <c r="F1020" s="2597"/>
      <c r="G1020" s="2597"/>
      <c r="H1020" s="2597"/>
      <c r="I1020" s="2601" t="s">
        <v>1379</v>
      </c>
    </row>
    <row r="1021" spans="1:9" s="107" customFormat="1" thickTop="1" thickBot="1" x14ac:dyDescent="0.25">
      <c r="A1021" s="657" t="s">
        <v>692</v>
      </c>
      <c r="B1021" s="835" t="s">
        <v>180</v>
      </c>
      <c r="C1021" s="658" t="s">
        <v>181</v>
      </c>
      <c r="D1021" s="660" t="s">
        <v>783</v>
      </c>
      <c r="E1021" s="660" t="s">
        <v>182</v>
      </c>
      <c r="F1021" s="660" t="s">
        <v>183</v>
      </c>
      <c r="G1021" s="660" t="s">
        <v>985</v>
      </c>
      <c r="H1021" s="660" t="s">
        <v>986</v>
      </c>
      <c r="I1021" s="888" t="s">
        <v>987</v>
      </c>
    </row>
    <row r="1022" spans="1:9" s="386" customFormat="1" ht="13.5" thickTop="1" thickBot="1" x14ac:dyDescent="0.25">
      <c r="A1022" s="592">
        <v>1</v>
      </c>
      <c r="B1022" s="593">
        <v>2</v>
      </c>
      <c r="C1022" s="593">
        <v>3</v>
      </c>
      <c r="D1022" s="593">
        <v>4</v>
      </c>
      <c r="E1022" s="593">
        <v>5</v>
      </c>
      <c r="F1022" s="567">
        <v>6</v>
      </c>
      <c r="G1022" s="567">
        <v>7</v>
      </c>
      <c r="H1022" s="568">
        <v>8</v>
      </c>
      <c r="I1022" s="662" t="s">
        <v>848</v>
      </c>
    </row>
    <row r="1023" spans="1:9" ht="15.75" thickTop="1" x14ac:dyDescent="0.25">
      <c r="A1023" s="435">
        <v>1126</v>
      </c>
      <c r="B1023" s="705">
        <v>3122</v>
      </c>
      <c r="C1023" s="705">
        <v>5336</v>
      </c>
      <c r="D1023" s="2533"/>
      <c r="E1023" s="1564" t="s">
        <v>1357</v>
      </c>
      <c r="F1023" s="897"/>
      <c r="G1023" s="921">
        <f>G1024+G1025+G1026</f>
        <v>14975</v>
      </c>
      <c r="H1023" s="921">
        <f>H1024+H1025+H1026</f>
        <v>14975</v>
      </c>
      <c r="I1023" s="2602">
        <f>I1024+I1025+I1026</f>
        <v>300</v>
      </c>
    </row>
    <row r="1024" spans="1:9" ht="18" customHeight="1" x14ac:dyDescent="0.2">
      <c r="A1024" s="435"/>
      <c r="B1024" s="705"/>
      <c r="C1024" s="705"/>
      <c r="D1024" s="578" t="s">
        <v>1267</v>
      </c>
      <c r="E1024" s="474" t="s">
        <v>882</v>
      </c>
      <c r="F1024" s="897"/>
      <c r="G1024" s="897">
        <v>14063</v>
      </c>
      <c r="H1024" s="897">
        <v>14063</v>
      </c>
      <c r="I1024" s="893">
        <f t="shared" si="50"/>
        <v>100</v>
      </c>
    </row>
    <row r="1025" spans="1:20" ht="17.25" customHeight="1" x14ac:dyDescent="0.2">
      <c r="A1025" s="435"/>
      <c r="B1025" s="808"/>
      <c r="C1025" s="808"/>
      <c r="D1025" s="1569" t="s">
        <v>1771</v>
      </c>
      <c r="E1025" s="1561" t="s">
        <v>1908</v>
      </c>
      <c r="F1025" s="903"/>
      <c r="G1025" s="903">
        <v>137</v>
      </c>
      <c r="H1025" s="903">
        <v>137</v>
      </c>
      <c r="I1025" s="893">
        <f t="shared" si="50"/>
        <v>100</v>
      </c>
    </row>
    <row r="1026" spans="1:20" ht="14.25" x14ac:dyDescent="0.2">
      <c r="A1026" s="435"/>
      <c r="B1026" s="808"/>
      <c r="C1026" s="808"/>
      <c r="D1026" s="1569" t="s">
        <v>1773</v>
      </c>
      <c r="E1026" s="1561" t="s">
        <v>1908</v>
      </c>
      <c r="F1026" s="903"/>
      <c r="G1026" s="903">
        <v>775</v>
      </c>
      <c r="H1026" s="903">
        <v>775</v>
      </c>
      <c r="I1026" s="893">
        <f t="shared" si="50"/>
        <v>100</v>
      </c>
    </row>
    <row r="1027" spans="1:20" ht="15" x14ac:dyDescent="0.25">
      <c r="A1027" s="435">
        <v>1126</v>
      </c>
      <c r="B1027" s="808">
        <v>3123</v>
      </c>
      <c r="C1027" s="808">
        <v>5331</v>
      </c>
      <c r="D1027" s="929"/>
      <c r="E1027" s="704" t="s">
        <v>1066</v>
      </c>
      <c r="F1027" s="905">
        <f>SUM(F1028:F1029)</f>
        <v>2085</v>
      </c>
      <c r="G1027" s="905">
        <f>G1028+G1029+G1030</f>
        <v>2315</v>
      </c>
      <c r="H1027" s="905">
        <f>H1028+H1029+H1030</f>
        <v>2315</v>
      </c>
      <c r="I1027" s="906">
        <f t="shared" si="50"/>
        <v>100</v>
      </c>
    </row>
    <row r="1028" spans="1:20" ht="14.25" x14ac:dyDescent="0.2">
      <c r="A1028" s="435"/>
      <c r="B1028" s="808"/>
      <c r="C1028" s="808"/>
      <c r="D1028" s="743" t="s">
        <v>641</v>
      </c>
      <c r="E1028" s="1679" t="s">
        <v>883</v>
      </c>
      <c r="F1028" s="903">
        <v>95</v>
      </c>
      <c r="G1028" s="903">
        <v>95</v>
      </c>
      <c r="H1028" s="903">
        <v>95</v>
      </c>
      <c r="I1028" s="898">
        <f t="shared" si="50"/>
        <v>100</v>
      </c>
    </row>
    <row r="1029" spans="1:20" ht="15" customHeight="1" x14ac:dyDescent="0.2">
      <c r="A1029" s="435"/>
      <c r="B1029" s="808"/>
      <c r="C1029" s="808"/>
      <c r="D1029" s="578" t="s">
        <v>636</v>
      </c>
      <c r="E1029" s="474" t="s">
        <v>72</v>
      </c>
      <c r="F1029" s="903">
        <v>1990</v>
      </c>
      <c r="G1029" s="903">
        <v>1990</v>
      </c>
      <c r="H1029" s="903">
        <v>1990</v>
      </c>
      <c r="I1029" s="898">
        <f t="shared" si="50"/>
        <v>100</v>
      </c>
    </row>
    <row r="1030" spans="1:20" ht="15" customHeight="1" x14ac:dyDescent="0.2">
      <c r="A1030" s="435"/>
      <c r="B1030" s="808"/>
      <c r="C1030" s="808"/>
      <c r="D1030" s="1179" t="s">
        <v>1038</v>
      </c>
      <c r="E1030" s="1275" t="s">
        <v>1039</v>
      </c>
      <c r="F1030" s="903"/>
      <c r="G1030" s="903">
        <v>230</v>
      </c>
      <c r="H1030" s="903">
        <v>230</v>
      </c>
      <c r="I1030" s="898">
        <f t="shared" si="50"/>
        <v>100</v>
      </c>
    </row>
    <row r="1031" spans="1:20" ht="15" x14ac:dyDescent="0.25">
      <c r="A1031" s="435">
        <v>1126</v>
      </c>
      <c r="B1031" s="808">
        <v>3123</v>
      </c>
      <c r="C1031" s="808">
        <v>5336</v>
      </c>
      <c r="D1031" s="2536"/>
      <c r="E1031" s="1564" t="s">
        <v>1357</v>
      </c>
      <c r="F1031" s="903"/>
      <c r="G1031" s="916">
        <v>7435</v>
      </c>
      <c r="H1031" s="916">
        <v>7435</v>
      </c>
      <c r="I1031" s="908">
        <f t="shared" si="50"/>
        <v>100</v>
      </c>
    </row>
    <row r="1032" spans="1:20" ht="20.25" customHeight="1" x14ac:dyDescent="0.2">
      <c r="A1032" s="435"/>
      <c r="B1032" s="808"/>
      <c r="C1032" s="808"/>
      <c r="D1032" s="578" t="s">
        <v>1267</v>
      </c>
      <c r="E1032" s="474" t="s">
        <v>882</v>
      </c>
      <c r="F1032" s="903"/>
      <c r="G1032" s="903">
        <v>7435</v>
      </c>
      <c r="H1032" s="903">
        <v>7435</v>
      </c>
      <c r="I1032" s="898">
        <f t="shared" si="50"/>
        <v>100</v>
      </c>
    </row>
    <row r="1033" spans="1:20" ht="15" x14ac:dyDescent="0.25">
      <c r="A1033" s="435">
        <v>1126</v>
      </c>
      <c r="B1033" s="808">
        <v>3142</v>
      </c>
      <c r="C1033" s="1551">
        <v>5331</v>
      </c>
      <c r="D1033" s="912"/>
      <c r="E1033" s="704" t="s">
        <v>1066</v>
      </c>
      <c r="F1033" s="905">
        <v>160</v>
      </c>
      <c r="G1033" s="905">
        <v>160</v>
      </c>
      <c r="H1033" s="905">
        <v>160</v>
      </c>
      <c r="I1033" s="906">
        <f t="shared" si="50"/>
        <v>100</v>
      </c>
    </row>
    <row r="1034" spans="1:20" ht="15" thickBot="1" x14ac:dyDescent="0.25">
      <c r="A1034" s="435"/>
      <c r="B1034" s="808"/>
      <c r="C1034" s="1551"/>
      <c r="D1034" s="578" t="s">
        <v>636</v>
      </c>
      <c r="E1034" s="474" t="s">
        <v>72</v>
      </c>
      <c r="F1034" s="903">
        <v>160</v>
      </c>
      <c r="G1034" s="903">
        <v>160</v>
      </c>
      <c r="H1034" s="903">
        <v>160</v>
      </c>
      <c r="I1034" s="898">
        <f t="shared" si="50"/>
        <v>100</v>
      </c>
    </row>
    <row r="1035" spans="1:20" ht="16.5" thickTop="1" thickBot="1" x14ac:dyDescent="0.3">
      <c r="A1035" s="2739" t="s">
        <v>1246</v>
      </c>
      <c r="B1035" s="2740"/>
      <c r="C1035" s="2740"/>
      <c r="D1035" s="2740"/>
      <c r="E1035" s="2740"/>
      <c r="F1035" s="894">
        <f>F1012+F1027+F1033+F1031+F1023</f>
        <v>5077</v>
      </c>
      <c r="G1035" s="894">
        <f>G1012+G1027+G1033+G1031+G1023</f>
        <v>27884</v>
      </c>
      <c r="H1035" s="894">
        <f>H1012+H1027+H1033+H1031+H1023</f>
        <v>27884</v>
      </c>
      <c r="I1035" s="895">
        <f t="shared" si="50"/>
        <v>100</v>
      </c>
      <c r="R1035" s="385">
        <f>F1035</f>
        <v>5077</v>
      </c>
      <c r="S1035" s="385">
        <f>G1035</f>
        <v>27884</v>
      </c>
      <c r="T1035" s="385">
        <f>H1035</f>
        <v>27884</v>
      </c>
    </row>
    <row r="1036" spans="1:20" ht="13.5" thickTop="1" x14ac:dyDescent="0.2"/>
    <row r="1037" spans="1:20" ht="13.5" thickBot="1" x14ac:dyDescent="0.25">
      <c r="A1037" s="439" t="s">
        <v>282</v>
      </c>
      <c r="I1037" s="1548" t="s">
        <v>179</v>
      </c>
    </row>
    <row r="1038" spans="1:20" s="107" customFormat="1" thickTop="1" thickBot="1" x14ac:dyDescent="0.25">
      <c r="A1038" s="657" t="s">
        <v>692</v>
      </c>
      <c r="B1038" s="835" t="s">
        <v>180</v>
      </c>
      <c r="C1038" s="658" t="s">
        <v>181</v>
      </c>
      <c r="D1038" s="660" t="s">
        <v>783</v>
      </c>
      <c r="E1038" s="660" t="s">
        <v>182</v>
      </c>
      <c r="F1038" s="660" t="s">
        <v>183</v>
      </c>
      <c r="G1038" s="660" t="s">
        <v>985</v>
      </c>
      <c r="H1038" s="660" t="s">
        <v>986</v>
      </c>
      <c r="I1038" s="888" t="s">
        <v>987</v>
      </c>
    </row>
    <row r="1039" spans="1:20" s="386" customFormat="1" ht="13.5" thickTop="1" thickBot="1" x14ac:dyDescent="0.25">
      <c r="A1039" s="592">
        <v>1</v>
      </c>
      <c r="B1039" s="593">
        <v>2</v>
      </c>
      <c r="C1039" s="593">
        <v>3</v>
      </c>
      <c r="D1039" s="593">
        <v>4</v>
      </c>
      <c r="E1039" s="593">
        <v>5</v>
      </c>
      <c r="F1039" s="567">
        <v>6</v>
      </c>
      <c r="G1039" s="567">
        <v>7</v>
      </c>
      <c r="H1039" s="568">
        <v>8</v>
      </c>
      <c r="I1039" s="662" t="s">
        <v>848</v>
      </c>
    </row>
    <row r="1040" spans="1:20" ht="15.75" thickTop="1" x14ac:dyDescent="0.25">
      <c r="A1040" s="1549">
        <v>1127</v>
      </c>
      <c r="B1040" s="836">
        <v>3122</v>
      </c>
      <c r="C1040" s="836">
        <v>5331</v>
      </c>
      <c r="D1040" s="909"/>
      <c r="E1040" s="930" t="s">
        <v>1066</v>
      </c>
      <c r="F1040" s="931">
        <f>F1041+F1042+F1043</f>
        <v>2469</v>
      </c>
      <c r="G1040" s="931">
        <f>G1041+G1042+G1043</f>
        <v>3012</v>
      </c>
      <c r="H1040" s="931">
        <f>H1041+H1042+H1043</f>
        <v>3012</v>
      </c>
      <c r="I1040" s="896">
        <f>(H1040/G1040)*100</f>
        <v>100</v>
      </c>
    </row>
    <row r="1041" spans="1:9" ht="14.25" x14ac:dyDescent="0.2">
      <c r="A1041" s="435"/>
      <c r="B1041" s="705"/>
      <c r="C1041" s="705"/>
      <c r="D1041" s="853" t="s">
        <v>641</v>
      </c>
      <c r="E1041" s="1679" t="s">
        <v>883</v>
      </c>
      <c r="F1041" s="897">
        <v>798</v>
      </c>
      <c r="G1041" s="897">
        <v>791</v>
      </c>
      <c r="H1041" s="897">
        <v>791</v>
      </c>
      <c r="I1041" s="893">
        <f>(H1041/G1041)*100</f>
        <v>100</v>
      </c>
    </row>
    <row r="1042" spans="1:9" ht="14.25" x14ac:dyDescent="0.2">
      <c r="A1042" s="435"/>
      <c r="B1042" s="705"/>
      <c r="C1042" s="705"/>
      <c r="D1042" s="578" t="s">
        <v>636</v>
      </c>
      <c r="E1042" s="474" t="s">
        <v>72</v>
      </c>
      <c r="F1042" s="897">
        <v>1671</v>
      </c>
      <c r="G1042" s="897">
        <v>1671</v>
      </c>
      <c r="H1042" s="897">
        <v>1671</v>
      </c>
      <c r="I1042" s="893">
        <v>100</v>
      </c>
    </row>
    <row r="1043" spans="1:9" ht="14.25" x14ac:dyDescent="0.2">
      <c r="A1043" s="435"/>
      <c r="B1043" s="808"/>
      <c r="C1043" s="808"/>
      <c r="D1043" s="1179" t="s">
        <v>1536</v>
      </c>
      <c r="E1043" s="1702" t="s">
        <v>1537</v>
      </c>
      <c r="F1043" s="903"/>
      <c r="G1043" s="903">
        <v>550</v>
      </c>
      <c r="H1043" s="903">
        <v>550</v>
      </c>
      <c r="I1043" s="893">
        <v>100</v>
      </c>
    </row>
    <row r="1044" spans="1:9" ht="15" x14ac:dyDescent="0.25">
      <c r="A1044" s="435">
        <v>1127</v>
      </c>
      <c r="B1044" s="808">
        <v>3122</v>
      </c>
      <c r="C1044" s="808">
        <v>5336</v>
      </c>
      <c r="D1044" s="2536"/>
      <c r="E1044" s="1564" t="s">
        <v>1357</v>
      </c>
      <c r="F1044" s="903"/>
      <c r="G1044" s="916">
        <f>G1045+G1046+G1047+G1048+G1049</f>
        <v>14687</v>
      </c>
      <c r="H1044" s="916">
        <f>H1045+H1046+H1047+H1048+H1049</f>
        <v>14687</v>
      </c>
      <c r="I1044" s="923">
        <v>100</v>
      </c>
    </row>
    <row r="1045" spans="1:9" ht="14.25" x14ac:dyDescent="0.2">
      <c r="A1045" s="435"/>
      <c r="B1045" s="808"/>
      <c r="C1045" s="1551"/>
      <c r="D1045" s="578" t="s">
        <v>1267</v>
      </c>
      <c r="E1045" s="474" t="s">
        <v>882</v>
      </c>
      <c r="F1045" s="903"/>
      <c r="G1045" s="903">
        <v>9172</v>
      </c>
      <c r="H1045" s="903">
        <v>9172</v>
      </c>
      <c r="I1045" s="898">
        <f>(H1045/G1045)*100</f>
        <v>100</v>
      </c>
    </row>
    <row r="1046" spans="1:9" s="386" customFormat="1" ht="14.25" x14ac:dyDescent="0.2">
      <c r="A1046" s="435"/>
      <c r="B1046" s="705"/>
      <c r="C1046" s="705"/>
      <c r="D1046" s="1569" t="s">
        <v>772</v>
      </c>
      <c r="E1046" s="1570" t="s">
        <v>1362</v>
      </c>
      <c r="F1046" s="903"/>
      <c r="G1046" s="903">
        <v>687</v>
      </c>
      <c r="H1046" s="903">
        <v>687</v>
      </c>
      <c r="I1046" s="898">
        <f>(H1046/G1046)*100</f>
        <v>100</v>
      </c>
    </row>
    <row r="1047" spans="1:9" s="386" customFormat="1" ht="14.25" x14ac:dyDescent="0.2">
      <c r="A1047" s="936"/>
      <c r="B1047" s="937"/>
      <c r="C1047" s="937"/>
      <c r="D1047" s="1569" t="s">
        <v>773</v>
      </c>
      <c r="E1047" s="1570" t="s">
        <v>1362</v>
      </c>
      <c r="F1047" s="903"/>
      <c r="G1047" s="903">
        <v>3896</v>
      </c>
      <c r="H1047" s="903">
        <v>3896</v>
      </c>
      <c r="I1047" s="898">
        <f>(H1047/G1047)*100</f>
        <v>100</v>
      </c>
    </row>
    <row r="1048" spans="1:9" s="386" customFormat="1" ht="14.25" x14ac:dyDescent="0.2">
      <c r="A1048" s="936"/>
      <c r="B1048" s="937"/>
      <c r="C1048" s="937"/>
      <c r="D1048" s="1569" t="s">
        <v>1771</v>
      </c>
      <c r="E1048" s="1561" t="s">
        <v>1908</v>
      </c>
      <c r="F1048" s="903"/>
      <c r="G1048" s="903">
        <v>140</v>
      </c>
      <c r="H1048" s="903">
        <v>140</v>
      </c>
      <c r="I1048" s="898">
        <f t="shared" ref="I1048:I1074" si="51">(H1048/G1048)*100</f>
        <v>100</v>
      </c>
    </row>
    <row r="1049" spans="1:9" s="386" customFormat="1" ht="14.25" x14ac:dyDescent="0.2">
      <c r="A1049" s="936"/>
      <c r="B1049" s="937"/>
      <c r="C1049" s="937"/>
      <c r="D1049" s="1569" t="s">
        <v>1773</v>
      </c>
      <c r="E1049" s="1561" t="s">
        <v>1908</v>
      </c>
      <c r="F1049" s="903"/>
      <c r="G1049" s="903">
        <v>792</v>
      </c>
      <c r="H1049" s="903">
        <v>792</v>
      </c>
      <c r="I1049" s="898">
        <f t="shared" si="51"/>
        <v>100</v>
      </c>
    </row>
    <row r="1050" spans="1:9" ht="15" x14ac:dyDescent="0.25">
      <c r="A1050" s="435">
        <v>1127</v>
      </c>
      <c r="B1050" s="808">
        <v>3123</v>
      </c>
      <c r="C1050" s="1551">
        <v>5331</v>
      </c>
      <c r="D1050" s="912"/>
      <c r="E1050" s="704" t="s">
        <v>1066</v>
      </c>
      <c r="F1050" s="905">
        <f>F1051+F1052+F1053+F1054</f>
        <v>4075</v>
      </c>
      <c r="G1050" s="905">
        <f>G1051+G1052+G1053+G1054</f>
        <v>5442</v>
      </c>
      <c r="H1050" s="905">
        <f>H1051+H1052+H1053+H1054</f>
        <v>5442</v>
      </c>
      <c r="I1050" s="906">
        <f t="shared" si="51"/>
        <v>100</v>
      </c>
    </row>
    <row r="1051" spans="1:9" ht="14.25" x14ac:dyDescent="0.2">
      <c r="A1051" s="435"/>
      <c r="B1051" s="808"/>
      <c r="C1051" s="1551"/>
      <c r="D1051" s="853" t="s">
        <v>641</v>
      </c>
      <c r="E1051" s="1679" t="s">
        <v>883</v>
      </c>
      <c r="F1051" s="903">
        <v>690</v>
      </c>
      <c r="G1051" s="903">
        <v>692</v>
      </c>
      <c r="H1051" s="903">
        <v>692</v>
      </c>
      <c r="I1051" s="898">
        <f t="shared" si="51"/>
        <v>100</v>
      </c>
    </row>
    <row r="1052" spans="1:9" ht="14.25" x14ac:dyDescent="0.2">
      <c r="A1052" s="435"/>
      <c r="B1052" s="808"/>
      <c r="C1052" s="1551"/>
      <c r="D1052" s="578" t="s">
        <v>636</v>
      </c>
      <c r="E1052" s="474" t="s">
        <v>72</v>
      </c>
      <c r="F1052" s="903">
        <v>3385</v>
      </c>
      <c r="G1052" s="903">
        <v>4140</v>
      </c>
      <c r="H1052" s="903">
        <v>4140</v>
      </c>
      <c r="I1052" s="898">
        <f t="shared" si="51"/>
        <v>100</v>
      </c>
    </row>
    <row r="1053" spans="1:9" ht="14.25" x14ac:dyDescent="0.2">
      <c r="A1053" s="435"/>
      <c r="B1053" s="808"/>
      <c r="C1053" s="1551"/>
      <c r="D1053" s="578" t="s">
        <v>735</v>
      </c>
      <c r="E1053" s="474" t="s">
        <v>76</v>
      </c>
      <c r="F1053" s="903"/>
      <c r="G1053" s="903">
        <v>6</v>
      </c>
      <c r="H1053" s="903">
        <v>6</v>
      </c>
      <c r="I1053" s="898">
        <f t="shared" si="51"/>
        <v>100</v>
      </c>
    </row>
    <row r="1054" spans="1:9" ht="14.25" x14ac:dyDescent="0.2">
      <c r="A1054" s="435"/>
      <c r="B1054" s="808"/>
      <c r="C1054" s="1551"/>
      <c r="D1054" s="1169" t="s">
        <v>1038</v>
      </c>
      <c r="E1054" s="1275" t="s">
        <v>1039</v>
      </c>
      <c r="F1054" s="903"/>
      <c r="G1054" s="903">
        <v>604</v>
      </c>
      <c r="H1054" s="903">
        <v>604</v>
      </c>
      <c r="I1054" s="898">
        <f t="shared" si="51"/>
        <v>100</v>
      </c>
    </row>
    <row r="1055" spans="1:9" ht="15" x14ac:dyDescent="0.25">
      <c r="A1055" s="435">
        <v>1127</v>
      </c>
      <c r="B1055" s="808">
        <v>3123</v>
      </c>
      <c r="C1055" s="1551">
        <v>5336</v>
      </c>
      <c r="D1055" s="1179"/>
      <c r="E1055" s="1564" t="s">
        <v>1357</v>
      </c>
      <c r="F1055" s="903"/>
      <c r="G1055" s="916">
        <v>16809</v>
      </c>
      <c r="H1055" s="916">
        <v>16809</v>
      </c>
      <c r="I1055" s="908">
        <f t="shared" si="51"/>
        <v>100</v>
      </c>
    </row>
    <row r="1056" spans="1:9" ht="18" customHeight="1" x14ac:dyDescent="0.2">
      <c r="A1056" s="435"/>
      <c r="B1056" s="808"/>
      <c r="C1056" s="1551"/>
      <c r="D1056" s="578" t="s">
        <v>1267</v>
      </c>
      <c r="E1056" s="474" t="s">
        <v>882</v>
      </c>
      <c r="F1056" s="903"/>
      <c r="G1056" s="903">
        <v>16809</v>
      </c>
      <c r="H1056" s="903">
        <v>16809</v>
      </c>
      <c r="I1056" s="898">
        <f t="shared" si="51"/>
        <v>100</v>
      </c>
    </row>
    <row r="1057" spans="1:9" ht="15" x14ac:dyDescent="0.25">
      <c r="A1057" s="435">
        <v>1127</v>
      </c>
      <c r="B1057" s="808">
        <v>3124</v>
      </c>
      <c r="C1057" s="1551">
        <v>5331</v>
      </c>
      <c r="D1057" s="912"/>
      <c r="E1057" s="704" t="s">
        <v>1066</v>
      </c>
      <c r="F1057" s="905">
        <f>SUM(F1058:F1060)</f>
        <v>22</v>
      </c>
      <c r="G1057" s="905">
        <v>22</v>
      </c>
      <c r="H1057" s="905">
        <v>22</v>
      </c>
      <c r="I1057" s="906">
        <f t="shared" si="51"/>
        <v>100</v>
      </c>
    </row>
    <row r="1058" spans="1:9" ht="14.25" x14ac:dyDescent="0.2">
      <c r="A1058" s="435"/>
      <c r="B1058" s="808"/>
      <c r="C1058" s="1551"/>
      <c r="D1058" s="578" t="s">
        <v>636</v>
      </c>
      <c r="E1058" s="474" t="s">
        <v>72</v>
      </c>
      <c r="F1058" s="903">
        <v>22</v>
      </c>
      <c r="G1058" s="903">
        <v>22</v>
      </c>
      <c r="H1058" s="903">
        <v>22</v>
      </c>
      <c r="I1058" s="898">
        <f t="shared" si="51"/>
        <v>100</v>
      </c>
    </row>
    <row r="1059" spans="1:9" ht="15" x14ac:dyDescent="0.25">
      <c r="A1059" s="435">
        <v>1127</v>
      </c>
      <c r="B1059" s="808">
        <v>3124</v>
      </c>
      <c r="C1059" s="1551">
        <v>5336</v>
      </c>
      <c r="D1059" s="578"/>
      <c r="E1059" s="1564" t="s">
        <v>1357</v>
      </c>
      <c r="F1059" s="903"/>
      <c r="G1059" s="916">
        <v>1403</v>
      </c>
      <c r="H1059" s="916">
        <v>1403</v>
      </c>
      <c r="I1059" s="908">
        <f t="shared" si="51"/>
        <v>100</v>
      </c>
    </row>
    <row r="1060" spans="1:9" ht="14.25" x14ac:dyDescent="0.2">
      <c r="A1060" s="435"/>
      <c r="B1060" s="808"/>
      <c r="C1060" s="1551"/>
      <c r="D1060" s="578" t="s">
        <v>1267</v>
      </c>
      <c r="E1060" s="474" t="s">
        <v>882</v>
      </c>
      <c r="F1060" s="903"/>
      <c r="G1060" s="903">
        <v>1403</v>
      </c>
      <c r="H1060" s="903">
        <v>1403</v>
      </c>
      <c r="I1060" s="898">
        <f t="shared" si="51"/>
        <v>100</v>
      </c>
    </row>
    <row r="1061" spans="1:9" ht="15" x14ac:dyDescent="0.25">
      <c r="A1061" s="435">
        <v>1127</v>
      </c>
      <c r="B1061" s="808">
        <v>3141</v>
      </c>
      <c r="C1061" s="1551">
        <v>5336</v>
      </c>
      <c r="D1061" s="594"/>
      <c r="E1061" s="1564" t="s">
        <v>1357</v>
      </c>
      <c r="F1061" s="916"/>
      <c r="G1061" s="916">
        <v>744</v>
      </c>
      <c r="H1061" s="916">
        <v>744</v>
      </c>
      <c r="I1061" s="906">
        <f t="shared" si="51"/>
        <v>100</v>
      </c>
    </row>
    <row r="1062" spans="1:9" ht="14.25" x14ac:dyDescent="0.2">
      <c r="A1062" s="435"/>
      <c r="B1062" s="808"/>
      <c r="C1062" s="1551"/>
      <c r="D1062" s="578" t="s">
        <v>1267</v>
      </c>
      <c r="E1062" s="474" t="s">
        <v>882</v>
      </c>
      <c r="F1062" s="903"/>
      <c r="G1062" s="903">
        <v>744</v>
      </c>
      <c r="H1062" s="903">
        <v>744</v>
      </c>
      <c r="I1062" s="898">
        <f t="shared" si="51"/>
        <v>100</v>
      </c>
    </row>
    <row r="1063" spans="1:9" ht="15" x14ac:dyDescent="0.25">
      <c r="A1063" s="435">
        <v>1127</v>
      </c>
      <c r="B1063" s="808">
        <v>3142</v>
      </c>
      <c r="C1063" s="808">
        <v>5331</v>
      </c>
      <c r="D1063" s="929"/>
      <c r="E1063" s="704" t="s">
        <v>1066</v>
      </c>
      <c r="F1063" s="905">
        <f>F1064+F1065</f>
        <v>738</v>
      </c>
      <c r="G1063" s="905">
        <f>G1064+G1065</f>
        <v>797</v>
      </c>
      <c r="H1063" s="905">
        <f>H1064+H1065</f>
        <v>797</v>
      </c>
      <c r="I1063" s="906">
        <f t="shared" si="51"/>
        <v>100</v>
      </c>
    </row>
    <row r="1064" spans="1:9" ht="20.25" customHeight="1" x14ac:dyDescent="0.2">
      <c r="A1064" s="435"/>
      <c r="B1064" s="808"/>
      <c r="C1064" s="808"/>
      <c r="D1064" s="853" t="s">
        <v>641</v>
      </c>
      <c r="E1064" s="1679" t="s">
        <v>883</v>
      </c>
      <c r="F1064" s="903">
        <v>67</v>
      </c>
      <c r="G1064" s="903">
        <v>31</v>
      </c>
      <c r="H1064" s="903">
        <v>31</v>
      </c>
      <c r="I1064" s="898">
        <f t="shared" si="51"/>
        <v>100</v>
      </c>
    </row>
    <row r="1065" spans="1:9" ht="14.25" x14ac:dyDescent="0.2">
      <c r="A1065" s="435"/>
      <c r="B1065" s="808"/>
      <c r="C1065" s="808"/>
      <c r="D1065" s="578" t="s">
        <v>636</v>
      </c>
      <c r="E1065" s="474" t="s">
        <v>72</v>
      </c>
      <c r="F1065" s="903">
        <v>671</v>
      </c>
      <c r="G1065" s="903">
        <v>766</v>
      </c>
      <c r="H1065" s="903">
        <v>766</v>
      </c>
      <c r="I1065" s="898">
        <f t="shared" si="51"/>
        <v>100</v>
      </c>
    </row>
    <row r="1066" spans="1:9" ht="15" x14ac:dyDescent="0.25">
      <c r="A1066" s="435">
        <v>1127</v>
      </c>
      <c r="B1066" s="808">
        <v>3142</v>
      </c>
      <c r="C1066" s="808">
        <v>5336</v>
      </c>
      <c r="D1066" s="578"/>
      <c r="E1066" s="1564" t="s">
        <v>1357</v>
      </c>
      <c r="F1066" s="903"/>
      <c r="G1066" s="916">
        <v>1049</v>
      </c>
      <c r="H1066" s="916">
        <v>1049</v>
      </c>
      <c r="I1066" s="908">
        <f t="shared" si="51"/>
        <v>100</v>
      </c>
    </row>
    <row r="1067" spans="1:9" ht="14.25" x14ac:dyDescent="0.2">
      <c r="A1067" s="435"/>
      <c r="B1067" s="808"/>
      <c r="C1067" s="1551"/>
      <c r="D1067" s="578" t="s">
        <v>1267</v>
      </c>
      <c r="E1067" s="474" t="s">
        <v>882</v>
      </c>
      <c r="F1067" s="903"/>
      <c r="G1067" s="903">
        <v>1049</v>
      </c>
      <c r="H1067" s="903">
        <v>1049</v>
      </c>
      <c r="I1067" s="898">
        <f t="shared" si="51"/>
        <v>100</v>
      </c>
    </row>
    <row r="1068" spans="1:9" ht="15" x14ac:dyDescent="0.25">
      <c r="A1068" s="435">
        <v>1127</v>
      </c>
      <c r="B1068" s="808">
        <v>3147</v>
      </c>
      <c r="C1068" s="808">
        <v>5331</v>
      </c>
      <c r="D1068" s="929"/>
      <c r="E1068" s="704" t="s">
        <v>1066</v>
      </c>
      <c r="F1068" s="905">
        <f>F1069+F1070</f>
        <v>737</v>
      </c>
      <c r="G1068" s="905">
        <f>G1069+G1070</f>
        <v>834</v>
      </c>
      <c r="H1068" s="905">
        <f>H1069+H1070</f>
        <v>834</v>
      </c>
      <c r="I1068" s="908">
        <f t="shared" si="51"/>
        <v>100</v>
      </c>
    </row>
    <row r="1069" spans="1:9" ht="14.25" x14ac:dyDescent="0.2">
      <c r="A1069" s="435"/>
      <c r="B1069" s="808"/>
      <c r="C1069" s="808"/>
      <c r="D1069" s="853" t="s">
        <v>641</v>
      </c>
      <c r="E1069" s="1679" t="s">
        <v>883</v>
      </c>
      <c r="F1069" s="903">
        <v>157</v>
      </c>
      <c r="G1069" s="903">
        <v>222</v>
      </c>
      <c r="H1069" s="903">
        <v>222</v>
      </c>
      <c r="I1069" s="1720">
        <f t="shared" si="51"/>
        <v>100</v>
      </c>
    </row>
    <row r="1070" spans="1:9" ht="14.25" x14ac:dyDescent="0.2">
      <c r="A1070" s="1721"/>
      <c r="B1070" s="808"/>
      <c r="C1070" s="808"/>
      <c r="D1070" s="578" t="s">
        <v>636</v>
      </c>
      <c r="E1070" s="474" t="s">
        <v>72</v>
      </c>
      <c r="F1070" s="903">
        <v>580</v>
      </c>
      <c r="G1070" s="903">
        <v>612</v>
      </c>
      <c r="H1070" s="903">
        <v>612</v>
      </c>
      <c r="I1070" s="1720">
        <f t="shared" si="51"/>
        <v>100</v>
      </c>
    </row>
    <row r="1071" spans="1:9" ht="15" x14ac:dyDescent="0.25">
      <c r="A1071" s="1721">
        <v>1127</v>
      </c>
      <c r="B1071" s="808">
        <v>3147</v>
      </c>
      <c r="C1071" s="808">
        <v>5336</v>
      </c>
      <c r="D1071" s="594"/>
      <c r="E1071" s="1564" t="s">
        <v>1357</v>
      </c>
      <c r="F1071" s="903"/>
      <c r="G1071" s="916">
        <v>1784</v>
      </c>
      <c r="H1071" s="916">
        <v>1784</v>
      </c>
      <c r="I1071" s="1722">
        <f t="shared" si="51"/>
        <v>100</v>
      </c>
    </row>
    <row r="1072" spans="1:9" ht="14.25" customHeight="1" x14ac:dyDescent="0.2">
      <c r="A1072" s="1721"/>
      <c r="B1072" s="808"/>
      <c r="C1072" s="1551"/>
      <c r="D1072" s="594" t="s">
        <v>1267</v>
      </c>
      <c r="E1072" s="938" t="s">
        <v>882</v>
      </c>
      <c r="F1072" s="903"/>
      <c r="G1072" s="903">
        <v>1784</v>
      </c>
      <c r="H1072" s="903">
        <v>1784</v>
      </c>
      <c r="I1072" s="1720">
        <f t="shared" si="51"/>
        <v>100</v>
      </c>
    </row>
    <row r="1073" spans="1:20" ht="15" x14ac:dyDescent="0.25">
      <c r="A1073" s="1721">
        <v>1127</v>
      </c>
      <c r="B1073" s="808">
        <v>3293</v>
      </c>
      <c r="C1073" s="1551">
        <v>5331</v>
      </c>
      <c r="D1073" s="594"/>
      <c r="E1073" s="704" t="s">
        <v>1066</v>
      </c>
      <c r="F1073" s="916"/>
      <c r="G1073" s="916">
        <v>7</v>
      </c>
      <c r="H1073" s="916">
        <v>7</v>
      </c>
      <c r="I1073" s="1722">
        <f t="shared" si="51"/>
        <v>100</v>
      </c>
    </row>
    <row r="1074" spans="1:20" ht="15" thickBot="1" x14ac:dyDescent="0.25">
      <c r="A1074" s="1721"/>
      <c r="B1074" s="808"/>
      <c r="C1074" s="1551"/>
      <c r="D1074" s="805" t="s">
        <v>1270</v>
      </c>
      <c r="E1074" s="1694" t="s">
        <v>62</v>
      </c>
      <c r="F1074" s="903"/>
      <c r="G1074" s="903">
        <v>7</v>
      </c>
      <c r="H1074" s="903">
        <v>7</v>
      </c>
      <c r="I1074" s="1720">
        <f t="shared" si="51"/>
        <v>100</v>
      </c>
    </row>
    <row r="1075" spans="1:20" ht="16.5" thickTop="1" thickBot="1" x14ac:dyDescent="0.3">
      <c r="A1075" s="2749" t="s">
        <v>1246</v>
      </c>
      <c r="B1075" s="2740"/>
      <c r="C1075" s="2740"/>
      <c r="D1075" s="2740"/>
      <c r="E1075" s="2740"/>
      <c r="F1075" s="894">
        <f>F1040+F1050+F1057+F1063+F1068+F1059+F1061+F1066+F1071+F1073+F1055+F1044</f>
        <v>8041</v>
      </c>
      <c r="G1075" s="894">
        <f>G1040+G1050+G1057+G1063+G1068+G1059+G1061+G1066+G1071+G1073+G1055+G1044</f>
        <v>46590</v>
      </c>
      <c r="H1075" s="894">
        <f>H1040+H1050+H1057+H1063+H1068+H1059+H1061+H1066+H1071+H1073+H1055+H1044</f>
        <v>46590</v>
      </c>
      <c r="I1075" s="971">
        <f>(H1075/G1075)*100</f>
        <v>100</v>
      </c>
      <c r="R1075" s="385">
        <f>F1075</f>
        <v>8041</v>
      </c>
      <c r="S1075" s="385">
        <f>G1075</f>
        <v>46590</v>
      </c>
      <c r="T1075" s="385">
        <f>H1075</f>
        <v>46590</v>
      </c>
    </row>
    <row r="1076" spans="1:20" ht="18" customHeight="1" thickTop="1" x14ac:dyDescent="0.25">
      <c r="A1076" s="370"/>
      <c r="B1076" s="370"/>
      <c r="C1076" s="370"/>
      <c r="D1076" s="370"/>
      <c r="E1076" s="370"/>
      <c r="F1076" s="183"/>
      <c r="G1076" s="183"/>
      <c r="H1076" s="183"/>
      <c r="I1076" s="214"/>
      <c r="R1076" s="385"/>
      <c r="S1076" s="385"/>
      <c r="T1076" s="385"/>
    </row>
    <row r="1077" spans="1:20" ht="13.5" thickBot="1" x14ac:dyDescent="0.25">
      <c r="A1077" s="439" t="s">
        <v>1361</v>
      </c>
      <c r="I1077" s="1548" t="s">
        <v>179</v>
      </c>
    </row>
    <row r="1078" spans="1:20" s="107" customFormat="1" thickTop="1" thickBot="1" x14ac:dyDescent="0.25">
      <c r="A1078" s="657" t="s">
        <v>692</v>
      </c>
      <c r="B1078" s="835" t="s">
        <v>180</v>
      </c>
      <c r="C1078" s="658" t="s">
        <v>181</v>
      </c>
      <c r="D1078" s="660" t="s">
        <v>783</v>
      </c>
      <c r="E1078" s="660" t="s">
        <v>182</v>
      </c>
      <c r="F1078" s="660" t="s">
        <v>183</v>
      </c>
      <c r="G1078" s="660" t="s">
        <v>985</v>
      </c>
      <c r="H1078" s="660" t="s">
        <v>986</v>
      </c>
      <c r="I1078" s="888" t="s">
        <v>987</v>
      </c>
    </row>
    <row r="1079" spans="1:20" s="386" customFormat="1" ht="13.5" thickTop="1" thickBot="1" x14ac:dyDescent="0.25">
      <c r="A1079" s="592">
        <v>1</v>
      </c>
      <c r="B1079" s="593">
        <v>2</v>
      </c>
      <c r="C1079" s="593">
        <v>3</v>
      </c>
      <c r="D1079" s="593">
        <v>4</v>
      </c>
      <c r="E1079" s="593">
        <v>5</v>
      </c>
      <c r="F1079" s="567">
        <v>6</v>
      </c>
      <c r="G1079" s="567">
        <v>7</v>
      </c>
      <c r="H1079" s="568">
        <v>8</v>
      </c>
      <c r="I1079" s="662" t="s">
        <v>848</v>
      </c>
    </row>
    <row r="1080" spans="1:20" ht="20.25" customHeight="1" thickTop="1" x14ac:dyDescent="0.25">
      <c r="A1080" s="1549">
        <v>1128</v>
      </c>
      <c r="B1080" s="836">
        <v>3122</v>
      </c>
      <c r="C1080" s="836">
        <v>5331</v>
      </c>
      <c r="D1080" s="909"/>
      <c r="E1080" s="930" t="s">
        <v>1066</v>
      </c>
      <c r="F1080" s="931">
        <f>F1081+F1082+F1083</f>
        <v>2808</v>
      </c>
      <c r="G1080" s="931">
        <f>G1081+G1082+G1083</f>
        <v>2734</v>
      </c>
      <c r="H1080" s="931">
        <f>H1081+H1082+H1083</f>
        <v>2734</v>
      </c>
      <c r="I1080" s="896">
        <f t="shared" ref="I1080:I1109" si="52">(H1080/G1080)*100</f>
        <v>100</v>
      </c>
    </row>
    <row r="1081" spans="1:20" ht="14.25" x14ac:dyDescent="0.2">
      <c r="A1081" s="435"/>
      <c r="B1081" s="705"/>
      <c r="C1081" s="705"/>
      <c r="D1081" s="743" t="s">
        <v>641</v>
      </c>
      <c r="E1081" s="1679" t="s">
        <v>883</v>
      </c>
      <c r="F1081" s="897">
        <v>673</v>
      </c>
      <c r="G1081" s="897">
        <v>599</v>
      </c>
      <c r="H1081" s="897">
        <v>599</v>
      </c>
      <c r="I1081" s="893">
        <f t="shared" si="52"/>
        <v>100</v>
      </c>
    </row>
    <row r="1082" spans="1:20" ht="14.25" x14ac:dyDescent="0.2">
      <c r="A1082" s="435"/>
      <c r="B1082" s="705"/>
      <c r="C1082" s="705"/>
      <c r="D1082" s="578" t="s">
        <v>636</v>
      </c>
      <c r="E1082" s="474" t="s">
        <v>72</v>
      </c>
      <c r="F1082" s="897">
        <v>2135</v>
      </c>
      <c r="G1082" s="897">
        <v>2081</v>
      </c>
      <c r="H1082" s="897">
        <v>2081</v>
      </c>
      <c r="I1082" s="893">
        <f t="shared" si="52"/>
        <v>100</v>
      </c>
    </row>
    <row r="1083" spans="1:20" ht="14.25" x14ac:dyDescent="0.2">
      <c r="A1083" s="435"/>
      <c r="B1083" s="705"/>
      <c r="C1083" s="705"/>
      <c r="D1083" s="578" t="s">
        <v>735</v>
      </c>
      <c r="E1083" s="474" t="s">
        <v>76</v>
      </c>
      <c r="F1083" s="897"/>
      <c r="G1083" s="897">
        <v>54</v>
      </c>
      <c r="H1083" s="897">
        <v>54</v>
      </c>
      <c r="I1083" s="893">
        <f t="shared" si="52"/>
        <v>100</v>
      </c>
    </row>
    <row r="1084" spans="1:20" ht="15" x14ac:dyDescent="0.25">
      <c r="A1084" s="435">
        <v>1128</v>
      </c>
      <c r="B1084" s="705">
        <v>3122</v>
      </c>
      <c r="C1084" s="705">
        <v>5336</v>
      </c>
      <c r="D1084" s="2536"/>
      <c r="E1084" s="1564" t="s">
        <v>1357</v>
      </c>
      <c r="F1084" s="897"/>
      <c r="G1084" s="921">
        <f>G1085+G1086+G1087</f>
        <v>13876</v>
      </c>
      <c r="H1084" s="921">
        <f>H1085+H1086+H1087</f>
        <v>13876</v>
      </c>
      <c r="I1084" s="923">
        <f t="shared" si="52"/>
        <v>100</v>
      </c>
    </row>
    <row r="1085" spans="1:20" ht="14.25" x14ac:dyDescent="0.2">
      <c r="A1085" s="435"/>
      <c r="B1085" s="705"/>
      <c r="C1085" s="705"/>
      <c r="D1085" s="578" t="s">
        <v>1267</v>
      </c>
      <c r="E1085" s="474" t="s">
        <v>882</v>
      </c>
      <c r="F1085" s="897"/>
      <c r="G1085" s="897">
        <v>12991</v>
      </c>
      <c r="H1085" s="897">
        <v>12991</v>
      </c>
      <c r="I1085" s="893">
        <f t="shared" si="52"/>
        <v>100</v>
      </c>
    </row>
    <row r="1086" spans="1:20" ht="14.25" x14ac:dyDescent="0.2">
      <c r="A1086" s="435"/>
      <c r="B1086" s="808"/>
      <c r="C1086" s="808"/>
      <c r="D1086" s="1569" t="s">
        <v>1771</v>
      </c>
      <c r="E1086" s="1561" t="s">
        <v>1908</v>
      </c>
      <c r="F1086" s="903"/>
      <c r="G1086" s="903">
        <v>133</v>
      </c>
      <c r="H1086" s="903">
        <v>133</v>
      </c>
      <c r="I1086" s="898">
        <f t="shared" si="52"/>
        <v>100</v>
      </c>
    </row>
    <row r="1087" spans="1:20" ht="15" thickBot="1" x14ac:dyDescent="0.25">
      <c r="A1087" s="435"/>
      <c r="B1087" s="808"/>
      <c r="C1087" s="808"/>
      <c r="D1087" s="1569" t="s">
        <v>1773</v>
      </c>
      <c r="E1087" s="1561" t="s">
        <v>1908</v>
      </c>
      <c r="F1087" s="903"/>
      <c r="G1087" s="903">
        <v>752</v>
      </c>
      <c r="H1087" s="903">
        <v>752</v>
      </c>
      <c r="I1087" s="898">
        <f t="shared" si="52"/>
        <v>100</v>
      </c>
    </row>
    <row r="1088" spans="1:20" ht="15" thickTop="1" x14ac:dyDescent="0.2">
      <c r="A1088" s="1716"/>
      <c r="B1088" s="680"/>
      <c r="C1088" s="680"/>
      <c r="D1088" s="2603"/>
      <c r="E1088" s="2604"/>
      <c r="F1088" s="1718"/>
      <c r="G1088" s="1718"/>
      <c r="H1088" s="1718"/>
      <c r="I1088" s="1719"/>
    </row>
    <row r="1089" spans="1:9" ht="14.25" x14ac:dyDescent="0.2">
      <c r="A1089" s="1555"/>
      <c r="B1089" s="803"/>
      <c r="C1089" s="803"/>
      <c r="D1089" s="1530"/>
      <c r="E1089" s="2627"/>
      <c r="F1089" s="911"/>
      <c r="G1089" s="911"/>
      <c r="H1089" s="911"/>
      <c r="I1089" s="964"/>
    </row>
    <row r="1090" spans="1:9" ht="15" thickBot="1" x14ac:dyDescent="0.25">
      <c r="A1090" s="2594"/>
      <c r="B1090" s="807"/>
      <c r="C1090" s="807"/>
      <c r="D1090" s="2605"/>
      <c r="E1090" s="2606"/>
      <c r="F1090" s="2597"/>
      <c r="G1090" s="2597"/>
      <c r="H1090" s="2597"/>
      <c r="I1090" s="2601" t="s">
        <v>1379</v>
      </c>
    </row>
    <row r="1091" spans="1:9" s="107" customFormat="1" ht="18" customHeight="1" thickTop="1" thickBot="1" x14ac:dyDescent="0.25">
      <c r="A1091" s="657" t="s">
        <v>692</v>
      </c>
      <c r="B1091" s="835" t="s">
        <v>180</v>
      </c>
      <c r="C1091" s="658" t="s">
        <v>181</v>
      </c>
      <c r="D1091" s="660" t="s">
        <v>783</v>
      </c>
      <c r="E1091" s="660" t="s">
        <v>182</v>
      </c>
      <c r="F1091" s="660" t="s">
        <v>183</v>
      </c>
      <c r="G1091" s="660" t="s">
        <v>985</v>
      </c>
      <c r="H1091" s="660" t="s">
        <v>986</v>
      </c>
      <c r="I1091" s="888" t="s">
        <v>987</v>
      </c>
    </row>
    <row r="1092" spans="1:9" s="386" customFormat="1" ht="13.5" thickTop="1" thickBot="1" x14ac:dyDescent="0.25">
      <c r="A1092" s="592">
        <v>1</v>
      </c>
      <c r="B1092" s="593">
        <v>2</v>
      </c>
      <c r="C1092" s="593">
        <v>3</v>
      </c>
      <c r="D1092" s="593">
        <v>4</v>
      </c>
      <c r="E1092" s="593">
        <v>5</v>
      </c>
      <c r="F1092" s="567">
        <v>6</v>
      </c>
      <c r="G1092" s="567">
        <v>7</v>
      </c>
      <c r="H1092" s="568">
        <v>8</v>
      </c>
      <c r="I1092" s="662" t="s">
        <v>848</v>
      </c>
    </row>
    <row r="1093" spans="1:9" ht="15.75" thickTop="1" x14ac:dyDescent="0.25">
      <c r="A1093" s="435">
        <v>1128</v>
      </c>
      <c r="B1093" s="808">
        <v>3123</v>
      </c>
      <c r="C1093" s="808">
        <v>5331</v>
      </c>
      <c r="D1093" s="929"/>
      <c r="E1093" s="704" t="s">
        <v>1066</v>
      </c>
      <c r="F1093" s="905">
        <f>SUM(F1094:F1098)</f>
        <v>1988</v>
      </c>
      <c r="G1093" s="905">
        <f>G1094+G1095+G1096</f>
        <v>2367</v>
      </c>
      <c r="H1093" s="905">
        <f>H1094+H1095+H1096</f>
        <v>2367</v>
      </c>
      <c r="I1093" s="906">
        <f t="shared" si="52"/>
        <v>100</v>
      </c>
    </row>
    <row r="1094" spans="1:9" ht="14.25" x14ac:dyDescent="0.2">
      <c r="A1094" s="435"/>
      <c r="B1094" s="808"/>
      <c r="C1094" s="808"/>
      <c r="D1094" s="743" t="s">
        <v>641</v>
      </c>
      <c r="E1094" s="1679" t="s">
        <v>883</v>
      </c>
      <c r="F1094" s="903">
        <v>300</v>
      </c>
      <c r="G1094" s="903">
        <v>341</v>
      </c>
      <c r="H1094" s="903">
        <v>341</v>
      </c>
      <c r="I1094" s="898">
        <f t="shared" si="52"/>
        <v>100</v>
      </c>
    </row>
    <row r="1095" spans="1:9" ht="16.5" customHeight="1" x14ac:dyDescent="0.2">
      <c r="A1095" s="435"/>
      <c r="B1095" s="808"/>
      <c r="C1095" s="808"/>
      <c r="D1095" s="578" t="s">
        <v>636</v>
      </c>
      <c r="E1095" s="474" t="s">
        <v>72</v>
      </c>
      <c r="F1095" s="903">
        <v>1688</v>
      </c>
      <c r="G1095" s="903">
        <v>1688</v>
      </c>
      <c r="H1095" s="903">
        <v>1688</v>
      </c>
      <c r="I1095" s="898">
        <f t="shared" si="52"/>
        <v>100</v>
      </c>
    </row>
    <row r="1096" spans="1:9" ht="14.25" x14ac:dyDescent="0.2">
      <c r="A1096" s="435"/>
      <c r="B1096" s="808"/>
      <c r="C1096" s="808"/>
      <c r="D1096" s="1179" t="s">
        <v>1038</v>
      </c>
      <c r="E1096" s="1275" t="s">
        <v>1039</v>
      </c>
      <c r="F1096" s="903"/>
      <c r="G1096" s="903">
        <v>338</v>
      </c>
      <c r="H1096" s="903">
        <v>338</v>
      </c>
      <c r="I1096" s="898">
        <f t="shared" si="52"/>
        <v>100</v>
      </c>
    </row>
    <row r="1097" spans="1:9" ht="15" x14ac:dyDescent="0.25">
      <c r="A1097" s="435">
        <v>1128</v>
      </c>
      <c r="B1097" s="808">
        <v>3123</v>
      </c>
      <c r="C1097" s="808">
        <v>5336</v>
      </c>
      <c r="D1097" s="2536"/>
      <c r="E1097" s="1564" t="s">
        <v>1357</v>
      </c>
      <c r="F1097" s="903"/>
      <c r="G1097" s="916">
        <v>11249</v>
      </c>
      <c r="H1097" s="916">
        <v>11249</v>
      </c>
      <c r="I1097" s="908">
        <f t="shared" si="52"/>
        <v>100</v>
      </c>
    </row>
    <row r="1098" spans="1:9" ht="14.25" x14ac:dyDescent="0.2">
      <c r="A1098" s="435"/>
      <c r="B1098" s="808"/>
      <c r="C1098" s="808"/>
      <c r="D1098" s="578" t="s">
        <v>1267</v>
      </c>
      <c r="E1098" s="474" t="s">
        <v>882</v>
      </c>
      <c r="F1098" s="903"/>
      <c r="G1098" s="903">
        <v>11249</v>
      </c>
      <c r="H1098" s="903">
        <v>11249</v>
      </c>
      <c r="I1098" s="898">
        <f t="shared" si="52"/>
        <v>100</v>
      </c>
    </row>
    <row r="1099" spans="1:9" ht="15" x14ac:dyDescent="0.25">
      <c r="A1099" s="435">
        <v>1128</v>
      </c>
      <c r="B1099" s="705">
        <v>3142</v>
      </c>
      <c r="C1099" s="705">
        <v>5331</v>
      </c>
      <c r="D1099" s="889"/>
      <c r="E1099" s="854" t="s">
        <v>1066</v>
      </c>
      <c r="F1099" s="890">
        <f>F1100+F1101</f>
        <v>808</v>
      </c>
      <c r="G1099" s="890">
        <f>G1100+G1101</f>
        <v>781</v>
      </c>
      <c r="H1099" s="890">
        <f>H1100+H1101</f>
        <v>781</v>
      </c>
      <c r="I1099" s="906">
        <f t="shared" si="52"/>
        <v>100</v>
      </c>
    </row>
    <row r="1100" spans="1:9" ht="14.25" x14ac:dyDescent="0.2">
      <c r="A1100" s="435"/>
      <c r="B1100" s="808"/>
      <c r="C1100" s="808"/>
      <c r="D1100" s="743" t="s">
        <v>641</v>
      </c>
      <c r="E1100" s="1679" t="s">
        <v>883</v>
      </c>
      <c r="F1100" s="903">
        <v>108</v>
      </c>
      <c r="G1100" s="903">
        <v>81</v>
      </c>
      <c r="H1100" s="903">
        <v>81</v>
      </c>
      <c r="I1100" s="898">
        <f t="shared" si="52"/>
        <v>100</v>
      </c>
    </row>
    <row r="1101" spans="1:9" ht="14.25" x14ac:dyDescent="0.2">
      <c r="A1101" s="435"/>
      <c r="B1101" s="808"/>
      <c r="C1101" s="808"/>
      <c r="D1101" s="578" t="s">
        <v>636</v>
      </c>
      <c r="E1101" s="474" t="s">
        <v>72</v>
      </c>
      <c r="F1101" s="903">
        <v>700</v>
      </c>
      <c r="G1101" s="903">
        <v>700</v>
      </c>
      <c r="H1101" s="903">
        <v>700</v>
      </c>
      <c r="I1101" s="898">
        <f t="shared" si="52"/>
        <v>100</v>
      </c>
    </row>
    <row r="1102" spans="1:9" ht="15" x14ac:dyDescent="0.25">
      <c r="A1102" s="435">
        <v>1128</v>
      </c>
      <c r="B1102" s="808">
        <v>3142</v>
      </c>
      <c r="C1102" s="808">
        <v>5336</v>
      </c>
      <c r="D1102" s="578"/>
      <c r="E1102" s="1564" t="s">
        <v>1357</v>
      </c>
      <c r="F1102" s="903"/>
      <c r="G1102" s="916">
        <v>1388</v>
      </c>
      <c r="H1102" s="916">
        <v>1388</v>
      </c>
      <c r="I1102" s="908">
        <f t="shared" si="52"/>
        <v>100</v>
      </c>
    </row>
    <row r="1103" spans="1:9" ht="14.25" x14ac:dyDescent="0.2">
      <c r="A1103" s="435"/>
      <c r="B1103" s="808"/>
      <c r="C1103" s="1551"/>
      <c r="D1103" s="578" t="s">
        <v>1267</v>
      </c>
      <c r="E1103" s="474" t="s">
        <v>882</v>
      </c>
      <c r="F1103" s="903"/>
      <c r="G1103" s="903">
        <v>1388</v>
      </c>
      <c r="H1103" s="903">
        <v>1388</v>
      </c>
      <c r="I1103" s="898">
        <f t="shared" si="52"/>
        <v>100</v>
      </c>
    </row>
    <row r="1104" spans="1:9" ht="15" x14ac:dyDescent="0.25">
      <c r="A1104" s="435">
        <v>1128</v>
      </c>
      <c r="B1104" s="808">
        <v>3147</v>
      </c>
      <c r="C1104" s="808">
        <v>5331</v>
      </c>
      <c r="D1104" s="929"/>
      <c r="E1104" s="704" t="s">
        <v>1066</v>
      </c>
      <c r="F1104" s="905">
        <f>F1105+F1106</f>
        <v>773</v>
      </c>
      <c r="G1104" s="905">
        <f>G1105+G1106</f>
        <v>823</v>
      </c>
      <c r="H1104" s="905">
        <f>H1105+H1106</f>
        <v>823</v>
      </c>
      <c r="I1104" s="906">
        <f t="shared" si="52"/>
        <v>100</v>
      </c>
    </row>
    <row r="1105" spans="1:20" ht="14.25" x14ac:dyDescent="0.2">
      <c r="A1105" s="435"/>
      <c r="B1105" s="808"/>
      <c r="C1105" s="808"/>
      <c r="D1105" s="743" t="s">
        <v>641</v>
      </c>
      <c r="E1105" s="1679" t="s">
        <v>883</v>
      </c>
      <c r="F1105" s="903">
        <v>73</v>
      </c>
      <c r="G1105" s="903">
        <v>123</v>
      </c>
      <c r="H1105" s="903">
        <v>123</v>
      </c>
      <c r="I1105" s="898">
        <f t="shared" si="52"/>
        <v>100</v>
      </c>
    </row>
    <row r="1106" spans="1:20" ht="14.25" x14ac:dyDescent="0.2">
      <c r="A1106" s="435"/>
      <c r="B1106" s="808"/>
      <c r="C1106" s="808"/>
      <c r="D1106" s="578" t="s">
        <v>636</v>
      </c>
      <c r="E1106" s="474" t="s">
        <v>72</v>
      </c>
      <c r="F1106" s="903">
        <v>700</v>
      </c>
      <c r="G1106" s="903">
        <v>700</v>
      </c>
      <c r="H1106" s="903">
        <v>700</v>
      </c>
      <c r="I1106" s="898">
        <f t="shared" si="52"/>
        <v>100</v>
      </c>
    </row>
    <row r="1107" spans="1:20" ht="15" x14ac:dyDescent="0.25">
      <c r="A1107" s="435">
        <v>1128</v>
      </c>
      <c r="B1107" s="808">
        <v>3147</v>
      </c>
      <c r="C1107" s="808">
        <v>5336</v>
      </c>
      <c r="D1107" s="578"/>
      <c r="E1107" s="1564" t="s">
        <v>1357</v>
      </c>
      <c r="F1107" s="903"/>
      <c r="G1107" s="916">
        <v>3419</v>
      </c>
      <c r="H1107" s="916">
        <v>3419</v>
      </c>
      <c r="I1107" s="908">
        <f t="shared" si="52"/>
        <v>100</v>
      </c>
    </row>
    <row r="1108" spans="1:20" ht="15" thickBot="1" x14ac:dyDescent="0.25">
      <c r="A1108" s="435"/>
      <c r="B1108" s="808"/>
      <c r="C1108" s="1551"/>
      <c r="D1108" s="578" t="s">
        <v>1267</v>
      </c>
      <c r="E1108" s="474" t="s">
        <v>882</v>
      </c>
      <c r="F1108" s="903"/>
      <c r="G1108" s="903">
        <v>3419</v>
      </c>
      <c r="H1108" s="903">
        <v>3419</v>
      </c>
      <c r="I1108" s="898">
        <f t="shared" si="52"/>
        <v>100</v>
      </c>
    </row>
    <row r="1109" spans="1:20" ht="18" customHeight="1" thickTop="1" thickBot="1" x14ac:dyDescent="0.3">
      <c r="A1109" s="2739" t="s">
        <v>1246</v>
      </c>
      <c r="B1109" s="2740"/>
      <c r="C1109" s="2740"/>
      <c r="D1109" s="2740"/>
      <c r="E1109" s="2740"/>
      <c r="F1109" s="894">
        <f>F1080+F1084+F1093+F1097+F1099+F1102+F1104+F1107</f>
        <v>6377</v>
      </c>
      <c r="G1109" s="894">
        <f>G1080+G1084+G1093+G1097+G1099+G1102+G1104+G1107</f>
        <v>36637</v>
      </c>
      <c r="H1109" s="894">
        <f>H1080+H1084+H1093+H1097+H1099+H1102+H1104+H1107</f>
        <v>36637</v>
      </c>
      <c r="I1109" s="895">
        <f t="shared" si="52"/>
        <v>100</v>
      </c>
      <c r="R1109" s="385">
        <f>F1109</f>
        <v>6377</v>
      </c>
      <c r="S1109" s="385">
        <f>G1109</f>
        <v>36637</v>
      </c>
      <c r="T1109" s="385">
        <f>H1109</f>
        <v>36637</v>
      </c>
    </row>
    <row r="1110" spans="1:20" ht="18" customHeight="1" thickTop="1" x14ac:dyDescent="0.2"/>
    <row r="1111" spans="1:20" ht="13.5" thickBot="1" x14ac:dyDescent="0.25">
      <c r="A1111" s="439" t="s">
        <v>445</v>
      </c>
      <c r="I1111" s="1548" t="s">
        <v>179</v>
      </c>
    </row>
    <row r="1112" spans="1:20" s="107" customFormat="1" thickTop="1" thickBot="1" x14ac:dyDescent="0.25">
      <c r="A1112" s="657" t="s">
        <v>692</v>
      </c>
      <c r="B1112" s="835" t="s">
        <v>180</v>
      </c>
      <c r="C1112" s="658" t="s">
        <v>181</v>
      </c>
      <c r="D1112" s="660" t="s">
        <v>783</v>
      </c>
      <c r="E1112" s="660" t="s">
        <v>182</v>
      </c>
      <c r="F1112" s="660" t="s">
        <v>183</v>
      </c>
      <c r="G1112" s="660" t="s">
        <v>985</v>
      </c>
      <c r="H1112" s="660" t="s">
        <v>986</v>
      </c>
      <c r="I1112" s="888" t="s">
        <v>987</v>
      </c>
    </row>
    <row r="1113" spans="1:20" s="386" customFormat="1" ht="13.5" thickTop="1" thickBot="1" x14ac:dyDescent="0.25">
      <c r="A1113" s="592">
        <v>1</v>
      </c>
      <c r="B1113" s="593">
        <v>2</v>
      </c>
      <c r="C1113" s="593">
        <v>3</v>
      </c>
      <c r="D1113" s="593">
        <v>4</v>
      </c>
      <c r="E1113" s="593">
        <v>5</v>
      </c>
      <c r="F1113" s="567">
        <v>6</v>
      </c>
      <c r="G1113" s="567">
        <v>7</v>
      </c>
      <c r="H1113" s="568">
        <v>8</v>
      </c>
      <c r="I1113" s="662" t="s">
        <v>848</v>
      </c>
    </row>
    <row r="1114" spans="1:20" ht="15.75" thickTop="1" x14ac:dyDescent="0.25">
      <c r="A1114" s="1549">
        <v>1129</v>
      </c>
      <c r="B1114" s="836">
        <v>3122</v>
      </c>
      <c r="C1114" s="836">
        <v>5331</v>
      </c>
      <c r="D1114" s="909"/>
      <c r="E1114" s="930" t="s">
        <v>1066</v>
      </c>
      <c r="F1114" s="931">
        <f>F1115+F1116+F1117</f>
        <v>3020</v>
      </c>
      <c r="G1114" s="931">
        <f>G1115+G1116+G1117</f>
        <v>3149</v>
      </c>
      <c r="H1114" s="931">
        <f>H1115+H1116+H1117</f>
        <v>3149</v>
      </c>
      <c r="I1114" s="896">
        <f t="shared" ref="I1114:I1123" si="53">(H1114/G1114)*100</f>
        <v>100</v>
      </c>
    </row>
    <row r="1115" spans="1:20" ht="14.25" x14ac:dyDescent="0.2">
      <c r="A1115" s="435"/>
      <c r="B1115" s="705"/>
      <c r="C1115" s="705"/>
      <c r="D1115" s="743" t="s">
        <v>641</v>
      </c>
      <c r="E1115" s="1679" t="s">
        <v>883</v>
      </c>
      <c r="F1115" s="897">
        <v>403</v>
      </c>
      <c r="G1115" s="897">
        <v>464</v>
      </c>
      <c r="H1115" s="897">
        <v>464</v>
      </c>
      <c r="I1115" s="893">
        <f t="shared" si="53"/>
        <v>100</v>
      </c>
    </row>
    <row r="1116" spans="1:20" ht="14.25" x14ac:dyDescent="0.2">
      <c r="A1116" s="435"/>
      <c r="B1116" s="705"/>
      <c r="C1116" s="705"/>
      <c r="D1116" s="578" t="s">
        <v>636</v>
      </c>
      <c r="E1116" s="474" t="s">
        <v>72</v>
      </c>
      <c r="F1116" s="897">
        <v>2617</v>
      </c>
      <c r="G1116" s="897">
        <v>2617</v>
      </c>
      <c r="H1116" s="897">
        <v>2617</v>
      </c>
      <c r="I1116" s="893">
        <f t="shared" si="53"/>
        <v>100</v>
      </c>
      <c r="J1116" s="384" t="s">
        <v>415</v>
      </c>
    </row>
    <row r="1117" spans="1:20" ht="14.25" customHeight="1" x14ac:dyDescent="0.2">
      <c r="A1117" s="435"/>
      <c r="B1117" s="705"/>
      <c r="C1117" s="705"/>
      <c r="D1117" s="1178" t="s">
        <v>1763</v>
      </c>
      <c r="E1117" s="2593" t="s">
        <v>1913</v>
      </c>
      <c r="F1117" s="897"/>
      <c r="G1117" s="903">
        <v>68</v>
      </c>
      <c r="H1117" s="897">
        <v>68</v>
      </c>
      <c r="I1117" s="893">
        <f t="shared" si="53"/>
        <v>100</v>
      </c>
    </row>
    <row r="1118" spans="1:20" ht="15" x14ac:dyDescent="0.25">
      <c r="A1118" s="435">
        <v>1129</v>
      </c>
      <c r="B1118" s="705">
        <v>3122</v>
      </c>
      <c r="C1118" s="705">
        <v>5336</v>
      </c>
      <c r="D1118" s="2536"/>
      <c r="E1118" s="1564" t="s">
        <v>1357</v>
      </c>
      <c r="F1118" s="897"/>
      <c r="G1118" s="916">
        <f>G1119+G1120+G1121</f>
        <v>13374</v>
      </c>
      <c r="H1118" s="916">
        <f>H1119+H1120+H1121</f>
        <v>13374</v>
      </c>
      <c r="I1118" s="923">
        <f t="shared" si="53"/>
        <v>100</v>
      </c>
    </row>
    <row r="1119" spans="1:20" ht="14.25" x14ac:dyDescent="0.2">
      <c r="A1119" s="435"/>
      <c r="B1119" s="705"/>
      <c r="C1119" s="705"/>
      <c r="D1119" s="578" t="s">
        <v>1267</v>
      </c>
      <c r="E1119" s="474" t="s">
        <v>882</v>
      </c>
      <c r="F1119" s="897"/>
      <c r="G1119" s="903">
        <v>12666</v>
      </c>
      <c r="H1119" s="897">
        <v>12666</v>
      </c>
      <c r="I1119" s="893">
        <f t="shared" si="53"/>
        <v>100</v>
      </c>
    </row>
    <row r="1120" spans="1:20" ht="14.25" x14ac:dyDescent="0.2">
      <c r="A1120" s="435"/>
      <c r="B1120" s="808"/>
      <c r="C1120" s="808"/>
      <c r="D1120" s="1569" t="s">
        <v>1771</v>
      </c>
      <c r="E1120" s="1561" t="s">
        <v>1908</v>
      </c>
      <c r="F1120" s="903"/>
      <c r="G1120" s="903">
        <v>106</v>
      </c>
      <c r="H1120" s="903">
        <v>106</v>
      </c>
      <c r="I1120" s="898">
        <f t="shared" si="53"/>
        <v>100</v>
      </c>
    </row>
    <row r="1121" spans="1:20" ht="14.25" x14ac:dyDescent="0.2">
      <c r="A1121" s="435"/>
      <c r="B1121" s="808"/>
      <c r="C1121" s="808"/>
      <c r="D1121" s="1569" t="s">
        <v>1773</v>
      </c>
      <c r="E1121" s="1561" t="s">
        <v>1908</v>
      </c>
      <c r="F1121" s="903"/>
      <c r="G1121" s="903">
        <v>602</v>
      </c>
      <c r="H1121" s="903">
        <v>602</v>
      </c>
      <c r="I1121" s="898">
        <f t="shared" si="53"/>
        <v>100</v>
      </c>
    </row>
    <row r="1122" spans="1:20" ht="15" x14ac:dyDescent="0.25">
      <c r="A1122" s="435">
        <v>1129</v>
      </c>
      <c r="B1122" s="808">
        <v>3142</v>
      </c>
      <c r="C1122" s="808">
        <v>5336</v>
      </c>
      <c r="D1122" s="929"/>
      <c r="E1122" s="1564" t="s">
        <v>1357</v>
      </c>
      <c r="F1122" s="905"/>
      <c r="G1122" s="905">
        <f>SUM(G1123:G1123)</f>
        <v>141</v>
      </c>
      <c r="H1122" s="905">
        <f>SUM(H1123:H1123)</f>
        <v>141</v>
      </c>
      <c r="I1122" s="906">
        <f t="shared" si="53"/>
        <v>100</v>
      </c>
    </row>
    <row r="1123" spans="1:20" ht="15" thickBot="1" x14ac:dyDescent="0.25">
      <c r="A1123" s="435"/>
      <c r="B1123" s="808"/>
      <c r="C1123" s="1551"/>
      <c r="D1123" s="578" t="s">
        <v>1267</v>
      </c>
      <c r="E1123" s="474" t="s">
        <v>882</v>
      </c>
      <c r="F1123" s="903"/>
      <c r="G1123" s="903">
        <v>141</v>
      </c>
      <c r="H1123" s="903">
        <v>141</v>
      </c>
      <c r="I1123" s="898">
        <f t="shared" si="53"/>
        <v>100</v>
      </c>
    </row>
    <row r="1124" spans="1:20" ht="16.5" thickTop="1" thickBot="1" x14ac:dyDescent="0.3">
      <c r="A1124" s="2739" t="s">
        <v>1246</v>
      </c>
      <c r="B1124" s="2740"/>
      <c r="C1124" s="2740"/>
      <c r="D1124" s="2740"/>
      <c r="E1124" s="2740"/>
      <c r="F1124" s="894">
        <f>F1114</f>
        <v>3020</v>
      </c>
      <c r="G1124" s="894">
        <f>G1114+G1118+G1122</f>
        <v>16664</v>
      </c>
      <c r="H1124" s="894">
        <f>H1114+H1118+H1122</f>
        <v>16664</v>
      </c>
      <c r="I1124" s="895">
        <f>(H1124/G1124)*100</f>
        <v>100</v>
      </c>
      <c r="R1124" s="385">
        <f>F1124</f>
        <v>3020</v>
      </c>
      <c r="S1124" s="385">
        <f>G1124</f>
        <v>16664</v>
      </c>
      <c r="T1124" s="385">
        <f>H1124</f>
        <v>16664</v>
      </c>
    </row>
    <row r="1125" spans="1:20" ht="13.5" thickTop="1" x14ac:dyDescent="0.2"/>
    <row r="1126" spans="1:20" ht="13.5" thickBot="1" x14ac:dyDescent="0.25">
      <c r="A1126" s="439" t="s">
        <v>517</v>
      </c>
      <c r="I1126" s="1548" t="s">
        <v>179</v>
      </c>
    </row>
    <row r="1127" spans="1:20" s="107" customFormat="1" thickTop="1" thickBot="1" x14ac:dyDescent="0.25">
      <c r="A1127" s="657" t="s">
        <v>692</v>
      </c>
      <c r="B1127" s="835" t="s">
        <v>180</v>
      </c>
      <c r="C1127" s="658" t="s">
        <v>181</v>
      </c>
      <c r="D1127" s="660" t="s">
        <v>783</v>
      </c>
      <c r="E1127" s="660" t="s">
        <v>182</v>
      </c>
      <c r="F1127" s="660" t="s">
        <v>183</v>
      </c>
      <c r="G1127" s="660" t="s">
        <v>985</v>
      </c>
      <c r="H1127" s="660" t="s">
        <v>986</v>
      </c>
      <c r="I1127" s="888" t="s">
        <v>987</v>
      </c>
    </row>
    <row r="1128" spans="1:20" s="386" customFormat="1" ht="13.5" thickTop="1" thickBot="1" x14ac:dyDescent="0.25">
      <c r="A1128" s="592">
        <v>1</v>
      </c>
      <c r="B1128" s="593">
        <v>2</v>
      </c>
      <c r="C1128" s="593">
        <v>3</v>
      </c>
      <c r="D1128" s="593">
        <v>4</v>
      </c>
      <c r="E1128" s="593">
        <v>5</v>
      </c>
      <c r="F1128" s="567">
        <v>6</v>
      </c>
      <c r="G1128" s="567">
        <v>7</v>
      </c>
      <c r="H1128" s="568">
        <v>8</v>
      </c>
      <c r="I1128" s="662" t="s">
        <v>848</v>
      </c>
    </row>
    <row r="1129" spans="1:20" ht="15.75" thickTop="1" x14ac:dyDescent="0.25">
      <c r="A1129" s="1549">
        <v>1130</v>
      </c>
      <c r="B1129" s="836">
        <v>3122</v>
      </c>
      <c r="C1129" s="836">
        <v>5331</v>
      </c>
      <c r="D1129" s="909"/>
      <c r="E1129" s="930" t="s">
        <v>1066</v>
      </c>
      <c r="F1129" s="931">
        <f>F1130+F1131</f>
        <v>2616</v>
      </c>
      <c r="G1129" s="931">
        <f>G1130+G1131</f>
        <v>2638</v>
      </c>
      <c r="H1129" s="931">
        <f>H1130+H1131</f>
        <v>2638</v>
      </c>
      <c r="I1129" s="896">
        <f t="shared" ref="I1129:I1139" si="54">(H1129/G1129)*100</f>
        <v>100</v>
      </c>
    </row>
    <row r="1130" spans="1:20" ht="14.25" x14ac:dyDescent="0.2">
      <c r="A1130" s="435"/>
      <c r="B1130" s="705"/>
      <c r="C1130" s="705"/>
      <c r="D1130" s="743" t="s">
        <v>641</v>
      </c>
      <c r="E1130" s="1679" t="s">
        <v>883</v>
      </c>
      <c r="F1130" s="897">
        <v>606</v>
      </c>
      <c r="G1130" s="897">
        <v>628</v>
      </c>
      <c r="H1130" s="897">
        <v>628</v>
      </c>
      <c r="I1130" s="893">
        <f t="shared" si="54"/>
        <v>100</v>
      </c>
    </row>
    <row r="1131" spans="1:20" ht="14.25" x14ac:dyDescent="0.2">
      <c r="A1131" s="435"/>
      <c r="B1131" s="705"/>
      <c r="C1131" s="705"/>
      <c r="D1131" s="578" t="s">
        <v>636</v>
      </c>
      <c r="E1131" s="474" t="s">
        <v>72</v>
      </c>
      <c r="F1131" s="897">
        <v>2010</v>
      </c>
      <c r="G1131" s="897">
        <v>2010</v>
      </c>
      <c r="H1131" s="897">
        <v>2010</v>
      </c>
      <c r="I1131" s="893">
        <f t="shared" si="54"/>
        <v>100</v>
      </c>
    </row>
    <row r="1132" spans="1:20" ht="15" x14ac:dyDescent="0.25">
      <c r="A1132" s="435">
        <v>1130</v>
      </c>
      <c r="B1132" s="705">
        <v>3122</v>
      </c>
      <c r="C1132" s="705">
        <v>5336</v>
      </c>
      <c r="D1132" s="2536"/>
      <c r="E1132" s="1564" t="s">
        <v>1357</v>
      </c>
      <c r="F1132" s="897"/>
      <c r="G1132" s="890">
        <f>G1133+G1134+G1135</f>
        <v>17900</v>
      </c>
      <c r="H1132" s="890">
        <f>H1133+H1134+H1135</f>
        <v>17900</v>
      </c>
      <c r="I1132" s="891">
        <f t="shared" si="54"/>
        <v>100</v>
      </c>
      <c r="J1132" s="439"/>
      <c r="K1132" s="439"/>
      <c r="L1132" s="439"/>
      <c r="M1132" s="439"/>
      <c r="N1132" s="439"/>
      <c r="O1132" s="439"/>
      <c r="P1132" s="439"/>
    </row>
    <row r="1133" spans="1:20" ht="14.25" x14ac:dyDescent="0.2">
      <c r="A1133" s="435"/>
      <c r="B1133" s="705"/>
      <c r="C1133" s="1550"/>
      <c r="D1133" s="578" t="s">
        <v>1267</v>
      </c>
      <c r="E1133" s="474" t="s">
        <v>882</v>
      </c>
      <c r="F1133" s="897"/>
      <c r="G1133" s="897">
        <v>17148</v>
      </c>
      <c r="H1133" s="897">
        <v>17148</v>
      </c>
      <c r="I1133" s="893">
        <f t="shared" si="54"/>
        <v>100</v>
      </c>
    </row>
    <row r="1134" spans="1:20" ht="14.25" x14ac:dyDescent="0.2">
      <c r="A1134" s="435"/>
      <c r="B1134" s="808"/>
      <c r="C1134" s="1551"/>
      <c r="D1134" s="1569" t="s">
        <v>1771</v>
      </c>
      <c r="E1134" s="1561" t="s">
        <v>1908</v>
      </c>
      <c r="F1134" s="903"/>
      <c r="G1134" s="903">
        <v>113</v>
      </c>
      <c r="H1134" s="903">
        <v>113</v>
      </c>
      <c r="I1134" s="898">
        <f t="shared" si="54"/>
        <v>100</v>
      </c>
    </row>
    <row r="1135" spans="1:20" ht="14.25" x14ac:dyDescent="0.2">
      <c r="A1135" s="435"/>
      <c r="B1135" s="808"/>
      <c r="C1135" s="1551"/>
      <c r="D1135" s="1569" t="s">
        <v>1773</v>
      </c>
      <c r="E1135" s="1561" t="s">
        <v>1908</v>
      </c>
      <c r="F1135" s="903"/>
      <c r="G1135" s="903">
        <v>639</v>
      </c>
      <c r="H1135" s="903">
        <v>639</v>
      </c>
      <c r="I1135" s="898">
        <f t="shared" si="54"/>
        <v>100</v>
      </c>
    </row>
    <row r="1136" spans="1:20" ht="15" x14ac:dyDescent="0.25">
      <c r="A1136" s="435">
        <v>1130</v>
      </c>
      <c r="B1136" s="808">
        <v>3142</v>
      </c>
      <c r="C1136" s="808">
        <v>5331</v>
      </c>
      <c r="D1136" s="929"/>
      <c r="E1136" s="704" t="s">
        <v>1066</v>
      </c>
      <c r="F1136" s="905">
        <f>SUM(F1137:F1137)</f>
        <v>290</v>
      </c>
      <c r="G1136" s="905">
        <f>G1137</f>
        <v>290</v>
      </c>
      <c r="H1136" s="905">
        <f>H1137</f>
        <v>290</v>
      </c>
      <c r="I1136" s="906">
        <f t="shared" si="54"/>
        <v>100</v>
      </c>
    </row>
    <row r="1137" spans="1:20" ht="12" customHeight="1" x14ac:dyDescent="0.2">
      <c r="A1137" s="435"/>
      <c r="B1137" s="808"/>
      <c r="C1137" s="808"/>
      <c r="D1137" s="578" t="s">
        <v>636</v>
      </c>
      <c r="E1137" s="474" t="s">
        <v>72</v>
      </c>
      <c r="F1137" s="903">
        <v>290</v>
      </c>
      <c r="G1137" s="903">
        <v>290</v>
      </c>
      <c r="H1137" s="903">
        <v>290</v>
      </c>
      <c r="I1137" s="898">
        <f t="shared" si="54"/>
        <v>100</v>
      </c>
    </row>
    <row r="1138" spans="1:20" ht="15" x14ac:dyDescent="0.25">
      <c r="A1138" s="435">
        <v>1130</v>
      </c>
      <c r="B1138" s="808">
        <v>3792</v>
      </c>
      <c r="C1138" s="808">
        <v>5331</v>
      </c>
      <c r="D1138" s="578"/>
      <c r="E1138" s="704" t="s">
        <v>1066</v>
      </c>
      <c r="F1138" s="903"/>
      <c r="G1138" s="916">
        <v>9</v>
      </c>
      <c r="H1138" s="916">
        <v>9</v>
      </c>
      <c r="I1138" s="908">
        <f t="shared" si="54"/>
        <v>100</v>
      </c>
    </row>
    <row r="1139" spans="1:20" ht="15" thickBot="1" x14ac:dyDescent="0.25">
      <c r="A1139" s="435"/>
      <c r="B1139" s="808"/>
      <c r="C1139" s="808"/>
      <c r="D1139" s="1169" t="s">
        <v>1479</v>
      </c>
      <c r="E1139" s="1275" t="s">
        <v>406</v>
      </c>
      <c r="F1139" s="903"/>
      <c r="G1139" s="903">
        <v>9</v>
      </c>
      <c r="H1139" s="903">
        <v>9</v>
      </c>
      <c r="I1139" s="898">
        <f t="shared" si="54"/>
        <v>100</v>
      </c>
    </row>
    <row r="1140" spans="1:20" ht="16.5" thickTop="1" thickBot="1" x14ac:dyDescent="0.3">
      <c r="A1140" s="2739" t="s">
        <v>1246</v>
      </c>
      <c r="B1140" s="2740"/>
      <c r="C1140" s="2740"/>
      <c r="D1140" s="2740"/>
      <c r="E1140" s="2740"/>
      <c r="F1140" s="894">
        <f>SUM(F1136,F1129)</f>
        <v>2906</v>
      </c>
      <c r="G1140" s="894">
        <f>G1129+G1132+G1136+G1138</f>
        <v>20837</v>
      </c>
      <c r="H1140" s="894">
        <f>H1129+H1132+H1136+H1138</f>
        <v>20837</v>
      </c>
      <c r="I1140" s="895">
        <f>(H1140/G1140)*100</f>
        <v>100</v>
      </c>
      <c r="R1140" s="385">
        <f>F1140</f>
        <v>2906</v>
      </c>
      <c r="S1140" s="385">
        <f>G1140</f>
        <v>20837</v>
      </c>
      <c r="T1140" s="385">
        <f>H1140</f>
        <v>20837</v>
      </c>
    </row>
    <row r="1141" spans="1:20" ht="13.5" thickTop="1" x14ac:dyDescent="0.2"/>
    <row r="1142" spans="1:20" ht="13.5" thickBot="1" x14ac:dyDescent="0.25">
      <c r="A1142" s="439" t="s">
        <v>1356</v>
      </c>
      <c r="I1142" s="1548" t="s">
        <v>179</v>
      </c>
    </row>
    <row r="1143" spans="1:20" s="107" customFormat="1" thickTop="1" thickBot="1" x14ac:dyDescent="0.25">
      <c r="A1143" s="657" t="s">
        <v>692</v>
      </c>
      <c r="B1143" s="835" t="s">
        <v>180</v>
      </c>
      <c r="C1143" s="658" t="s">
        <v>181</v>
      </c>
      <c r="D1143" s="660" t="s">
        <v>783</v>
      </c>
      <c r="E1143" s="660" t="s">
        <v>182</v>
      </c>
      <c r="F1143" s="660" t="s">
        <v>183</v>
      </c>
      <c r="G1143" s="660" t="s">
        <v>985</v>
      </c>
      <c r="H1143" s="660" t="s">
        <v>986</v>
      </c>
      <c r="I1143" s="888" t="s">
        <v>987</v>
      </c>
    </row>
    <row r="1144" spans="1:20" s="386" customFormat="1" ht="13.5" thickTop="1" thickBot="1" x14ac:dyDescent="0.25">
      <c r="A1144" s="592">
        <v>1</v>
      </c>
      <c r="B1144" s="593">
        <v>2</v>
      </c>
      <c r="C1144" s="593">
        <v>3</v>
      </c>
      <c r="D1144" s="593">
        <v>4</v>
      </c>
      <c r="E1144" s="593">
        <v>5</v>
      </c>
      <c r="F1144" s="567">
        <v>6</v>
      </c>
      <c r="G1144" s="567">
        <v>7</v>
      </c>
      <c r="H1144" s="568">
        <v>8</v>
      </c>
      <c r="I1144" s="662" t="s">
        <v>848</v>
      </c>
    </row>
    <row r="1145" spans="1:20" ht="15.75" thickTop="1" x14ac:dyDescent="0.25">
      <c r="A1145" s="1549">
        <v>1131</v>
      </c>
      <c r="B1145" s="836">
        <v>3122</v>
      </c>
      <c r="C1145" s="836">
        <v>5336</v>
      </c>
      <c r="D1145" s="909"/>
      <c r="E1145" s="1564" t="s">
        <v>1357</v>
      </c>
      <c r="F1145" s="931"/>
      <c r="G1145" s="931">
        <v>7037</v>
      </c>
      <c r="H1145" s="931">
        <v>7037</v>
      </c>
      <c r="I1145" s="896">
        <f t="shared" ref="I1145:I1159" si="55">(H1145/G1145)*100</f>
        <v>100</v>
      </c>
    </row>
    <row r="1146" spans="1:20" ht="14.25" x14ac:dyDescent="0.2">
      <c r="A1146" s="435"/>
      <c r="B1146" s="705"/>
      <c r="C1146" s="1550"/>
      <c r="D1146" s="578" t="s">
        <v>1267</v>
      </c>
      <c r="E1146" s="474" t="s">
        <v>882</v>
      </c>
      <c r="F1146" s="897"/>
      <c r="G1146" s="897">
        <v>7037</v>
      </c>
      <c r="H1146" s="897">
        <v>7037</v>
      </c>
      <c r="I1146" s="893">
        <f t="shared" si="55"/>
        <v>100</v>
      </c>
    </row>
    <row r="1147" spans="1:20" ht="15" x14ac:dyDescent="0.25">
      <c r="A1147" s="445">
        <v>1131</v>
      </c>
      <c r="B1147" s="705">
        <v>3123</v>
      </c>
      <c r="C1147" s="808">
        <v>5331</v>
      </c>
      <c r="D1147" s="929"/>
      <c r="E1147" s="704" t="s">
        <v>1066</v>
      </c>
      <c r="F1147" s="905">
        <f>F1148+F1149</f>
        <v>6245</v>
      </c>
      <c r="G1147" s="905">
        <f>G1148+G1149+G1150</f>
        <v>6959</v>
      </c>
      <c r="H1147" s="905">
        <f>H1148+H1149+H1150</f>
        <v>6959</v>
      </c>
      <c r="I1147" s="906">
        <f t="shared" si="55"/>
        <v>100</v>
      </c>
    </row>
    <row r="1148" spans="1:20" ht="14.25" x14ac:dyDescent="0.2">
      <c r="A1148" s="445"/>
      <c r="B1148" s="705"/>
      <c r="C1148" s="808"/>
      <c r="D1148" s="853" t="s">
        <v>641</v>
      </c>
      <c r="E1148" s="1679" t="s">
        <v>883</v>
      </c>
      <c r="F1148" s="903">
        <v>1134</v>
      </c>
      <c r="G1148" s="903">
        <v>1206</v>
      </c>
      <c r="H1148" s="903">
        <v>1206</v>
      </c>
      <c r="I1148" s="898">
        <f t="shared" si="55"/>
        <v>100</v>
      </c>
    </row>
    <row r="1149" spans="1:20" ht="14.25" x14ac:dyDescent="0.2">
      <c r="A1149" s="445"/>
      <c r="B1149" s="705"/>
      <c r="C1149" s="808"/>
      <c r="D1149" s="578" t="s">
        <v>636</v>
      </c>
      <c r="E1149" s="474" t="s">
        <v>72</v>
      </c>
      <c r="F1149" s="903">
        <v>5111</v>
      </c>
      <c r="G1149" s="903">
        <v>5111</v>
      </c>
      <c r="H1149" s="903">
        <v>5111</v>
      </c>
      <c r="I1149" s="898">
        <f t="shared" si="55"/>
        <v>100</v>
      </c>
    </row>
    <row r="1150" spans="1:20" ht="14.25" x14ac:dyDescent="0.2">
      <c r="A1150" s="445"/>
      <c r="B1150" s="705"/>
      <c r="C1150" s="808"/>
      <c r="D1150" s="1169" t="s">
        <v>1268</v>
      </c>
      <c r="E1150" s="1398" t="s">
        <v>1277</v>
      </c>
      <c r="F1150" s="903"/>
      <c r="G1150" s="903">
        <v>642</v>
      </c>
      <c r="H1150" s="903">
        <v>642</v>
      </c>
      <c r="I1150" s="898">
        <f t="shared" si="55"/>
        <v>100</v>
      </c>
    </row>
    <row r="1151" spans="1:20" ht="15" x14ac:dyDescent="0.25">
      <c r="A1151" s="445">
        <v>1131</v>
      </c>
      <c r="B1151" s="705">
        <v>3123</v>
      </c>
      <c r="C1151" s="808">
        <v>5336</v>
      </c>
      <c r="D1151" s="2536"/>
      <c r="E1151" s="1564" t="s">
        <v>1357</v>
      </c>
      <c r="F1151" s="903"/>
      <c r="G1151" s="916">
        <f>G1152+G1153+G1154</f>
        <v>18903</v>
      </c>
      <c r="H1151" s="916">
        <f>H1152+H1153+H1154</f>
        <v>18903</v>
      </c>
      <c r="I1151" s="908">
        <f t="shared" si="55"/>
        <v>100</v>
      </c>
    </row>
    <row r="1152" spans="1:20" ht="14.25" x14ac:dyDescent="0.2">
      <c r="A1152" s="435"/>
      <c r="B1152" s="808"/>
      <c r="C1152" s="1551"/>
      <c r="D1152" s="594" t="s">
        <v>1267</v>
      </c>
      <c r="E1152" s="938" t="s">
        <v>882</v>
      </c>
      <c r="F1152" s="903"/>
      <c r="G1152" s="903">
        <v>17766</v>
      </c>
      <c r="H1152" s="903">
        <v>17766</v>
      </c>
      <c r="I1152" s="898">
        <f t="shared" si="55"/>
        <v>100</v>
      </c>
    </row>
    <row r="1153" spans="1:23" ht="14.25" x14ac:dyDescent="0.2">
      <c r="A1153" s="435"/>
      <c r="B1153" s="808"/>
      <c r="C1153" s="1551"/>
      <c r="D1153" s="1569" t="s">
        <v>1771</v>
      </c>
      <c r="E1153" s="1561" t="s">
        <v>1908</v>
      </c>
      <c r="F1153" s="903"/>
      <c r="G1153" s="903">
        <v>171</v>
      </c>
      <c r="H1153" s="903">
        <v>171</v>
      </c>
      <c r="I1153" s="898">
        <f t="shared" si="55"/>
        <v>100</v>
      </c>
    </row>
    <row r="1154" spans="1:23" ht="14.25" x14ac:dyDescent="0.2">
      <c r="A1154" s="435"/>
      <c r="B1154" s="808"/>
      <c r="C1154" s="1551"/>
      <c r="D1154" s="1569" t="s">
        <v>1773</v>
      </c>
      <c r="E1154" s="1561" t="s">
        <v>1908</v>
      </c>
      <c r="F1154" s="903"/>
      <c r="G1154" s="903">
        <v>966</v>
      </c>
      <c r="H1154" s="903">
        <v>966</v>
      </c>
      <c r="I1154" s="898">
        <f t="shared" si="55"/>
        <v>100</v>
      </c>
    </row>
    <row r="1155" spans="1:23" ht="15" x14ac:dyDescent="0.25">
      <c r="A1155" s="445">
        <v>1131</v>
      </c>
      <c r="B1155" s="705">
        <v>3142</v>
      </c>
      <c r="C1155" s="808">
        <v>5336</v>
      </c>
      <c r="D1155" s="929"/>
      <c r="E1155" s="1564" t="s">
        <v>1357</v>
      </c>
      <c r="F1155" s="905"/>
      <c r="G1155" s="905">
        <v>664</v>
      </c>
      <c r="H1155" s="905">
        <v>664</v>
      </c>
      <c r="I1155" s="906">
        <f t="shared" si="55"/>
        <v>100</v>
      </c>
    </row>
    <row r="1156" spans="1:23" ht="15" thickBot="1" x14ac:dyDescent="0.25">
      <c r="A1156" s="445"/>
      <c r="B1156" s="705"/>
      <c r="C1156" s="1551"/>
      <c r="D1156" s="578" t="s">
        <v>1267</v>
      </c>
      <c r="E1156" s="474" t="s">
        <v>882</v>
      </c>
      <c r="F1156" s="903"/>
      <c r="G1156" s="903">
        <v>664</v>
      </c>
      <c r="H1156" s="903">
        <v>664</v>
      </c>
      <c r="I1156" s="898">
        <f t="shared" si="55"/>
        <v>100</v>
      </c>
    </row>
    <row r="1157" spans="1:23" ht="16.5" thickTop="1" thickBot="1" x14ac:dyDescent="0.3">
      <c r="A1157" s="2739" t="s">
        <v>1246</v>
      </c>
      <c r="B1157" s="2740"/>
      <c r="C1157" s="2740"/>
      <c r="D1157" s="2740"/>
      <c r="E1157" s="2740"/>
      <c r="F1157" s="894">
        <f>F1147</f>
        <v>6245</v>
      </c>
      <c r="G1157" s="894">
        <f>G1145+G1147+G1151+G1155</f>
        <v>33563</v>
      </c>
      <c r="H1157" s="894">
        <f>H1145+H1147+H1151+H1155</f>
        <v>33563</v>
      </c>
      <c r="I1157" s="895">
        <f t="shared" si="55"/>
        <v>100</v>
      </c>
      <c r="R1157" s="385">
        <f>F1157</f>
        <v>6245</v>
      </c>
      <c r="S1157" s="385">
        <f>G1157</f>
        <v>33563</v>
      </c>
      <c r="T1157" s="385">
        <f>H1157</f>
        <v>33563</v>
      </c>
    </row>
    <row r="1158" spans="1:23" ht="15.75" thickTop="1" x14ac:dyDescent="0.25">
      <c r="A1158" s="445">
        <v>1131</v>
      </c>
      <c r="B1158" s="705">
        <v>3123</v>
      </c>
      <c r="C1158" s="808">
        <v>6351</v>
      </c>
      <c r="D1158" s="929"/>
      <c r="E1158" s="704" t="s">
        <v>1317</v>
      </c>
      <c r="F1158" s="905"/>
      <c r="G1158" s="905">
        <v>307</v>
      </c>
      <c r="H1158" s="905">
        <v>307</v>
      </c>
      <c r="I1158" s="906">
        <f t="shared" si="55"/>
        <v>100</v>
      </c>
      <c r="R1158" s="385"/>
      <c r="S1158" s="385"/>
      <c r="T1158" s="385"/>
    </row>
    <row r="1159" spans="1:23" ht="15" thickBot="1" x14ac:dyDescent="0.25">
      <c r="A1159" s="1703"/>
      <c r="B1159" s="706"/>
      <c r="C1159" s="1553"/>
      <c r="D1159" s="1509" t="s">
        <v>1268</v>
      </c>
      <c r="E1159" s="2607" t="s">
        <v>1277</v>
      </c>
      <c r="F1159" s="963"/>
      <c r="G1159" s="963">
        <v>307</v>
      </c>
      <c r="H1159" s="963">
        <v>307</v>
      </c>
      <c r="I1159" s="942">
        <f t="shared" si="55"/>
        <v>100</v>
      </c>
      <c r="R1159" s="385"/>
      <c r="S1159" s="385"/>
      <c r="T1159" s="385"/>
    </row>
    <row r="1160" spans="1:23" ht="16.5" thickTop="1" thickBot="1" x14ac:dyDescent="0.3">
      <c r="A1160" s="2739" t="s">
        <v>1247</v>
      </c>
      <c r="B1160" s="2740"/>
      <c r="C1160" s="2740"/>
      <c r="D1160" s="2740"/>
      <c r="E1160" s="2740"/>
      <c r="F1160" s="894">
        <v>0</v>
      </c>
      <c r="G1160" s="894">
        <f>G1158</f>
        <v>307</v>
      </c>
      <c r="H1160" s="894">
        <f>SUM(H1158)</f>
        <v>307</v>
      </c>
      <c r="I1160" s="895">
        <f>(H1160/G1160)*100</f>
        <v>100</v>
      </c>
      <c r="U1160" s="385">
        <f>F1160</f>
        <v>0</v>
      </c>
      <c r="V1160" s="385">
        <f>G1160</f>
        <v>307</v>
      </c>
      <c r="W1160" s="385">
        <f>H1160</f>
        <v>307</v>
      </c>
    </row>
    <row r="1161" spans="1:23" ht="15.75" thickTop="1" x14ac:dyDescent="0.25">
      <c r="A1161" s="370"/>
      <c r="B1161" s="370"/>
      <c r="C1161" s="370"/>
      <c r="D1161" s="370"/>
      <c r="E1161" s="370"/>
      <c r="F1161" s="181"/>
      <c r="G1161" s="181"/>
      <c r="H1161" s="181"/>
      <c r="I1161" s="210"/>
      <c r="J1161" s="385"/>
      <c r="K1161" s="385"/>
      <c r="L1161" s="385"/>
      <c r="U1161" s="385"/>
      <c r="V1161" s="385"/>
      <c r="W1161" s="385"/>
    </row>
    <row r="1162" spans="1:23" ht="15.75" customHeight="1" thickBot="1" x14ac:dyDescent="0.25">
      <c r="A1162" s="439" t="s">
        <v>52</v>
      </c>
      <c r="I1162" s="1548" t="s">
        <v>179</v>
      </c>
    </row>
    <row r="1163" spans="1:23" s="107" customFormat="1" ht="15.75" customHeight="1" thickTop="1" thickBot="1" x14ac:dyDescent="0.25">
      <c r="A1163" s="657" t="s">
        <v>692</v>
      </c>
      <c r="B1163" s="835" t="s">
        <v>180</v>
      </c>
      <c r="C1163" s="658" t="s">
        <v>181</v>
      </c>
      <c r="D1163" s="660" t="s">
        <v>783</v>
      </c>
      <c r="E1163" s="660" t="s">
        <v>182</v>
      </c>
      <c r="F1163" s="660" t="s">
        <v>183</v>
      </c>
      <c r="G1163" s="660" t="s">
        <v>985</v>
      </c>
      <c r="H1163" s="660" t="s">
        <v>986</v>
      </c>
      <c r="I1163" s="888" t="s">
        <v>987</v>
      </c>
    </row>
    <row r="1164" spans="1:23" s="386" customFormat="1" ht="14.25" customHeight="1" thickTop="1" thickBot="1" x14ac:dyDescent="0.25">
      <c r="A1164" s="592">
        <v>1</v>
      </c>
      <c r="B1164" s="593">
        <v>2</v>
      </c>
      <c r="C1164" s="593">
        <v>3</v>
      </c>
      <c r="D1164" s="593">
        <v>4</v>
      </c>
      <c r="E1164" s="593">
        <v>5</v>
      </c>
      <c r="F1164" s="567">
        <v>6</v>
      </c>
      <c r="G1164" s="567">
        <v>7</v>
      </c>
      <c r="H1164" s="568">
        <v>8</v>
      </c>
      <c r="I1164" s="662" t="s">
        <v>848</v>
      </c>
    </row>
    <row r="1165" spans="1:23" ht="15.75" thickTop="1" x14ac:dyDescent="0.25">
      <c r="A1165" s="435">
        <v>1132</v>
      </c>
      <c r="B1165" s="705">
        <v>3122</v>
      </c>
      <c r="C1165" s="705">
        <v>5331</v>
      </c>
      <c r="D1165" s="889"/>
      <c r="E1165" s="854" t="s">
        <v>1066</v>
      </c>
      <c r="F1165" s="890">
        <f>F1166+F1167</f>
        <v>3330</v>
      </c>
      <c r="G1165" s="890">
        <f>G1166+G1167+G1168+G1170</f>
        <v>3501</v>
      </c>
      <c r="H1165" s="890">
        <f>H1166+H1167+H1168+H1170</f>
        <v>3501</v>
      </c>
      <c r="I1165" s="891">
        <v>100</v>
      </c>
    </row>
    <row r="1166" spans="1:23" ht="17.25" customHeight="1" x14ac:dyDescent="0.2">
      <c r="A1166" s="435"/>
      <c r="B1166" s="705"/>
      <c r="C1166" s="705"/>
      <c r="D1166" s="743" t="s">
        <v>641</v>
      </c>
      <c r="E1166" s="1679" t="s">
        <v>883</v>
      </c>
      <c r="F1166" s="897">
        <v>378</v>
      </c>
      <c r="G1166" s="897">
        <v>407</v>
      </c>
      <c r="H1166" s="897">
        <v>407</v>
      </c>
      <c r="I1166" s="893">
        <f t="shared" ref="I1166:I1184" si="56">(H1166/G1166)*100</f>
        <v>100</v>
      </c>
    </row>
    <row r="1167" spans="1:23" ht="14.25" x14ac:dyDescent="0.2">
      <c r="A1167" s="435"/>
      <c r="B1167" s="705"/>
      <c r="C1167" s="705"/>
      <c r="D1167" s="578" t="s">
        <v>636</v>
      </c>
      <c r="E1167" s="474" t="s">
        <v>72</v>
      </c>
      <c r="F1167" s="897">
        <v>2952</v>
      </c>
      <c r="G1167" s="897">
        <v>2952</v>
      </c>
      <c r="H1167" s="897">
        <v>2952</v>
      </c>
      <c r="I1167" s="893">
        <f t="shared" si="56"/>
        <v>100</v>
      </c>
    </row>
    <row r="1168" spans="1:23" ht="14.25" x14ac:dyDescent="0.2">
      <c r="A1168" s="435"/>
      <c r="B1168" s="808"/>
      <c r="C1168" s="808"/>
      <c r="D1168" s="2708" t="s">
        <v>1641</v>
      </c>
      <c r="E1168" s="2741" t="s">
        <v>1667</v>
      </c>
      <c r="F1168" s="903"/>
      <c r="G1168" s="903">
        <v>53</v>
      </c>
      <c r="H1168" s="903">
        <v>53</v>
      </c>
      <c r="I1168" s="893">
        <f t="shared" si="56"/>
        <v>100</v>
      </c>
    </row>
    <row r="1169" spans="1:9" ht="14.25" x14ac:dyDescent="0.2">
      <c r="A1169" s="435"/>
      <c r="B1169" s="808"/>
      <c r="C1169" s="808"/>
      <c r="D1169" s="2734"/>
      <c r="E1169" s="2742"/>
      <c r="F1169" s="903"/>
      <c r="G1169" s="903"/>
      <c r="H1169" s="903"/>
      <c r="I1169" s="893"/>
    </row>
    <row r="1170" spans="1:9" ht="14.25" x14ac:dyDescent="0.2">
      <c r="A1170" s="435"/>
      <c r="B1170" s="808"/>
      <c r="C1170" s="808"/>
      <c r="D1170" s="2734"/>
      <c r="E1170" s="2742"/>
      <c r="F1170" s="903"/>
      <c r="G1170" s="903">
        <v>89</v>
      </c>
      <c r="H1170" s="903">
        <v>89</v>
      </c>
      <c r="I1170" s="893">
        <f t="shared" si="56"/>
        <v>100</v>
      </c>
    </row>
    <row r="1171" spans="1:9" ht="14.25" x14ac:dyDescent="0.2">
      <c r="A1171" s="435"/>
      <c r="B1171" s="808"/>
      <c r="C1171" s="808"/>
      <c r="D1171" s="1178" t="s">
        <v>1763</v>
      </c>
      <c r="E1171" s="2593" t="s">
        <v>1913</v>
      </c>
      <c r="F1171" s="903"/>
      <c r="G1171" s="903"/>
      <c r="H1171" s="903"/>
      <c r="I1171" s="893"/>
    </row>
    <row r="1172" spans="1:9" ht="15" x14ac:dyDescent="0.25">
      <c r="A1172" s="435">
        <v>1132</v>
      </c>
      <c r="B1172" s="808">
        <v>3122</v>
      </c>
      <c r="C1172" s="808">
        <v>5336</v>
      </c>
      <c r="D1172" s="2533"/>
      <c r="E1172" s="1564" t="s">
        <v>1357</v>
      </c>
      <c r="F1172" s="903"/>
      <c r="G1172" s="916">
        <f>G1173+G1174+G1175+G1176</f>
        <v>18285</v>
      </c>
      <c r="H1172" s="916">
        <f>H1173+H1174+H1175+H1176</f>
        <v>18285</v>
      </c>
      <c r="I1172" s="923">
        <f t="shared" si="56"/>
        <v>100</v>
      </c>
    </row>
    <row r="1173" spans="1:9" ht="14.25" x14ac:dyDescent="0.2">
      <c r="A1173" s="435"/>
      <c r="B1173" s="808"/>
      <c r="C1173" s="808"/>
      <c r="D1173" s="578" t="s">
        <v>1267</v>
      </c>
      <c r="E1173" s="474" t="s">
        <v>882</v>
      </c>
      <c r="F1173" s="903"/>
      <c r="G1173" s="903">
        <v>17536</v>
      </c>
      <c r="H1173" s="903">
        <v>17536</v>
      </c>
      <c r="I1173" s="893">
        <f t="shared" si="56"/>
        <v>100</v>
      </c>
    </row>
    <row r="1174" spans="1:9" ht="14.25" x14ac:dyDescent="0.2">
      <c r="A1174" s="435"/>
      <c r="B1174" s="808"/>
      <c r="C1174" s="808"/>
      <c r="D1174" s="1179" t="s">
        <v>1720</v>
      </c>
      <c r="E1174" s="2585" t="s">
        <v>1743</v>
      </c>
      <c r="F1174" s="903"/>
      <c r="G1174" s="903">
        <v>65</v>
      </c>
      <c r="H1174" s="903">
        <v>65</v>
      </c>
      <c r="I1174" s="893">
        <f t="shared" si="56"/>
        <v>100</v>
      </c>
    </row>
    <row r="1175" spans="1:9" ht="14.25" x14ac:dyDescent="0.2">
      <c r="A1175" s="435"/>
      <c r="B1175" s="808"/>
      <c r="C1175" s="808"/>
      <c r="D1175" s="1569" t="s">
        <v>1771</v>
      </c>
      <c r="E1175" s="1561" t="s">
        <v>1908</v>
      </c>
      <c r="F1175" s="903"/>
      <c r="G1175" s="903">
        <v>103</v>
      </c>
      <c r="H1175" s="903">
        <v>103</v>
      </c>
      <c r="I1175" s="893">
        <f t="shared" si="56"/>
        <v>100</v>
      </c>
    </row>
    <row r="1176" spans="1:9" ht="14.25" x14ac:dyDescent="0.2">
      <c r="A1176" s="435"/>
      <c r="B1176" s="808"/>
      <c r="C1176" s="808"/>
      <c r="D1176" s="1569" t="s">
        <v>1773</v>
      </c>
      <c r="E1176" s="1561" t="s">
        <v>1908</v>
      </c>
      <c r="F1176" s="903"/>
      <c r="G1176" s="903">
        <v>581</v>
      </c>
      <c r="H1176" s="903">
        <v>581</v>
      </c>
      <c r="I1176" s="893">
        <f t="shared" si="56"/>
        <v>100</v>
      </c>
    </row>
    <row r="1177" spans="1:9" ht="15" x14ac:dyDescent="0.25">
      <c r="A1177" s="435">
        <v>1132</v>
      </c>
      <c r="B1177" s="808">
        <v>3125</v>
      </c>
      <c r="C1177" s="808">
        <v>5331</v>
      </c>
      <c r="D1177" s="929"/>
      <c r="E1177" s="704" t="s">
        <v>1066</v>
      </c>
      <c r="F1177" s="916">
        <f>F1178+F1179</f>
        <v>297</v>
      </c>
      <c r="G1177" s="916">
        <f>G1178+G1179</f>
        <v>264</v>
      </c>
      <c r="H1177" s="916">
        <f>H1178+H1179</f>
        <v>264</v>
      </c>
      <c r="I1177" s="923">
        <f t="shared" si="56"/>
        <v>100</v>
      </c>
    </row>
    <row r="1178" spans="1:9" ht="14.25" x14ac:dyDescent="0.2">
      <c r="A1178" s="435"/>
      <c r="B1178" s="808"/>
      <c r="C1178" s="808"/>
      <c r="D1178" s="853" t="s">
        <v>641</v>
      </c>
      <c r="E1178" s="1679" t="s">
        <v>883</v>
      </c>
      <c r="F1178" s="903">
        <v>147</v>
      </c>
      <c r="G1178" s="903">
        <v>114</v>
      </c>
      <c r="H1178" s="903">
        <v>114</v>
      </c>
      <c r="I1178" s="893">
        <f t="shared" si="56"/>
        <v>100</v>
      </c>
    </row>
    <row r="1179" spans="1:9" ht="14.25" x14ac:dyDescent="0.2">
      <c r="A1179" s="435"/>
      <c r="B1179" s="808"/>
      <c r="C1179" s="808"/>
      <c r="D1179" s="578" t="s">
        <v>636</v>
      </c>
      <c r="E1179" s="474" t="s">
        <v>72</v>
      </c>
      <c r="F1179" s="903">
        <v>150</v>
      </c>
      <c r="G1179" s="903">
        <v>150</v>
      </c>
      <c r="H1179" s="903">
        <v>150</v>
      </c>
      <c r="I1179" s="893">
        <f t="shared" si="56"/>
        <v>100</v>
      </c>
    </row>
    <row r="1180" spans="1:9" ht="15" x14ac:dyDescent="0.25">
      <c r="A1180" s="435">
        <v>1132</v>
      </c>
      <c r="B1180" s="808">
        <v>3142</v>
      </c>
      <c r="C1180" s="808">
        <v>5331</v>
      </c>
      <c r="D1180" s="929"/>
      <c r="E1180" s="704" t="s">
        <v>1066</v>
      </c>
      <c r="F1180" s="905">
        <f>F1181+F1182</f>
        <v>1059</v>
      </c>
      <c r="G1180" s="905">
        <f>G1181+G1182</f>
        <v>1059</v>
      </c>
      <c r="H1180" s="905">
        <f>H1181+H1182</f>
        <v>1059</v>
      </c>
      <c r="I1180" s="906">
        <f t="shared" si="56"/>
        <v>100</v>
      </c>
    </row>
    <row r="1181" spans="1:9" ht="14.25" x14ac:dyDescent="0.2">
      <c r="A1181" s="435"/>
      <c r="B1181" s="808"/>
      <c r="C1181" s="808"/>
      <c r="D1181" s="743" t="s">
        <v>641</v>
      </c>
      <c r="E1181" s="1679" t="s">
        <v>883</v>
      </c>
      <c r="F1181" s="903">
        <v>379</v>
      </c>
      <c r="G1181" s="903">
        <v>379</v>
      </c>
      <c r="H1181" s="903">
        <v>379</v>
      </c>
      <c r="I1181" s="898">
        <f t="shared" si="56"/>
        <v>100</v>
      </c>
    </row>
    <row r="1182" spans="1:9" ht="14.25" x14ac:dyDescent="0.2">
      <c r="A1182" s="435"/>
      <c r="B1182" s="808"/>
      <c r="C1182" s="808"/>
      <c r="D1182" s="578" t="s">
        <v>636</v>
      </c>
      <c r="E1182" s="474" t="s">
        <v>72</v>
      </c>
      <c r="F1182" s="903">
        <v>680</v>
      </c>
      <c r="G1182" s="903">
        <v>680</v>
      </c>
      <c r="H1182" s="903">
        <v>680</v>
      </c>
      <c r="I1182" s="898">
        <f t="shared" si="56"/>
        <v>100</v>
      </c>
    </row>
    <row r="1183" spans="1:9" ht="15" x14ac:dyDescent="0.25">
      <c r="A1183" s="435">
        <v>1132</v>
      </c>
      <c r="B1183" s="808">
        <v>3142</v>
      </c>
      <c r="C1183" s="808">
        <v>5336</v>
      </c>
      <c r="D1183" s="578"/>
      <c r="E1183" s="1564" t="s">
        <v>1357</v>
      </c>
      <c r="F1183" s="903"/>
      <c r="G1183" s="916">
        <v>1850</v>
      </c>
      <c r="H1183" s="916">
        <v>1850</v>
      </c>
      <c r="I1183" s="908">
        <f t="shared" si="56"/>
        <v>100</v>
      </c>
    </row>
    <row r="1184" spans="1:9" ht="20.25" customHeight="1" x14ac:dyDescent="0.2">
      <c r="A1184" s="435"/>
      <c r="B1184" s="808"/>
      <c r="C1184" s="1551"/>
      <c r="D1184" s="578" t="s">
        <v>1267</v>
      </c>
      <c r="E1184" s="474" t="s">
        <v>882</v>
      </c>
      <c r="F1184" s="903"/>
      <c r="G1184" s="903">
        <v>1850</v>
      </c>
      <c r="H1184" s="903">
        <v>1850</v>
      </c>
      <c r="I1184" s="898">
        <f t="shared" si="56"/>
        <v>100</v>
      </c>
    </row>
    <row r="1185" spans="1:20" ht="15" x14ac:dyDescent="0.25">
      <c r="A1185" s="435">
        <v>1132</v>
      </c>
      <c r="B1185" s="808">
        <v>3147</v>
      </c>
      <c r="C1185" s="1551">
        <v>5331</v>
      </c>
      <c r="D1185" s="912"/>
      <c r="E1185" s="704" t="s">
        <v>1066</v>
      </c>
      <c r="F1185" s="905">
        <f>F1186+F1187</f>
        <v>671</v>
      </c>
      <c r="G1185" s="905">
        <f>G1186+G1187</f>
        <v>674</v>
      </c>
      <c r="H1185" s="905">
        <f>H1186+H1187</f>
        <v>674</v>
      </c>
      <c r="I1185" s="906">
        <v>100</v>
      </c>
    </row>
    <row r="1186" spans="1:20" ht="14.25" x14ac:dyDescent="0.2">
      <c r="A1186" s="435"/>
      <c r="B1186" s="808"/>
      <c r="C1186" s="1551"/>
      <c r="D1186" s="743" t="s">
        <v>641</v>
      </c>
      <c r="E1186" s="1679" t="s">
        <v>883</v>
      </c>
      <c r="F1186" s="903">
        <v>221</v>
      </c>
      <c r="G1186" s="903">
        <v>224</v>
      </c>
      <c r="H1186" s="903">
        <v>224</v>
      </c>
      <c r="I1186" s="898">
        <v>100</v>
      </c>
    </row>
    <row r="1187" spans="1:20" ht="14.25" x14ac:dyDescent="0.2">
      <c r="A1187" s="435"/>
      <c r="B1187" s="808"/>
      <c r="C1187" s="1551"/>
      <c r="D1187" s="578" t="s">
        <v>636</v>
      </c>
      <c r="E1187" s="474" t="s">
        <v>72</v>
      </c>
      <c r="F1187" s="903">
        <v>450</v>
      </c>
      <c r="G1187" s="903">
        <v>450</v>
      </c>
      <c r="H1187" s="903">
        <v>450</v>
      </c>
      <c r="I1187" s="898">
        <v>100</v>
      </c>
    </row>
    <row r="1188" spans="1:20" ht="15" x14ac:dyDescent="0.25">
      <c r="A1188" s="435">
        <v>1132</v>
      </c>
      <c r="B1188" s="808">
        <v>3147</v>
      </c>
      <c r="C1188" s="1551">
        <v>5336</v>
      </c>
      <c r="D1188" s="578"/>
      <c r="E1188" s="1564" t="s">
        <v>1357</v>
      </c>
      <c r="F1188" s="903"/>
      <c r="G1188" s="916">
        <v>5504</v>
      </c>
      <c r="H1188" s="916">
        <v>5504</v>
      </c>
      <c r="I1188" s="908">
        <v>100</v>
      </c>
    </row>
    <row r="1189" spans="1:20" ht="18" customHeight="1" x14ac:dyDescent="0.2">
      <c r="A1189" s="435"/>
      <c r="B1189" s="808"/>
      <c r="C1189" s="1551"/>
      <c r="D1189" s="578" t="s">
        <v>1267</v>
      </c>
      <c r="E1189" s="474" t="s">
        <v>882</v>
      </c>
      <c r="F1189" s="903"/>
      <c r="G1189" s="903">
        <v>5504</v>
      </c>
      <c r="H1189" s="903">
        <v>5504</v>
      </c>
      <c r="I1189" s="898">
        <v>100</v>
      </c>
    </row>
    <row r="1190" spans="1:20" ht="15" x14ac:dyDescent="0.25">
      <c r="A1190" s="435">
        <v>1132</v>
      </c>
      <c r="B1190" s="705">
        <v>3792</v>
      </c>
      <c r="C1190" s="1550">
        <v>5331</v>
      </c>
      <c r="D1190" s="594"/>
      <c r="E1190" s="704" t="s">
        <v>1066</v>
      </c>
      <c r="F1190" s="890"/>
      <c r="G1190" s="890">
        <v>31</v>
      </c>
      <c r="H1190" s="890">
        <v>31</v>
      </c>
      <c r="I1190" s="891">
        <v>100</v>
      </c>
    </row>
    <row r="1191" spans="1:20" ht="15.75" thickBot="1" x14ac:dyDescent="0.3">
      <c r="A1191" s="435"/>
      <c r="B1191" s="705"/>
      <c r="C1191" s="1550"/>
      <c r="D1191" s="594" t="s">
        <v>1479</v>
      </c>
      <c r="E1191" s="479" t="s">
        <v>1259</v>
      </c>
      <c r="F1191" s="890"/>
      <c r="G1191" s="357">
        <v>31</v>
      </c>
      <c r="H1191" s="357">
        <v>31</v>
      </c>
      <c r="I1191" s="898">
        <v>100</v>
      </c>
    </row>
    <row r="1192" spans="1:20" ht="18" customHeight="1" thickTop="1" thickBot="1" x14ac:dyDescent="0.3">
      <c r="A1192" s="2739" t="s">
        <v>1246</v>
      </c>
      <c r="B1192" s="2740"/>
      <c r="C1192" s="2740"/>
      <c r="D1192" s="2740"/>
      <c r="E1192" s="2740"/>
      <c r="F1192" s="894">
        <f>F1165+F1172+F1177+F1180+F1183+F1185+F1188+F1190</f>
        <v>5357</v>
      </c>
      <c r="G1192" s="894">
        <f>G1165+G1172+G1177+G1180+G1183+G1185+G1188+G1190</f>
        <v>31168</v>
      </c>
      <c r="H1192" s="894">
        <f>H1165+H1172+H1177+H1180+H1183+H1185+H1188+H1190</f>
        <v>31168</v>
      </c>
      <c r="I1192" s="895">
        <f>(H1192/G1192)*100</f>
        <v>100</v>
      </c>
      <c r="R1192" s="385">
        <f>F1192</f>
        <v>5357</v>
      </c>
      <c r="S1192" s="385">
        <f>G1192</f>
        <v>31168</v>
      </c>
      <c r="T1192" s="385">
        <f>H1192</f>
        <v>31168</v>
      </c>
    </row>
    <row r="1193" spans="1:20" ht="13.5" thickTop="1" x14ac:dyDescent="0.2">
      <c r="A1193" s="1555"/>
      <c r="B1193" s="803"/>
      <c r="C1193" s="1555"/>
      <c r="D1193" s="972"/>
      <c r="E1193" s="1555"/>
    </row>
    <row r="1194" spans="1:20" ht="20.25" customHeight="1" thickBot="1" x14ac:dyDescent="0.25">
      <c r="A1194" s="439" t="s">
        <v>240</v>
      </c>
      <c r="I1194" s="1548" t="s">
        <v>179</v>
      </c>
    </row>
    <row r="1195" spans="1:20" s="107" customFormat="1" thickTop="1" thickBot="1" x14ac:dyDescent="0.25">
      <c r="A1195" s="657" t="s">
        <v>692</v>
      </c>
      <c r="B1195" s="835" t="s">
        <v>180</v>
      </c>
      <c r="C1195" s="658" t="s">
        <v>181</v>
      </c>
      <c r="D1195" s="660" t="s">
        <v>783</v>
      </c>
      <c r="E1195" s="660" t="s">
        <v>182</v>
      </c>
      <c r="F1195" s="660" t="s">
        <v>183</v>
      </c>
      <c r="G1195" s="660" t="s">
        <v>985</v>
      </c>
      <c r="H1195" s="660" t="s">
        <v>986</v>
      </c>
      <c r="I1195" s="888" t="s">
        <v>987</v>
      </c>
    </row>
    <row r="1196" spans="1:20" s="386" customFormat="1" ht="13.5" thickTop="1" thickBot="1" x14ac:dyDescent="0.25">
      <c r="A1196" s="592">
        <v>1</v>
      </c>
      <c r="B1196" s="593">
        <v>2</v>
      </c>
      <c r="C1196" s="593">
        <v>3</v>
      </c>
      <c r="D1196" s="593">
        <v>4</v>
      </c>
      <c r="E1196" s="593">
        <v>5</v>
      </c>
      <c r="F1196" s="567">
        <v>6</v>
      </c>
      <c r="G1196" s="567">
        <v>7</v>
      </c>
      <c r="H1196" s="568">
        <v>8</v>
      </c>
      <c r="I1196" s="662" t="s">
        <v>848</v>
      </c>
    </row>
    <row r="1197" spans="1:20" ht="15.75" thickTop="1" x14ac:dyDescent="0.25">
      <c r="A1197" s="1549">
        <v>1133</v>
      </c>
      <c r="B1197" s="836">
        <v>3121</v>
      </c>
      <c r="C1197" s="836">
        <v>5331</v>
      </c>
      <c r="D1197" s="909"/>
      <c r="E1197" s="930" t="s">
        <v>1066</v>
      </c>
      <c r="F1197" s="931">
        <f>F1198+F1199+F1200</f>
        <v>2262</v>
      </c>
      <c r="G1197" s="931">
        <f>G1198+G1199+G1200</f>
        <v>2265</v>
      </c>
      <c r="H1197" s="931">
        <f>H1198+H1199+H1200</f>
        <v>2265</v>
      </c>
      <c r="I1197" s="896">
        <f t="shared" ref="I1197:I1227" si="57">(H1197/G1197)*100</f>
        <v>100</v>
      </c>
    </row>
    <row r="1198" spans="1:20" ht="14.25" x14ac:dyDescent="0.2">
      <c r="A1198" s="435"/>
      <c r="B1198" s="705"/>
      <c r="C1198" s="705"/>
      <c r="D1198" s="743" t="s">
        <v>641</v>
      </c>
      <c r="E1198" s="1679" t="s">
        <v>883</v>
      </c>
      <c r="F1198" s="897">
        <v>172</v>
      </c>
      <c r="G1198" s="897">
        <v>172</v>
      </c>
      <c r="H1198" s="897">
        <v>172</v>
      </c>
      <c r="I1198" s="893">
        <f t="shared" si="57"/>
        <v>100</v>
      </c>
    </row>
    <row r="1199" spans="1:20" ht="14.25" x14ac:dyDescent="0.2">
      <c r="A1199" s="435"/>
      <c r="B1199" s="705"/>
      <c r="C1199" s="705"/>
      <c r="D1199" s="578" t="s">
        <v>636</v>
      </c>
      <c r="E1199" s="474" t="s">
        <v>72</v>
      </c>
      <c r="F1199" s="897">
        <v>2090</v>
      </c>
      <c r="G1199" s="897">
        <v>2090</v>
      </c>
      <c r="H1199" s="897">
        <v>2090</v>
      </c>
      <c r="I1199" s="893">
        <f t="shared" si="57"/>
        <v>100</v>
      </c>
    </row>
    <row r="1200" spans="1:20" ht="14.25" x14ac:dyDescent="0.2">
      <c r="A1200" s="435"/>
      <c r="B1200" s="705"/>
      <c r="C1200" s="705"/>
      <c r="D1200" s="1178" t="s">
        <v>1763</v>
      </c>
      <c r="E1200" s="2593" t="s">
        <v>1913</v>
      </c>
      <c r="F1200" s="897"/>
      <c r="G1200" s="897">
        <v>3</v>
      </c>
      <c r="H1200" s="897">
        <v>3</v>
      </c>
      <c r="I1200" s="893">
        <f t="shared" si="57"/>
        <v>100</v>
      </c>
    </row>
    <row r="1201" spans="1:9" ht="14.25" customHeight="1" x14ac:dyDescent="0.25">
      <c r="A1201" s="435">
        <v>1133</v>
      </c>
      <c r="B1201" s="705">
        <v>3121</v>
      </c>
      <c r="C1201" s="705">
        <v>5336</v>
      </c>
      <c r="D1201" s="578"/>
      <c r="E1201" s="1564" t="s">
        <v>1357</v>
      </c>
      <c r="F1201" s="897"/>
      <c r="G1201" s="921">
        <v>15809</v>
      </c>
      <c r="H1201" s="921">
        <v>15809</v>
      </c>
      <c r="I1201" s="923">
        <f t="shared" si="57"/>
        <v>100</v>
      </c>
    </row>
    <row r="1202" spans="1:9" ht="14.25" x14ac:dyDescent="0.2">
      <c r="A1202" s="435"/>
      <c r="B1202" s="705"/>
      <c r="C1202" s="705"/>
      <c r="D1202" s="578" t="s">
        <v>1267</v>
      </c>
      <c r="E1202" s="474" t="s">
        <v>882</v>
      </c>
      <c r="F1202" s="897"/>
      <c r="G1202" s="897">
        <v>15809</v>
      </c>
      <c r="H1202" s="897">
        <v>15809</v>
      </c>
      <c r="I1202" s="893">
        <f t="shared" si="57"/>
        <v>100</v>
      </c>
    </row>
    <row r="1203" spans="1:9" ht="15" x14ac:dyDescent="0.25">
      <c r="A1203" s="435">
        <v>1133</v>
      </c>
      <c r="B1203" s="808">
        <v>3122</v>
      </c>
      <c r="C1203" s="808">
        <v>5331</v>
      </c>
      <c r="D1203" s="929"/>
      <c r="E1203" s="704" t="s">
        <v>1066</v>
      </c>
      <c r="F1203" s="905">
        <f>F1204+F1205</f>
        <v>2857</v>
      </c>
      <c r="G1203" s="905">
        <f>G1204+G1205+G1206+G1207+G1208+G1211</f>
        <v>3440</v>
      </c>
      <c r="H1203" s="905">
        <f>H1204+H1205+H1206+H1207+H1208+H1211</f>
        <v>3440</v>
      </c>
      <c r="I1203" s="906">
        <f t="shared" si="57"/>
        <v>100</v>
      </c>
    </row>
    <row r="1204" spans="1:9" ht="14.25" x14ac:dyDescent="0.2">
      <c r="A1204" s="435"/>
      <c r="B1204" s="808"/>
      <c r="C1204" s="808"/>
      <c r="D1204" s="743" t="s">
        <v>641</v>
      </c>
      <c r="E1204" s="1679" t="s">
        <v>883</v>
      </c>
      <c r="F1204" s="903">
        <v>656</v>
      </c>
      <c r="G1204" s="903">
        <v>656</v>
      </c>
      <c r="H1204" s="903">
        <v>656</v>
      </c>
      <c r="I1204" s="898">
        <f t="shared" si="57"/>
        <v>100</v>
      </c>
    </row>
    <row r="1205" spans="1:9" ht="14.25" x14ac:dyDescent="0.2">
      <c r="A1205" s="435"/>
      <c r="B1205" s="808"/>
      <c r="C1205" s="808"/>
      <c r="D1205" s="578" t="s">
        <v>636</v>
      </c>
      <c r="E1205" s="474" t="s">
        <v>72</v>
      </c>
      <c r="F1205" s="903">
        <v>2201</v>
      </c>
      <c r="G1205" s="903">
        <v>2201</v>
      </c>
      <c r="H1205" s="903">
        <v>2201</v>
      </c>
      <c r="I1205" s="898">
        <f t="shared" si="57"/>
        <v>100</v>
      </c>
    </row>
    <row r="1206" spans="1:9" ht="14.25" x14ac:dyDescent="0.2">
      <c r="A1206" s="435"/>
      <c r="B1206" s="808"/>
      <c r="C1206" s="808"/>
      <c r="D1206" s="1169" t="s">
        <v>1268</v>
      </c>
      <c r="E1206" s="1398" t="s">
        <v>1277</v>
      </c>
      <c r="F1206" s="903"/>
      <c r="G1206" s="903">
        <v>15</v>
      </c>
      <c r="H1206" s="903">
        <v>15</v>
      </c>
      <c r="I1206" s="898">
        <f t="shared" si="57"/>
        <v>100</v>
      </c>
    </row>
    <row r="1207" spans="1:9" ht="14.25" x14ac:dyDescent="0.2">
      <c r="A1207" s="435"/>
      <c r="B1207" s="808"/>
      <c r="C1207" s="808"/>
      <c r="D1207" s="1179" t="s">
        <v>1536</v>
      </c>
      <c r="E1207" s="1702" t="s">
        <v>1537</v>
      </c>
      <c r="F1207" s="903"/>
      <c r="G1207" s="903">
        <v>400</v>
      </c>
      <c r="H1207" s="903">
        <v>400</v>
      </c>
      <c r="I1207" s="898">
        <f t="shared" si="57"/>
        <v>100</v>
      </c>
    </row>
    <row r="1208" spans="1:9" ht="14.25" x14ac:dyDescent="0.2">
      <c r="A1208" s="435"/>
      <c r="B1208" s="808"/>
      <c r="C1208" s="808"/>
      <c r="D1208" s="2708" t="s">
        <v>1641</v>
      </c>
      <c r="E1208" s="2741" t="s">
        <v>1667</v>
      </c>
      <c r="F1208" s="903"/>
      <c r="G1208" s="903">
        <v>88</v>
      </c>
      <c r="H1208" s="903">
        <v>88</v>
      </c>
      <c r="I1208" s="898">
        <f t="shared" si="57"/>
        <v>100</v>
      </c>
    </row>
    <row r="1209" spans="1:9" ht="14.25" x14ac:dyDescent="0.2">
      <c r="A1209" s="435"/>
      <c r="B1209" s="808"/>
      <c r="C1209" s="808"/>
      <c r="D1209" s="2734"/>
      <c r="E1209" s="2742"/>
      <c r="F1209" s="903"/>
      <c r="G1209" s="903"/>
      <c r="H1209" s="903"/>
      <c r="I1209" s="898"/>
    </row>
    <row r="1210" spans="1:9" ht="14.25" x14ac:dyDescent="0.2">
      <c r="A1210" s="435"/>
      <c r="B1210" s="808"/>
      <c r="C1210" s="808"/>
      <c r="D1210" s="2734"/>
      <c r="E1210" s="2742"/>
      <c r="F1210" s="903"/>
      <c r="G1210" s="903"/>
      <c r="H1210" s="903"/>
      <c r="I1210" s="898"/>
    </row>
    <row r="1211" spans="1:9" ht="14.25" x14ac:dyDescent="0.2">
      <c r="A1211" s="435"/>
      <c r="B1211" s="808"/>
      <c r="C1211" s="808"/>
      <c r="D1211" s="1463" t="s">
        <v>1271</v>
      </c>
      <c r="E1211" s="1695" t="s">
        <v>462</v>
      </c>
      <c r="F1211" s="903"/>
      <c r="G1211" s="903">
        <v>80</v>
      </c>
      <c r="H1211" s="903">
        <v>80</v>
      </c>
      <c r="I1211" s="898">
        <f t="shared" si="57"/>
        <v>100</v>
      </c>
    </row>
    <row r="1212" spans="1:9" ht="15" x14ac:dyDescent="0.25">
      <c r="A1212" s="435">
        <v>1133</v>
      </c>
      <c r="B1212" s="808">
        <v>3122</v>
      </c>
      <c r="C1212" s="808">
        <v>5336</v>
      </c>
      <c r="D1212" s="2533"/>
      <c r="E1212" s="1564" t="s">
        <v>1357</v>
      </c>
      <c r="F1212" s="903"/>
      <c r="G1212" s="916">
        <f>G1213+G1214+G1215+G1216+G1217</f>
        <v>24200</v>
      </c>
      <c r="H1212" s="916">
        <f>H1213+H1214+H1215+H1216+H1217</f>
        <v>24200</v>
      </c>
      <c r="I1212" s="908">
        <f t="shared" si="57"/>
        <v>100</v>
      </c>
    </row>
    <row r="1213" spans="1:9" ht="18" customHeight="1" x14ac:dyDescent="0.2">
      <c r="A1213" s="435"/>
      <c r="B1213" s="808"/>
      <c r="C1213" s="1551"/>
      <c r="D1213" s="578" t="s">
        <v>1267</v>
      </c>
      <c r="E1213" s="474" t="s">
        <v>882</v>
      </c>
      <c r="F1213" s="903"/>
      <c r="G1213" s="903">
        <v>21436</v>
      </c>
      <c r="H1213" s="903">
        <v>21436</v>
      </c>
      <c r="I1213" s="898">
        <f t="shared" si="57"/>
        <v>100</v>
      </c>
    </row>
    <row r="1214" spans="1:9" ht="18" customHeight="1" x14ac:dyDescent="0.2">
      <c r="A1214" s="435"/>
      <c r="B1214" s="808"/>
      <c r="C1214" s="1551"/>
      <c r="D1214" s="1569" t="s">
        <v>772</v>
      </c>
      <c r="E1214" s="1723" t="s">
        <v>1362</v>
      </c>
      <c r="F1214" s="903"/>
      <c r="G1214" s="903">
        <v>171</v>
      </c>
      <c r="H1214" s="903">
        <v>171</v>
      </c>
      <c r="I1214" s="898">
        <f t="shared" si="57"/>
        <v>100</v>
      </c>
    </row>
    <row r="1215" spans="1:9" ht="18" customHeight="1" x14ac:dyDescent="0.2">
      <c r="A1215" s="435"/>
      <c r="B1215" s="808"/>
      <c r="C1215" s="1551"/>
      <c r="D1215" s="1569" t="s">
        <v>773</v>
      </c>
      <c r="E1215" s="1723" t="s">
        <v>1362</v>
      </c>
      <c r="F1215" s="903"/>
      <c r="G1215" s="903">
        <v>966</v>
      </c>
      <c r="H1215" s="903">
        <v>966</v>
      </c>
      <c r="I1215" s="898">
        <f t="shared" si="57"/>
        <v>100</v>
      </c>
    </row>
    <row r="1216" spans="1:9" ht="14.25" x14ac:dyDescent="0.2">
      <c r="A1216" s="435"/>
      <c r="B1216" s="808"/>
      <c r="C1216" s="1551"/>
      <c r="D1216" s="1569" t="s">
        <v>1771</v>
      </c>
      <c r="E1216" s="1561" t="s">
        <v>1908</v>
      </c>
      <c r="F1216" s="903"/>
      <c r="G1216" s="903">
        <v>244</v>
      </c>
      <c r="H1216" s="903">
        <v>244</v>
      </c>
      <c r="I1216" s="898">
        <f t="shared" si="57"/>
        <v>100</v>
      </c>
    </row>
    <row r="1217" spans="1:23" ht="20.25" customHeight="1" x14ac:dyDescent="0.2">
      <c r="A1217" s="435"/>
      <c r="B1217" s="808"/>
      <c r="C1217" s="1551"/>
      <c r="D1217" s="1569" t="s">
        <v>1773</v>
      </c>
      <c r="E1217" s="1561" t="s">
        <v>1908</v>
      </c>
      <c r="F1217" s="903"/>
      <c r="G1217" s="903">
        <v>1383</v>
      </c>
      <c r="H1217" s="903">
        <v>1383</v>
      </c>
      <c r="I1217" s="898">
        <f t="shared" si="57"/>
        <v>100</v>
      </c>
    </row>
    <row r="1218" spans="1:23" ht="15" x14ac:dyDescent="0.25">
      <c r="A1218" s="435">
        <v>1133</v>
      </c>
      <c r="B1218" s="808">
        <v>3141</v>
      </c>
      <c r="C1218" s="1551">
        <v>5336</v>
      </c>
      <c r="D1218" s="578"/>
      <c r="E1218" s="1564" t="s">
        <v>1357</v>
      </c>
      <c r="F1218" s="916"/>
      <c r="G1218" s="916">
        <v>85</v>
      </c>
      <c r="H1218" s="916">
        <v>85</v>
      </c>
      <c r="I1218" s="908">
        <f t="shared" si="57"/>
        <v>100</v>
      </c>
    </row>
    <row r="1219" spans="1:23" ht="14.25" x14ac:dyDescent="0.2">
      <c r="A1219" s="435"/>
      <c r="B1219" s="808"/>
      <c r="C1219" s="1551"/>
      <c r="D1219" s="578" t="s">
        <v>1267</v>
      </c>
      <c r="E1219" s="474" t="s">
        <v>882</v>
      </c>
      <c r="F1219" s="903"/>
      <c r="G1219" s="903">
        <v>85</v>
      </c>
      <c r="H1219" s="903">
        <v>85</v>
      </c>
      <c r="I1219" s="898">
        <f t="shared" si="57"/>
        <v>100</v>
      </c>
    </row>
    <row r="1220" spans="1:23" ht="15" x14ac:dyDescent="0.25">
      <c r="A1220" s="435">
        <v>1133</v>
      </c>
      <c r="B1220" s="808">
        <v>3142</v>
      </c>
      <c r="C1220" s="1551">
        <v>5331</v>
      </c>
      <c r="D1220" s="578"/>
      <c r="E1220" s="704" t="s">
        <v>1066</v>
      </c>
      <c r="F1220" s="905">
        <f>F1221+F1222</f>
        <v>348</v>
      </c>
      <c r="G1220" s="905">
        <f>G1221+G1222</f>
        <v>348</v>
      </c>
      <c r="H1220" s="905">
        <f>H1221+H1222</f>
        <v>348</v>
      </c>
      <c r="I1220" s="906">
        <f t="shared" si="57"/>
        <v>100</v>
      </c>
    </row>
    <row r="1221" spans="1:23" ht="14.25" x14ac:dyDescent="0.2">
      <c r="A1221" s="435"/>
      <c r="B1221" s="808"/>
      <c r="C1221" s="1551"/>
      <c r="D1221" s="743" t="s">
        <v>641</v>
      </c>
      <c r="E1221" s="1679" t="s">
        <v>883</v>
      </c>
      <c r="F1221" s="903">
        <v>48</v>
      </c>
      <c r="G1221" s="903">
        <v>48</v>
      </c>
      <c r="H1221" s="903">
        <v>48</v>
      </c>
      <c r="I1221" s="898">
        <f t="shared" si="57"/>
        <v>100</v>
      </c>
    </row>
    <row r="1222" spans="1:23" ht="14.25" x14ac:dyDescent="0.2">
      <c r="A1222" s="435"/>
      <c r="B1222" s="808"/>
      <c r="C1222" s="1551"/>
      <c r="D1222" s="578" t="s">
        <v>636</v>
      </c>
      <c r="E1222" s="474" t="s">
        <v>72</v>
      </c>
      <c r="F1222" s="903">
        <v>300</v>
      </c>
      <c r="G1222" s="903">
        <v>300</v>
      </c>
      <c r="H1222" s="903">
        <v>300</v>
      </c>
      <c r="I1222" s="898">
        <f t="shared" si="57"/>
        <v>100</v>
      </c>
    </row>
    <row r="1223" spans="1:23" ht="15" x14ac:dyDescent="0.25">
      <c r="A1223" s="435">
        <v>1133</v>
      </c>
      <c r="B1223" s="808">
        <v>3142</v>
      </c>
      <c r="C1223" s="1551">
        <v>5336</v>
      </c>
      <c r="D1223" s="578"/>
      <c r="E1223" s="1564" t="s">
        <v>1357</v>
      </c>
      <c r="F1223" s="903"/>
      <c r="G1223" s="916">
        <v>301</v>
      </c>
      <c r="H1223" s="916">
        <v>301</v>
      </c>
      <c r="I1223" s="908">
        <f t="shared" si="57"/>
        <v>100</v>
      </c>
    </row>
    <row r="1224" spans="1:23" ht="14.25" x14ac:dyDescent="0.2">
      <c r="A1224" s="435"/>
      <c r="B1224" s="808"/>
      <c r="C1224" s="1551"/>
      <c r="D1224" s="578" t="s">
        <v>1267</v>
      </c>
      <c r="E1224" s="474" t="s">
        <v>882</v>
      </c>
      <c r="F1224" s="903"/>
      <c r="G1224" s="903">
        <v>301</v>
      </c>
      <c r="H1224" s="903">
        <v>301</v>
      </c>
      <c r="I1224" s="898">
        <f t="shared" si="57"/>
        <v>100</v>
      </c>
    </row>
    <row r="1225" spans="1:23" ht="15" x14ac:dyDescent="0.25">
      <c r="A1225" s="435">
        <v>1133</v>
      </c>
      <c r="B1225" s="808">
        <v>3293</v>
      </c>
      <c r="C1225" s="1551">
        <v>5331</v>
      </c>
      <c r="D1225" s="578"/>
      <c r="E1225" s="704" t="s">
        <v>1066</v>
      </c>
      <c r="F1225" s="903"/>
      <c r="G1225" s="916">
        <v>9</v>
      </c>
      <c r="H1225" s="916">
        <v>9</v>
      </c>
      <c r="I1225" s="908">
        <f t="shared" si="57"/>
        <v>100</v>
      </c>
    </row>
    <row r="1226" spans="1:23" ht="15" thickBot="1" x14ac:dyDescent="0.25">
      <c r="A1226" s="435"/>
      <c r="B1226" s="808"/>
      <c r="C1226" s="1551"/>
      <c r="D1226" s="1463" t="s">
        <v>1270</v>
      </c>
      <c r="E1226" s="1422" t="s">
        <v>1909</v>
      </c>
      <c r="F1226" s="903"/>
      <c r="G1226" s="903">
        <v>9</v>
      </c>
      <c r="H1226" s="903">
        <v>9</v>
      </c>
      <c r="I1226" s="898">
        <f t="shared" si="57"/>
        <v>100</v>
      </c>
    </row>
    <row r="1227" spans="1:23" ht="16.5" thickTop="1" thickBot="1" x14ac:dyDescent="0.3">
      <c r="A1227" s="2739" t="s">
        <v>1246</v>
      </c>
      <c r="B1227" s="2740"/>
      <c r="C1227" s="2740"/>
      <c r="D1227" s="2740"/>
      <c r="E1227" s="2740"/>
      <c r="F1227" s="894">
        <f>F1197+F1201+F1203+F1212+F1218+F1220+F1223+F1225</f>
        <v>5467</v>
      </c>
      <c r="G1227" s="894">
        <f>G1197+G1201+G1203+G1212+G1218+G1220+G1223+G1225</f>
        <v>46457</v>
      </c>
      <c r="H1227" s="894">
        <f>H1197+H1201+H1203+H1212+H1218+H1220+H1223+H1225</f>
        <v>46457</v>
      </c>
      <c r="I1227" s="895">
        <f t="shared" si="57"/>
        <v>100</v>
      </c>
      <c r="R1227" s="385">
        <f>F1227</f>
        <v>5467</v>
      </c>
      <c r="S1227" s="385">
        <f>G1227</f>
        <v>46457</v>
      </c>
      <c r="T1227" s="385">
        <f>H1227</f>
        <v>46457</v>
      </c>
    </row>
    <row r="1228" spans="1:23" ht="15.75" thickTop="1" x14ac:dyDescent="0.25">
      <c r="A1228" s="370"/>
      <c r="B1228" s="370"/>
      <c r="C1228" s="370"/>
      <c r="D1228" s="370"/>
      <c r="E1228" s="370"/>
      <c r="F1228" s="181"/>
      <c r="G1228" s="181"/>
      <c r="H1228" s="181"/>
      <c r="I1228" s="210"/>
      <c r="R1228" s="385"/>
      <c r="S1228" s="385"/>
      <c r="T1228" s="385"/>
    </row>
    <row r="1229" spans="1:23" ht="15" x14ac:dyDescent="0.25">
      <c r="A1229" s="370"/>
      <c r="B1229" s="370"/>
      <c r="C1229" s="370"/>
      <c r="D1229" s="370"/>
      <c r="E1229" s="370"/>
      <c r="F1229" s="183"/>
      <c r="G1229" s="183"/>
      <c r="H1229" s="183"/>
      <c r="I1229" s="214"/>
      <c r="J1229" s="385"/>
      <c r="K1229" s="385"/>
      <c r="L1229" s="385"/>
      <c r="R1229" s="385"/>
      <c r="S1229" s="385"/>
      <c r="T1229" s="385"/>
      <c r="U1229" s="385"/>
      <c r="V1229" s="385"/>
      <c r="W1229" s="385"/>
    </row>
    <row r="1230" spans="1:23" ht="13.5" thickBot="1" x14ac:dyDescent="0.25">
      <c r="A1230" s="439" t="s">
        <v>983</v>
      </c>
      <c r="I1230" s="1548" t="s">
        <v>179</v>
      </c>
    </row>
    <row r="1231" spans="1:23" s="107" customFormat="1" thickTop="1" thickBot="1" x14ac:dyDescent="0.25">
      <c r="A1231" s="657" t="s">
        <v>692</v>
      </c>
      <c r="B1231" s="835" t="s">
        <v>180</v>
      </c>
      <c r="C1231" s="658" t="s">
        <v>181</v>
      </c>
      <c r="D1231" s="660" t="s">
        <v>783</v>
      </c>
      <c r="E1231" s="660" t="s">
        <v>182</v>
      </c>
      <c r="F1231" s="660" t="s">
        <v>183</v>
      </c>
      <c r="G1231" s="660" t="s">
        <v>985</v>
      </c>
      <c r="H1231" s="660" t="s">
        <v>986</v>
      </c>
      <c r="I1231" s="888" t="s">
        <v>987</v>
      </c>
    </row>
    <row r="1232" spans="1:23" s="386" customFormat="1" ht="13.5" thickTop="1" thickBot="1" x14ac:dyDescent="0.25">
      <c r="A1232" s="592">
        <v>1</v>
      </c>
      <c r="B1232" s="593">
        <v>2</v>
      </c>
      <c r="C1232" s="593">
        <v>3</v>
      </c>
      <c r="D1232" s="593">
        <v>4</v>
      </c>
      <c r="E1232" s="593">
        <v>5</v>
      </c>
      <c r="F1232" s="567">
        <v>6</v>
      </c>
      <c r="G1232" s="567">
        <v>7</v>
      </c>
      <c r="H1232" s="568">
        <v>8</v>
      </c>
      <c r="I1232" s="662" t="s">
        <v>848</v>
      </c>
    </row>
    <row r="1233" spans="1:9" ht="15.75" thickTop="1" x14ac:dyDescent="0.25">
      <c r="A1233" s="1549">
        <v>1134</v>
      </c>
      <c r="B1233" s="836">
        <v>3122</v>
      </c>
      <c r="C1233" s="836">
        <v>5331</v>
      </c>
      <c r="D1233" s="909"/>
      <c r="E1233" s="930" t="s">
        <v>1066</v>
      </c>
      <c r="F1233" s="931">
        <f>F1234+F1235</f>
        <v>6208</v>
      </c>
      <c r="G1233" s="931">
        <f>G1234+G1235</f>
        <v>6191</v>
      </c>
      <c r="H1233" s="931">
        <f>H1234+H1235</f>
        <v>6191</v>
      </c>
      <c r="I1233" s="896">
        <f t="shared" ref="I1233:I1252" si="58">(H1233/G1233)*100</f>
        <v>100</v>
      </c>
    </row>
    <row r="1234" spans="1:9" ht="14.25" x14ac:dyDescent="0.2">
      <c r="A1234" s="435"/>
      <c r="B1234" s="705"/>
      <c r="C1234" s="705"/>
      <c r="D1234" s="743" t="s">
        <v>641</v>
      </c>
      <c r="E1234" s="1679" t="s">
        <v>883</v>
      </c>
      <c r="F1234" s="897">
        <v>1345</v>
      </c>
      <c r="G1234" s="897">
        <v>1328</v>
      </c>
      <c r="H1234" s="897">
        <v>1328</v>
      </c>
      <c r="I1234" s="893">
        <f t="shared" si="58"/>
        <v>100</v>
      </c>
    </row>
    <row r="1235" spans="1:9" ht="14.25" x14ac:dyDescent="0.2">
      <c r="A1235" s="435"/>
      <c r="B1235" s="705"/>
      <c r="C1235" s="705"/>
      <c r="D1235" s="578" t="s">
        <v>636</v>
      </c>
      <c r="E1235" s="474" t="s">
        <v>72</v>
      </c>
      <c r="F1235" s="897">
        <v>4863</v>
      </c>
      <c r="G1235" s="897">
        <v>4863</v>
      </c>
      <c r="H1235" s="897">
        <v>4863</v>
      </c>
      <c r="I1235" s="893">
        <f t="shared" si="58"/>
        <v>100</v>
      </c>
    </row>
    <row r="1236" spans="1:9" ht="15" x14ac:dyDescent="0.25">
      <c r="A1236" s="435">
        <v>1134</v>
      </c>
      <c r="B1236" s="705">
        <v>3122</v>
      </c>
      <c r="C1236" s="705">
        <v>5336</v>
      </c>
      <c r="D1236" s="578"/>
      <c r="E1236" s="1564" t="s">
        <v>1357</v>
      </c>
      <c r="F1236" s="897"/>
      <c r="G1236" s="921">
        <f>G1237+G1238+G1239</f>
        <v>11786</v>
      </c>
      <c r="H1236" s="921">
        <f t="shared" ref="H1236" si="59">H1237+H1238+H1239</f>
        <v>11786</v>
      </c>
      <c r="I1236" s="923">
        <f t="shared" si="58"/>
        <v>100</v>
      </c>
    </row>
    <row r="1237" spans="1:9" ht="14.25" x14ac:dyDescent="0.2">
      <c r="A1237" s="435"/>
      <c r="B1237" s="705"/>
      <c r="C1237" s="705"/>
      <c r="D1237" s="578" t="s">
        <v>1267</v>
      </c>
      <c r="E1237" s="474" t="s">
        <v>882</v>
      </c>
      <c r="F1237" s="897"/>
      <c r="G1237" s="897">
        <v>11012</v>
      </c>
      <c r="H1237" s="897">
        <v>11012</v>
      </c>
      <c r="I1237" s="893">
        <f t="shared" si="58"/>
        <v>100</v>
      </c>
    </row>
    <row r="1238" spans="1:9" ht="14.25" x14ac:dyDescent="0.2">
      <c r="A1238" s="435"/>
      <c r="B1238" s="808"/>
      <c r="C1238" s="808"/>
      <c r="D1238" s="1569" t="s">
        <v>1771</v>
      </c>
      <c r="E1238" s="1561" t="s">
        <v>1908</v>
      </c>
      <c r="F1238" s="903"/>
      <c r="G1238" s="903">
        <v>116</v>
      </c>
      <c r="H1238" s="903">
        <v>116</v>
      </c>
      <c r="I1238" s="898">
        <f t="shared" si="58"/>
        <v>100</v>
      </c>
    </row>
    <row r="1239" spans="1:9" ht="18" customHeight="1" x14ac:dyDescent="0.2">
      <c r="A1239" s="435"/>
      <c r="B1239" s="808"/>
      <c r="C1239" s="808"/>
      <c r="D1239" s="1569" t="s">
        <v>1773</v>
      </c>
      <c r="E1239" s="1561" t="s">
        <v>1908</v>
      </c>
      <c r="F1239" s="903"/>
      <c r="G1239" s="903">
        <v>658</v>
      </c>
      <c r="H1239" s="903">
        <v>658</v>
      </c>
      <c r="I1239" s="898">
        <f t="shared" si="58"/>
        <v>100</v>
      </c>
    </row>
    <row r="1240" spans="1:9" ht="18" customHeight="1" x14ac:dyDescent="0.25">
      <c r="A1240" s="435">
        <v>1134</v>
      </c>
      <c r="B1240" s="808">
        <v>3123</v>
      </c>
      <c r="C1240" s="808">
        <v>5331</v>
      </c>
      <c r="D1240" s="912"/>
      <c r="E1240" s="704" t="s">
        <v>1066</v>
      </c>
      <c r="F1240" s="905">
        <f>F1241+F1242</f>
        <v>2025</v>
      </c>
      <c r="G1240" s="905">
        <f>G1241+G1242</f>
        <v>2025</v>
      </c>
      <c r="H1240" s="905">
        <f>H1241+H1242</f>
        <v>2025</v>
      </c>
      <c r="I1240" s="906">
        <f t="shared" si="58"/>
        <v>100</v>
      </c>
    </row>
    <row r="1241" spans="1:9" ht="14.25" x14ac:dyDescent="0.2">
      <c r="A1241" s="435"/>
      <c r="B1241" s="808"/>
      <c r="C1241" s="808"/>
      <c r="D1241" s="743" t="s">
        <v>641</v>
      </c>
      <c r="E1241" s="1679" t="s">
        <v>883</v>
      </c>
      <c r="F1241" s="903">
        <v>125</v>
      </c>
      <c r="G1241" s="903">
        <v>125</v>
      </c>
      <c r="H1241" s="903">
        <v>125</v>
      </c>
      <c r="I1241" s="898">
        <f t="shared" si="58"/>
        <v>100</v>
      </c>
    </row>
    <row r="1242" spans="1:9" ht="20.25" customHeight="1" x14ac:dyDescent="0.2">
      <c r="A1242" s="435"/>
      <c r="B1242" s="808"/>
      <c r="C1242" s="808"/>
      <c r="D1242" s="578" t="s">
        <v>636</v>
      </c>
      <c r="E1242" s="474" t="s">
        <v>72</v>
      </c>
      <c r="F1242" s="903">
        <v>1900</v>
      </c>
      <c r="G1242" s="903">
        <v>1900</v>
      </c>
      <c r="H1242" s="903">
        <v>1900</v>
      </c>
      <c r="I1242" s="898">
        <f t="shared" si="58"/>
        <v>100</v>
      </c>
    </row>
    <row r="1243" spans="1:9" ht="15" x14ac:dyDescent="0.25">
      <c r="A1243" s="435">
        <v>1134</v>
      </c>
      <c r="B1243" s="808">
        <v>3123</v>
      </c>
      <c r="C1243" s="808">
        <v>5336</v>
      </c>
      <c r="D1243" s="578"/>
      <c r="E1243" s="1564" t="s">
        <v>1357</v>
      </c>
      <c r="F1243" s="903"/>
      <c r="G1243" s="916">
        <v>6972</v>
      </c>
      <c r="H1243" s="916">
        <v>6972</v>
      </c>
      <c r="I1243" s="908">
        <f t="shared" si="58"/>
        <v>100</v>
      </c>
    </row>
    <row r="1244" spans="1:9" ht="14.25" x14ac:dyDescent="0.2">
      <c r="A1244" s="435"/>
      <c r="B1244" s="808"/>
      <c r="C1244" s="808"/>
      <c r="D1244" s="578" t="s">
        <v>1267</v>
      </c>
      <c r="E1244" s="474" t="s">
        <v>882</v>
      </c>
      <c r="F1244" s="903"/>
      <c r="G1244" s="903">
        <v>6972</v>
      </c>
      <c r="H1244" s="903">
        <v>6972</v>
      </c>
      <c r="I1244" s="898">
        <f t="shared" si="58"/>
        <v>100</v>
      </c>
    </row>
    <row r="1245" spans="1:9" ht="15" x14ac:dyDescent="0.25">
      <c r="A1245" s="435">
        <v>1134</v>
      </c>
      <c r="B1245" s="808">
        <v>3142</v>
      </c>
      <c r="C1245" s="808">
        <v>5331</v>
      </c>
      <c r="D1245" s="929"/>
      <c r="E1245" s="704" t="s">
        <v>1066</v>
      </c>
      <c r="F1245" s="905">
        <f>F1246+F1248</f>
        <v>600</v>
      </c>
      <c r="G1245" s="905">
        <v>600</v>
      </c>
      <c r="H1245" s="905">
        <v>600</v>
      </c>
      <c r="I1245" s="906">
        <f t="shared" si="58"/>
        <v>100</v>
      </c>
    </row>
    <row r="1246" spans="1:9" ht="14.25" x14ac:dyDescent="0.2">
      <c r="A1246" s="435"/>
      <c r="B1246" s="808"/>
      <c r="C1246" s="808"/>
      <c r="D1246" s="578" t="s">
        <v>636</v>
      </c>
      <c r="E1246" s="474" t="s">
        <v>72</v>
      </c>
      <c r="F1246" s="903">
        <v>600</v>
      </c>
      <c r="G1246" s="903">
        <v>600</v>
      </c>
      <c r="H1246" s="903">
        <v>600</v>
      </c>
      <c r="I1246" s="898">
        <f t="shared" si="58"/>
        <v>100</v>
      </c>
    </row>
    <row r="1247" spans="1:9" ht="15" x14ac:dyDescent="0.25">
      <c r="A1247" s="435">
        <v>1134</v>
      </c>
      <c r="B1247" s="808">
        <v>3142</v>
      </c>
      <c r="C1247" s="808">
        <v>5336</v>
      </c>
      <c r="D1247" s="578"/>
      <c r="E1247" s="1564" t="s">
        <v>1357</v>
      </c>
      <c r="F1247" s="903"/>
      <c r="G1247" s="916">
        <v>633</v>
      </c>
      <c r="H1247" s="916">
        <v>633</v>
      </c>
      <c r="I1247" s="908">
        <f t="shared" si="58"/>
        <v>100</v>
      </c>
    </row>
    <row r="1248" spans="1:9" ht="14.25" x14ac:dyDescent="0.2">
      <c r="A1248" s="435"/>
      <c r="B1248" s="808"/>
      <c r="C1248" s="1551"/>
      <c r="D1248" s="578" t="s">
        <v>1267</v>
      </c>
      <c r="E1248" s="474" t="s">
        <v>882</v>
      </c>
      <c r="F1248" s="903"/>
      <c r="G1248" s="903">
        <v>633</v>
      </c>
      <c r="H1248" s="903">
        <v>633</v>
      </c>
      <c r="I1248" s="898">
        <f t="shared" si="58"/>
        <v>100</v>
      </c>
    </row>
    <row r="1249" spans="1:20" ht="15" x14ac:dyDescent="0.25">
      <c r="A1249" s="435">
        <v>1134</v>
      </c>
      <c r="B1249" s="808">
        <v>3147</v>
      </c>
      <c r="C1249" s="1551">
        <v>5331</v>
      </c>
      <c r="D1249" s="912"/>
      <c r="E1249" s="704" t="s">
        <v>1066</v>
      </c>
      <c r="F1249" s="905">
        <v>600</v>
      </c>
      <c r="G1249" s="905">
        <v>600</v>
      </c>
      <c r="H1249" s="905">
        <v>600</v>
      </c>
      <c r="I1249" s="898">
        <f t="shared" si="58"/>
        <v>100</v>
      </c>
    </row>
    <row r="1250" spans="1:20" ht="18" customHeight="1" x14ac:dyDescent="0.2">
      <c r="A1250" s="435"/>
      <c r="B1250" s="808"/>
      <c r="C1250" s="1551"/>
      <c r="D1250" s="578" t="s">
        <v>636</v>
      </c>
      <c r="E1250" s="474" t="s">
        <v>72</v>
      </c>
      <c r="F1250" s="903">
        <v>600</v>
      </c>
      <c r="G1250" s="903">
        <v>600</v>
      </c>
      <c r="H1250" s="903">
        <v>600</v>
      </c>
      <c r="I1250" s="898">
        <f t="shared" si="58"/>
        <v>100</v>
      </c>
    </row>
    <row r="1251" spans="1:20" ht="15" x14ac:dyDescent="0.25">
      <c r="A1251" s="435">
        <v>1134</v>
      </c>
      <c r="B1251" s="808">
        <v>3147</v>
      </c>
      <c r="C1251" s="1551">
        <v>5336</v>
      </c>
      <c r="D1251" s="578"/>
      <c r="E1251" s="1564" t="s">
        <v>1357</v>
      </c>
      <c r="F1251" s="903"/>
      <c r="G1251" s="916">
        <v>1151</v>
      </c>
      <c r="H1251" s="916">
        <v>1151</v>
      </c>
      <c r="I1251" s="908">
        <f t="shared" si="58"/>
        <v>100</v>
      </c>
    </row>
    <row r="1252" spans="1:20" ht="15" thickBot="1" x14ac:dyDescent="0.25">
      <c r="A1252" s="1552"/>
      <c r="B1252" s="962"/>
      <c r="C1252" s="1553"/>
      <c r="D1252" s="757" t="s">
        <v>1267</v>
      </c>
      <c r="E1252" s="476" t="s">
        <v>882</v>
      </c>
      <c r="F1252" s="963"/>
      <c r="G1252" s="963">
        <v>1151</v>
      </c>
      <c r="H1252" s="963">
        <v>1151</v>
      </c>
      <c r="I1252" s="942">
        <f t="shared" si="58"/>
        <v>100</v>
      </c>
    </row>
    <row r="1253" spans="1:20" ht="16.5" thickTop="1" thickBot="1" x14ac:dyDescent="0.3">
      <c r="A1253" s="2739" t="s">
        <v>1246</v>
      </c>
      <c r="B1253" s="2740"/>
      <c r="C1253" s="2740"/>
      <c r="D1253" s="2740"/>
      <c r="E1253" s="2740"/>
      <c r="F1253" s="894">
        <f>F1233+F1236+F1240+F1243+F1245+F1247+F1249+F1251</f>
        <v>9433</v>
      </c>
      <c r="G1253" s="894">
        <f>G1233+G1236+G1240+G1243+G1245+G1247+G1249+G1251</f>
        <v>29958</v>
      </c>
      <c r="H1253" s="894">
        <f>H1233+H1236+H1240+H1243+H1245+H1247+H1249+H1251</f>
        <v>29958</v>
      </c>
      <c r="I1253" s="895">
        <f>(H1253/G1253)*100</f>
        <v>100</v>
      </c>
      <c r="R1253" s="385">
        <f>F1253</f>
        <v>9433</v>
      </c>
      <c r="S1253" s="385">
        <f>G1253</f>
        <v>29958</v>
      </c>
      <c r="T1253" s="385">
        <f>H1253</f>
        <v>29958</v>
      </c>
    </row>
    <row r="1254" spans="1:20" ht="13.5" thickTop="1" x14ac:dyDescent="0.2"/>
    <row r="1255" spans="1:20" ht="13.5" thickBot="1" x14ac:dyDescent="0.25">
      <c r="A1255" s="439" t="s">
        <v>1412</v>
      </c>
      <c r="I1255" s="1548" t="s">
        <v>179</v>
      </c>
    </row>
    <row r="1256" spans="1:20" s="107" customFormat="1" thickTop="1" thickBot="1" x14ac:dyDescent="0.25">
      <c r="A1256" s="657" t="s">
        <v>692</v>
      </c>
      <c r="B1256" s="835" t="s">
        <v>180</v>
      </c>
      <c r="C1256" s="658" t="s">
        <v>181</v>
      </c>
      <c r="D1256" s="660" t="s">
        <v>783</v>
      </c>
      <c r="E1256" s="660" t="s">
        <v>182</v>
      </c>
      <c r="F1256" s="660" t="s">
        <v>183</v>
      </c>
      <c r="G1256" s="660" t="s">
        <v>985</v>
      </c>
      <c r="H1256" s="660" t="s">
        <v>986</v>
      </c>
      <c r="I1256" s="888" t="s">
        <v>987</v>
      </c>
    </row>
    <row r="1257" spans="1:20" s="386" customFormat="1" ht="13.5" thickTop="1" thickBot="1" x14ac:dyDescent="0.25">
      <c r="A1257" s="592">
        <v>1</v>
      </c>
      <c r="B1257" s="593">
        <v>2</v>
      </c>
      <c r="C1257" s="593">
        <v>3</v>
      </c>
      <c r="D1257" s="593">
        <v>4</v>
      </c>
      <c r="E1257" s="593">
        <v>5</v>
      </c>
      <c r="F1257" s="567">
        <v>6</v>
      </c>
      <c r="G1257" s="567">
        <v>7</v>
      </c>
      <c r="H1257" s="568">
        <v>8</v>
      </c>
      <c r="I1257" s="662" t="s">
        <v>848</v>
      </c>
    </row>
    <row r="1258" spans="1:20" ht="15.75" thickTop="1" x14ac:dyDescent="0.25">
      <c r="A1258" s="1549">
        <v>1135</v>
      </c>
      <c r="B1258" s="836">
        <v>3122</v>
      </c>
      <c r="C1258" s="836">
        <v>5331</v>
      </c>
      <c r="D1258" s="909"/>
      <c r="E1258" s="930" t="s">
        <v>1066</v>
      </c>
      <c r="F1258" s="931">
        <f>F1259+F1260</f>
        <v>7071</v>
      </c>
      <c r="G1258" s="931">
        <f>G1259+G1260+G1261+G1264</f>
        <v>7232</v>
      </c>
      <c r="H1258" s="931">
        <f>H1259+H1260+H1261+H1264</f>
        <v>7232</v>
      </c>
      <c r="I1258" s="896">
        <f t="shared" ref="I1258:I1283" si="60">(H1258/G1258)*100</f>
        <v>100</v>
      </c>
    </row>
    <row r="1259" spans="1:20" ht="14.25" x14ac:dyDescent="0.2">
      <c r="A1259" s="435"/>
      <c r="B1259" s="705"/>
      <c r="C1259" s="705"/>
      <c r="D1259" s="743" t="s">
        <v>641</v>
      </c>
      <c r="E1259" s="1679" t="s">
        <v>883</v>
      </c>
      <c r="F1259" s="897">
        <v>3246</v>
      </c>
      <c r="G1259" s="897">
        <v>3190</v>
      </c>
      <c r="H1259" s="897">
        <v>3190</v>
      </c>
      <c r="I1259" s="893">
        <f t="shared" si="60"/>
        <v>100</v>
      </c>
    </row>
    <row r="1260" spans="1:20" ht="14.25" x14ac:dyDescent="0.2">
      <c r="A1260" s="435"/>
      <c r="B1260" s="705"/>
      <c r="C1260" s="705"/>
      <c r="D1260" s="578" t="s">
        <v>636</v>
      </c>
      <c r="E1260" s="474" t="s">
        <v>72</v>
      </c>
      <c r="F1260" s="897">
        <v>3825</v>
      </c>
      <c r="G1260" s="897">
        <v>3825</v>
      </c>
      <c r="H1260" s="897">
        <v>3825</v>
      </c>
      <c r="I1260" s="893">
        <f t="shared" si="60"/>
        <v>100</v>
      </c>
    </row>
    <row r="1261" spans="1:20" ht="14.25" x14ac:dyDescent="0.2">
      <c r="A1261" s="435"/>
      <c r="B1261" s="705"/>
      <c r="C1261" s="705"/>
      <c r="D1261" s="2708" t="s">
        <v>1641</v>
      </c>
      <c r="E1261" s="2748" t="s">
        <v>1667</v>
      </c>
      <c r="F1261" s="897"/>
      <c r="G1261" s="897">
        <v>74</v>
      </c>
      <c r="H1261" s="897">
        <v>74</v>
      </c>
      <c r="I1261" s="893">
        <f t="shared" si="60"/>
        <v>100</v>
      </c>
    </row>
    <row r="1262" spans="1:20" ht="14.25" x14ac:dyDescent="0.2">
      <c r="A1262" s="435"/>
      <c r="B1262" s="705"/>
      <c r="C1262" s="705"/>
      <c r="D1262" s="2734"/>
      <c r="E1262" s="2734"/>
      <c r="F1262" s="897"/>
      <c r="G1262" s="897"/>
      <c r="H1262" s="897"/>
      <c r="I1262" s="893"/>
    </row>
    <row r="1263" spans="1:20" ht="14.25" x14ac:dyDescent="0.2">
      <c r="A1263" s="435"/>
      <c r="B1263" s="705"/>
      <c r="C1263" s="705"/>
      <c r="D1263" s="2734"/>
      <c r="E1263" s="2734"/>
      <c r="F1263" s="897"/>
      <c r="G1263" s="897"/>
      <c r="H1263" s="897"/>
      <c r="I1263" s="893"/>
    </row>
    <row r="1264" spans="1:20" ht="14.25" x14ac:dyDescent="0.2">
      <c r="A1264" s="435"/>
      <c r="B1264" s="705"/>
      <c r="C1264" s="705"/>
      <c r="D1264" s="1178" t="s">
        <v>1763</v>
      </c>
      <c r="E1264" s="2593" t="s">
        <v>1913</v>
      </c>
      <c r="F1264" s="897"/>
      <c r="G1264" s="357">
        <v>143</v>
      </c>
      <c r="H1264" s="357">
        <v>143</v>
      </c>
      <c r="I1264" s="893">
        <f t="shared" si="60"/>
        <v>100</v>
      </c>
    </row>
    <row r="1265" spans="1:9" ht="15" x14ac:dyDescent="0.25">
      <c r="A1265" s="435">
        <v>1135</v>
      </c>
      <c r="B1265" s="705">
        <v>3122</v>
      </c>
      <c r="C1265" s="705">
        <v>5336</v>
      </c>
      <c r="D1265" s="2533"/>
      <c r="E1265" s="1564" t="s">
        <v>1357</v>
      </c>
      <c r="F1265" s="897"/>
      <c r="G1265" s="921">
        <f>G1266+G1267+G1268+G1269</f>
        <v>33771</v>
      </c>
      <c r="H1265" s="921">
        <f>H1266+H1267+H1268+H1269</f>
        <v>33771</v>
      </c>
      <c r="I1265" s="923">
        <f t="shared" si="60"/>
        <v>100</v>
      </c>
    </row>
    <row r="1266" spans="1:9" ht="14.25" x14ac:dyDescent="0.2">
      <c r="A1266" s="435"/>
      <c r="B1266" s="705"/>
      <c r="C1266" s="705"/>
      <c r="D1266" s="578" t="s">
        <v>1267</v>
      </c>
      <c r="E1266" s="474" t="s">
        <v>882</v>
      </c>
      <c r="F1266" s="897"/>
      <c r="G1266" s="897">
        <v>32479</v>
      </c>
      <c r="H1266" s="897">
        <v>32479</v>
      </c>
      <c r="I1266" s="893">
        <f t="shared" si="60"/>
        <v>100</v>
      </c>
    </row>
    <row r="1267" spans="1:9" ht="14.25" x14ac:dyDescent="0.2">
      <c r="A1267" s="435"/>
      <c r="B1267" s="808"/>
      <c r="C1267" s="808"/>
      <c r="D1267" s="1179" t="s">
        <v>1720</v>
      </c>
      <c r="E1267" s="2585" t="s">
        <v>1743</v>
      </c>
      <c r="F1267" s="903"/>
      <c r="G1267" s="903">
        <v>65</v>
      </c>
      <c r="H1267" s="903">
        <v>65</v>
      </c>
      <c r="I1267" s="893">
        <f t="shared" si="60"/>
        <v>100</v>
      </c>
    </row>
    <row r="1268" spans="1:9" ht="14.25" x14ac:dyDescent="0.2">
      <c r="A1268" s="435"/>
      <c r="B1268" s="808"/>
      <c r="C1268" s="808"/>
      <c r="D1268" s="1569" t="s">
        <v>1771</v>
      </c>
      <c r="E1268" s="1561" t="s">
        <v>1908</v>
      </c>
      <c r="F1268" s="903"/>
      <c r="G1268" s="903">
        <v>184</v>
      </c>
      <c r="H1268" s="903">
        <v>184</v>
      </c>
      <c r="I1268" s="893">
        <f t="shared" si="60"/>
        <v>100</v>
      </c>
    </row>
    <row r="1269" spans="1:9" ht="14.25" x14ac:dyDescent="0.2">
      <c r="A1269" s="435"/>
      <c r="B1269" s="808"/>
      <c r="C1269" s="808"/>
      <c r="D1269" s="1569" t="s">
        <v>1773</v>
      </c>
      <c r="E1269" s="1561" t="s">
        <v>1908</v>
      </c>
      <c r="F1269" s="903"/>
      <c r="G1269" s="903">
        <v>1043</v>
      </c>
      <c r="H1269" s="903">
        <v>1043</v>
      </c>
      <c r="I1269" s="893">
        <f t="shared" si="60"/>
        <v>100</v>
      </c>
    </row>
    <row r="1270" spans="1:9" ht="15" x14ac:dyDescent="0.25">
      <c r="A1270" s="435">
        <v>1135</v>
      </c>
      <c r="B1270" s="808">
        <v>3142</v>
      </c>
      <c r="C1270" s="1551">
        <v>5331</v>
      </c>
      <c r="D1270" s="912"/>
      <c r="E1270" s="704" t="s">
        <v>1066</v>
      </c>
      <c r="F1270" s="905">
        <v>1256</v>
      </c>
      <c r="G1270" s="905">
        <v>1256</v>
      </c>
      <c r="H1270" s="905">
        <v>1256</v>
      </c>
      <c r="I1270" s="906">
        <f t="shared" si="60"/>
        <v>100</v>
      </c>
    </row>
    <row r="1271" spans="1:9" ht="14.25" x14ac:dyDescent="0.2">
      <c r="A1271" s="435"/>
      <c r="B1271" s="808"/>
      <c r="C1271" s="1551"/>
      <c r="D1271" s="578" t="s">
        <v>636</v>
      </c>
      <c r="E1271" s="474" t="s">
        <v>72</v>
      </c>
      <c r="F1271" s="903">
        <v>1256</v>
      </c>
      <c r="G1271" s="903">
        <v>1256</v>
      </c>
      <c r="H1271" s="903">
        <v>1256</v>
      </c>
      <c r="I1271" s="898">
        <v>100</v>
      </c>
    </row>
    <row r="1272" spans="1:9" ht="15" x14ac:dyDescent="0.25">
      <c r="A1272" s="435">
        <v>1135</v>
      </c>
      <c r="B1272" s="808">
        <v>3142</v>
      </c>
      <c r="C1272" s="1551">
        <v>5336</v>
      </c>
      <c r="D1272" s="578"/>
      <c r="E1272" s="1564" t="s">
        <v>1357</v>
      </c>
      <c r="F1272" s="903"/>
      <c r="G1272" s="916">
        <v>1119</v>
      </c>
      <c r="H1272" s="916">
        <v>1119</v>
      </c>
      <c r="I1272" s="906">
        <f t="shared" si="60"/>
        <v>100</v>
      </c>
    </row>
    <row r="1273" spans="1:9" ht="14.25" x14ac:dyDescent="0.2">
      <c r="A1273" s="435"/>
      <c r="B1273" s="808"/>
      <c r="C1273" s="1551"/>
      <c r="D1273" s="578" t="s">
        <v>1267</v>
      </c>
      <c r="E1273" s="474" t="s">
        <v>882</v>
      </c>
      <c r="F1273" s="903"/>
      <c r="G1273" s="903">
        <v>1119</v>
      </c>
      <c r="H1273" s="903">
        <v>1119</v>
      </c>
      <c r="I1273" s="898">
        <f t="shared" si="60"/>
        <v>100</v>
      </c>
    </row>
    <row r="1274" spans="1:9" ht="14.25" x14ac:dyDescent="0.2">
      <c r="A1274" s="435"/>
      <c r="B1274" s="808"/>
      <c r="C1274" s="1551"/>
      <c r="D1274" s="594"/>
      <c r="E1274" s="938"/>
      <c r="F1274" s="903"/>
      <c r="G1274" s="903"/>
      <c r="H1274" s="903"/>
      <c r="I1274" s="893"/>
    </row>
    <row r="1275" spans="1:9" ht="15" x14ac:dyDescent="0.25">
      <c r="A1275" s="435">
        <v>1135</v>
      </c>
      <c r="B1275" s="808">
        <v>3147</v>
      </c>
      <c r="C1275" s="1551">
        <v>5331</v>
      </c>
      <c r="D1275" s="912"/>
      <c r="E1275" s="704" t="s">
        <v>1066</v>
      </c>
      <c r="F1275" s="905">
        <v>952</v>
      </c>
      <c r="G1275" s="905">
        <v>952</v>
      </c>
      <c r="H1275" s="905">
        <v>952</v>
      </c>
      <c r="I1275" s="908">
        <f t="shared" si="60"/>
        <v>100</v>
      </c>
    </row>
    <row r="1276" spans="1:9" ht="14.25" x14ac:dyDescent="0.2">
      <c r="A1276" s="435"/>
      <c r="B1276" s="808"/>
      <c r="C1276" s="1551"/>
      <c r="D1276" s="578" t="s">
        <v>636</v>
      </c>
      <c r="E1276" s="474" t="s">
        <v>72</v>
      </c>
      <c r="F1276" s="907">
        <v>952</v>
      </c>
      <c r="G1276" s="903">
        <v>952</v>
      </c>
      <c r="H1276" s="903">
        <v>952</v>
      </c>
      <c r="I1276" s="898">
        <f t="shared" si="60"/>
        <v>100</v>
      </c>
    </row>
    <row r="1277" spans="1:9" ht="15" customHeight="1" x14ac:dyDescent="0.25">
      <c r="A1277" s="435">
        <v>1135</v>
      </c>
      <c r="B1277" s="808">
        <v>3147</v>
      </c>
      <c r="C1277" s="1551">
        <v>5336</v>
      </c>
      <c r="D1277" s="578"/>
      <c r="E1277" s="1564" t="s">
        <v>1357</v>
      </c>
      <c r="F1277" s="907"/>
      <c r="G1277" s="916">
        <v>3488</v>
      </c>
      <c r="H1277" s="916">
        <v>3488</v>
      </c>
      <c r="I1277" s="908">
        <f t="shared" si="60"/>
        <v>100</v>
      </c>
    </row>
    <row r="1278" spans="1:9" ht="20.25" customHeight="1" x14ac:dyDescent="0.2">
      <c r="A1278" s="435"/>
      <c r="B1278" s="808"/>
      <c r="C1278" s="1551"/>
      <c r="D1278" s="578" t="s">
        <v>1267</v>
      </c>
      <c r="E1278" s="474" t="s">
        <v>882</v>
      </c>
      <c r="F1278" s="903"/>
      <c r="G1278" s="903">
        <v>3488</v>
      </c>
      <c r="H1278" s="903">
        <v>3488</v>
      </c>
      <c r="I1278" s="898">
        <f t="shared" si="60"/>
        <v>100</v>
      </c>
    </row>
    <row r="1279" spans="1:9" ht="15" x14ac:dyDescent="0.25">
      <c r="A1279" s="435">
        <v>1135</v>
      </c>
      <c r="B1279" s="808">
        <v>3150</v>
      </c>
      <c r="C1279" s="808">
        <v>5331</v>
      </c>
      <c r="D1279" s="929"/>
      <c r="E1279" s="704" t="s">
        <v>1066</v>
      </c>
      <c r="F1279" s="905">
        <v>628</v>
      </c>
      <c r="G1279" s="905">
        <v>628</v>
      </c>
      <c r="H1279" s="905">
        <v>628</v>
      </c>
      <c r="I1279" s="906">
        <f t="shared" si="60"/>
        <v>100</v>
      </c>
    </row>
    <row r="1280" spans="1:9" ht="14.25" x14ac:dyDescent="0.2">
      <c r="A1280" s="435"/>
      <c r="B1280" s="808"/>
      <c r="C1280" s="808"/>
      <c r="D1280" s="578" t="s">
        <v>636</v>
      </c>
      <c r="E1280" s="474" t="s">
        <v>72</v>
      </c>
      <c r="F1280" s="903">
        <v>628</v>
      </c>
      <c r="G1280" s="903">
        <v>628</v>
      </c>
      <c r="H1280" s="903">
        <v>628</v>
      </c>
      <c r="I1280" s="898">
        <f t="shared" si="60"/>
        <v>100</v>
      </c>
    </row>
    <row r="1281" spans="1:23" ht="15" x14ac:dyDescent="0.25">
      <c r="A1281" s="435">
        <v>1135</v>
      </c>
      <c r="B1281" s="808">
        <v>3150</v>
      </c>
      <c r="C1281" s="808">
        <v>5336</v>
      </c>
      <c r="D1281" s="578"/>
      <c r="E1281" s="1564" t="s">
        <v>1357</v>
      </c>
      <c r="F1281" s="903"/>
      <c r="G1281" s="916">
        <v>5753</v>
      </c>
      <c r="H1281" s="916">
        <v>5753</v>
      </c>
      <c r="I1281" s="908">
        <f t="shared" si="60"/>
        <v>100</v>
      </c>
    </row>
    <row r="1282" spans="1:23" ht="15" thickBot="1" x14ac:dyDescent="0.25">
      <c r="A1282" s="435"/>
      <c r="B1282" s="808"/>
      <c r="C1282" s="1551"/>
      <c r="D1282" s="578" t="s">
        <v>1267</v>
      </c>
      <c r="E1282" s="474" t="s">
        <v>882</v>
      </c>
      <c r="F1282" s="903"/>
      <c r="G1282" s="903">
        <v>5753</v>
      </c>
      <c r="H1282" s="903">
        <v>5753</v>
      </c>
      <c r="I1282" s="898">
        <f t="shared" si="60"/>
        <v>100</v>
      </c>
    </row>
    <row r="1283" spans="1:23" ht="16.5" thickTop="1" thickBot="1" x14ac:dyDescent="0.3">
      <c r="A1283" s="2739" t="s">
        <v>1246</v>
      </c>
      <c r="B1283" s="2740"/>
      <c r="C1283" s="2740"/>
      <c r="D1283" s="2740"/>
      <c r="E1283" s="2740"/>
      <c r="F1283" s="894">
        <f>F1258+F1270+F1272+F1275+F1277+F1279+F1281+F1265</f>
        <v>9907</v>
      </c>
      <c r="G1283" s="894">
        <f>G1258+G1265+G1270+G1272+G1275+G1277+G1279+G1281</f>
        <v>54199</v>
      </c>
      <c r="H1283" s="894">
        <f>H1258+H1265+H1270+H1272+H1275+H1277+H1279+H1281</f>
        <v>54199</v>
      </c>
      <c r="I1283" s="895">
        <f t="shared" si="60"/>
        <v>100</v>
      </c>
      <c r="R1283" s="385">
        <f>F1283</f>
        <v>9907</v>
      </c>
      <c r="S1283" s="385">
        <f>G1283</f>
        <v>54199</v>
      </c>
      <c r="T1283" s="385">
        <f>H1283</f>
        <v>54199</v>
      </c>
    </row>
    <row r="1284" spans="1:23" ht="15.75" thickTop="1" x14ac:dyDescent="0.25">
      <c r="A1284" s="370"/>
      <c r="B1284" s="370"/>
      <c r="C1284" s="370"/>
      <c r="D1284" s="370"/>
      <c r="E1284" s="370"/>
      <c r="F1284" s="183"/>
      <c r="G1284" s="183"/>
      <c r="H1284" s="183"/>
      <c r="I1284" s="214"/>
      <c r="J1284" s="385"/>
      <c r="K1284" s="385"/>
      <c r="L1284" s="385"/>
      <c r="R1284" s="385"/>
      <c r="S1284" s="385"/>
      <c r="T1284" s="385"/>
      <c r="U1284" s="385"/>
      <c r="V1284" s="385"/>
      <c r="W1284" s="385"/>
    </row>
    <row r="1285" spans="1:23" ht="13.5" thickBot="1" x14ac:dyDescent="0.25">
      <c r="A1285" s="439" t="s">
        <v>581</v>
      </c>
      <c r="I1285" s="1548" t="s">
        <v>179</v>
      </c>
    </row>
    <row r="1286" spans="1:23" s="107" customFormat="1" thickTop="1" thickBot="1" x14ac:dyDescent="0.25">
      <c r="A1286" s="657" t="s">
        <v>692</v>
      </c>
      <c r="B1286" s="835" t="s">
        <v>180</v>
      </c>
      <c r="C1286" s="658" t="s">
        <v>181</v>
      </c>
      <c r="D1286" s="660" t="s">
        <v>783</v>
      </c>
      <c r="E1286" s="660" t="s">
        <v>182</v>
      </c>
      <c r="F1286" s="660" t="s">
        <v>183</v>
      </c>
      <c r="G1286" s="660" t="s">
        <v>985</v>
      </c>
      <c r="H1286" s="660" t="s">
        <v>986</v>
      </c>
      <c r="I1286" s="888" t="s">
        <v>987</v>
      </c>
    </row>
    <row r="1287" spans="1:23" s="386" customFormat="1" ht="13.5" thickTop="1" thickBot="1" x14ac:dyDescent="0.25">
      <c r="A1287" s="592">
        <v>1</v>
      </c>
      <c r="B1287" s="593">
        <v>2</v>
      </c>
      <c r="C1287" s="593">
        <v>3</v>
      </c>
      <c r="D1287" s="593">
        <v>4</v>
      </c>
      <c r="E1287" s="593">
        <v>5</v>
      </c>
      <c r="F1287" s="567">
        <v>6</v>
      </c>
      <c r="G1287" s="567">
        <v>7</v>
      </c>
      <c r="H1287" s="568">
        <v>8</v>
      </c>
      <c r="I1287" s="662" t="s">
        <v>848</v>
      </c>
    </row>
    <row r="1288" spans="1:23" ht="15.75" thickTop="1" x14ac:dyDescent="0.25">
      <c r="A1288" s="1549">
        <v>1136</v>
      </c>
      <c r="B1288" s="836">
        <v>3122</v>
      </c>
      <c r="C1288" s="836">
        <v>5331</v>
      </c>
      <c r="D1288" s="909"/>
      <c r="E1288" s="930" t="s">
        <v>1066</v>
      </c>
      <c r="F1288" s="931">
        <f>F1289+F1290</f>
        <v>3070</v>
      </c>
      <c r="G1288" s="931">
        <f>G1289+G1290</f>
        <v>3126</v>
      </c>
      <c r="H1288" s="931">
        <f>H1289+H1290</f>
        <v>3126</v>
      </c>
      <c r="I1288" s="896">
        <f t="shared" ref="I1288:I1317" si="61">(H1288/G1288)*100</f>
        <v>100</v>
      </c>
    </row>
    <row r="1289" spans="1:23" ht="14.25" x14ac:dyDescent="0.2">
      <c r="A1289" s="435"/>
      <c r="B1289" s="705"/>
      <c r="C1289" s="705"/>
      <c r="D1289" s="743" t="s">
        <v>641</v>
      </c>
      <c r="E1289" s="1679" t="s">
        <v>883</v>
      </c>
      <c r="F1289" s="897">
        <v>1170</v>
      </c>
      <c r="G1289" s="897">
        <v>1226</v>
      </c>
      <c r="H1289" s="897">
        <v>1226</v>
      </c>
      <c r="I1289" s="893">
        <f t="shared" si="61"/>
        <v>100</v>
      </c>
    </row>
    <row r="1290" spans="1:23" ht="14.25" x14ac:dyDescent="0.2">
      <c r="A1290" s="435"/>
      <c r="B1290" s="705"/>
      <c r="C1290" s="1550"/>
      <c r="D1290" s="578" t="s">
        <v>636</v>
      </c>
      <c r="E1290" s="474" t="s">
        <v>72</v>
      </c>
      <c r="F1290" s="897">
        <v>1900</v>
      </c>
      <c r="G1290" s="897">
        <v>1900</v>
      </c>
      <c r="H1290" s="897">
        <v>1900</v>
      </c>
      <c r="I1290" s="893">
        <f t="shared" si="61"/>
        <v>100</v>
      </c>
    </row>
    <row r="1291" spans="1:23" ht="15" x14ac:dyDescent="0.25">
      <c r="A1291" s="435">
        <v>1136</v>
      </c>
      <c r="B1291" s="808">
        <v>3122</v>
      </c>
      <c r="C1291" s="1551">
        <v>5336</v>
      </c>
      <c r="D1291" s="2536"/>
      <c r="E1291" s="1564" t="s">
        <v>1357</v>
      </c>
      <c r="F1291" s="903"/>
      <c r="G1291" s="916">
        <f>G1292+G1293+G1294</f>
        <v>6093</v>
      </c>
      <c r="H1291" s="916">
        <f>H1292+H1293+H1294</f>
        <v>6093</v>
      </c>
      <c r="I1291" s="923">
        <f t="shared" si="61"/>
        <v>100</v>
      </c>
    </row>
    <row r="1292" spans="1:23" ht="14.25" x14ac:dyDescent="0.2">
      <c r="A1292" s="435"/>
      <c r="B1292" s="808"/>
      <c r="C1292" s="1551"/>
      <c r="D1292" s="578" t="s">
        <v>1267</v>
      </c>
      <c r="E1292" s="474" t="s">
        <v>882</v>
      </c>
      <c r="F1292" s="903"/>
      <c r="G1292" s="903">
        <v>5215</v>
      </c>
      <c r="H1292" s="903">
        <v>5215</v>
      </c>
      <c r="I1292" s="898">
        <f t="shared" si="61"/>
        <v>100</v>
      </c>
    </row>
    <row r="1293" spans="1:23" ht="14.25" x14ac:dyDescent="0.2">
      <c r="A1293" s="435"/>
      <c r="B1293" s="808"/>
      <c r="C1293" s="1551"/>
      <c r="D1293" s="1569" t="s">
        <v>1771</v>
      </c>
      <c r="E1293" s="1561" t="s">
        <v>1908</v>
      </c>
      <c r="F1293" s="903"/>
      <c r="G1293" s="903">
        <v>132</v>
      </c>
      <c r="H1293" s="903">
        <v>132</v>
      </c>
      <c r="I1293" s="898">
        <f t="shared" si="61"/>
        <v>100</v>
      </c>
    </row>
    <row r="1294" spans="1:23" ht="14.25" x14ac:dyDescent="0.2">
      <c r="A1294" s="435"/>
      <c r="B1294" s="808"/>
      <c r="C1294" s="1551"/>
      <c r="D1294" s="1569" t="s">
        <v>1773</v>
      </c>
      <c r="E1294" s="1561" t="s">
        <v>1908</v>
      </c>
      <c r="F1294" s="903"/>
      <c r="G1294" s="903">
        <v>746</v>
      </c>
      <c r="H1294" s="903">
        <v>746</v>
      </c>
      <c r="I1294" s="898">
        <f t="shared" si="61"/>
        <v>100</v>
      </c>
    </row>
    <row r="1295" spans="1:23" ht="18" customHeight="1" x14ac:dyDescent="0.25">
      <c r="A1295" s="435">
        <v>1136</v>
      </c>
      <c r="B1295" s="808">
        <v>3123</v>
      </c>
      <c r="C1295" s="808">
        <v>5331</v>
      </c>
      <c r="D1295" s="929"/>
      <c r="E1295" s="704" t="s">
        <v>1066</v>
      </c>
      <c r="F1295" s="905">
        <f>F1298+F1296</f>
        <v>2733</v>
      </c>
      <c r="G1295" s="905">
        <v>2733</v>
      </c>
      <c r="H1295" s="905">
        <v>2733</v>
      </c>
      <c r="I1295" s="906">
        <f t="shared" si="61"/>
        <v>100</v>
      </c>
    </row>
    <row r="1296" spans="1:23" ht="14.25" x14ac:dyDescent="0.2">
      <c r="A1296" s="435"/>
      <c r="B1296" s="808"/>
      <c r="C1296" s="808"/>
      <c r="D1296" s="578" t="s">
        <v>636</v>
      </c>
      <c r="E1296" s="474" t="s">
        <v>72</v>
      </c>
      <c r="F1296" s="903">
        <v>2733</v>
      </c>
      <c r="G1296" s="903">
        <v>2733</v>
      </c>
      <c r="H1296" s="903">
        <v>2733</v>
      </c>
      <c r="I1296" s="898">
        <f t="shared" si="61"/>
        <v>100</v>
      </c>
    </row>
    <row r="1297" spans="1:9" ht="15" x14ac:dyDescent="0.25">
      <c r="A1297" s="435">
        <v>1136</v>
      </c>
      <c r="B1297" s="808">
        <v>3123</v>
      </c>
      <c r="C1297" s="808">
        <v>5336</v>
      </c>
      <c r="D1297" s="578"/>
      <c r="E1297" s="1564" t="s">
        <v>1357</v>
      </c>
      <c r="F1297" s="903"/>
      <c r="G1297" s="916">
        <v>16102</v>
      </c>
      <c r="H1297" s="916">
        <v>16102</v>
      </c>
      <c r="I1297" s="908">
        <f t="shared" si="61"/>
        <v>100</v>
      </c>
    </row>
    <row r="1298" spans="1:9" ht="15" thickBot="1" x14ac:dyDescent="0.25">
      <c r="A1298" s="1552"/>
      <c r="B1298" s="962"/>
      <c r="C1298" s="962"/>
      <c r="D1298" s="757" t="s">
        <v>1267</v>
      </c>
      <c r="E1298" s="476" t="s">
        <v>882</v>
      </c>
      <c r="F1298" s="963"/>
      <c r="G1298" s="963">
        <v>16102</v>
      </c>
      <c r="H1298" s="963">
        <v>16102</v>
      </c>
      <c r="I1298" s="942">
        <f t="shared" si="61"/>
        <v>100</v>
      </c>
    </row>
    <row r="1299" spans="1:9" s="1555" customFormat="1" ht="15" thickTop="1" x14ac:dyDescent="0.2">
      <c r="B1299" s="803"/>
      <c r="C1299" s="803"/>
      <c r="D1299" s="853"/>
      <c r="E1299" s="67"/>
      <c r="F1299" s="911"/>
      <c r="G1299" s="911"/>
      <c r="H1299" s="911"/>
      <c r="I1299" s="964"/>
    </row>
    <row r="1300" spans="1:9" ht="13.5" thickBot="1" x14ac:dyDescent="0.25">
      <c r="A1300" s="439"/>
      <c r="I1300" s="1548" t="s">
        <v>179</v>
      </c>
    </row>
    <row r="1301" spans="1:9" s="107" customFormat="1" thickTop="1" thickBot="1" x14ac:dyDescent="0.25">
      <c r="A1301" s="657" t="s">
        <v>692</v>
      </c>
      <c r="B1301" s="835" t="s">
        <v>180</v>
      </c>
      <c r="C1301" s="658" t="s">
        <v>181</v>
      </c>
      <c r="D1301" s="660" t="s">
        <v>783</v>
      </c>
      <c r="E1301" s="660" t="s">
        <v>182</v>
      </c>
      <c r="F1301" s="660" t="s">
        <v>183</v>
      </c>
      <c r="G1301" s="660" t="s">
        <v>985</v>
      </c>
      <c r="H1301" s="660" t="s">
        <v>986</v>
      </c>
      <c r="I1301" s="888" t="s">
        <v>987</v>
      </c>
    </row>
    <row r="1302" spans="1:9" s="386" customFormat="1" ht="13.5" thickTop="1" thickBot="1" x14ac:dyDescent="0.25">
      <c r="A1302" s="592">
        <v>1</v>
      </c>
      <c r="B1302" s="593">
        <v>2</v>
      </c>
      <c r="C1302" s="593">
        <v>3</v>
      </c>
      <c r="D1302" s="593">
        <v>4</v>
      </c>
      <c r="E1302" s="593">
        <v>5</v>
      </c>
      <c r="F1302" s="567">
        <v>6</v>
      </c>
      <c r="G1302" s="567">
        <v>7</v>
      </c>
      <c r="H1302" s="568">
        <v>8</v>
      </c>
      <c r="I1302" s="662" t="s">
        <v>848</v>
      </c>
    </row>
    <row r="1303" spans="1:9" ht="15.75" thickTop="1" x14ac:dyDescent="0.25">
      <c r="A1303" s="435">
        <v>1136</v>
      </c>
      <c r="B1303" s="808">
        <v>3142</v>
      </c>
      <c r="C1303" s="808">
        <v>5331</v>
      </c>
      <c r="D1303" s="929"/>
      <c r="E1303" s="704" t="s">
        <v>1066</v>
      </c>
      <c r="F1303" s="916">
        <v>400</v>
      </c>
      <c r="G1303" s="916">
        <v>400</v>
      </c>
      <c r="H1303" s="916">
        <v>400</v>
      </c>
      <c r="I1303" s="906">
        <f t="shared" si="61"/>
        <v>100</v>
      </c>
    </row>
    <row r="1304" spans="1:9" ht="14.25" x14ac:dyDescent="0.2">
      <c r="A1304" s="435"/>
      <c r="B1304" s="808"/>
      <c r="C1304" s="808"/>
      <c r="D1304" s="578" t="s">
        <v>636</v>
      </c>
      <c r="E1304" s="474" t="s">
        <v>72</v>
      </c>
      <c r="F1304" s="903">
        <v>400</v>
      </c>
      <c r="G1304" s="903">
        <v>400</v>
      </c>
      <c r="H1304" s="903">
        <v>400</v>
      </c>
      <c r="I1304" s="898">
        <f t="shared" si="61"/>
        <v>100</v>
      </c>
    </row>
    <row r="1305" spans="1:9" ht="15" x14ac:dyDescent="0.25">
      <c r="A1305" s="435">
        <v>1136</v>
      </c>
      <c r="B1305" s="808">
        <v>3142</v>
      </c>
      <c r="C1305" s="808">
        <v>5336</v>
      </c>
      <c r="D1305" s="578"/>
      <c r="E1305" s="1564" t="s">
        <v>1357</v>
      </c>
      <c r="F1305" s="903"/>
      <c r="G1305" s="916">
        <v>413</v>
      </c>
      <c r="H1305" s="916">
        <v>413</v>
      </c>
      <c r="I1305" s="908">
        <f t="shared" si="61"/>
        <v>100</v>
      </c>
    </row>
    <row r="1306" spans="1:9" ht="17.25" customHeight="1" x14ac:dyDescent="0.2">
      <c r="A1306" s="435"/>
      <c r="B1306" s="808"/>
      <c r="C1306" s="808"/>
      <c r="D1306" s="578" t="s">
        <v>1267</v>
      </c>
      <c r="E1306" s="474" t="s">
        <v>882</v>
      </c>
      <c r="F1306" s="903"/>
      <c r="G1306" s="903">
        <v>413</v>
      </c>
      <c r="H1306" s="903">
        <v>413</v>
      </c>
      <c r="I1306" s="898">
        <f t="shared" si="61"/>
        <v>100</v>
      </c>
    </row>
    <row r="1307" spans="1:9" ht="15" x14ac:dyDescent="0.25">
      <c r="A1307" s="435">
        <v>1136</v>
      </c>
      <c r="B1307" s="808">
        <v>3147</v>
      </c>
      <c r="C1307" s="808">
        <v>5331</v>
      </c>
      <c r="D1307" s="929"/>
      <c r="E1307" s="704" t="s">
        <v>1066</v>
      </c>
      <c r="F1307" s="905">
        <v>890</v>
      </c>
      <c r="G1307" s="905">
        <v>890</v>
      </c>
      <c r="H1307" s="905">
        <v>890</v>
      </c>
      <c r="I1307" s="906">
        <f t="shared" si="61"/>
        <v>100</v>
      </c>
    </row>
    <row r="1308" spans="1:9" ht="14.25" x14ac:dyDescent="0.2">
      <c r="A1308" s="435"/>
      <c r="B1308" s="808"/>
      <c r="C1308" s="1551"/>
      <c r="D1308" s="578" t="s">
        <v>636</v>
      </c>
      <c r="E1308" s="474" t="s">
        <v>72</v>
      </c>
      <c r="F1308" s="903">
        <v>890</v>
      </c>
      <c r="G1308" s="903">
        <v>890</v>
      </c>
      <c r="H1308" s="903">
        <v>890</v>
      </c>
      <c r="I1308" s="898">
        <f t="shared" si="61"/>
        <v>100</v>
      </c>
    </row>
    <row r="1309" spans="1:9" ht="15" x14ac:dyDescent="0.25">
      <c r="A1309" s="435">
        <v>1136</v>
      </c>
      <c r="B1309" s="808">
        <v>3147</v>
      </c>
      <c r="C1309" s="1551">
        <v>5336</v>
      </c>
      <c r="D1309" s="578"/>
      <c r="E1309" s="1564" t="s">
        <v>1357</v>
      </c>
      <c r="F1309" s="903"/>
      <c r="G1309" s="916">
        <v>2270</v>
      </c>
      <c r="H1309" s="916">
        <v>2270</v>
      </c>
      <c r="I1309" s="908">
        <f t="shared" si="61"/>
        <v>100</v>
      </c>
    </row>
    <row r="1310" spans="1:9" ht="14.25" x14ac:dyDescent="0.2">
      <c r="A1310" s="435"/>
      <c r="B1310" s="808"/>
      <c r="C1310" s="1551"/>
      <c r="D1310" s="578" t="s">
        <v>1267</v>
      </c>
      <c r="E1310" s="474" t="s">
        <v>882</v>
      </c>
      <c r="F1310" s="903"/>
      <c r="G1310" s="903">
        <v>2270</v>
      </c>
      <c r="H1310" s="903">
        <v>2270</v>
      </c>
      <c r="I1310" s="898">
        <f t="shared" si="61"/>
        <v>100</v>
      </c>
    </row>
    <row r="1311" spans="1:9" ht="15" x14ac:dyDescent="0.25">
      <c r="A1311" s="435">
        <v>1136</v>
      </c>
      <c r="B1311" s="808">
        <v>3150</v>
      </c>
      <c r="C1311" s="808">
        <v>5331</v>
      </c>
      <c r="D1311" s="929"/>
      <c r="E1311" s="704" t="s">
        <v>1066</v>
      </c>
      <c r="F1311" s="905">
        <v>720</v>
      </c>
      <c r="G1311" s="905">
        <v>720</v>
      </c>
      <c r="H1311" s="905">
        <v>720</v>
      </c>
      <c r="I1311" s="906">
        <f t="shared" si="61"/>
        <v>100</v>
      </c>
    </row>
    <row r="1312" spans="1:9" ht="14.25" x14ac:dyDescent="0.2">
      <c r="A1312" s="435"/>
      <c r="B1312" s="808"/>
      <c r="C1312" s="808"/>
      <c r="D1312" s="578" t="s">
        <v>636</v>
      </c>
      <c r="E1312" s="474" t="s">
        <v>72</v>
      </c>
      <c r="F1312" s="903">
        <v>720</v>
      </c>
      <c r="G1312" s="903">
        <v>720</v>
      </c>
      <c r="H1312" s="903">
        <v>720</v>
      </c>
      <c r="I1312" s="898">
        <f t="shared" si="61"/>
        <v>100</v>
      </c>
    </row>
    <row r="1313" spans="1:20" ht="15" x14ac:dyDescent="0.25">
      <c r="A1313" s="435">
        <v>1136</v>
      </c>
      <c r="B1313" s="808">
        <v>3150</v>
      </c>
      <c r="C1313" s="808">
        <v>5336</v>
      </c>
      <c r="D1313" s="578"/>
      <c r="E1313" s="1564" t="s">
        <v>1357</v>
      </c>
      <c r="F1313" s="903"/>
      <c r="G1313" s="916">
        <v>2706</v>
      </c>
      <c r="H1313" s="916">
        <v>2706</v>
      </c>
      <c r="I1313" s="908">
        <f t="shared" si="61"/>
        <v>100</v>
      </c>
    </row>
    <row r="1314" spans="1:20" ht="14.25" x14ac:dyDescent="0.2">
      <c r="A1314" s="435"/>
      <c r="B1314" s="808"/>
      <c r="C1314" s="1551"/>
      <c r="D1314" s="578" t="s">
        <v>1267</v>
      </c>
      <c r="E1314" s="474" t="s">
        <v>882</v>
      </c>
      <c r="F1314" s="903"/>
      <c r="G1314" s="903">
        <v>2706</v>
      </c>
      <c r="H1314" s="903">
        <v>2706</v>
      </c>
      <c r="I1314" s="898">
        <f t="shared" si="61"/>
        <v>100</v>
      </c>
    </row>
    <row r="1315" spans="1:20" ht="15" x14ac:dyDescent="0.25">
      <c r="A1315" s="435">
        <v>1136</v>
      </c>
      <c r="B1315" s="808">
        <v>3293</v>
      </c>
      <c r="C1315" s="1550">
        <v>5331</v>
      </c>
      <c r="D1315" s="899"/>
      <c r="E1315" s="854" t="s">
        <v>1066</v>
      </c>
      <c r="F1315" s="890"/>
      <c r="G1315" s="890">
        <v>6</v>
      </c>
      <c r="H1315" s="905">
        <v>6</v>
      </c>
      <c r="I1315" s="906">
        <f t="shared" si="61"/>
        <v>100</v>
      </c>
    </row>
    <row r="1316" spans="1:20" ht="15" thickBot="1" x14ac:dyDescent="0.25">
      <c r="A1316" s="435"/>
      <c r="B1316" s="705"/>
      <c r="C1316" s="1550"/>
      <c r="D1316" s="1301" t="s">
        <v>1270</v>
      </c>
      <c r="E1316" s="1568" t="s">
        <v>1359</v>
      </c>
      <c r="F1316" s="897"/>
      <c r="G1316" s="897">
        <v>6</v>
      </c>
      <c r="H1316" s="897">
        <v>6</v>
      </c>
      <c r="I1316" s="893">
        <f t="shared" si="61"/>
        <v>100</v>
      </c>
    </row>
    <row r="1317" spans="1:20" ht="16.5" thickTop="1" thickBot="1" x14ac:dyDescent="0.3">
      <c r="A1317" s="2739" t="s">
        <v>1246</v>
      </c>
      <c r="B1317" s="2740"/>
      <c r="C1317" s="2740"/>
      <c r="D1317" s="2740"/>
      <c r="E1317" s="2740"/>
      <c r="F1317" s="894">
        <f>F1288+F1291+F1295+F1297+F1303+F1305+F1307+F1309+F1311+F1313+F1315</f>
        <v>7813</v>
      </c>
      <c r="G1317" s="894">
        <f>G1288+G1291+G1295+G1297+G1303+G1305+G1307+G1309+G1311+G1313+G1315</f>
        <v>35459</v>
      </c>
      <c r="H1317" s="894">
        <f>H1288+H1291+H1295+H1297+H1303+H1305+H1307+H1309+H1311+H1313+H1315</f>
        <v>35459</v>
      </c>
      <c r="I1317" s="895">
        <f t="shared" si="61"/>
        <v>100</v>
      </c>
      <c r="R1317" s="385">
        <f>F1317</f>
        <v>7813</v>
      </c>
      <c r="S1317" s="385">
        <f>G1317</f>
        <v>35459</v>
      </c>
      <c r="T1317" s="385">
        <f>H1317</f>
        <v>35459</v>
      </c>
    </row>
    <row r="1318" spans="1:20" ht="15.75" thickTop="1" x14ac:dyDescent="0.25">
      <c r="A1318" s="370"/>
      <c r="B1318" s="370"/>
      <c r="C1318" s="370"/>
      <c r="D1318" s="370"/>
      <c r="E1318" s="370"/>
      <c r="F1318" s="181"/>
      <c r="G1318" s="181"/>
      <c r="H1318" s="181"/>
      <c r="I1318" s="210"/>
      <c r="R1318" s="385"/>
      <c r="S1318" s="385"/>
      <c r="T1318" s="385"/>
    </row>
    <row r="1319" spans="1:20" ht="13.5" thickBot="1" x14ac:dyDescent="0.25">
      <c r="A1319" s="439" t="s">
        <v>570</v>
      </c>
      <c r="I1319" s="1548" t="s">
        <v>179</v>
      </c>
    </row>
    <row r="1320" spans="1:20" s="107" customFormat="1" thickTop="1" thickBot="1" x14ac:dyDescent="0.25">
      <c r="A1320" s="657" t="s">
        <v>692</v>
      </c>
      <c r="B1320" s="835" t="s">
        <v>180</v>
      </c>
      <c r="C1320" s="658" t="s">
        <v>181</v>
      </c>
      <c r="D1320" s="660" t="s">
        <v>783</v>
      </c>
      <c r="E1320" s="660" t="s">
        <v>182</v>
      </c>
      <c r="F1320" s="660" t="s">
        <v>183</v>
      </c>
      <c r="G1320" s="660" t="s">
        <v>985</v>
      </c>
      <c r="H1320" s="660" t="s">
        <v>986</v>
      </c>
      <c r="I1320" s="888" t="s">
        <v>987</v>
      </c>
    </row>
    <row r="1321" spans="1:20" s="386" customFormat="1" ht="13.5" thickTop="1" thickBot="1" x14ac:dyDescent="0.25">
      <c r="A1321" s="592">
        <v>1</v>
      </c>
      <c r="B1321" s="593">
        <v>2</v>
      </c>
      <c r="C1321" s="593">
        <v>3</v>
      </c>
      <c r="D1321" s="593">
        <v>4</v>
      </c>
      <c r="E1321" s="593">
        <v>5</v>
      </c>
      <c r="F1321" s="567">
        <v>6</v>
      </c>
      <c r="G1321" s="567">
        <v>7</v>
      </c>
      <c r="H1321" s="568">
        <v>8</v>
      </c>
      <c r="I1321" s="662" t="s">
        <v>848</v>
      </c>
    </row>
    <row r="1322" spans="1:20" ht="15.75" thickTop="1" x14ac:dyDescent="0.25">
      <c r="A1322" s="1549">
        <v>1137</v>
      </c>
      <c r="B1322" s="836">
        <v>3122</v>
      </c>
      <c r="C1322" s="836">
        <v>5331</v>
      </c>
      <c r="D1322" s="909"/>
      <c r="E1322" s="930" t="s">
        <v>1066</v>
      </c>
      <c r="F1322" s="931">
        <f>F1323+F1324+F1325</f>
        <v>2102</v>
      </c>
      <c r="G1322" s="931">
        <f>G1323+G1324+G1325</f>
        <v>2093</v>
      </c>
      <c r="H1322" s="931">
        <f>H1323+H1324+H1325</f>
        <v>2093</v>
      </c>
      <c r="I1322" s="896">
        <f t="shared" ref="I1322:I1330" si="62">(H1322/G1322)*100</f>
        <v>100</v>
      </c>
    </row>
    <row r="1323" spans="1:20" ht="14.25" x14ac:dyDescent="0.2">
      <c r="A1323" s="435"/>
      <c r="B1323" s="705"/>
      <c r="C1323" s="705"/>
      <c r="D1323" s="743" t="s">
        <v>641</v>
      </c>
      <c r="E1323" s="1679" t="s">
        <v>883</v>
      </c>
      <c r="F1323" s="897">
        <v>366</v>
      </c>
      <c r="G1323" s="897">
        <v>357</v>
      </c>
      <c r="H1323" s="897">
        <v>357</v>
      </c>
      <c r="I1323" s="893">
        <f t="shared" si="62"/>
        <v>100</v>
      </c>
    </row>
    <row r="1324" spans="1:20" ht="14.25" x14ac:dyDescent="0.2">
      <c r="A1324" s="435"/>
      <c r="B1324" s="705"/>
      <c r="C1324" s="705"/>
      <c r="D1324" s="578" t="s">
        <v>636</v>
      </c>
      <c r="E1324" s="474" t="s">
        <v>72</v>
      </c>
      <c r="F1324" s="897">
        <v>1687</v>
      </c>
      <c r="G1324" s="897">
        <v>1720</v>
      </c>
      <c r="H1324" s="897">
        <v>1720</v>
      </c>
      <c r="I1324" s="893">
        <f t="shared" si="62"/>
        <v>100</v>
      </c>
    </row>
    <row r="1325" spans="1:20" ht="14.25" x14ac:dyDescent="0.2">
      <c r="A1325" s="435"/>
      <c r="B1325" s="808"/>
      <c r="C1325" s="808"/>
      <c r="D1325" s="1169" t="s">
        <v>735</v>
      </c>
      <c r="E1325" s="1398" t="s">
        <v>1454</v>
      </c>
      <c r="F1325" s="903">
        <v>49</v>
      </c>
      <c r="G1325" s="903">
        <v>16</v>
      </c>
      <c r="H1325" s="903">
        <v>16</v>
      </c>
      <c r="I1325" s="893">
        <f t="shared" si="62"/>
        <v>100</v>
      </c>
    </row>
    <row r="1326" spans="1:20" ht="15" x14ac:dyDescent="0.25">
      <c r="A1326" s="435">
        <v>1137</v>
      </c>
      <c r="B1326" s="808">
        <v>3122</v>
      </c>
      <c r="C1326" s="808">
        <v>5336</v>
      </c>
      <c r="D1326" s="2536"/>
      <c r="E1326" s="1564" t="s">
        <v>1357</v>
      </c>
      <c r="F1326" s="903"/>
      <c r="G1326" s="916">
        <f>G1327+G1328+G1329</f>
        <v>10457</v>
      </c>
      <c r="H1326" s="916">
        <f>H1327+H1328+H1329</f>
        <v>10457</v>
      </c>
      <c r="I1326" s="908">
        <f t="shared" si="62"/>
        <v>100</v>
      </c>
    </row>
    <row r="1327" spans="1:20" ht="14.25" x14ac:dyDescent="0.2">
      <c r="A1327" s="435"/>
      <c r="B1327" s="808"/>
      <c r="C1327" s="1551"/>
      <c r="D1327" s="578" t="s">
        <v>1267</v>
      </c>
      <c r="E1327" s="474" t="s">
        <v>882</v>
      </c>
      <c r="F1327" s="903"/>
      <c r="G1327" s="903">
        <v>9932</v>
      </c>
      <c r="H1327" s="903">
        <v>9932</v>
      </c>
      <c r="I1327" s="898">
        <f t="shared" si="62"/>
        <v>100</v>
      </c>
    </row>
    <row r="1328" spans="1:20" ht="18" customHeight="1" x14ac:dyDescent="0.2">
      <c r="A1328" s="435"/>
      <c r="B1328" s="808"/>
      <c r="C1328" s="1551"/>
      <c r="D1328" s="1569" t="s">
        <v>1771</v>
      </c>
      <c r="E1328" s="1561" t="s">
        <v>1908</v>
      </c>
      <c r="F1328" s="903"/>
      <c r="G1328" s="903">
        <v>79</v>
      </c>
      <c r="H1328" s="903">
        <v>79</v>
      </c>
      <c r="I1328" s="898">
        <f t="shared" si="62"/>
        <v>100</v>
      </c>
    </row>
    <row r="1329" spans="1:20" ht="15" thickBot="1" x14ac:dyDescent="0.25">
      <c r="A1329" s="435"/>
      <c r="B1329" s="808"/>
      <c r="C1329" s="1551"/>
      <c r="D1329" s="1569" t="s">
        <v>1773</v>
      </c>
      <c r="E1329" s="1561" t="s">
        <v>1908</v>
      </c>
      <c r="F1329" s="903"/>
      <c r="G1329" s="903">
        <v>446</v>
      </c>
      <c r="H1329" s="903">
        <v>446</v>
      </c>
      <c r="I1329" s="898">
        <f t="shared" si="62"/>
        <v>100</v>
      </c>
    </row>
    <row r="1330" spans="1:20" ht="16.5" thickTop="1" thickBot="1" x14ac:dyDescent="0.3">
      <c r="A1330" s="2739" t="s">
        <v>1246</v>
      </c>
      <c r="B1330" s="2740"/>
      <c r="C1330" s="2740"/>
      <c r="D1330" s="2740"/>
      <c r="E1330" s="2740"/>
      <c r="F1330" s="894">
        <f>F1322+F1326</f>
        <v>2102</v>
      </c>
      <c r="G1330" s="894">
        <f>G1322+G1326</f>
        <v>12550</v>
      </c>
      <c r="H1330" s="894">
        <f>H1322+H1326</f>
        <v>12550</v>
      </c>
      <c r="I1330" s="895">
        <f t="shared" si="62"/>
        <v>100</v>
      </c>
      <c r="R1330" s="385">
        <f>F1330</f>
        <v>2102</v>
      </c>
      <c r="S1330" s="385">
        <f>G1330</f>
        <v>12550</v>
      </c>
      <c r="T1330" s="385">
        <f>H1330</f>
        <v>12550</v>
      </c>
    </row>
    <row r="1331" spans="1:20" ht="13.5" thickTop="1" x14ac:dyDescent="0.2"/>
    <row r="1332" spans="1:20" ht="13.5" thickBot="1" x14ac:dyDescent="0.25">
      <c r="A1332" s="439" t="s">
        <v>571</v>
      </c>
      <c r="I1332" s="1548" t="s">
        <v>179</v>
      </c>
    </row>
    <row r="1333" spans="1:20" s="107" customFormat="1" thickTop="1" thickBot="1" x14ac:dyDescent="0.25">
      <c r="A1333" s="657" t="s">
        <v>692</v>
      </c>
      <c r="B1333" s="835" t="s">
        <v>180</v>
      </c>
      <c r="C1333" s="658" t="s">
        <v>181</v>
      </c>
      <c r="D1333" s="660" t="s">
        <v>783</v>
      </c>
      <c r="E1333" s="660" t="s">
        <v>182</v>
      </c>
      <c r="F1333" s="660" t="s">
        <v>183</v>
      </c>
      <c r="G1333" s="660" t="s">
        <v>985</v>
      </c>
      <c r="H1333" s="660" t="s">
        <v>986</v>
      </c>
      <c r="I1333" s="888" t="s">
        <v>987</v>
      </c>
    </row>
    <row r="1334" spans="1:20" s="386" customFormat="1" ht="13.5" thickTop="1" thickBot="1" x14ac:dyDescent="0.25">
      <c r="A1334" s="592">
        <v>1</v>
      </c>
      <c r="B1334" s="593">
        <v>2</v>
      </c>
      <c r="C1334" s="593">
        <v>3</v>
      </c>
      <c r="D1334" s="593">
        <v>4</v>
      </c>
      <c r="E1334" s="593">
        <v>5</v>
      </c>
      <c r="F1334" s="567">
        <v>6</v>
      </c>
      <c r="G1334" s="567">
        <v>7</v>
      </c>
      <c r="H1334" s="568">
        <v>8</v>
      </c>
      <c r="I1334" s="662" t="s">
        <v>848</v>
      </c>
    </row>
    <row r="1335" spans="1:20" ht="20.25" customHeight="1" thickTop="1" x14ac:dyDescent="0.25">
      <c r="A1335" s="1549">
        <v>1138</v>
      </c>
      <c r="B1335" s="836">
        <v>3122</v>
      </c>
      <c r="C1335" s="836">
        <v>5331</v>
      </c>
      <c r="D1335" s="909"/>
      <c r="E1335" s="930" t="s">
        <v>1066</v>
      </c>
      <c r="F1335" s="931">
        <f>F1336+F1337</f>
        <v>3053</v>
      </c>
      <c r="G1335" s="931">
        <f>G1336+G1337+G1338+G1339</f>
        <v>2734</v>
      </c>
      <c r="H1335" s="931">
        <f>H1336+H1337+H1338+H1339</f>
        <v>2734</v>
      </c>
      <c r="I1335" s="896">
        <f t="shared" ref="I1335:I1356" si="63">(H1335/G1335)*100</f>
        <v>100</v>
      </c>
    </row>
    <row r="1336" spans="1:20" ht="14.25" x14ac:dyDescent="0.2">
      <c r="A1336" s="435"/>
      <c r="B1336" s="705"/>
      <c r="C1336" s="705"/>
      <c r="D1336" s="743" t="s">
        <v>641</v>
      </c>
      <c r="E1336" s="1679" t="s">
        <v>883</v>
      </c>
      <c r="F1336" s="897">
        <v>750</v>
      </c>
      <c r="G1336" s="897">
        <v>377</v>
      </c>
      <c r="H1336" s="897">
        <v>377</v>
      </c>
      <c r="I1336" s="893">
        <f t="shared" si="63"/>
        <v>100</v>
      </c>
    </row>
    <row r="1337" spans="1:20" ht="14.25" x14ac:dyDescent="0.2">
      <c r="A1337" s="435"/>
      <c r="B1337" s="705"/>
      <c r="C1337" s="705"/>
      <c r="D1337" s="578" t="s">
        <v>636</v>
      </c>
      <c r="E1337" s="474" t="s">
        <v>72</v>
      </c>
      <c r="F1337" s="897">
        <v>2303</v>
      </c>
      <c r="G1337" s="897">
        <v>2303</v>
      </c>
      <c r="H1337" s="897">
        <v>2303</v>
      </c>
      <c r="I1337" s="893">
        <f t="shared" si="63"/>
        <v>100</v>
      </c>
    </row>
    <row r="1338" spans="1:20" ht="14.25" x14ac:dyDescent="0.2">
      <c r="A1338" s="435"/>
      <c r="B1338" s="705"/>
      <c r="C1338" s="705"/>
      <c r="D1338" s="1178" t="s">
        <v>1040</v>
      </c>
      <c r="E1338" s="2585" t="s">
        <v>1907</v>
      </c>
      <c r="F1338" s="897"/>
      <c r="G1338" s="897">
        <v>30</v>
      </c>
      <c r="H1338" s="897">
        <v>30</v>
      </c>
      <c r="I1338" s="893">
        <f t="shared" si="63"/>
        <v>100</v>
      </c>
    </row>
    <row r="1339" spans="1:20" ht="14.25" x14ac:dyDescent="0.2">
      <c r="A1339" s="435"/>
      <c r="B1339" s="705"/>
      <c r="C1339" s="705"/>
      <c r="D1339" s="1178" t="s">
        <v>1763</v>
      </c>
      <c r="E1339" s="2590" t="s">
        <v>1913</v>
      </c>
      <c r="F1339" s="897"/>
      <c r="G1339" s="897">
        <v>24</v>
      </c>
      <c r="H1339" s="897">
        <v>24</v>
      </c>
      <c r="I1339" s="893">
        <f t="shared" si="63"/>
        <v>100</v>
      </c>
    </row>
    <row r="1340" spans="1:20" ht="15" x14ac:dyDescent="0.25">
      <c r="A1340" s="435">
        <v>1138</v>
      </c>
      <c r="B1340" s="705">
        <v>3122</v>
      </c>
      <c r="C1340" s="705">
        <v>5336</v>
      </c>
      <c r="D1340" s="2536"/>
      <c r="E1340" s="1564" t="s">
        <v>1357</v>
      </c>
      <c r="F1340" s="897"/>
      <c r="G1340" s="921">
        <f>G1341+G1342+G1343</f>
        <v>16378</v>
      </c>
      <c r="H1340" s="921">
        <f>H1341+H1342+H1343</f>
        <v>16378</v>
      </c>
      <c r="I1340" s="923">
        <f t="shared" si="63"/>
        <v>100</v>
      </c>
    </row>
    <row r="1341" spans="1:20" ht="14.25" x14ac:dyDescent="0.2">
      <c r="A1341" s="435"/>
      <c r="B1341" s="705"/>
      <c r="C1341" s="1550"/>
      <c r="D1341" s="578" t="s">
        <v>1267</v>
      </c>
      <c r="E1341" s="474" t="s">
        <v>882</v>
      </c>
      <c r="F1341" s="897"/>
      <c r="G1341" s="897">
        <v>15537</v>
      </c>
      <c r="H1341" s="897">
        <v>15537</v>
      </c>
      <c r="I1341" s="893">
        <f t="shared" si="63"/>
        <v>100</v>
      </c>
    </row>
    <row r="1342" spans="1:20" ht="14.25" x14ac:dyDescent="0.2">
      <c r="A1342" s="435"/>
      <c r="B1342" s="808"/>
      <c r="C1342" s="1551"/>
      <c r="D1342" s="1569" t="s">
        <v>1771</v>
      </c>
      <c r="E1342" s="1561" t="s">
        <v>1908</v>
      </c>
      <c r="F1342" s="903"/>
      <c r="G1342" s="903">
        <v>126</v>
      </c>
      <c r="H1342" s="903">
        <v>126</v>
      </c>
      <c r="I1342" s="893">
        <f t="shared" si="63"/>
        <v>100</v>
      </c>
    </row>
    <row r="1343" spans="1:20" ht="13.5" customHeight="1" x14ac:dyDescent="0.2">
      <c r="A1343" s="435"/>
      <c r="B1343" s="808"/>
      <c r="C1343" s="1551"/>
      <c r="D1343" s="1569" t="s">
        <v>1773</v>
      </c>
      <c r="E1343" s="1561" t="s">
        <v>1908</v>
      </c>
      <c r="F1343" s="903"/>
      <c r="G1343" s="903">
        <v>715</v>
      </c>
      <c r="H1343" s="903">
        <v>715</v>
      </c>
      <c r="I1343" s="893">
        <f t="shared" si="63"/>
        <v>100</v>
      </c>
    </row>
    <row r="1344" spans="1:20" ht="13.5" customHeight="1" x14ac:dyDescent="0.25">
      <c r="A1344" s="435">
        <v>1138</v>
      </c>
      <c r="B1344" s="808">
        <v>3141</v>
      </c>
      <c r="C1344" s="1551">
        <v>5336</v>
      </c>
      <c r="D1344" s="594"/>
      <c r="E1344" s="1564" t="s">
        <v>1357</v>
      </c>
      <c r="F1344" s="916"/>
      <c r="G1344" s="916">
        <v>312</v>
      </c>
      <c r="H1344" s="916">
        <v>312</v>
      </c>
      <c r="I1344" s="923">
        <f t="shared" si="63"/>
        <v>100</v>
      </c>
    </row>
    <row r="1345" spans="1:20" ht="13.5" customHeight="1" x14ac:dyDescent="0.2">
      <c r="A1345" s="435"/>
      <c r="B1345" s="808"/>
      <c r="C1345" s="1551"/>
      <c r="D1345" s="578" t="s">
        <v>1267</v>
      </c>
      <c r="E1345" s="474" t="s">
        <v>882</v>
      </c>
      <c r="F1345" s="903"/>
      <c r="G1345" s="903">
        <v>312</v>
      </c>
      <c r="H1345" s="903">
        <v>312</v>
      </c>
      <c r="I1345" s="893">
        <f t="shared" si="63"/>
        <v>100</v>
      </c>
    </row>
    <row r="1346" spans="1:20" ht="18" customHeight="1" x14ac:dyDescent="0.25">
      <c r="A1346" s="435">
        <v>1138</v>
      </c>
      <c r="B1346" s="808">
        <v>3142</v>
      </c>
      <c r="C1346" s="808">
        <v>5331</v>
      </c>
      <c r="D1346" s="929"/>
      <c r="E1346" s="704" t="s">
        <v>1066</v>
      </c>
      <c r="F1346" s="905">
        <f>SUM(F1347:F1350)</f>
        <v>587</v>
      </c>
      <c r="G1346" s="905">
        <f>G1347+G1348</f>
        <v>804</v>
      </c>
      <c r="H1346" s="905">
        <f>H1347+H1348</f>
        <v>804</v>
      </c>
      <c r="I1346" s="906">
        <f t="shared" si="63"/>
        <v>100</v>
      </c>
    </row>
    <row r="1347" spans="1:20" ht="18" customHeight="1" x14ac:dyDescent="0.2">
      <c r="A1347" s="435"/>
      <c r="B1347" s="705"/>
      <c r="C1347" s="705"/>
      <c r="D1347" s="743" t="s">
        <v>641</v>
      </c>
      <c r="E1347" s="1679" t="s">
        <v>883</v>
      </c>
      <c r="F1347" s="897">
        <v>110</v>
      </c>
      <c r="G1347" s="897">
        <v>327</v>
      </c>
      <c r="H1347" s="897">
        <v>327</v>
      </c>
      <c r="I1347" s="893">
        <f t="shared" si="63"/>
        <v>100</v>
      </c>
    </row>
    <row r="1348" spans="1:20" ht="14.25" customHeight="1" x14ac:dyDescent="0.2">
      <c r="A1348" s="435"/>
      <c r="B1348" s="705"/>
      <c r="C1348" s="705"/>
      <c r="D1348" s="578" t="s">
        <v>636</v>
      </c>
      <c r="E1348" s="474" t="s">
        <v>72</v>
      </c>
      <c r="F1348" s="897">
        <v>477</v>
      </c>
      <c r="G1348" s="897">
        <v>477</v>
      </c>
      <c r="H1348" s="897">
        <v>477</v>
      </c>
      <c r="I1348" s="893">
        <f t="shared" si="63"/>
        <v>100</v>
      </c>
    </row>
    <row r="1349" spans="1:20" ht="15.75" customHeight="1" x14ac:dyDescent="0.25">
      <c r="A1349" s="435">
        <v>1138</v>
      </c>
      <c r="B1349" s="705">
        <v>3142</v>
      </c>
      <c r="C1349" s="705">
        <v>5336</v>
      </c>
      <c r="D1349" s="578"/>
      <c r="E1349" s="1564" t="s">
        <v>1357</v>
      </c>
      <c r="F1349" s="897"/>
      <c r="G1349" s="921">
        <v>877</v>
      </c>
      <c r="H1349" s="921">
        <v>877</v>
      </c>
      <c r="I1349" s="923">
        <f t="shared" si="63"/>
        <v>100</v>
      </c>
    </row>
    <row r="1350" spans="1:20" ht="14.25" x14ac:dyDescent="0.2">
      <c r="A1350" s="435"/>
      <c r="B1350" s="705"/>
      <c r="C1350" s="1550"/>
      <c r="D1350" s="578" t="s">
        <v>1267</v>
      </c>
      <c r="E1350" s="474" t="s">
        <v>882</v>
      </c>
      <c r="F1350" s="897"/>
      <c r="G1350" s="897">
        <v>877</v>
      </c>
      <c r="H1350" s="897">
        <v>877</v>
      </c>
      <c r="I1350" s="893">
        <f t="shared" si="63"/>
        <v>100</v>
      </c>
    </row>
    <row r="1351" spans="1:20" ht="20.25" customHeight="1" x14ac:dyDescent="0.25">
      <c r="A1351" s="435">
        <v>1138</v>
      </c>
      <c r="B1351" s="705">
        <v>3147</v>
      </c>
      <c r="C1351" s="705">
        <v>5331</v>
      </c>
      <c r="D1351" s="889"/>
      <c r="E1351" s="854" t="s">
        <v>1066</v>
      </c>
      <c r="F1351" s="890">
        <f>F1352+F1353</f>
        <v>610</v>
      </c>
      <c r="G1351" s="890">
        <f>G1352+G1353+G1354</f>
        <v>932</v>
      </c>
      <c r="H1351" s="890">
        <f>H1352+H1353+H1354</f>
        <v>932</v>
      </c>
      <c r="I1351" s="891">
        <f t="shared" si="63"/>
        <v>100</v>
      </c>
    </row>
    <row r="1352" spans="1:20" ht="14.25" x14ac:dyDescent="0.2">
      <c r="A1352" s="435"/>
      <c r="B1352" s="705"/>
      <c r="C1352" s="705"/>
      <c r="D1352" s="743" t="s">
        <v>641</v>
      </c>
      <c r="E1352" s="1679" t="s">
        <v>883</v>
      </c>
      <c r="F1352" s="897">
        <v>190</v>
      </c>
      <c r="G1352" s="897">
        <v>202</v>
      </c>
      <c r="H1352" s="897">
        <v>202</v>
      </c>
      <c r="I1352" s="893">
        <f t="shared" si="63"/>
        <v>100</v>
      </c>
    </row>
    <row r="1353" spans="1:20" ht="14.25" x14ac:dyDescent="0.2">
      <c r="A1353" s="435"/>
      <c r="B1353" s="705"/>
      <c r="C1353" s="705"/>
      <c r="D1353" s="578" t="s">
        <v>636</v>
      </c>
      <c r="E1353" s="474" t="s">
        <v>72</v>
      </c>
      <c r="F1353" s="897">
        <v>420</v>
      </c>
      <c r="G1353" s="897">
        <v>420</v>
      </c>
      <c r="H1353" s="897">
        <v>420</v>
      </c>
      <c r="I1353" s="893">
        <f t="shared" si="63"/>
        <v>100</v>
      </c>
    </row>
    <row r="1354" spans="1:20" ht="14.25" x14ac:dyDescent="0.2">
      <c r="A1354" s="435"/>
      <c r="B1354" s="705"/>
      <c r="C1354" s="705"/>
      <c r="D1354" s="1565" t="s">
        <v>22</v>
      </c>
      <c r="E1354" s="1275" t="s">
        <v>1351</v>
      </c>
      <c r="F1354" s="897"/>
      <c r="G1354" s="897">
        <v>310</v>
      </c>
      <c r="H1354" s="897">
        <v>310</v>
      </c>
      <c r="I1354" s="893">
        <f t="shared" si="63"/>
        <v>100</v>
      </c>
    </row>
    <row r="1355" spans="1:20" ht="15" x14ac:dyDescent="0.25">
      <c r="A1355" s="435">
        <v>1138</v>
      </c>
      <c r="B1355" s="705">
        <v>3147</v>
      </c>
      <c r="C1355" s="705">
        <v>5336</v>
      </c>
      <c r="D1355" s="578"/>
      <c r="E1355" s="1564" t="s">
        <v>1357</v>
      </c>
      <c r="F1355" s="897"/>
      <c r="G1355" s="921">
        <v>2548</v>
      </c>
      <c r="H1355" s="921">
        <v>2548</v>
      </c>
      <c r="I1355" s="923">
        <f t="shared" si="63"/>
        <v>100</v>
      </c>
    </row>
    <row r="1356" spans="1:20" ht="15" thickBot="1" x14ac:dyDescent="0.25">
      <c r="A1356" s="435"/>
      <c r="B1356" s="705"/>
      <c r="C1356" s="1550"/>
      <c r="D1356" s="578" t="s">
        <v>1267</v>
      </c>
      <c r="E1356" s="474" t="s">
        <v>882</v>
      </c>
      <c r="F1356" s="897"/>
      <c r="G1356" s="897">
        <v>2548</v>
      </c>
      <c r="H1356" s="897">
        <v>2548</v>
      </c>
      <c r="I1356" s="893">
        <f t="shared" si="63"/>
        <v>100</v>
      </c>
    </row>
    <row r="1357" spans="1:20" ht="16.5" thickTop="1" thickBot="1" x14ac:dyDescent="0.3">
      <c r="A1357" s="2739" t="s">
        <v>1246</v>
      </c>
      <c r="B1357" s="2740"/>
      <c r="C1357" s="2740"/>
      <c r="D1357" s="2740"/>
      <c r="E1357" s="2740"/>
      <c r="F1357" s="894">
        <f>F1335+F1340+F1344+F1346+F1349+F1351+F1355</f>
        <v>4250</v>
      </c>
      <c r="G1357" s="894">
        <f>G1335+G1340+G1344+G1346+G1349+G1351+G1355</f>
        <v>24585</v>
      </c>
      <c r="H1357" s="894">
        <f>H1335+H1340+H1344+H1346+H1349+H1351+H1355</f>
        <v>24585</v>
      </c>
      <c r="I1357" s="895">
        <f>(H1357/G1357)*100</f>
        <v>100</v>
      </c>
      <c r="R1357" s="385">
        <f>F1357</f>
        <v>4250</v>
      </c>
      <c r="S1357" s="385">
        <f>G1357</f>
        <v>24585</v>
      </c>
      <c r="T1357" s="385">
        <f>H1357</f>
        <v>24585</v>
      </c>
    </row>
    <row r="1358" spans="1:20" ht="13.5" customHeight="1" thickTop="1" x14ac:dyDescent="0.2"/>
    <row r="1359" spans="1:20" ht="18" customHeight="1" thickBot="1" x14ac:dyDescent="0.25">
      <c r="A1359" s="439" t="s">
        <v>572</v>
      </c>
      <c r="I1359" s="1548" t="s">
        <v>179</v>
      </c>
    </row>
    <row r="1360" spans="1:20" s="107" customFormat="1" ht="18" customHeight="1" thickTop="1" thickBot="1" x14ac:dyDescent="0.25">
      <c r="A1360" s="657" t="s">
        <v>692</v>
      </c>
      <c r="B1360" s="835" t="s">
        <v>180</v>
      </c>
      <c r="C1360" s="658" t="s">
        <v>181</v>
      </c>
      <c r="D1360" s="660" t="s">
        <v>783</v>
      </c>
      <c r="E1360" s="660" t="s">
        <v>182</v>
      </c>
      <c r="F1360" s="660" t="s">
        <v>183</v>
      </c>
      <c r="G1360" s="660" t="s">
        <v>985</v>
      </c>
      <c r="H1360" s="660" t="s">
        <v>986</v>
      </c>
      <c r="I1360" s="888" t="s">
        <v>987</v>
      </c>
    </row>
    <row r="1361" spans="1:16" s="386" customFormat="1" ht="9.75" customHeight="1" thickTop="1" thickBot="1" x14ac:dyDescent="0.25">
      <c r="A1361" s="592">
        <v>1</v>
      </c>
      <c r="B1361" s="593">
        <v>2</v>
      </c>
      <c r="C1361" s="593">
        <v>3</v>
      </c>
      <c r="D1361" s="593">
        <v>4</v>
      </c>
      <c r="E1361" s="593">
        <v>5</v>
      </c>
      <c r="F1361" s="567">
        <v>6</v>
      </c>
      <c r="G1361" s="567">
        <v>7</v>
      </c>
      <c r="H1361" s="568">
        <v>8</v>
      </c>
      <c r="I1361" s="662" t="s">
        <v>848</v>
      </c>
    </row>
    <row r="1362" spans="1:16" ht="17.25" customHeight="1" thickTop="1" x14ac:dyDescent="0.25">
      <c r="A1362" s="1549">
        <v>1140</v>
      </c>
      <c r="B1362" s="836">
        <v>3122</v>
      </c>
      <c r="C1362" s="836">
        <v>5336</v>
      </c>
      <c r="D1362" s="909"/>
      <c r="E1362" s="1564" t="s">
        <v>1357</v>
      </c>
      <c r="F1362" s="931"/>
      <c r="G1362" s="931">
        <v>5353</v>
      </c>
      <c r="H1362" s="931">
        <v>5353</v>
      </c>
      <c r="I1362" s="896">
        <f t="shared" ref="I1362:I1381" si="64">(H1362/G1362)*100</f>
        <v>100</v>
      </c>
    </row>
    <row r="1363" spans="1:16" ht="9.75" customHeight="1" x14ac:dyDescent="0.2">
      <c r="A1363" s="435"/>
      <c r="B1363" s="705"/>
      <c r="C1363" s="1550"/>
      <c r="D1363" s="578" t="s">
        <v>1267</v>
      </c>
      <c r="E1363" s="474" t="s">
        <v>882</v>
      </c>
      <c r="F1363" s="897"/>
      <c r="G1363" s="897">
        <v>5353</v>
      </c>
      <c r="H1363" s="897">
        <v>5353</v>
      </c>
      <c r="I1363" s="893">
        <f t="shared" si="64"/>
        <v>100</v>
      </c>
    </row>
    <row r="1364" spans="1:16" ht="15" x14ac:dyDescent="0.25">
      <c r="A1364" s="435">
        <v>1140</v>
      </c>
      <c r="B1364" s="808">
        <v>3123</v>
      </c>
      <c r="C1364" s="808">
        <v>5331</v>
      </c>
      <c r="D1364" s="929"/>
      <c r="E1364" s="704" t="s">
        <v>1066</v>
      </c>
      <c r="F1364" s="905">
        <f>F1365+F1366+F1367</f>
        <v>9569</v>
      </c>
      <c r="G1364" s="905">
        <f>G1365+G1366+G1367</f>
        <v>10497</v>
      </c>
      <c r="H1364" s="905">
        <f>H1365+H1366+H1367</f>
        <v>10497</v>
      </c>
      <c r="I1364" s="906">
        <f t="shared" si="64"/>
        <v>100</v>
      </c>
    </row>
    <row r="1365" spans="1:16" ht="20.25" customHeight="1" x14ac:dyDescent="0.2">
      <c r="A1365" s="435"/>
      <c r="B1365" s="808"/>
      <c r="C1365" s="808"/>
      <c r="D1365" s="743" t="s">
        <v>641</v>
      </c>
      <c r="E1365" s="1679" t="s">
        <v>883</v>
      </c>
      <c r="F1365" s="903">
        <v>2138</v>
      </c>
      <c r="G1365" s="903">
        <v>2068</v>
      </c>
      <c r="H1365" s="903">
        <v>2068</v>
      </c>
      <c r="I1365" s="898">
        <f t="shared" si="64"/>
        <v>100</v>
      </c>
    </row>
    <row r="1366" spans="1:16" ht="14.25" x14ac:dyDescent="0.2">
      <c r="A1366" s="435"/>
      <c r="B1366" s="808"/>
      <c r="C1366" s="808"/>
      <c r="D1366" s="578" t="s">
        <v>636</v>
      </c>
      <c r="E1366" s="474" t="s">
        <v>72</v>
      </c>
      <c r="F1366" s="903">
        <v>7431</v>
      </c>
      <c r="G1366" s="903">
        <v>7431</v>
      </c>
      <c r="H1366" s="903">
        <v>7431</v>
      </c>
      <c r="I1366" s="898">
        <f t="shared" si="64"/>
        <v>100</v>
      </c>
    </row>
    <row r="1367" spans="1:16" ht="15" thickBot="1" x14ac:dyDescent="0.25">
      <c r="A1367" s="1552"/>
      <c r="B1367" s="962"/>
      <c r="C1367" s="962"/>
      <c r="D1367" s="1192" t="s">
        <v>1038</v>
      </c>
      <c r="E1367" s="1571" t="s">
        <v>1039</v>
      </c>
      <c r="F1367" s="963"/>
      <c r="G1367" s="963">
        <v>998</v>
      </c>
      <c r="H1367" s="963">
        <v>998</v>
      </c>
      <c r="I1367" s="942">
        <f t="shared" si="64"/>
        <v>100</v>
      </c>
    </row>
    <row r="1368" spans="1:16" s="1555" customFormat="1" ht="15" thickTop="1" x14ac:dyDescent="0.2">
      <c r="B1368" s="803"/>
      <c r="C1368" s="803"/>
      <c r="D1368" s="1169"/>
      <c r="E1368" s="1427"/>
      <c r="F1368" s="911"/>
      <c r="G1368" s="911"/>
      <c r="H1368" s="911"/>
      <c r="I1368" s="964"/>
    </row>
    <row r="1369" spans="1:16" s="1555" customFormat="1" ht="14.25" x14ac:dyDescent="0.2">
      <c r="B1369" s="803"/>
      <c r="C1369" s="803"/>
      <c r="D1369" s="1169"/>
      <c r="E1369" s="1427"/>
      <c r="F1369" s="911"/>
      <c r="G1369" s="911"/>
      <c r="H1369" s="911"/>
      <c r="I1369" s="964"/>
    </row>
    <row r="1370" spans="1:16" ht="18" customHeight="1" thickBot="1" x14ac:dyDescent="0.25">
      <c r="A1370" s="439"/>
      <c r="I1370" s="1548" t="s">
        <v>179</v>
      </c>
    </row>
    <row r="1371" spans="1:16" s="107" customFormat="1" ht="18" customHeight="1" thickTop="1" thickBot="1" x14ac:dyDescent="0.25">
      <c r="A1371" s="657" t="s">
        <v>692</v>
      </c>
      <c r="B1371" s="835" t="s">
        <v>180</v>
      </c>
      <c r="C1371" s="658" t="s">
        <v>181</v>
      </c>
      <c r="D1371" s="660" t="s">
        <v>783</v>
      </c>
      <c r="E1371" s="660" t="s">
        <v>182</v>
      </c>
      <c r="F1371" s="660" t="s">
        <v>183</v>
      </c>
      <c r="G1371" s="660" t="s">
        <v>985</v>
      </c>
      <c r="H1371" s="660" t="s">
        <v>986</v>
      </c>
      <c r="I1371" s="888" t="s">
        <v>987</v>
      </c>
    </row>
    <row r="1372" spans="1:16" s="386" customFormat="1" ht="9.75" customHeight="1" thickTop="1" thickBot="1" x14ac:dyDescent="0.25">
      <c r="A1372" s="592">
        <v>1</v>
      </c>
      <c r="B1372" s="593">
        <v>2</v>
      </c>
      <c r="C1372" s="593">
        <v>3</v>
      </c>
      <c r="D1372" s="593">
        <v>4</v>
      </c>
      <c r="E1372" s="593">
        <v>5</v>
      </c>
      <c r="F1372" s="567">
        <v>6</v>
      </c>
      <c r="G1372" s="567">
        <v>7</v>
      </c>
      <c r="H1372" s="568">
        <v>8</v>
      </c>
      <c r="I1372" s="662" t="s">
        <v>848</v>
      </c>
    </row>
    <row r="1373" spans="1:16" ht="15.75" thickTop="1" x14ac:dyDescent="0.25">
      <c r="A1373" s="435">
        <v>1140</v>
      </c>
      <c r="B1373" s="808">
        <v>3123</v>
      </c>
      <c r="C1373" s="808">
        <v>5336</v>
      </c>
      <c r="D1373" s="1179"/>
      <c r="E1373" s="1564" t="s">
        <v>1357</v>
      </c>
      <c r="F1373" s="903"/>
      <c r="G1373" s="905">
        <f>G1374+G1375+G1376</f>
        <v>29758</v>
      </c>
      <c r="H1373" s="905">
        <f>H1374+H1375+H1376</f>
        <v>29758</v>
      </c>
      <c r="I1373" s="906">
        <f t="shared" si="64"/>
        <v>100</v>
      </c>
      <c r="J1373" s="439"/>
      <c r="K1373" s="439"/>
      <c r="L1373" s="439"/>
      <c r="M1373" s="439"/>
      <c r="N1373" s="439"/>
      <c r="O1373" s="439"/>
      <c r="P1373" s="439"/>
    </row>
    <row r="1374" spans="1:16" ht="14.25" x14ac:dyDescent="0.2">
      <c r="A1374" s="435"/>
      <c r="B1374" s="808"/>
      <c r="C1374" s="1551"/>
      <c r="D1374" s="578" t="s">
        <v>1267</v>
      </c>
      <c r="E1374" s="474" t="s">
        <v>882</v>
      </c>
      <c r="F1374" s="903"/>
      <c r="G1374" s="903">
        <v>28494</v>
      </c>
      <c r="H1374" s="903">
        <v>28494</v>
      </c>
      <c r="I1374" s="898">
        <f t="shared" si="64"/>
        <v>100</v>
      </c>
    </row>
    <row r="1375" spans="1:16" ht="14.25" x14ac:dyDescent="0.2">
      <c r="A1375" s="435"/>
      <c r="B1375" s="808"/>
      <c r="C1375" s="1551"/>
      <c r="D1375" s="1569" t="s">
        <v>1771</v>
      </c>
      <c r="E1375" s="1561" t="s">
        <v>1908</v>
      </c>
      <c r="F1375" s="903"/>
      <c r="G1375" s="903">
        <v>190</v>
      </c>
      <c r="H1375" s="903">
        <v>190</v>
      </c>
      <c r="I1375" s="898">
        <f t="shared" si="64"/>
        <v>100</v>
      </c>
    </row>
    <row r="1376" spans="1:16" ht="14.25" x14ac:dyDescent="0.2">
      <c r="A1376" s="435"/>
      <c r="B1376" s="808"/>
      <c r="C1376" s="1551"/>
      <c r="D1376" s="1569" t="s">
        <v>1773</v>
      </c>
      <c r="E1376" s="1561" t="s">
        <v>1908</v>
      </c>
      <c r="F1376" s="903"/>
      <c r="G1376" s="903">
        <v>1074</v>
      </c>
      <c r="H1376" s="903">
        <v>1074</v>
      </c>
      <c r="I1376" s="898">
        <f t="shared" si="64"/>
        <v>100</v>
      </c>
    </row>
    <row r="1377" spans="1:20" ht="15" x14ac:dyDescent="0.25">
      <c r="A1377" s="435">
        <v>1140</v>
      </c>
      <c r="B1377" s="808">
        <v>3142</v>
      </c>
      <c r="C1377" s="808">
        <v>5331</v>
      </c>
      <c r="D1377" s="929"/>
      <c r="E1377" s="704" t="s">
        <v>1066</v>
      </c>
      <c r="F1377" s="905">
        <f>SUM(F1378:F1381)</f>
        <v>512</v>
      </c>
      <c r="G1377" s="905">
        <f>G1378+G1379</f>
        <v>504</v>
      </c>
      <c r="H1377" s="905">
        <f>H1378+H1379</f>
        <v>504</v>
      </c>
      <c r="I1377" s="906">
        <f t="shared" si="64"/>
        <v>100</v>
      </c>
    </row>
    <row r="1378" spans="1:20" ht="14.25" x14ac:dyDescent="0.2">
      <c r="A1378" s="435"/>
      <c r="B1378" s="808"/>
      <c r="C1378" s="808"/>
      <c r="D1378" s="743" t="s">
        <v>641</v>
      </c>
      <c r="E1378" s="1679" t="s">
        <v>883</v>
      </c>
      <c r="F1378" s="903">
        <v>20</v>
      </c>
      <c r="G1378" s="903">
        <v>12</v>
      </c>
      <c r="H1378" s="903">
        <v>12</v>
      </c>
      <c r="I1378" s="898">
        <f t="shared" si="64"/>
        <v>100</v>
      </c>
    </row>
    <row r="1379" spans="1:20" ht="14.25" x14ac:dyDescent="0.2">
      <c r="A1379" s="435"/>
      <c r="B1379" s="808"/>
      <c r="C1379" s="808"/>
      <c r="D1379" s="578" t="s">
        <v>636</v>
      </c>
      <c r="E1379" s="474" t="s">
        <v>72</v>
      </c>
      <c r="F1379" s="903">
        <v>492</v>
      </c>
      <c r="G1379" s="903">
        <v>492</v>
      </c>
      <c r="H1379" s="903">
        <v>492</v>
      </c>
      <c r="I1379" s="898">
        <f t="shared" si="64"/>
        <v>100</v>
      </c>
    </row>
    <row r="1380" spans="1:20" ht="15" x14ac:dyDescent="0.25">
      <c r="A1380" s="435">
        <v>1140</v>
      </c>
      <c r="B1380" s="808">
        <v>3142</v>
      </c>
      <c r="C1380" s="808">
        <v>5336</v>
      </c>
      <c r="D1380" s="578"/>
      <c r="E1380" s="1564" t="s">
        <v>1357</v>
      </c>
      <c r="F1380" s="903"/>
      <c r="G1380" s="916">
        <v>572</v>
      </c>
      <c r="H1380" s="916">
        <v>572</v>
      </c>
      <c r="I1380" s="908">
        <f t="shared" si="64"/>
        <v>100</v>
      </c>
    </row>
    <row r="1381" spans="1:20" ht="15" thickBot="1" x14ac:dyDescent="0.25">
      <c r="A1381" s="435"/>
      <c r="B1381" s="808"/>
      <c r="C1381" s="1551"/>
      <c r="D1381" s="578" t="s">
        <v>1267</v>
      </c>
      <c r="E1381" s="474" t="s">
        <v>882</v>
      </c>
      <c r="F1381" s="903"/>
      <c r="G1381" s="903">
        <v>572</v>
      </c>
      <c r="H1381" s="903">
        <v>572</v>
      </c>
      <c r="I1381" s="898">
        <f t="shared" si="64"/>
        <v>100</v>
      </c>
    </row>
    <row r="1382" spans="1:20" ht="18" customHeight="1" thickTop="1" thickBot="1" x14ac:dyDescent="0.3">
      <c r="A1382" s="2739" t="s">
        <v>1246</v>
      </c>
      <c r="B1382" s="2740"/>
      <c r="C1382" s="2740"/>
      <c r="D1382" s="2740"/>
      <c r="E1382" s="2740"/>
      <c r="F1382" s="894">
        <f>F1362+F1364+F1373+F1377+F1380</f>
        <v>10081</v>
      </c>
      <c r="G1382" s="894">
        <f>G1362+G1364+G1373+G1377+G1380</f>
        <v>46684</v>
      </c>
      <c r="H1382" s="894">
        <f>H1362+H1364+H1373+H1377+H1380</f>
        <v>46684</v>
      </c>
      <c r="I1382" s="895">
        <f>(H1382/G1382)*100</f>
        <v>100</v>
      </c>
      <c r="R1382" s="385">
        <f>F1382</f>
        <v>10081</v>
      </c>
      <c r="S1382" s="385">
        <f>G1382</f>
        <v>46684</v>
      </c>
      <c r="T1382" s="385">
        <f>H1382</f>
        <v>46684</v>
      </c>
    </row>
    <row r="1383" spans="1:20" ht="12.75" customHeight="1" thickTop="1" x14ac:dyDescent="0.25">
      <c r="A1383" s="370"/>
      <c r="B1383" s="370"/>
      <c r="C1383" s="370"/>
      <c r="D1383" s="370"/>
      <c r="E1383" s="370"/>
      <c r="F1383" s="181"/>
      <c r="G1383" s="181"/>
      <c r="H1383" s="181"/>
      <c r="I1383" s="210"/>
    </row>
    <row r="1384" spans="1:20" ht="17.25" customHeight="1" thickBot="1" x14ac:dyDescent="0.25">
      <c r="A1384" s="439" t="s">
        <v>51</v>
      </c>
      <c r="I1384" s="1548" t="s">
        <v>179</v>
      </c>
    </row>
    <row r="1385" spans="1:20" s="107" customFormat="1" thickTop="1" thickBot="1" x14ac:dyDescent="0.25">
      <c r="A1385" s="657" t="s">
        <v>692</v>
      </c>
      <c r="B1385" s="835" t="s">
        <v>180</v>
      </c>
      <c r="C1385" s="658" t="s">
        <v>181</v>
      </c>
      <c r="D1385" s="660" t="s">
        <v>783</v>
      </c>
      <c r="E1385" s="660" t="s">
        <v>182</v>
      </c>
      <c r="F1385" s="660" t="s">
        <v>183</v>
      </c>
      <c r="G1385" s="660" t="s">
        <v>985</v>
      </c>
      <c r="H1385" s="660" t="s">
        <v>986</v>
      </c>
      <c r="I1385" s="888" t="s">
        <v>987</v>
      </c>
    </row>
    <row r="1386" spans="1:20" s="386" customFormat="1" ht="13.5" thickTop="1" thickBot="1" x14ac:dyDescent="0.25">
      <c r="A1386" s="592">
        <v>1</v>
      </c>
      <c r="B1386" s="593">
        <v>2</v>
      </c>
      <c r="C1386" s="593">
        <v>3</v>
      </c>
      <c r="D1386" s="593">
        <v>4</v>
      </c>
      <c r="E1386" s="593">
        <v>5</v>
      </c>
      <c r="F1386" s="567">
        <v>6</v>
      </c>
      <c r="G1386" s="567">
        <v>7</v>
      </c>
      <c r="H1386" s="568">
        <v>8</v>
      </c>
      <c r="I1386" s="662" t="s">
        <v>848</v>
      </c>
    </row>
    <row r="1387" spans="1:20" ht="15.75" thickTop="1" x14ac:dyDescent="0.25">
      <c r="A1387" s="1562">
        <v>1142</v>
      </c>
      <c r="B1387" s="917">
        <v>3122</v>
      </c>
      <c r="C1387" s="917">
        <v>5331</v>
      </c>
      <c r="D1387" s="922"/>
      <c r="E1387" s="956" t="s">
        <v>1066</v>
      </c>
      <c r="F1387" s="915">
        <f>SUM(F1388:F1390)</f>
        <v>800</v>
      </c>
      <c r="G1387" s="915">
        <v>800</v>
      </c>
      <c r="H1387" s="915">
        <v>800</v>
      </c>
      <c r="I1387" s="919">
        <f t="shared" ref="I1387:I1413" si="65">(H1387/G1387)*100</f>
        <v>100</v>
      </c>
    </row>
    <row r="1388" spans="1:20" ht="14.25" x14ac:dyDescent="0.2">
      <c r="A1388" s="435"/>
      <c r="B1388" s="705"/>
      <c r="C1388" s="705"/>
      <c r="D1388" s="578" t="s">
        <v>636</v>
      </c>
      <c r="E1388" s="474" t="s">
        <v>72</v>
      </c>
      <c r="F1388" s="357">
        <v>800</v>
      </c>
      <c r="G1388" s="897">
        <v>800</v>
      </c>
      <c r="H1388" s="897">
        <v>800</v>
      </c>
      <c r="I1388" s="893">
        <f t="shared" si="65"/>
        <v>100</v>
      </c>
    </row>
    <row r="1389" spans="1:20" ht="15" x14ac:dyDescent="0.25">
      <c r="A1389" s="435">
        <v>1142</v>
      </c>
      <c r="B1389" s="705">
        <v>3122</v>
      </c>
      <c r="C1389" s="705">
        <v>5336</v>
      </c>
      <c r="D1389" s="1178"/>
      <c r="E1389" s="1564" t="s">
        <v>1357</v>
      </c>
      <c r="F1389" s="357"/>
      <c r="G1389" s="921">
        <f>G1390+G1391+G1392</f>
        <v>7372</v>
      </c>
      <c r="H1389" s="921">
        <f>H1390+H1391+H1392</f>
        <v>7372</v>
      </c>
      <c r="I1389" s="923">
        <f t="shared" si="65"/>
        <v>100</v>
      </c>
    </row>
    <row r="1390" spans="1:20" ht="14.25" x14ac:dyDescent="0.2">
      <c r="A1390" s="435"/>
      <c r="B1390" s="705"/>
      <c r="C1390" s="705"/>
      <c r="D1390" s="578" t="s">
        <v>1267</v>
      </c>
      <c r="E1390" s="474" t="s">
        <v>882</v>
      </c>
      <c r="F1390" s="897"/>
      <c r="G1390" s="897">
        <v>6789</v>
      </c>
      <c r="H1390" s="897">
        <v>6789</v>
      </c>
      <c r="I1390" s="893">
        <f t="shared" si="65"/>
        <v>100</v>
      </c>
    </row>
    <row r="1391" spans="1:20" ht="14.25" x14ac:dyDescent="0.2">
      <c r="A1391" s="435"/>
      <c r="B1391" s="808"/>
      <c r="C1391" s="808"/>
      <c r="D1391" s="1569" t="s">
        <v>1771</v>
      </c>
      <c r="E1391" s="1561" t="s">
        <v>1908</v>
      </c>
      <c r="F1391" s="903"/>
      <c r="G1391" s="903">
        <v>87</v>
      </c>
      <c r="H1391" s="903">
        <v>87</v>
      </c>
      <c r="I1391" s="898">
        <f t="shared" si="65"/>
        <v>100</v>
      </c>
    </row>
    <row r="1392" spans="1:20" ht="14.25" x14ac:dyDescent="0.2">
      <c r="A1392" s="435"/>
      <c r="B1392" s="808"/>
      <c r="C1392" s="808"/>
      <c r="D1392" s="1569" t="s">
        <v>1773</v>
      </c>
      <c r="E1392" s="1561" t="s">
        <v>1908</v>
      </c>
      <c r="F1392" s="903"/>
      <c r="G1392" s="903">
        <v>496</v>
      </c>
      <c r="H1392" s="903">
        <v>496</v>
      </c>
      <c r="I1392" s="898">
        <f t="shared" si="65"/>
        <v>100</v>
      </c>
    </row>
    <row r="1393" spans="1:9" ht="15" x14ac:dyDescent="0.25">
      <c r="A1393" s="435">
        <v>1142</v>
      </c>
      <c r="B1393" s="808">
        <v>3123</v>
      </c>
      <c r="C1393" s="808">
        <v>5331</v>
      </c>
      <c r="D1393" s="929"/>
      <c r="E1393" s="704" t="s">
        <v>1066</v>
      </c>
      <c r="F1393" s="905">
        <f>F1394+F1395</f>
        <v>5087</v>
      </c>
      <c r="G1393" s="905">
        <f>G1394+G1395+G1396+G1397</f>
        <v>5227</v>
      </c>
      <c r="H1393" s="905">
        <f>H1394+H1395+H1396+H1397</f>
        <v>5227</v>
      </c>
      <c r="I1393" s="906">
        <f t="shared" si="65"/>
        <v>100</v>
      </c>
    </row>
    <row r="1394" spans="1:9" ht="14.25" x14ac:dyDescent="0.2">
      <c r="A1394" s="435"/>
      <c r="B1394" s="808"/>
      <c r="C1394" s="808"/>
      <c r="D1394" s="743" t="s">
        <v>641</v>
      </c>
      <c r="E1394" s="1679" t="s">
        <v>883</v>
      </c>
      <c r="F1394" s="907">
        <v>2900</v>
      </c>
      <c r="G1394" s="907">
        <v>2700</v>
      </c>
      <c r="H1394" s="907">
        <v>2700</v>
      </c>
      <c r="I1394" s="893">
        <f t="shared" si="65"/>
        <v>100</v>
      </c>
    </row>
    <row r="1395" spans="1:9" ht="14.25" x14ac:dyDescent="0.2">
      <c r="A1395" s="435"/>
      <c r="B1395" s="705"/>
      <c r="C1395" s="705"/>
      <c r="D1395" s="578" t="s">
        <v>636</v>
      </c>
      <c r="E1395" s="474" t="s">
        <v>72</v>
      </c>
      <c r="F1395" s="897">
        <v>2187</v>
      </c>
      <c r="G1395" s="897">
        <v>2168</v>
      </c>
      <c r="H1395" s="897">
        <v>2168</v>
      </c>
      <c r="I1395" s="893">
        <f t="shared" si="65"/>
        <v>100</v>
      </c>
    </row>
    <row r="1396" spans="1:9" ht="14.25" x14ac:dyDescent="0.2">
      <c r="A1396" s="435"/>
      <c r="B1396" s="705"/>
      <c r="C1396" s="705"/>
      <c r="D1396" s="1169" t="s">
        <v>735</v>
      </c>
      <c r="E1396" s="1398" t="s">
        <v>1454</v>
      </c>
      <c r="F1396" s="897"/>
      <c r="G1396" s="897">
        <v>19</v>
      </c>
      <c r="H1396" s="897">
        <v>19</v>
      </c>
      <c r="I1396" s="893">
        <f t="shared" si="65"/>
        <v>100</v>
      </c>
    </row>
    <row r="1397" spans="1:9" ht="14.25" x14ac:dyDescent="0.2">
      <c r="A1397" s="435"/>
      <c r="B1397" s="705"/>
      <c r="C1397" s="705"/>
      <c r="D1397" s="1179" t="s">
        <v>1038</v>
      </c>
      <c r="E1397" s="1275" t="s">
        <v>1039</v>
      </c>
      <c r="F1397" s="897"/>
      <c r="G1397" s="897">
        <v>340</v>
      </c>
      <c r="H1397" s="897">
        <v>340</v>
      </c>
      <c r="I1397" s="893">
        <f t="shared" si="65"/>
        <v>100</v>
      </c>
    </row>
    <row r="1398" spans="1:9" ht="15" x14ac:dyDescent="0.25">
      <c r="A1398" s="435">
        <v>1142</v>
      </c>
      <c r="B1398" s="705">
        <v>3123</v>
      </c>
      <c r="C1398" s="705">
        <v>5336</v>
      </c>
      <c r="D1398" s="1179"/>
      <c r="E1398" s="1564" t="s">
        <v>1357</v>
      </c>
      <c r="F1398" s="897"/>
      <c r="G1398" s="921">
        <f>G1399+G1400+G1401</f>
        <v>7927</v>
      </c>
      <c r="H1398" s="921">
        <f>H1399+H1400+H1401</f>
        <v>7927</v>
      </c>
      <c r="I1398" s="923">
        <f t="shared" si="65"/>
        <v>100</v>
      </c>
    </row>
    <row r="1399" spans="1:9" ht="14.25" x14ac:dyDescent="0.2">
      <c r="A1399" s="435"/>
      <c r="B1399" s="705"/>
      <c r="C1399" s="1550"/>
      <c r="D1399" s="578" t="s">
        <v>1267</v>
      </c>
      <c r="E1399" s="474" t="s">
        <v>882</v>
      </c>
      <c r="F1399" s="897"/>
      <c r="G1399" s="897">
        <v>5690</v>
      </c>
      <c r="H1399" s="897">
        <v>5690</v>
      </c>
      <c r="I1399" s="893">
        <f t="shared" si="65"/>
        <v>100</v>
      </c>
    </row>
    <row r="1400" spans="1:9" ht="18" customHeight="1" x14ac:dyDescent="0.2">
      <c r="A1400" s="435"/>
      <c r="B1400" s="705"/>
      <c r="C1400" s="1550"/>
      <c r="D1400" s="1178" t="s">
        <v>1541</v>
      </c>
      <c r="E1400" s="1561" t="s">
        <v>1915</v>
      </c>
      <c r="F1400" s="897"/>
      <c r="G1400" s="897">
        <v>335</v>
      </c>
      <c r="H1400" s="897">
        <v>335</v>
      </c>
      <c r="I1400" s="893">
        <f t="shared" si="65"/>
        <v>100</v>
      </c>
    </row>
    <row r="1401" spans="1:9" ht="14.25" x14ac:dyDescent="0.2">
      <c r="A1401" s="435"/>
      <c r="B1401" s="705"/>
      <c r="C1401" s="1550"/>
      <c r="D1401" s="1178" t="s">
        <v>1543</v>
      </c>
      <c r="E1401" s="1561" t="s">
        <v>1915</v>
      </c>
      <c r="F1401" s="897"/>
      <c r="G1401" s="897">
        <v>1902</v>
      </c>
      <c r="H1401" s="897">
        <v>1902</v>
      </c>
      <c r="I1401" s="893">
        <f t="shared" si="65"/>
        <v>100</v>
      </c>
    </row>
    <row r="1402" spans="1:9" ht="15" x14ac:dyDescent="0.25">
      <c r="A1402" s="435">
        <v>1142</v>
      </c>
      <c r="B1402" s="705">
        <v>3141</v>
      </c>
      <c r="C1402" s="1550">
        <v>5331</v>
      </c>
      <c r="D1402" s="578"/>
      <c r="E1402" s="854" t="s">
        <v>1066</v>
      </c>
      <c r="F1402" s="921"/>
      <c r="G1402" s="921">
        <v>1250</v>
      </c>
      <c r="H1402" s="921">
        <v>1250</v>
      </c>
      <c r="I1402" s="923">
        <f t="shared" si="65"/>
        <v>100</v>
      </c>
    </row>
    <row r="1403" spans="1:9" ht="14.25" x14ac:dyDescent="0.2">
      <c r="A1403" s="435"/>
      <c r="B1403" s="705"/>
      <c r="C1403" s="1550"/>
      <c r="D1403" s="578" t="s">
        <v>1267</v>
      </c>
      <c r="E1403" s="474" t="s">
        <v>882</v>
      </c>
      <c r="F1403" s="897"/>
      <c r="G1403" s="897">
        <v>1250</v>
      </c>
      <c r="H1403" s="897">
        <v>1250</v>
      </c>
      <c r="I1403" s="893">
        <f t="shared" si="65"/>
        <v>100</v>
      </c>
    </row>
    <row r="1404" spans="1:9" ht="14.25" customHeight="1" x14ac:dyDescent="0.25">
      <c r="A1404" s="435">
        <v>1142</v>
      </c>
      <c r="B1404" s="705">
        <v>3142</v>
      </c>
      <c r="C1404" s="705">
        <v>5331</v>
      </c>
      <c r="D1404" s="889"/>
      <c r="E1404" s="854" t="s">
        <v>1066</v>
      </c>
      <c r="F1404" s="890">
        <v>644</v>
      </c>
      <c r="G1404" s="890">
        <v>644</v>
      </c>
      <c r="H1404" s="890">
        <v>644</v>
      </c>
      <c r="I1404" s="891">
        <f t="shared" si="65"/>
        <v>100</v>
      </c>
    </row>
    <row r="1405" spans="1:9" ht="14.25" customHeight="1" x14ac:dyDescent="0.2">
      <c r="A1405" s="435"/>
      <c r="B1405" s="705"/>
      <c r="C1405" s="1550"/>
      <c r="D1405" s="578" t="s">
        <v>636</v>
      </c>
      <c r="E1405" s="474" t="s">
        <v>72</v>
      </c>
      <c r="F1405" s="897">
        <v>644</v>
      </c>
      <c r="G1405" s="897">
        <v>644</v>
      </c>
      <c r="H1405" s="897">
        <v>644</v>
      </c>
      <c r="I1405" s="893">
        <f t="shared" si="65"/>
        <v>100</v>
      </c>
    </row>
    <row r="1406" spans="1:9" ht="15" x14ac:dyDescent="0.25">
      <c r="A1406" s="435">
        <v>1142</v>
      </c>
      <c r="B1406" s="808">
        <v>3142</v>
      </c>
      <c r="C1406" s="1551">
        <v>5336</v>
      </c>
      <c r="D1406" s="578"/>
      <c r="E1406" s="1564" t="s">
        <v>1357</v>
      </c>
      <c r="F1406" s="903"/>
      <c r="G1406" s="916">
        <v>1081</v>
      </c>
      <c r="H1406" s="916">
        <v>1081</v>
      </c>
      <c r="I1406" s="908">
        <f t="shared" si="65"/>
        <v>100</v>
      </c>
    </row>
    <row r="1407" spans="1:9" ht="14.25" x14ac:dyDescent="0.2">
      <c r="A1407" s="435"/>
      <c r="B1407" s="808"/>
      <c r="C1407" s="1551"/>
      <c r="D1407" s="578" t="s">
        <v>1267</v>
      </c>
      <c r="E1407" s="474" t="s">
        <v>882</v>
      </c>
      <c r="F1407" s="903"/>
      <c r="G1407" s="903">
        <v>1081</v>
      </c>
      <c r="H1407" s="903">
        <v>1081</v>
      </c>
      <c r="I1407" s="898">
        <f t="shared" si="65"/>
        <v>100</v>
      </c>
    </row>
    <row r="1408" spans="1:9" ht="15" x14ac:dyDescent="0.25">
      <c r="A1408" s="435">
        <v>1142</v>
      </c>
      <c r="B1408" s="808">
        <v>3147</v>
      </c>
      <c r="C1408" s="808">
        <v>5331</v>
      </c>
      <c r="D1408" s="929"/>
      <c r="E1408" s="704" t="s">
        <v>1066</v>
      </c>
      <c r="F1408" s="905">
        <f>SUM(F1409:F1411)</f>
        <v>450</v>
      </c>
      <c r="G1408" s="905">
        <v>450</v>
      </c>
      <c r="H1408" s="905">
        <v>450</v>
      </c>
      <c r="I1408" s="906">
        <f t="shared" si="65"/>
        <v>100</v>
      </c>
    </row>
    <row r="1409" spans="1:23" ht="14.25" x14ac:dyDescent="0.2">
      <c r="A1409" s="435"/>
      <c r="B1409" s="808"/>
      <c r="C1409" s="808"/>
      <c r="D1409" s="578" t="s">
        <v>636</v>
      </c>
      <c r="E1409" s="474" t="s">
        <v>72</v>
      </c>
      <c r="F1409" s="903">
        <v>450</v>
      </c>
      <c r="G1409" s="903">
        <v>450</v>
      </c>
      <c r="H1409" s="903">
        <v>450</v>
      </c>
      <c r="I1409" s="898">
        <f t="shared" si="65"/>
        <v>100</v>
      </c>
    </row>
    <row r="1410" spans="1:23" ht="15" x14ac:dyDescent="0.25">
      <c r="A1410" s="435">
        <v>1142</v>
      </c>
      <c r="B1410" s="808">
        <v>3147</v>
      </c>
      <c r="C1410" s="808">
        <v>5336</v>
      </c>
      <c r="D1410" s="578"/>
      <c r="E1410" s="1564" t="s">
        <v>1357</v>
      </c>
      <c r="F1410" s="903"/>
      <c r="G1410" s="916">
        <v>3310</v>
      </c>
      <c r="H1410" s="916">
        <v>3310</v>
      </c>
      <c r="I1410" s="908">
        <f t="shared" si="65"/>
        <v>100</v>
      </c>
    </row>
    <row r="1411" spans="1:23" ht="18" customHeight="1" x14ac:dyDescent="0.2">
      <c r="A1411" s="435"/>
      <c r="B1411" s="808"/>
      <c r="C1411" s="1551"/>
      <c r="D1411" s="578" t="s">
        <v>1267</v>
      </c>
      <c r="E1411" s="474" t="s">
        <v>882</v>
      </c>
      <c r="F1411" s="903"/>
      <c r="G1411" s="903">
        <v>3310</v>
      </c>
      <c r="H1411" s="903">
        <v>3310</v>
      </c>
      <c r="I1411" s="898">
        <f t="shared" si="65"/>
        <v>100</v>
      </c>
    </row>
    <row r="1412" spans="1:23" ht="15" x14ac:dyDescent="0.25">
      <c r="A1412" s="435">
        <v>1142</v>
      </c>
      <c r="B1412" s="808">
        <v>3293</v>
      </c>
      <c r="C1412" s="1551">
        <v>5331</v>
      </c>
      <c r="D1412" s="578"/>
      <c r="E1412" s="704" t="s">
        <v>1066</v>
      </c>
      <c r="F1412" s="916"/>
      <c r="G1412" s="916">
        <v>19</v>
      </c>
      <c r="H1412" s="916">
        <v>19</v>
      </c>
      <c r="I1412" s="908">
        <f t="shared" si="65"/>
        <v>100</v>
      </c>
    </row>
    <row r="1413" spans="1:23" ht="15" thickBot="1" x14ac:dyDescent="0.25">
      <c r="A1413" s="435"/>
      <c r="B1413" s="808"/>
      <c r="C1413" s="1551"/>
      <c r="D1413" s="1178" t="s">
        <v>1270</v>
      </c>
      <c r="E1413" s="1422" t="s">
        <v>1359</v>
      </c>
      <c r="F1413" s="903"/>
      <c r="G1413" s="903">
        <v>19</v>
      </c>
      <c r="H1413" s="903">
        <v>19</v>
      </c>
      <c r="I1413" s="898">
        <f t="shared" si="65"/>
        <v>100</v>
      </c>
    </row>
    <row r="1414" spans="1:23" ht="16.5" thickTop="1" thickBot="1" x14ac:dyDescent="0.3">
      <c r="A1414" s="2739" t="s">
        <v>1246</v>
      </c>
      <c r="B1414" s="2740"/>
      <c r="C1414" s="2740"/>
      <c r="D1414" s="2740"/>
      <c r="E1414" s="2740"/>
      <c r="F1414" s="894">
        <f>F1387+F1389+F1393+F1398+F1402+F1404+F1406+F1408+F1410+F1412</f>
        <v>6981</v>
      </c>
      <c r="G1414" s="894">
        <f>G1387+G1389+G1393+G1398+G1402+G1404+G1406+G1408+G1410+G1412</f>
        <v>28080</v>
      </c>
      <c r="H1414" s="894">
        <f>H1387+H1389+H1393+H1398+H1402+H1404+H1406+H1408+H1410+H1412</f>
        <v>28080</v>
      </c>
      <c r="I1414" s="895">
        <f>(H1414/G1414)*100</f>
        <v>100</v>
      </c>
      <c r="R1414" s="385">
        <f>F1414</f>
        <v>6981</v>
      </c>
      <c r="S1414" s="385">
        <f>G1414</f>
        <v>28080</v>
      </c>
      <c r="T1414" s="385">
        <f>H1414</f>
        <v>28080</v>
      </c>
    </row>
    <row r="1415" spans="1:23" ht="15.75" thickTop="1" x14ac:dyDescent="0.25">
      <c r="A1415" s="435">
        <v>1142</v>
      </c>
      <c r="B1415" s="705">
        <v>3122</v>
      </c>
      <c r="C1415" s="705">
        <v>6351</v>
      </c>
      <c r="D1415" s="889"/>
      <c r="E1415" s="650" t="s">
        <v>1317</v>
      </c>
      <c r="F1415" s="890"/>
      <c r="G1415" s="890">
        <v>1911</v>
      </c>
      <c r="H1415" s="890">
        <v>1911</v>
      </c>
      <c r="I1415" s="891">
        <f>(H1415/G1415)*100</f>
        <v>100</v>
      </c>
    </row>
    <row r="1416" spans="1:23" ht="15" customHeight="1" thickBot="1" x14ac:dyDescent="0.3">
      <c r="A1416" s="435"/>
      <c r="B1416" s="705"/>
      <c r="C1416" s="705"/>
      <c r="D1416" s="1438" t="s">
        <v>1329</v>
      </c>
      <c r="E1416" s="1441" t="s">
        <v>1664</v>
      </c>
      <c r="F1416" s="890"/>
      <c r="G1416" s="357">
        <v>1911</v>
      </c>
      <c r="H1416" s="357">
        <v>1911</v>
      </c>
      <c r="I1416" s="898">
        <f>(H1416/G1416)*100</f>
        <v>100</v>
      </c>
    </row>
    <row r="1417" spans="1:23" ht="16.5" thickTop="1" thickBot="1" x14ac:dyDescent="0.3">
      <c r="A1417" s="2739" t="s">
        <v>1247</v>
      </c>
      <c r="B1417" s="2740"/>
      <c r="C1417" s="2740"/>
      <c r="D1417" s="2740"/>
      <c r="E1417" s="2740"/>
      <c r="F1417" s="894">
        <v>0</v>
      </c>
      <c r="G1417" s="894">
        <f>G1415</f>
        <v>1911</v>
      </c>
      <c r="H1417" s="894">
        <f>SUM(H1415)</f>
        <v>1911</v>
      </c>
      <c r="I1417" s="895">
        <f>(H1417/G1417)*100</f>
        <v>100</v>
      </c>
      <c r="U1417" s="385">
        <f>F1417</f>
        <v>0</v>
      </c>
      <c r="V1417" s="385">
        <f>G1417</f>
        <v>1911</v>
      </c>
      <c r="W1417" s="385">
        <f>H1417</f>
        <v>1911</v>
      </c>
    </row>
    <row r="1418" spans="1:23" ht="13.5" thickTop="1" x14ac:dyDescent="0.2"/>
    <row r="1419" spans="1:23" ht="13.5" thickBot="1" x14ac:dyDescent="0.25">
      <c r="A1419" s="439" t="s">
        <v>53</v>
      </c>
      <c r="I1419" s="1548" t="s">
        <v>179</v>
      </c>
    </row>
    <row r="1420" spans="1:23" s="107" customFormat="1" thickTop="1" thickBot="1" x14ac:dyDescent="0.25">
      <c r="A1420" s="657" t="s">
        <v>692</v>
      </c>
      <c r="B1420" s="835" t="s">
        <v>180</v>
      </c>
      <c r="C1420" s="658" t="s">
        <v>181</v>
      </c>
      <c r="D1420" s="660" t="s">
        <v>783</v>
      </c>
      <c r="E1420" s="660" t="s">
        <v>182</v>
      </c>
      <c r="F1420" s="660" t="s">
        <v>183</v>
      </c>
      <c r="G1420" s="660" t="s">
        <v>985</v>
      </c>
      <c r="H1420" s="660" t="s">
        <v>986</v>
      </c>
      <c r="I1420" s="888" t="s">
        <v>987</v>
      </c>
    </row>
    <row r="1421" spans="1:23" s="386" customFormat="1" ht="13.5" thickTop="1" thickBot="1" x14ac:dyDescent="0.25">
      <c r="A1421" s="592">
        <v>1</v>
      </c>
      <c r="B1421" s="593">
        <v>2</v>
      </c>
      <c r="C1421" s="593">
        <v>3</v>
      </c>
      <c r="D1421" s="593">
        <v>4</v>
      </c>
      <c r="E1421" s="593">
        <v>5</v>
      </c>
      <c r="F1421" s="567">
        <v>6</v>
      </c>
      <c r="G1421" s="567">
        <v>7</v>
      </c>
      <c r="H1421" s="568">
        <v>8</v>
      </c>
      <c r="I1421" s="662" t="s">
        <v>848</v>
      </c>
    </row>
    <row r="1422" spans="1:23" ht="15.75" thickTop="1" x14ac:dyDescent="0.25">
      <c r="A1422" s="1562">
        <v>1150</v>
      </c>
      <c r="B1422" s="917">
        <v>3122</v>
      </c>
      <c r="C1422" s="917">
        <v>5331</v>
      </c>
      <c r="D1422" s="922"/>
      <c r="E1422" s="956" t="s">
        <v>1066</v>
      </c>
      <c r="F1422" s="915">
        <f>SUM(F1423:F1428)</f>
        <v>3369</v>
      </c>
      <c r="G1422" s="915">
        <f>G1423+G1424+G1425+G1426</f>
        <v>3380</v>
      </c>
      <c r="H1422" s="915">
        <f>H1423+H1424+H1425+H1426</f>
        <v>3380</v>
      </c>
      <c r="I1422" s="919">
        <f t="shared" ref="I1422:I1427" si="66">(H1422/G1422)*100</f>
        <v>100</v>
      </c>
    </row>
    <row r="1423" spans="1:23" ht="14.25" x14ac:dyDescent="0.2">
      <c r="A1423" s="435"/>
      <c r="B1423" s="705"/>
      <c r="C1423" s="705"/>
      <c r="D1423" s="743" t="s">
        <v>641</v>
      </c>
      <c r="E1423" s="1679" t="s">
        <v>883</v>
      </c>
      <c r="F1423" s="357">
        <v>494</v>
      </c>
      <c r="G1423" s="897">
        <v>492</v>
      </c>
      <c r="H1423" s="897">
        <v>492</v>
      </c>
      <c r="I1423" s="893">
        <f t="shared" si="66"/>
        <v>100</v>
      </c>
    </row>
    <row r="1424" spans="1:23" ht="14.25" x14ac:dyDescent="0.2">
      <c r="A1424" s="435"/>
      <c r="B1424" s="705"/>
      <c r="C1424" s="705"/>
      <c r="D1424" s="578" t="s">
        <v>636</v>
      </c>
      <c r="E1424" s="474" t="s">
        <v>72</v>
      </c>
      <c r="F1424" s="897">
        <v>2875</v>
      </c>
      <c r="G1424" s="897">
        <v>2875</v>
      </c>
      <c r="H1424" s="897">
        <v>2875</v>
      </c>
      <c r="I1424" s="893">
        <f t="shared" si="66"/>
        <v>100</v>
      </c>
    </row>
    <row r="1425" spans="1:20" ht="20.25" customHeight="1" x14ac:dyDescent="0.2">
      <c r="A1425" s="435"/>
      <c r="B1425" s="705"/>
      <c r="C1425" s="705"/>
      <c r="D1425" s="1169" t="s">
        <v>1268</v>
      </c>
      <c r="E1425" s="1398" t="s">
        <v>1277</v>
      </c>
      <c r="F1425" s="897"/>
      <c r="G1425" s="897">
        <v>3</v>
      </c>
      <c r="H1425" s="897">
        <v>3</v>
      </c>
      <c r="I1425" s="893">
        <f t="shared" si="66"/>
        <v>100</v>
      </c>
    </row>
    <row r="1426" spans="1:20" ht="14.25" x14ac:dyDescent="0.2">
      <c r="A1426" s="435"/>
      <c r="B1426" s="705"/>
      <c r="C1426" s="705"/>
      <c r="D1426" s="1178" t="s">
        <v>1763</v>
      </c>
      <c r="E1426" s="2590" t="s">
        <v>1913</v>
      </c>
      <c r="F1426" s="897"/>
      <c r="G1426" s="897">
        <v>10</v>
      </c>
      <c r="H1426" s="897">
        <v>10</v>
      </c>
      <c r="I1426" s="893">
        <f t="shared" si="66"/>
        <v>100</v>
      </c>
    </row>
    <row r="1427" spans="1:20" ht="15" x14ac:dyDescent="0.25">
      <c r="A1427" s="435">
        <v>1150</v>
      </c>
      <c r="B1427" s="705">
        <v>3122</v>
      </c>
      <c r="C1427" s="705">
        <v>5336</v>
      </c>
      <c r="D1427" s="1178"/>
      <c r="E1427" s="1564" t="s">
        <v>1357</v>
      </c>
      <c r="F1427" s="897"/>
      <c r="G1427" s="921">
        <f>G1428+G1429+G1430</f>
        <v>20925</v>
      </c>
      <c r="H1427" s="921">
        <f>H1428+H1429+H1430</f>
        <v>20925</v>
      </c>
      <c r="I1427" s="923">
        <f t="shared" si="66"/>
        <v>100</v>
      </c>
    </row>
    <row r="1428" spans="1:20" ht="14.25" x14ac:dyDescent="0.2">
      <c r="A1428" s="435"/>
      <c r="B1428" s="705"/>
      <c r="C1428" s="705"/>
      <c r="D1428" s="578" t="s">
        <v>1267</v>
      </c>
      <c r="E1428" s="474" t="s">
        <v>882</v>
      </c>
      <c r="F1428" s="897"/>
      <c r="G1428" s="897">
        <v>19991</v>
      </c>
      <c r="H1428" s="897">
        <v>19991</v>
      </c>
      <c r="I1428" s="893">
        <v>100</v>
      </c>
    </row>
    <row r="1429" spans="1:20" ht="14.25" x14ac:dyDescent="0.2">
      <c r="A1429" s="435"/>
      <c r="B1429" s="808"/>
      <c r="C1429" s="808"/>
      <c r="D1429" s="1569" t="s">
        <v>1771</v>
      </c>
      <c r="E1429" s="1561" t="s">
        <v>1908</v>
      </c>
      <c r="F1429" s="903"/>
      <c r="G1429" s="903">
        <v>140</v>
      </c>
      <c r="H1429" s="903">
        <v>140</v>
      </c>
      <c r="I1429" s="893">
        <v>100</v>
      </c>
    </row>
    <row r="1430" spans="1:20" ht="14.25" x14ac:dyDescent="0.2">
      <c r="A1430" s="435"/>
      <c r="B1430" s="808"/>
      <c r="C1430" s="808"/>
      <c r="D1430" s="1569" t="s">
        <v>1773</v>
      </c>
      <c r="E1430" s="1561" t="s">
        <v>1908</v>
      </c>
      <c r="F1430" s="903"/>
      <c r="G1430" s="903">
        <v>794</v>
      </c>
      <c r="H1430" s="903">
        <v>794</v>
      </c>
      <c r="I1430" s="893">
        <v>100</v>
      </c>
    </row>
    <row r="1431" spans="1:20" ht="15" x14ac:dyDescent="0.25">
      <c r="A1431" s="435">
        <v>1150</v>
      </c>
      <c r="B1431" s="808">
        <v>3142</v>
      </c>
      <c r="C1431" s="808">
        <v>5331</v>
      </c>
      <c r="D1431" s="929"/>
      <c r="E1431" s="704" t="s">
        <v>1066</v>
      </c>
      <c r="F1431" s="905">
        <v>350</v>
      </c>
      <c r="G1431" s="905">
        <v>350</v>
      </c>
      <c r="H1431" s="905">
        <v>350</v>
      </c>
      <c r="I1431" s="906">
        <f t="shared" ref="I1431:I1444" si="67">(H1431/G1431)*100</f>
        <v>100</v>
      </c>
    </row>
    <row r="1432" spans="1:20" ht="14.25" x14ac:dyDescent="0.2">
      <c r="A1432" s="435"/>
      <c r="B1432" s="808"/>
      <c r="C1432" s="808"/>
      <c r="D1432" s="578" t="s">
        <v>636</v>
      </c>
      <c r="E1432" s="474" t="s">
        <v>72</v>
      </c>
      <c r="F1432" s="903">
        <v>350</v>
      </c>
      <c r="G1432" s="903">
        <v>350</v>
      </c>
      <c r="H1432" s="903">
        <v>350</v>
      </c>
      <c r="I1432" s="898">
        <f t="shared" si="67"/>
        <v>100</v>
      </c>
    </row>
    <row r="1433" spans="1:20" ht="15" x14ac:dyDescent="0.25">
      <c r="A1433" s="435">
        <v>1150</v>
      </c>
      <c r="B1433" s="808">
        <v>3142</v>
      </c>
      <c r="C1433" s="808">
        <v>5336</v>
      </c>
      <c r="D1433" s="578"/>
      <c r="E1433" s="1564" t="s">
        <v>1357</v>
      </c>
      <c r="F1433" s="903"/>
      <c r="G1433" s="916">
        <v>240</v>
      </c>
      <c r="H1433" s="916">
        <v>240</v>
      </c>
      <c r="I1433" s="906">
        <f t="shared" si="67"/>
        <v>100</v>
      </c>
    </row>
    <row r="1434" spans="1:20" s="107" customFormat="1" ht="15" x14ac:dyDescent="0.2">
      <c r="A1434" s="949"/>
      <c r="B1434" s="973"/>
      <c r="C1434" s="974"/>
      <c r="D1434" s="578" t="s">
        <v>1267</v>
      </c>
      <c r="E1434" s="474" t="s">
        <v>882</v>
      </c>
      <c r="F1434" s="975"/>
      <c r="G1434" s="976">
        <v>240</v>
      </c>
      <c r="H1434" s="976">
        <v>240</v>
      </c>
      <c r="I1434" s="898">
        <f t="shared" si="67"/>
        <v>100</v>
      </c>
    </row>
    <row r="1435" spans="1:20" s="107" customFormat="1" ht="15" x14ac:dyDescent="0.25">
      <c r="A1435" s="1724">
        <v>1150</v>
      </c>
      <c r="B1435" s="1725">
        <v>3299</v>
      </c>
      <c r="C1435" s="1726">
        <v>5331</v>
      </c>
      <c r="D1435" s="578"/>
      <c r="E1435" s="704" t="s">
        <v>1066</v>
      </c>
      <c r="F1435" s="975"/>
      <c r="G1435" s="1678">
        <v>20</v>
      </c>
      <c r="H1435" s="1678">
        <v>20</v>
      </c>
      <c r="I1435" s="908">
        <f t="shared" si="67"/>
        <v>100</v>
      </c>
    </row>
    <row r="1436" spans="1:20" s="107" customFormat="1" ht="15" x14ac:dyDescent="0.2">
      <c r="A1436" s="1724"/>
      <c r="B1436" s="1725"/>
      <c r="C1436" s="1726"/>
      <c r="D1436" s="1169" t="s">
        <v>1265</v>
      </c>
      <c r="E1436" s="1275" t="s">
        <v>24</v>
      </c>
      <c r="F1436" s="975"/>
      <c r="G1436" s="461">
        <v>10</v>
      </c>
      <c r="H1436" s="461">
        <v>10</v>
      </c>
      <c r="I1436" s="898">
        <f t="shared" si="67"/>
        <v>100</v>
      </c>
    </row>
    <row r="1437" spans="1:20" s="107" customFormat="1" ht="15.75" thickBot="1" x14ac:dyDescent="0.25">
      <c r="A1437" s="949"/>
      <c r="B1437" s="973"/>
      <c r="C1437" s="974"/>
      <c r="D1437" s="1715" t="s">
        <v>407</v>
      </c>
      <c r="E1437" s="479" t="s">
        <v>1260</v>
      </c>
      <c r="F1437" s="975"/>
      <c r="G1437" s="976">
        <v>10</v>
      </c>
      <c r="H1437" s="976">
        <v>10</v>
      </c>
      <c r="I1437" s="898">
        <f t="shared" si="67"/>
        <v>100</v>
      </c>
    </row>
    <row r="1438" spans="1:20" ht="18" customHeight="1" thickTop="1" thickBot="1" x14ac:dyDescent="0.3">
      <c r="A1438" s="2739" t="s">
        <v>1246</v>
      </c>
      <c r="B1438" s="2740"/>
      <c r="C1438" s="2740"/>
      <c r="D1438" s="2740"/>
      <c r="E1438" s="2740"/>
      <c r="F1438" s="894">
        <f>F1422+F1427+F1431+F1433+F1435</f>
        <v>3719</v>
      </c>
      <c r="G1438" s="894">
        <f>G1422+G1427+G1431+G1433+G1435</f>
        <v>24915</v>
      </c>
      <c r="H1438" s="894">
        <f>H1422+H1427+H1431+H1433+H1435</f>
        <v>24915</v>
      </c>
      <c r="I1438" s="895">
        <f t="shared" si="67"/>
        <v>100</v>
      </c>
      <c r="R1438" s="385">
        <f>F1438</f>
        <v>3719</v>
      </c>
      <c r="S1438" s="385">
        <f>G1438</f>
        <v>24915</v>
      </c>
      <c r="T1438" s="385">
        <f>H1438</f>
        <v>24915</v>
      </c>
    </row>
    <row r="1439" spans="1:20" s="1555" customFormat="1" ht="18" customHeight="1" thickTop="1" x14ac:dyDescent="0.25">
      <c r="A1439" s="370"/>
      <c r="B1439" s="370"/>
      <c r="C1439" s="370"/>
      <c r="D1439" s="370"/>
      <c r="E1439" s="370"/>
      <c r="F1439" s="181"/>
      <c r="G1439" s="181"/>
      <c r="H1439" s="181"/>
      <c r="I1439" s="210"/>
      <c r="R1439" s="307"/>
      <c r="S1439" s="307"/>
      <c r="T1439" s="307"/>
    </row>
    <row r="1440" spans="1:20" ht="13.5" thickBot="1" x14ac:dyDescent="0.25">
      <c r="A1440" s="439"/>
      <c r="I1440" s="1548" t="s">
        <v>179</v>
      </c>
    </row>
    <row r="1441" spans="1:23" s="107" customFormat="1" thickTop="1" thickBot="1" x14ac:dyDescent="0.25">
      <c r="A1441" s="657" t="s">
        <v>692</v>
      </c>
      <c r="B1441" s="835" t="s">
        <v>180</v>
      </c>
      <c r="C1441" s="658" t="s">
        <v>181</v>
      </c>
      <c r="D1441" s="660" t="s">
        <v>783</v>
      </c>
      <c r="E1441" s="660" t="s">
        <v>182</v>
      </c>
      <c r="F1441" s="660" t="s">
        <v>183</v>
      </c>
      <c r="G1441" s="660" t="s">
        <v>985</v>
      </c>
      <c r="H1441" s="660" t="s">
        <v>986</v>
      </c>
      <c r="I1441" s="888" t="s">
        <v>987</v>
      </c>
    </row>
    <row r="1442" spans="1:23" s="386" customFormat="1" ht="13.5" thickTop="1" thickBot="1" x14ac:dyDescent="0.25">
      <c r="A1442" s="592">
        <v>1</v>
      </c>
      <c r="B1442" s="593">
        <v>2</v>
      </c>
      <c r="C1442" s="593">
        <v>3</v>
      </c>
      <c r="D1442" s="593">
        <v>4</v>
      </c>
      <c r="E1442" s="593">
        <v>5</v>
      </c>
      <c r="F1442" s="567">
        <v>6</v>
      </c>
      <c r="G1442" s="567">
        <v>7</v>
      </c>
      <c r="H1442" s="568">
        <v>8</v>
      </c>
      <c r="I1442" s="662" t="s">
        <v>848</v>
      </c>
    </row>
    <row r="1443" spans="1:23" ht="15.75" thickTop="1" x14ac:dyDescent="0.25">
      <c r="A1443" s="435">
        <v>1150</v>
      </c>
      <c r="B1443" s="705">
        <v>3122</v>
      </c>
      <c r="C1443" s="705">
        <v>6351</v>
      </c>
      <c r="D1443" s="889"/>
      <c r="E1443" s="429" t="s">
        <v>1317</v>
      </c>
      <c r="F1443" s="890"/>
      <c r="G1443" s="890">
        <f>G1445+G1444</f>
        <v>1511</v>
      </c>
      <c r="H1443" s="890">
        <f>H1445+H1444</f>
        <v>1511</v>
      </c>
      <c r="I1443" s="891">
        <f>(H1443/G1443)*100</f>
        <v>100</v>
      </c>
    </row>
    <row r="1444" spans="1:23" ht="15" x14ac:dyDescent="0.25">
      <c r="A1444" s="435"/>
      <c r="B1444" s="705"/>
      <c r="C1444" s="705"/>
      <c r="D1444" s="1169" t="s">
        <v>202</v>
      </c>
      <c r="E1444" s="1275" t="s">
        <v>791</v>
      </c>
      <c r="F1444" s="890"/>
      <c r="G1444" s="357">
        <v>886</v>
      </c>
      <c r="H1444" s="357">
        <v>886</v>
      </c>
      <c r="I1444" s="898">
        <f t="shared" si="67"/>
        <v>100</v>
      </c>
    </row>
    <row r="1445" spans="1:23" ht="15.75" thickBot="1" x14ac:dyDescent="0.3">
      <c r="A1445" s="435"/>
      <c r="B1445" s="705"/>
      <c r="C1445" s="705"/>
      <c r="D1445" s="1179" t="s">
        <v>1536</v>
      </c>
      <c r="E1445" s="1702" t="s">
        <v>1537</v>
      </c>
      <c r="F1445" s="890"/>
      <c r="G1445" s="357">
        <v>625</v>
      </c>
      <c r="H1445" s="357">
        <v>625</v>
      </c>
      <c r="I1445" s="898">
        <f>(H1445/G1445)*100</f>
        <v>100</v>
      </c>
    </row>
    <row r="1446" spans="1:23" ht="20.25" customHeight="1" thickTop="1" thickBot="1" x14ac:dyDescent="0.3">
      <c r="A1446" s="2739" t="s">
        <v>1247</v>
      </c>
      <c r="B1446" s="2740"/>
      <c r="C1446" s="2740"/>
      <c r="D1446" s="2740"/>
      <c r="E1446" s="2740"/>
      <c r="F1446" s="894">
        <v>0</v>
      </c>
      <c r="G1446" s="894">
        <f>G1443</f>
        <v>1511</v>
      </c>
      <c r="H1446" s="894">
        <f>SUM(H1443)</f>
        <v>1511</v>
      </c>
      <c r="I1446" s="895">
        <f>(H1446/G1446)*100</f>
        <v>100</v>
      </c>
      <c r="U1446" s="385">
        <f>F1446</f>
        <v>0</v>
      </c>
      <c r="V1446" s="385">
        <f>G1446</f>
        <v>1511</v>
      </c>
      <c r="W1446" s="385">
        <f>H1446</f>
        <v>1511</v>
      </c>
    </row>
    <row r="1447" spans="1:23" ht="15.75" thickTop="1" x14ac:dyDescent="0.25">
      <c r="A1447" s="370"/>
      <c r="B1447" s="370"/>
      <c r="C1447" s="370"/>
      <c r="D1447" s="370"/>
      <c r="E1447" s="370"/>
      <c r="F1447" s="181"/>
      <c r="G1447" s="181"/>
      <c r="H1447" s="181"/>
      <c r="I1447" s="210"/>
      <c r="R1447" s="385"/>
      <c r="S1447" s="385"/>
      <c r="T1447" s="385"/>
    </row>
    <row r="1448" spans="1:23" ht="13.5" thickBot="1" x14ac:dyDescent="0.25">
      <c r="A1448" s="439" t="s">
        <v>319</v>
      </c>
      <c r="I1448" s="1548" t="s">
        <v>179</v>
      </c>
    </row>
    <row r="1449" spans="1:23" s="107" customFormat="1" ht="20.25" customHeight="1" thickTop="1" thickBot="1" x14ac:dyDescent="0.25">
      <c r="A1449" s="657" t="s">
        <v>692</v>
      </c>
      <c r="B1449" s="835" t="s">
        <v>180</v>
      </c>
      <c r="C1449" s="658" t="s">
        <v>181</v>
      </c>
      <c r="D1449" s="660" t="s">
        <v>783</v>
      </c>
      <c r="E1449" s="660" t="s">
        <v>182</v>
      </c>
      <c r="F1449" s="660" t="s">
        <v>183</v>
      </c>
      <c r="G1449" s="660" t="s">
        <v>985</v>
      </c>
      <c r="H1449" s="660" t="s">
        <v>986</v>
      </c>
      <c r="I1449" s="888" t="s">
        <v>987</v>
      </c>
    </row>
    <row r="1450" spans="1:23" s="386" customFormat="1" ht="12" customHeight="1" thickTop="1" thickBot="1" x14ac:dyDescent="0.25">
      <c r="A1450" s="592">
        <v>1</v>
      </c>
      <c r="B1450" s="593">
        <v>2</v>
      </c>
      <c r="C1450" s="593">
        <v>3</v>
      </c>
      <c r="D1450" s="593">
        <v>4</v>
      </c>
      <c r="E1450" s="593">
        <v>5</v>
      </c>
      <c r="F1450" s="567">
        <v>6</v>
      </c>
      <c r="G1450" s="567">
        <v>7</v>
      </c>
      <c r="H1450" s="568">
        <v>8</v>
      </c>
      <c r="I1450" s="662" t="s">
        <v>848</v>
      </c>
    </row>
    <row r="1451" spans="1:23" ht="15.75" thickTop="1" x14ac:dyDescent="0.25">
      <c r="A1451" s="1562">
        <v>1151</v>
      </c>
      <c r="B1451" s="917">
        <v>3122</v>
      </c>
      <c r="C1451" s="917">
        <v>5331</v>
      </c>
      <c r="D1451" s="922"/>
      <c r="E1451" s="956" t="s">
        <v>1066</v>
      </c>
      <c r="F1451" s="915">
        <f>F1452+F1453</f>
        <v>1267</v>
      </c>
      <c r="G1451" s="915">
        <f>G1452+G1453+G1454+G1455</f>
        <v>1276</v>
      </c>
      <c r="H1451" s="915">
        <f>H1452+H1453+H1454+H1455</f>
        <v>1276</v>
      </c>
      <c r="I1451" s="919">
        <f t="shared" ref="I1451:I1460" si="68">(H1451/G1451)*100</f>
        <v>100</v>
      </c>
    </row>
    <row r="1452" spans="1:23" ht="14.25" x14ac:dyDescent="0.2">
      <c r="A1452" s="435"/>
      <c r="B1452" s="705"/>
      <c r="C1452" s="705"/>
      <c r="D1452" s="743" t="s">
        <v>641</v>
      </c>
      <c r="E1452" s="1679" t="s">
        <v>883</v>
      </c>
      <c r="F1452" s="897">
        <v>189</v>
      </c>
      <c r="G1452" s="897">
        <v>163</v>
      </c>
      <c r="H1452" s="897">
        <v>163</v>
      </c>
      <c r="I1452" s="893">
        <f t="shared" si="68"/>
        <v>100</v>
      </c>
    </row>
    <row r="1453" spans="1:23" ht="14.25" x14ac:dyDescent="0.2">
      <c r="A1453" s="435"/>
      <c r="B1453" s="705"/>
      <c r="C1453" s="705"/>
      <c r="D1453" s="578" t="s">
        <v>636</v>
      </c>
      <c r="E1453" s="474" t="s">
        <v>72</v>
      </c>
      <c r="F1453" s="897">
        <v>1078</v>
      </c>
      <c r="G1453" s="897">
        <v>1078</v>
      </c>
      <c r="H1453" s="897">
        <v>1078</v>
      </c>
      <c r="I1453" s="893">
        <f t="shared" si="68"/>
        <v>100</v>
      </c>
    </row>
    <row r="1454" spans="1:23" ht="14.25" x14ac:dyDescent="0.2">
      <c r="A1454" s="435"/>
      <c r="B1454" s="705"/>
      <c r="C1454" s="705"/>
      <c r="D1454" s="1169" t="s">
        <v>1265</v>
      </c>
      <c r="E1454" s="1275" t="s">
        <v>24</v>
      </c>
      <c r="F1454" s="897"/>
      <c r="G1454" s="897">
        <v>15</v>
      </c>
      <c r="H1454" s="897">
        <v>15</v>
      </c>
      <c r="I1454" s="893">
        <f t="shared" si="68"/>
        <v>100</v>
      </c>
    </row>
    <row r="1455" spans="1:23" ht="14.25" x14ac:dyDescent="0.2">
      <c r="A1455" s="435"/>
      <c r="B1455" s="705"/>
      <c r="C1455" s="705"/>
      <c r="D1455" s="1178" t="s">
        <v>1763</v>
      </c>
      <c r="E1455" s="2590" t="s">
        <v>1913</v>
      </c>
      <c r="F1455" s="897"/>
      <c r="G1455" s="897">
        <v>20</v>
      </c>
      <c r="H1455" s="897">
        <v>20</v>
      </c>
      <c r="I1455" s="893">
        <f t="shared" si="68"/>
        <v>100</v>
      </c>
    </row>
    <row r="1456" spans="1:23" ht="15" x14ac:dyDescent="0.25">
      <c r="A1456" s="435">
        <v>1151</v>
      </c>
      <c r="B1456" s="705">
        <v>3122</v>
      </c>
      <c r="C1456" s="705">
        <v>5336</v>
      </c>
      <c r="D1456" s="1178"/>
      <c r="E1456" s="1564" t="s">
        <v>1357</v>
      </c>
      <c r="F1456" s="897"/>
      <c r="G1456" s="921">
        <f>G1457+G1458+G1459</f>
        <v>10731</v>
      </c>
      <c r="H1456" s="921">
        <f>H1457+H1458+H1459</f>
        <v>10731</v>
      </c>
      <c r="I1456" s="923">
        <f t="shared" si="68"/>
        <v>100</v>
      </c>
    </row>
    <row r="1457" spans="1:20" ht="14.25" x14ac:dyDescent="0.2">
      <c r="A1457" s="435"/>
      <c r="B1457" s="705"/>
      <c r="C1457" s="1550"/>
      <c r="D1457" s="578" t="s">
        <v>1267</v>
      </c>
      <c r="E1457" s="474" t="s">
        <v>882</v>
      </c>
      <c r="F1457" s="897"/>
      <c r="G1457" s="897">
        <v>10191</v>
      </c>
      <c r="H1457" s="897">
        <v>10191</v>
      </c>
      <c r="I1457" s="893">
        <f t="shared" si="68"/>
        <v>100</v>
      </c>
    </row>
    <row r="1458" spans="1:20" ht="14.25" x14ac:dyDescent="0.2">
      <c r="A1458" s="435"/>
      <c r="B1458" s="705"/>
      <c r="C1458" s="1550"/>
      <c r="D1458" s="1569" t="s">
        <v>1771</v>
      </c>
      <c r="E1458" s="1561" t="s">
        <v>1908</v>
      </c>
      <c r="F1458" s="897"/>
      <c r="G1458" s="897">
        <v>81</v>
      </c>
      <c r="H1458" s="897">
        <v>81</v>
      </c>
      <c r="I1458" s="893">
        <f t="shared" si="68"/>
        <v>100</v>
      </c>
    </row>
    <row r="1459" spans="1:20" ht="15" thickBot="1" x14ac:dyDescent="0.25">
      <c r="A1459" s="435"/>
      <c r="B1459" s="705"/>
      <c r="C1459" s="1550"/>
      <c r="D1459" s="1569" t="s">
        <v>1773</v>
      </c>
      <c r="E1459" s="1561" t="s">
        <v>1908</v>
      </c>
      <c r="F1459" s="897"/>
      <c r="G1459" s="897">
        <v>459</v>
      </c>
      <c r="H1459" s="897">
        <v>459</v>
      </c>
      <c r="I1459" s="893">
        <f t="shared" si="68"/>
        <v>100</v>
      </c>
    </row>
    <row r="1460" spans="1:20" ht="18" customHeight="1" thickTop="1" thickBot="1" x14ac:dyDescent="0.3">
      <c r="A1460" s="2739" t="s">
        <v>1246</v>
      </c>
      <c r="B1460" s="2740"/>
      <c r="C1460" s="2740"/>
      <c r="D1460" s="2740"/>
      <c r="E1460" s="2740"/>
      <c r="F1460" s="894">
        <f>SUM(F1451)</f>
        <v>1267</v>
      </c>
      <c r="G1460" s="894">
        <f>G1451+G1456</f>
        <v>12007</v>
      </c>
      <c r="H1460" s="894">
        <f>H1451+H1456</f>
        <v>12007</v>
      </c>
      <c r="I1460" s="895">
        <f t="shared" si="68"/>
        <v>100</v>
      </c>
      <c r="R1460" s="385">
        <f>F1460</f>
        <v>1267</v>
      </c>
      <c r="S1460" s="385">
        <f>G1460</f>
        <v>12007</v>
      </c>
      <c r="T1460" s="385">
        <f>H1460</f>
        <v>12007</v>
      </c>
    </row>
    <row r="1461" spans="1:20" ht="15.75" customHeight="1" thickTop="1" x14ac:dyDescent="0.2"/>
    <row r="1462" spans="1:20" ht="13.5" thickBot="1" x14ac:dyDescent="0.25">
      <c r="A1462" s="439" t="s">
        <v>582</v>
      </c>
      <c r="I1462" s="1548" t="s">
        <v>179</v>
      </c>
    </row>
    <row r="1463" spans="1:20" s="107" customFormat="1" thickTop="1" thickBot="1" x14ac:dyDescent="0.25">
      <c r="A1463" s="657" t="s">
        <v>692</v>
      </c>
      <c r="B1463" s="835" t="s">
        <v>180</v>
      </c>
      <c r="C1463" s="658" t="s">
        <v>181</v>
      </c>
      <c r="D1463" s="660" t="s">
        <v>783</v>
      </c>
      <c r="E1463" s="660" t="s">
        <v>182</v>
      </c>
      <c r="F1463" s="660" t="s">
        <v>183</v>
      </c>
      <c r="G1463" s="660" t="s">
        <v>985</v>
      </c>
      <c r="H1463" s="660" t="s">
        <v>986</v>
      </c>
      <c r="I1463" s="888" t="s">
        <v>987</v>
      </c>
    </row>
    <row r="1464" spans="1:20" s="386" customFormat="1" ht="12" customHeight="1" thickTop="1" thickBot="1" x14ac:dyDescent="0.25">
      <c r="A1464" s="592">
        <v>1</v>
      </c>
      <c r="B1464" s="593">
        <v>2</v>
      </c>
      <c r="C1464" s="593">
        <v>3</v>
      </c>
      <c r="D1464" s="593">
        <v>4</v>
      </c>
      <c r="E1464" s="593">
        <v>5</v>
      </c>
      <c r="F1464" s="567">
        <v>6</v>
      </c>
      <c r="G1464" s="567">
        <v>7</v>
      </c>
      <c r="H1464" s="568">
        <v>8</v>
      </c>
      <c r="I1464" s="662" t="s">
        <v>848</v>
      </c>
    </row>
    <row r="1465" spans="1:20" ht="15.75" thickTop="1" x14ac:dyDescent="0.25">
      <c r="A1465" s="1562">
        <v>1152</v>
      </c>
      <c r="B1465" s="917">
        <v>3122</v>
      </c>
      <c r="C1465" s="917">
        <v>5331</v>
      </c>
      <c r="D1465" s="922"/>
      <c r="E1465" s="956" t="s">
        <v>1066</v>
      </c>
      <c r="F1465" s="915">
        <f>F1466+F1467+F1468+F1469</f>
        <v>2655</v>
      </c>
      <c r="G1465" s="915">
        <f>G1466+G1467+G1468+G1469</f>
        <v>2715</v>
      </c>
      <c r="H1465" s="915">
        <f>H1466+H1467+H1468+H1469</f>
        <v>2715</v>
      </c>
      <c r="I1465" s="919">
        <f t="shared" ref="I1465:I1476" si="69">(H1465/G1465)*100</f>
        <v>100</v>
      </c>
    </row>
    <row r="1466" spans="1:20" ht="13.5" customHeight="1" x14ac:dyDescent="0.2">
      <c r="A1466" s="435"/>
      <c r="B1466" s="705"/>
      <c r="C1466" s="705"/>
      <c r="D1466" s="743" t="s">
        <v>641</v>
      </c>
      <c r="E1466" s="1679" t="s">
        <v>883</v>
      </c>
      <c r="F1466" s="897">
        <v>450</v>
      </c>
      <c r="G1466" s="897">
        <v>460</v>
      </c>
      <c r="H1466" s="897">
        <v>460</v>
      </c>
      <c r="I1466" s="893">
        <f t="shared" si="69"/>
        <v>100</v>
      </c>
    </row>
    <row r="1467" spans="1:20" ht="14.25" x14ac:dyDescent="0.2">
      <c r="A1467" s="435"/>
      <c r="B1467" s="705"/>
      <c r="C1467" s="705"/>
      <c r="D1467" s="578" t="s">
        <v>636</v>
      </c>
      <c r="E1467" s="474" t="s">
        <v>72</v>
      </c>
      <c r="F1467" s="897">
        <v>2205</v>
      </c>
      <c r="G1467" s="897">
        <v>2205</v>
      </c>
      <c r="H1467" s="897">
        <v>2205</v>
      </c>
      <c r="I1467" s="893">
        <f t="shared" si="69"/>
        <v>100</v>
      </c>
    </row>
    <row r="1468" spans="1:20" ht="14.25" x14ac:dyDescent="0.2">
      <c r="A1468" s="435"/>
      <c r="B1468" s="705"/>
      <c r="C1468" s="705"/>
      <c r="D1468" s="1169" t="s">
        <v>1265</v>
      </c>
      <c r="E1468" s="1275" t="s">
        <v>24</v>
      </c>
      <c r="F1468" s="897"/>
      <c r="G1468" s="897">
        <v>10</v>
      </c>
      <c r="H1468" s="897">
        <v>10</v>
      </c>
      <c r="I1468" s="893">
        <f t="shared" si="69"/>
        <v>100</v>
      </c>
    </row>
    <row r="1469" spans="1:20" ht="14.25" x14ac:dyDescent="0.2">
      <c r="A1469" s="435"/>
      <c r="B1469" s="705"/>
      <c r="C1469" s="705"/>
      <c r="D1469" s="1178" t="s">
        <v>1040</v>
      </c>
      <c r="E1469" s="2585" t="s">
        <v>1907</v>
      </c>
      <c r="F1469" s="897"/>
      <c r="G1469" s="897">
        <v>40</v>
      </c>
      <c r="H1469" s="897">
        <v>40</v>
      </c>
      <c r="I1469" s="893">
        <f t="shared" si="69"/>
        <v>100</v>
      </c>
    </row>
    <row r="1470" spans="1:20" ht="15" x14ac:dyDescent="0.25">
      <c r="A1470" s="435">
        <v>1152</v>
      </c>
      <c r="B1470" s="705">
        <v>3122</v>
      </c>
      <c r="C1470" s="705">
        <v>5336</v>
      </c>
      <c r="D1470" s="1178"/>
      <c r="E1470" s="1564" t="s">
        <v>1357</v>
      </c>
      <c r="F1470" s="897"/>
      <c r="G1470" s="921">
        <f>G1471+G1472+G1473</f>
        <v>14564</v>
      </c>
      <c r="H1470" s="921">
        <f>H1471+H1472+H1473</f>
        <v>14564</v>
      </c>
      <c r="I1470" s="923">
        <f t="shared" si="69"/>
        <v>100</v>
      </c>
    </row>
    <row r="1471" spans="1:20" ht="14.25" x14ac:dyDescent="0.2">
      <c r="A1471" s="435"/>
      <c r="B1471" s="705"/>
      <c r="C1471" s="705"/>
      <c r="D1471" s="578" t="s">
        <v>1267</v>
      </c>
      <c r="E1471" s="474" t="s">
        <v>882</v>
      </c>
      <c r="F1471" s="897"/>
      <c r="G1471" s="897">
        <v>13864</v>
      </c>
      <c r="H1471" s="897">
        <v>13864</v>
      </c>
      <c r="I1471" s="893">
        <f t="shared" si="69"/>
        <v>100</v>
      </c>
    </row>
    <row r="1472" spans="1:20" ht="14.25" x14ac:dyDescent="0.2">
      <c r="A1472" s="435"/>
      <c r="B1472" s="808"/>
      <c r="C1472" s="808"/>
      <c r="D1472" s="1569" t="s">
        <v>1771</v>
      </c>
      <c r="E1472" s="1561" t="s">
        <v>1908</v>
      </c>
      <c r="F1472" s="903"/>
      <c r="G1472" s="903">
        <v>105</v>
      </c>
      <c r="H1472" s="903">
        <v>105</v>
      </c>
      <c r="I1472" s="893">
        <f t="shared" si="69"/>
        <v>100</v>
      </c>
    </row>
    <row r="1473" spans="1:20" ht="14.25" x14ac:dyDescent="0.2">
      <c r="A1473" s="435"/>
      <c r="B1473" s="808"/>
      <c r="C1473" s="808"/>
      <c r="D1473" s="1569" t="s">
        <v>1773</v>
      </c>
      <c r="E1473" s="1561" t="s">
        <v>1908</v>
      </c>
      <c r="F1473" s="903"/>
      <c r="G1473" s="903">
        <v>595</v>
      </c>
      <c r="H1473" s="903">
        <v>595</v>
      </c>
      <c r="I1473" s="893">
        <f t="shared" si="69"/>
        <v>100</v>
      </c>
    </row>
    <row r="1474" spans="1:20" ht="15" x14ac:dyDescent="0.25">
      <c r="A1474" s="435">
        <v>1152</v>
      </c>
      <c r="B1474" s="808">
        <v>5399</v>
      </c>
      <c r="C1474" s="808">
        <v>5331</v>
      </c>
      <c r="D1474" s="929"/>
      <c r="E1474" s="704" t="s">
        <v>1066</v>
      </c>
      <c r="F1474" s="916"/>
      <c r="G1474" s="916">
        <v>71</v>
      </c>
      <c r="H1474" s="916">
        <v>71</v>
      </c>
      <c r="I1474" s="923">
        <f t="shared" si="69"/>
        <v>100</v>
      </c>
    </row>
    <row r="1475" spans="1:20" ht="15" thickBot="1" x14ac:dyDescent="0.25">
      <c r="A1475" s="435"/>
      <c r="B1475" s="808"/>
      <c r="C1475" s="808"/>
      <c r="D1475" s="1565" t="s">
        <v>973</v>
      </c>
      <c r="E1475" s="1422" t="s">
        <v>540</v>
      </c>
      <c r="F1475" s="903"/>
      <c r="G1475" s="903">
        <v>71</v>
      </c>
      <c r="H1475" s="903">
        <v>71</v>
      </c>
      <c r="I1475" s="893">
        <f t="shared" si="69"/>
        <v>100</v>
      </c>
    </row>
    <row r="1476" spans="1:20" ht="15.75" customHeight="1" thickTop="1" thickBot="1" x14ac:dyDescent="0.3">
      <c r="A1476" s="2739" t="s">
        <v>1246</v>
      </c>
      <c r="B1476" s="2740"/>
      <c r="C1476" s="2740"/>
      <c r="D1476" s="2740"/>
      <c r="E1476" s="2740"/>
      <c r="F1476" s="894">
        <f>SUM(F1465,F1474)</f>
        <v>2655</v>
      </c>
      <c r="G1476" s="894">
        <f>G1465+G1470+G1474</f>
        <v>17350</v>
      </c>
      <c r="H1476" s="894">
        <f>H1465+H1470+H1474</f>
        <v>17350</v>
      </c>
      <c r="I1476" s="895">
        <f t="shared" si="69"/>
        <v>100</v>
      </c>
      <c r="R1476" s="385">
        <f>F1476</f>
        <v>2655</v>
      </c>
      <c r="S1476" s="385">
        <f>G1476</f>
        <v>17350</v>
      </c>
      <c r="T1476" s="385">
        <f>H1476</f>
        <v>17350</v>
      </c>
    </row>
    <row r="1477" spans="1:20" ht="13.5" thickTop="1" x14ac:dyDescent="0.2"/>
    <row r="1478" spans="1:20" ht="13.5" thickBot="1" x14ac:dyDescent="0.25">
      <c r="A1478" s="439" t="s">
        <v>195</v>
      </c>
      <c r="I1478" s="1548" t="s">
        <v>179</v>
      </c>
    </row>
    <row r="1479" spans="1:20" s="107" customFormat="1" thickTop="1" thickBot="1" x14ac:dyDescent="0.25">
      <c r="A1479" s="657" t="s">
        <v>692</v>
      </c>
      <c r="B1479" s="835" t="s">
        <v>180</v>
      </c>
      <c r="C1479" s="658" t="s">
        <v>181</v>
      </c>
      <c r="D1479" s="660" t="s">
        <v>783</v>
      </c>
      <c r="E1479" s="660" t="s">
        <v>182</v>
      </c>
      <c r="F1479" s="660" t="s">
        <v>183</v>
      </c>
      <c r="G1479" s="660" t="s">
        <v>985</v>
      </c>
      <c r="H1479" s="660" t="s">
        <v>986</v>
      </c>
      <c r="I1479" s="888" t="s">
        <v>987</v>
      </c>
    </row>
    <row r="1480" spans="1:20" s="386" customFormat="1" ht="15" customHeight="1" thickTop="1" thickBot="1" x14ac:dyDescent="0.25">
      <c r="A1480" s="592">
        <v>1</v>
      </c>
      <c r="B1480" s="593">
        <v>2</v>
      </c>
      <c r="C1480" s="593">
        <v>3</v>
      </c>
      <c r="D1480" s="593">
        <v>4</v>
      </c>
      <c r="E1480" s="593">
        <v>5</v>
      </c>
      <c r="F1480" s="567">
        <v>6</v>
      </c>
      <c r="G1480" s="567">
        <v>7</v>
      </c>
      <c r="H1480" s="568">
        <v>8</v>
      </c>
      <c r="I1480" s="662" t="s">
        <v>848</v>
      </c>
    </row>
    <row r="1481" spans="1:20" ht="15.75" thickTop="1" x14ac:dyDescent="0.25">
      <c r="A1481" s="1562">
        <v>1153</v>
      </c>
      <c r="B1481" s="917">
        <v>3122</v>
      </c>
      <c r="C1481" s="917">
        <v>5331</v>
      </c>
      <c r="D1481" s="922"/>
      <c r="E1481" s="956" t="s">
        <v>1066</v>
      </c>
      <c r="F1481" s="915">
        <f>F1482+F1483+F1484+F1485</f>
        <v>2463</v>
      </c>
      <c r="G1481" s="915">
        <f>G1482+G1483+G1484+G1485</f>
        <v>2501</v>
      </c>
      <c r="H1481" s="915">
        <f>H1482+H1483+H1484+H1485</f>
        <v>2501</v>
      </c>
      <c r="I1481" s="919">
        <f t="shared" ref="I1481:I1499" si="70">(H1481/G1481)*100</f>
        <v>100</v>
      </c>
    </row>
    <row r="1482" spans="1:20" ht="14.25" x14ac:dyDescent="0.2">
      <c r="A1482" s="435"/>
      <c r="B1482" s="705"/>
      <c r="C1482" s="705"/>
      <c r="D1482" s="743" t="s">
        <v>641</v>
      </c>
      <c r="E1482" s="1679" t="s">
        <v>883</v>
      </c>
      <c r="F1482" s="897">
        <v>507</v>
      </c>
      <c r="G1482" s="897">
        <v>515</v>
      </c>
      <c r="H1482" s="897">
        <v>515</v>
      </c>
      <c r="I1482" s="893">
        <f t="shared" si="70"/>
        <v>100</v>
      </c>
    </row>
    <row r="1483" spans="1:20" ht="14.25" x14ac:dyDescent="0.2">
      <c r="A1483" s="435"/>
      <c r="B1483" s="705"/>
      <c r="C1483" s="705"/>
      <c r="D1483" s="578" t="s">
        <v>636</v>
      </c>
      <c r="E1483" s="474" t="s">
        <v>72</v>
      </c>
      <c r="F1483" s="897">
        <v>1725</v>
      </c>
      <c r="G1483" s="897">
        <v>1725</v>
      </c>
      <c r="H1483" s="897">
        <v>1725</v>
      </c>
      <c r="I1483" s="893">
        <f t="shared" si="70"/>
        <v>100</v>
      </c>
    </row>
    <row r="1484" spans="1:20" ht="14.25" x14ac:dyDescent="0.2">
      <c r="A1484" s="435"/>
      <c r="B1484" s="705"/>
      <c r="C1484" s="705"/>
      <c r="D1484" s="743" t="s">
        <v>1266</v>
      </c>
      <c r="E1484" s="474" t="s">
        <v>25</v>
      </c>
      <c r="F1484" s="897">
        <v>231</v>
      </c>
      <c r="G1484" s="897">
        <v>244</v>
      </c>
      <c r="H1484" s="897">
        <v>244</v>
      </c>
      <c r="I1484" s="893">
        <f t="shared" si="70"/>
        <v>100</v>
      </c>
    </row>
    <row r="1485" spans="1:20" ht="14.25" x14ac:dyDescent="0.2">
      <c r="A1485" s="435"/>
      <c r="B1485" s="705"/>
      <c r="C1485" s="705"/>
      <c r="D1485" s="1178" t="s">
        <v>1763</v>
      </c>
      <c r="E1485" s="2590" t="s">
        <v>1913</v>
      </c>
      <c r="F1485" s="897"/>
      <c r="G1485" s="897">
        <v>17</v>
      </c>
      <c r="H1485" s="897">
        <v>17</v>
      </c>
      <c r="I1485" s="893">
        <f t="shared" si="70"/>
        <v>100</v>
      </c>
    </row>
    <row r="1486" spans="1:20" ht="15" x14ac:dyDescent="0.25">
      <c r="A1486" s="435">
        <v>1153</v>
      </c>
      <c r="B1486" s="705">
        <v>3122</v>
      </c>
      <c r="C1486" s="705">
        <v>5336</v>
      </c>
      <c r="D1486" s="2536"/>
      <c r="E1486" s="1564" t="s">
        <v>1357</v>
      </c>
      <c r="F1486" s="897"/>
      <c r="G1486" s="921">
        <f>G1487+G1488+G1489</f>
        <v>11380</v>
      </c>
      <c r="H1486" s="921">
        <f>H1487+H1488+H1489</f>
        <v>11380</v>
      </c>
      <c r="I1486" s="923">
        <f t="shared" si="70"/>
        <v>100</v>
      </c>
    </row>
    <row r="1487" spans="1:20" ht="14.25" x14ac:dyDescent="0.2">
      <c r="A1487" s="435"/>
      <c r="B1487" s="705"/>
      <c r="C1487" s="705"/>
      <c r="D1487" s="578" t="s">
        <v>1267</v>
      </c>
      <c r="E1487" s="474" t="s">
        <v>882</v>
      </c>
      <c r="F1487" s="897"/>
      <c r="G1487" s="897">
        <v>10799</v>
      </c>
      <c r="H1487" s="897">
        <v>10799</v>
      </c>
      <c r="I1487" s="893">
        <f t="shared" si="70"/>
        <v>100</v>
      </c>
    </row>
    <row r="1488" spans="1:20" ht="14.25" x14ac:dyDescent="0.2">
      <c r="A1488" s="435"/>
      <c r="B1488" s="808"/>
      <c r="C1488" s="808"/>
      <c r="D1488" s="1569" t="s">
        <v>1771</v>
      </c>
      <c r="E1488" s="1561" t="s">
        <v>1908</v>
      </c>
      <c r="F1488" s="903"/>
      <c r="G1488" s="903">
        <v>87</v>
      </c>
      <c r="H1488" s="903">
        <v>87</v>
      </c>
      <c r="I1488" s="898">
        <f t="shared" si="70"/>
        <v>100</v>
      </c>
    </row>
    <row r="1489" spans="1:23" ht="14.25" x14ac:dyDescent="0.2">
      <c r="A1489" s="435"/>
      <c r="B1489" s="808"/>
      <c r="C1489" s="808"/>
      <c r="D1489" s="1569" t="s">
        <v>1773</v>
      </c>
      <c r="E1489" s="1561" t="s">
        <v>1908</v>
      </c>
      <c r="F1489" s="903"/>
      <c r="G1489" s="903">
        <v>494</v>
      </c>
      <c r="H1489" s="903">
        <v>494</v>
      </c>
      <c r="I1489" s="898">
        <f t="shared" si="70"/>
        <v>100</v>
      </c>
    </row>
    <row r="1490" spans="1:23" ht="15" x14ac:dyDescent="0.25">
      <c r="A1490" s="435">
        <v>1153</v>
      </c>
      <c r="B1490" s="808">
        <v>3142</v>
      </c>
      <c r="C1490" s="808">
        <v>5331</v>
      </c>
      <c r="D1490" s="929"/>
      <c r="E1490" s="704" t="s">
        <v>1066</v>
      </c>
      <c r="F1490" s="905">
        <f>F1491+F1492</f>
        <v>861</v>
      </c>
      <c r="G1490" s="905">
        <f>G1491+G1492</f>
        <v>903</v>
      </c>
      <c r="H1490" s="905">
        <f>H1491+H1492</f>
        <v>903</v>
      </c>
      <c r="I1490" s="906">
        <f t="shared" si="70"/>
        <v>100</v>
      </c>
    </row>
    <row r="1491" spans="1:23" ht="14.25" x14ac:dyDescent="0.2">
      <c r="A1491" s="435"/>
      <c r="B1491" s="808"/>
      <c r="C1491" s="808"/>
      <c r="D1491" s="743" t="s">
        <v>641</v>
      </c>
      <c r="E1491" s="1679" t="s">
        <v>883</v>
      </c>
      <c r="F1491" s="903">
        <v>143</v>
      </c>
      <c r="G1491" s="903">
        <v>185</v>
      </c>
      <c r="H1491" s="903">
        <v>185</v>
      </c>
      <c r="I1491" s="898">
        <f t="shared" si="70"/>
        <v>100</v>
      </c>
    </row>
    <row r="1492" spans="1:23" ht="14.25" x14ac:dyDescent="0.2">
      <c r="A1492" s="435"/>
      <c r="B1492" s="808"/>
      <c r="C1492" s="808"/>
      <c r="D1492" s="578" t="s">
        <v>636</v>
      </c>
      <c r="E1492" s="474" t="s">
        <v>72</v>
      </c>
      <c r="F1492" s="903">
        <v>718</v>
      </c>
      <c r="G1492" s="903">
        <v>718</v>
      </c>
      <c r="H1492" s="903">
        <v>718</v>
      </c>
      <c r="I1492" s="898">
        <f t="shared" si="70"/>
        <v>100</v>
      </c>
    </row>
    <row r="1493" spans="1:23" ht="15" x14ac:dyDescent="0.25">
      <c r="A1493" s="435">
        <v>1153</v>
      </c>
      <c r="B1493" s="808">
        <v>3142</v>
      </c>
      <c r="C1493" s="808">
        <v>5336</v>
      </c>
      <c r="D1493" s="578"/>
      <c r="E1493" s="1564" t="s">
        <v>1357</v>
      </c>
      <c r="F1493" s="903"/>
      <c r="G1493" s="916">
        <v>1094</v>
      </c>
      <c r="H1493" s="916">
        <v>1094</v>
      </c>
      <c r="I1493" s="908">
        <f t="shared" si="70"/>
        <v>100</v>
      </c>
    </row>
    <row r="1494" spans="1:23" ht="14.25" x14ac:dyDescent="0.2">
      <c r="A1494" s="435"/>
      <c r="B1494" s="808"/>
      <c r="C1494" s="808"/>
      <c r="D1494" s="578" t="s">
        <v>1267</v>
      </c>
      <c r="E1494" s="474" t="s">
        <v>882</v>
      </c>
      <c r="F1494" s="903"/>
      <c r="G1494" s="903">
        <v>1094</v>
      </c>
      <c r="H1494" s="903">
        <v>1094</v>
      </c>
      <c r="I1494" s="898">
        <f t="shared" si="70"/>
        <v>100</v>
      </c>
    </row>
    <row r="1495" spans="1:23" ht="15" x14ac:dyDescent="0.25">
      <c r="A1495" s="435">
        <v>1153</v>
      </c>
      <c r="B1495" s="808">
        <v>3147</v>
      </c>
      <c r="C1495" s="808">
        <v>5331</v>
      </c>
      <c r="D1495" s="929"/>
      <c r="E1495" s="704" t="s">
        <v>1066</v>
      </c>
      <c r="F1495" s="905">
        <f>F1496+F1497</f>
        <v>1948</v>
      </c>
      <c r="G1495" s="905">
        <f>G1496+G1497</f>
        <v>1933</v>
      </c>
      <c r="H1495" s="905">
        <f>H1496+H1497</f>
        <v>1933</v>
      </c>
      <c r="I1495" s="906">
        <f t="shared" si="70"/>
        <v>100</v>
      </c>
    </row>
    <row r="1496" spans="1:23" ht="14.25" x14ac:dyDescent="0.2">
      <c r="A1496" s="435"/>
      <c r="B1496" s="808"/>
      <c r="C1496" s="808"/>
      <c r="D1496" s="743" t="s">
        <v>641</v>
      </c>
      <c r="E1496" s="1679" t="s">
        <v>883</v>
      </c>
      <c r="F1496" s="903">
        <v>1080</v>
      </c>
      <c r="G1496" s="903">
        <v>1065</v>
      </c>
      <c r="H1496" s="903">
        <v>1065</v>
      </c>
      <c r="I1496" s="898">
        <f t="shared" si="70"/>
        <v>100</v>
      </c>
    </row>
    <row r="1497" spans="1:23" ht="14.25" x14ac:dyDescent="0.2">
      <c r="A1497" s="435"/>
      <c r="B1497" s="808"/>
      <c r="C1497" s="808"/>
      <c r="D1497" s="578" t="s">
        <v>636</v>
      </c>
      <c r="E1497" s="474" t="s">
        <v>72</v>
      </c>
      <c r="F1497" s="903">
        <v>868</v>
      </c>
      <c r="G1497" s="903">
        <v>868</v>
      </c>
      <c r="H1497" s="903">
        <v>868</v>
      </c>
      <c r="I1497" s="898">
        <f t="shared" si="70"/>
        <v>100</v>
      </c>
    </row>
    <row r="1498" spans="1:23" ht="15" x14ac:dyDescent="0.25">
      <c r="A1498" s="435">
        <v>1153</v>
      </c>
      <c r="B1498" s="808">
        <v>3147</v>
      </c>
      <c r="C1498" s="808">
        <v>5336</v>
      </c>
      <c r="D1498" s="578"/>
      <c r="E1498" s="1564" t="s">
        <v>1357</v>
      </c>
      <c r="F1498" s="903"/>
      <c r="G1498" s="916">
        <v>1979</v>
      </c>
      <c r="H1498" s="916">
        <v>1979</v>
      </c>
      <c r="I1498" s="908">
        <f t="shared" si="70"/>
        <v>100</v>
      </c>
    </row>
    <row r="1499" spans="1:23" ht="18" customHeight="1" thickBot="1" x14ac:dyDescent="0.25">
      <c r="A1499" s="435"/>
      <c r="B1499" s="808"/>
      <c r="C1499" s="808"/>
      <c r="D1499" s="578" t="s">
        <v>1267</v>
      </c>
      <c r="E1499" s="474" t="s">
        <v>882</v>
      </c>
      <c r="F1499" s="903"/>
      <c r="G1499" s="903">
        <v>1979</v>
      </c>
      <c r="H1499" s="903">
        <v>1979</v>
      </c>
      <c r="I1499" s="898">
        <f t="shared" si="70"/>
        <v>100</v>
      </c>
    </row>
    <row r="1500" spans="1:23" ht="18" customHeight="1" thickTop="1" thickBot="1" x14ac:dyDescent="0.3">
      <c r="A1500" s="2739" t="s">
        <v>1246</v>
      </c>
      <c r="B1500" s="2740"/>
      <c r="C1500" s="2740"/>
      <c r="D1500" s="2740"/>
      <c r="E1500" s="2740"/>
      <c r="F1500" s="894">
        <f>F1481+F1486+F1490+F1493+F1495+F1498</f>
        <v>5272</v>
      </c>
      <c r="G1500" s="894">
        <f>G1481+G1486+G1490+G1493+G1495+G1498</f>
        <v>19790</v>
      </c>
      <c r="H1500" s="894">
        <f>H1481+H1486+H1490+H1493+H1495+H1498</f>
        <v>19790</v>
      </c>
      <c r="I1500" s="895">
        <f>(H1500/G1500)*100</f>
        <v>100</v>
      </c>
      <c r="R1500" s="385">
        <f>F1500</f>
        <v>5272</v>
      </c>
      <c r="S1500" s="385">
        <f>G1500</f>
        <v>19790</v>
      </c>
      <c r="T1500" s="385">
        <f>H1500</f>
        <v>19790</v>
      </c>
    </row>
    <row r="1501" spans="1:23" ht="18" customHeight="1" thickTop="1" x14ac:dyDescent="0.25">
      <c r="A1501" s="435">
        <v>1153</v>
      </c>
      <c r="B1501" s="705">
        <v>3122</v>
      </c>
      <c r="C1501" s="705">
        <v>6351</v>
      </c>
      <c r="D1501" s="889"/>
      <c r="E1501" s="650" t="s">
        <v>1317</v>
      </c>
      <c r="F1501" s="890"/>
      <c r="G1501" s="890">
        <v>4219</v>
      </c>
      <c r="H1501" s="890">
        <v>4219</v>
      </c>
      <c r="I1501" s="891">
        <f>(H1501/G1501)*100</f>
        <v>100</v>
      </c>
    </row>
    <row r="1502" spans="1:23" ht="15.75" thickBot="1" x14ac:dyDescent="0.3">
      <c r="A1502" s="435"/>
      <c r="B1502" s="705"/>
      <c r="C1502" s="705"/>
      <c r="D1502" s="1438" t="s">
        <v>1329</v>
      </c>
      <c r="E1502" s="1441" t="s">
        <v>1664</v>
      </c>
      <c r="F1502" s="890"/>
      <c r="G1502" s="357">
        <v>4219</v>
      </c>
      <c r="H1502" s="357">
        <v>4219</v>
      </c>
      <c r="I1502" s="898">
        <f>(H1502/G1502)*100</f>
        <v>100</v>
      </c>
    </row>
    <row r="1503" spans="1:23" ht="20.25" customHeight="1" thickTop="1" thickBot="1" x14ac:dyDescent="0.3">
      <c r="A1503" s="2739" t="s">
        <v>1247</v>
      </c>
      <c r="B1503" s="2740"/>
      <c r="C1503" s="2740"/>
      <c r="D1503" s="2740"/>
      <c r="E1503" s="2740"/>
      <c r="F1503" s="894">
        <v>0</v>
      </c>
      <c r="G1503" s="894">
        <f>G1501</f>
        <v>4219</v>
      </c>
      <c r="H1503" s="894">
        <f>SUM(H1501)</f>
        <v>4219</v>
      </c>
      <c r="I1503" s="895">
        <f>(H1503/G1503)*100</f>
        <v>100</v>
      </c>
      <c r="U1503" s="385">
        <f>F1503</f>
        <v>0</v>
      </c>
      <c r="V1503" s="385">
        <f>G1503</f>
        <v>4219</v>
      </c>
      <c r="W1503" s="385">
        <f>H1503</f>
        <v>4219</v>
      </c>
    </row>
    <row r="1504" spans="1:23" ht="15.75" thickTop="1" x14ac:dyDescent="0.25">
      <c r="A1504" s="370"/>
      <c r="B1504" s="370"/>
      <c r="C1504" s="370"/>
      <c r="D1504" s="370"/>
      <c r="E1504" s="370"/>
      <c r="F1504" s="183"/>
      <c r="G1504" s="183"/>
      <c r="H1504" s="183"/>
      <c r="I1504" s="214"/>
      <c r="K1504" s="385"/>
      <c r="L1504" s="385"/>
    </row>
    <row r="1505" spans="1:12" ht="15" x14ac:dyDescent="0.25">
      <c r="A1505" s="370"/>
      <c r="B1505" s="370"/>
      <c r="C1505" s="370"/>
      <c r="D1505" s="370"/>
      <c r="E1505" s="370"/>
      <c r="F1505" s="183"/>
      <c r="G1505" s="183"/>
      <c r="H1505" s="183"/>
      <c r="I1505" s="214"/>
      <c r="K1505" s="385"/>
      <c r="L1505" s="385"/>
    </row>
    <row r="1506" spans="1:12" ht="15" x14ac:dyDescent="0.25">
      <c r="A1506" s="370"/>
      <c r="B1506" s="370"/>
      <c r="C1506" s="370"/>
      <c r="D1506" s="370"/>
      <c r="E1506" s="370"/>
      <c r="F1506" s="183"/>
      <c r="G1506" s="183"/>
      <c r="H1506" s="183"/>
      <c r="I1506" s="214"/>
      <c r="K1506" s="385"/>
      <c r="L1506" s="385"/>
    </row>
    <row r="1507" spans="1:12" ht="15" x14ac:dyDescent="0.25">
      <c r="A1507" s="370"/>
      <c r="B1507" s="370"/>
      <c r="C1507" s="370"/>
      <c r="D1507" s="370"/>
      <c r="E1507" s="370"/>
      <c r="F1507" s="183"/>
      <c r="G1507" s="183"/>
      <c r="H1507" s="183"/>
      <c r="I1507" s="214"/>
      <c r="K1507" s="385"/>
      <c r="L1507" s="385"/>
    </row>
    <row r="1508" spans="1:12" ht="15" x14ac:dyDescent="0.25">
      <c r="A1508" s="370"/>
      <c r="B1508" s="370"/>
      <c r="C1508" s="370"/>
      <c r="D1508" s="370"/>
      <c r="E1508" s="370"/>
      <c r="F1508" s="183"/>
      <c r="G1508" s="183"/>
      <c r="H1508" s="183"/>
      <c r="I1508" s="214"/>
      <c r="K1508" s="385"/>
      <c r="L1508" s="385"/>
    </row>
    <row r="1509" spans="1:12" ht="15" x14ac:dyDescent="0.25">
      <c r="A1509" s="370"/>
      <c r="B1509" s="370"/>
      <c r="C1509" s="370"/>
      <c r="D1509" s="370"/>
      <c r="E1509" s="370"/>
      <c r="F1509" s="183"/>
      <c r="G1509" s="183"/>
      <c r="H1509" s="183"/>
      <c r="I1509" s="214"/>
      <c r="K1509" s="385"/>
      <c r="L1509" s="385"/>
    </row>
    <row r="1510" spans="1:12" ht="13.5" thickBot="1" x14ac:dyDescent="0.25">
      <c r="A1510" s="439" t="s">
        <v>1255</v>
      </c>
      <c r="I1510" s="1548" t="s">
        <v>179</v>
      </c>
    </row>
    <row r="1511" spans="1:12" s="107" customFormat="1" thickTop="1" thickBot="1" x14ac:dyDescent="0.25">
      <c r="A1511" s="657" t="s">
        <v>692</v>
      </c>
      <c r="B1511" s="835" t="s">
        <v>180</v>
      </c>
      <c r="C1511" s="658" t="s">
        <v>181</v>
      </c>
      <c r="D1511" s="660" t="s">
        <v>783</v>
      </c>
      <c r="E1511" s="660" t="s">
        <v>182</v>
      </c>
      <c r="F1511" s="660" t="s">
        <v>183</v>
      </c>
      <c r="G1511" s="660" t="s">
        <v>985</v>
      </c>
      <c r="H1511" s="660" t="s">
        <v>986</v>
      </c>
      <c r="I1511" s="888" t="s">
        <v>987</v>
      </c>
    </row>
    <row r="1512" spans="1:12" s="386" customFormat="1" ht="13.5" thickTop="1" thickBot="1" x14ac:dyDescent="0.25">
      <c r="A1512" s="592">
        <v>1</v>
      </c>
      <c r="B1512" s="593">
        <v>2</v>
      </c>
      <c r="C1512" s="593">
        <v>3</v>
      </c>
      <c r="D1512" s="593">
        <v>4</v>
      </c>
      <c r="E1512" s="593">
        <v>5</v>
      </c>
      <c r="F1512" s="567">
        <v>6</v>
      </c>
      <c r="G1512" s="567">
        <v>7</v>
      </c>
      <c r="H1512" s="568">
        <v>8</v>
      </c>
      <c r="I1512" s="662" t="s">
        <v>848</v>
      </c>
    </row>
    <row r="1513" spans="1:12" ht="15.75" thickTop="1" x14ac:dyDescent="0.25">
      <c r="A1513" s="1562">
        <v>1154</v>
      </c>
      <c r="B1513" s="917">
        <v>3122</v>
      </c>
      <c r="C1513" s="917">
        <v>5331</v>
      </c>
      <c r="D1513" s="922"/>
      <c r="E1513" s="956" t="s">
        <v>1066</v>
      </c>
      <c r="F1513" s="915">
        <f>F1514+F1515+F1516</f>
        <v>2874</v>
      </c>
      <c r="G1513" s="915">
        <f>G1514+G1515+G1516</f>
        <v>2887</v>
      </c>
      <c r="H1513" s="915">
        <f>H1514+H1515+H1516</f>
        <v>2887</v>
      </c>
      <c r="I1513" s="919">
        <f t="shared" ref="I1513:I1521" si="71">(H1513/G1513)*100</f>
        <v>100</v>
      </c>
    </row>
    <row r="1514" spans="1:12" ht="14.25" x14ac:dyDescent="0.2">
      <c r="A1514" s="435"/>
      <c r="B1514" s="705"/>
      <c r="C1514" s="705"/>
      <c r="D1514" s="743" t="s">
        <v>641</v>
      </c>
      <c r="E1514" s="1679" t="s">
        <v>883</v>
      </c>
      <c r="F1514" s="897">
        <v>565</v>
      </c>
      <c r="G1514" s="897">
        <v>574</v>
      </c>
      <c r="H1514" s="897">
        <v>574</v>
      </c>
      <c r="I1514" s="893">
        <f t="shared" si="71"/>
        <v>100</v>
      </c>
    </row>
    <row r="1515" spans="1:12" ht="14.25" x14ac:dyDescent="0.2">
      <c r="A1515" s="435"/>
      <c r="B1515" s="705"/>
      <c r="C1515" s="705"/>
      <c r="D1515" s="578" t="s">
        <v>636</v>
      </c>
      <c r="E1515" s="474" t="s">
        <v>72</v>
      </c>
      <c r="F1515" s="897">
        <v>2309</v>
      </c>
      <c r="G1515" s="897">
        <v>2309</v>
      </c>
      <c r="H1515" s="897">
        <v>2309</v>
      </c>
      <c r="I1515" s="893">
        <f t="shared" si="71"/>
        <v>100</v>
      </c>
    </row>
    <row r="1516" spans="1:12" ht="14.25" x14ac:dyDescent="0.2">
      <c r="A1516" s="435"/>
      <c r="B1516" s="705"/>
      <c r="C1516" s="705"/>
      <c r="D1516" s="1178" t="s">
        <v>1763</v>
      </c>
      <c r="E1516" s="2590" t="s">
        <v>1913</v>
      </c>
      <c r="F1516" s="897"/>
      <c r="G1516" s="897">
        <v>4</v>
      </c>
      <c r="H1516" s="897">
        <v>4</v>
      </c>
      <c r="I1516" s="893">
        <f t="shared" si="71"/>
        <v>100</v>
      </c>
    </row>
    <row r="1517" spans="1:12" ht="15" x14ac:dyDescent="0.25">
      <c r="A1517" s="435">
        <v>1154</v>
      </c>
      <c r="B1517" s="705">
        <v>3122</v>
      </c>
      <c r="C1517" s="705">
        <v>5336</v>
      </c>
      <c r="D1517" s="2536"/>
      <c r="E1517" s="1564" t="s">
        <v>1357</v>
      </c>
      <c r="F1517" s="897"/>
      <c r="G1517" s="921">
        <f>G1518+G1519+G1520</f>
        <v>11425</v>
      </c>
      <c r="H1517" s="921">
        <f>H1518+H1519+H1520</f>
        <v>11425</v>
      </c>
      <c r="I1517" s="923">
        <f t="shared" si="71"/>
        <v>100</v>
      </c>
    </row>
    <row r="1518" spans="1:12" ht="14.25" x14ac:dyDescent="0.2">
      <c r="A1518" s="435"/>
      <c r="B1518" s="705"/>
      <c r="C1518" s="1550"/>
      <c r="D1518" s="578" t="s">
        <v>1267</v>
      </c>
      <c r="E1518" s="474" t="s">
        <v>882</v>
      </c>
      <c r="F1518" s="897"/>
      <c r="G1518" s="897">
        <v>10806</v>
      </c>
      <c r="H1518" s="897">
        <v>10806</v>
      </c>
      <c r="I1518" s="893">
        <f t="shared" si="71"/>
        <v>100</v>
      </c>
    </row>
    <row r="1519" spans="1:12" ht="14.25" x14ac:dyDescent="0.2">
      <c r="A1519" s="435"/>
      <c r="B1519" s="705"/>
      <c r="C1519" s="1550"/>
      <c r="D1519" s="1569" t="s">
        <v>1771</v>
      </c>
      <c r="E1519" s="1561" t="s">
        <v>1908</v>
      </c>
      <c r="F1519" s="897"/>
      <c r="G1519" s="897">
        <v>93</v>
      </c>
      <c r="H1519" s="897">
        <v>93</v>
      </c>
      <c r="I1519" s="893">
        <f t="shared" si="71"/>
        <v>100</v>
      </c>
    </row>
    <row r="1520" spans="1:12" ht="15" thickBot="1" x14ac:dyDescent="0.25">
      <c r="A1520" s="435"/>
      <c r="B1520" s="705"/>
      <c r="C1520" s="1550"/>
      <c r="D1520" s="1569" t="s">
        <v>1773</v>
      </c>
      <c r="E1520" s="1561" t="s">
        <v>1908</v>
      </c>
      <c r="F1520" s="897"/>
      <c r="G1520" s="897">
        <v>526</v>
      </c>
      <c r="H1520" s="897">
        <v>526</v>
      </c>
      <c r="I1520" s="893">
        <f t="shared" si="71"/>
        <v>100</v>
      </c>
    </row>
    <row r="1521" spans="1:20" ht="16.5" thickTop="1" thickBot="1" x14ac:dyDescent="0.3">
      <c r="A1521" s="2739" t="s">
        <v>1246</v>
      </c>
      <c r="B1521" s="2740"/>
      <c r="C1521" s="2740"/>
      <c r="D1521" s="2740"/>
      <c r="E1521" s="2740"/>
      <c r="F1521" s="894">
        <f>F1513</f>
        <v>2874</v>
      </c>
      <c r="G1521" s="894">
        <f>G1513+G1517</f>
        <v>14312</v>
      </c>
      <c r="H1521" s="894">
        <f>H1513+H1517</f>
        <v>14312</v>
      </c>
      <c r="I1521" s="895">
        <f t="shared" si="71"/>
        <v>100</v>
      </c>
      <c r="R1521" s="385">
        <f>F1521</f>
        <v>2874</v>
      </c>
      <c r="S1521" s="385">
        <f>G1521</f>
        <v>14312</v>
      </c>
      <c r="T1521" s="385">
        <f>H1521</f>
        <v>14312</v>
      </c>
    </row>
    <row r="1522" spans="1:20" ht="13.5" thickTop="1" x14ac:dyDescent="0.2"/>
    <row r="1523" spans="1:20" ht="13.5" thickBot="1" x14ac:dyDescent="0.25">
      <c r="A1523" s="439" t="s">
        <v>1256</v>
      </c>
      <c r="I1523" s="1548" t="s">
        <v>179</v>
      </c>
    </row>
    <row r="1524" spans="1:20" s="107" customFormat="1" ht="20.25" customHeight="1" thickTop="1" thickBot="1" x14ac:dyDescent="0.25">
      <c r="A1524" s="657" t="s">
        <v>692</v>
      </c>
      <c r="B1524" s="835" t="s">
        <v>180</v>
      </c>
      <c r="C1524" s="658" t="s">
        <v>181</v>
      </c>
      <c r="D1524" s="660" t="s">
        <v>783</v>
      </c>
      <c r="E1524" s="660" t="s">
        <v>182</v>
      </c>
      <c r="F1524" s="660" t="s">
        <v>183</v>
      </c>
      <c r="G1524" s="660" t="s">
        <v>985</v>
      </c>
      <c r="H1524" s="660" t="s">
        <v>986</v>
      </c>
      <c r="I1524" s="888" t="s">
        <v>987</v>
      </c>
    </row>
    <row r="1525" spans="1:20" s="386" customFormat="1" ht="13.5" thickTop="1" thickBot="1" x14ac:dyDescent="0.25">
      <c r="A1525" s="592">
        <v>1</v>
      </c>
      <c r="B1525" s="593">
        <v>2</v>
      </c>
      <c r="C1525" s="593">
        <v>3</v>
      </c>
      <c r="D1525" s="593">
        <v>4</v>
      </c>
      <c r="E1525" s="593">
        <v>5</v>
      </c>
      <c r="F1525" s="567">
        <v>6</v>
      </c>
      <c r="G1525" s="567">
        <v>7</v>
      </c>
      <c r="H1525" s="568">
        <v>8</v>
      </c>
      <c r="I1525" s="662" t="s">
        <v>848</v>
      </c>
    </row>
    <row r="1526" spans="1:20" ht="15.75" thickTop="1" x14ac:dyDescent="0.25">
      <c r="A1526" s="1562">
        <v>1160</v>
      </c>
      <c r="B1526" s="917">
        <v>3122</v>
      </c>
      <c r="C1526" s="917">
        <v>5331</v>
      </c>
      <c r="D1526" s="922"/>
      <c r="E1526" s="956" t="s">
        <v>1066</v>
      </c>
      <c r="F1526" s="915">
        <f>F1527+F1528</f>
        <v>4487</v>
      </c>
      <c r="G1526" s="915">
        <f>G1527+G1528+G1529</f>
        <v>4415</v>
      </c>
      <c r="H1526" s="915">
        <f>H1527+H1528+H1529</f>
        <v>4415</v>
      </c>
      <c r="I1526" s="919">
        <f t="shared" ref="I1526:I1547" si="72">(H1526/G1526)*100</f>
        <v>100</v>
      </c>
    </row>
    <row r="1527" spans="1:20" ht="14.25" x14ac:dyDescent="0.2">
      <c r="A1527" s="435"/>
      <c r="B1527" s="705"/>
      <c r="C1527" s="705"/>
      <c r="D1527" s="743" t="s">
        <v>641</v>
      </c>
      <c r="E1527" s="1679" t="s">
        <v>883</v>
      </c>
      <c r="F1527" s="897">
        <v>1595</v>
      </c>
      <c r="G1527" s="897">
        <v>1455</v>
      </c>
      <c r="H1527" s="897">
        <v>1455</v>
      </c>
      <c r="I1527" s="893">
        <f t="shared" si="72"/>
        <v>100</v>
      </c>
    </row>
    <row r="1528" spans="1:20" ht="14.25" x14ac:dyDescent="0.2">
      <c r="A1528" s="435"/>
      <c r="B1528" s="705"/>
      <c r="C1528" s="705"/>
      <c r="D1528" s="578" t="s">
        <v>636</v>
      </c>
      <c r="E1528" s="474" t="s">
        <v>72</v>
      </c>
      <c r="F1528" s="897">
        <v>2892</v>
      </c>
      <c r="G1528" s="897">
        <v>2892</v>
      </c>
      <c r="H1528" s="897">
        <v>2892</v>
      </c>
      <c r="I1528" s="893">
        <f t="shared" si="72"/>
        <v>100</v>
      </c>
    </row>
    <row r="1529" spans="1:20" ht="14.25" x14ac:dyDescent="0.2">
      <c r="A1529" s="435"/>
      <c r="B1529" s="705"/>
      <c r="C1529" s="705"/>
      <c r="D1529" s="1178" t="s">
        <v>1763</v>
      </c>
      <c r="E1529" s="2590" t="s">
        <v>1913</v>
      </c>
      <c r="F1529" s="897"/>
      <c r="G1529" s="897">
        <v>68</v>
      </c>
      <c r="H1529" s="897">
        <v>68</v>
      </c>
      <c r="I1529" s="893">
        <f t="shared" si="72"/>
        <v>100</v>
      </c>
    </row>
    <row r="1530" spans="1:20" ht="15" x14ac:dyDescent="0.25">
      <c r="A1530" s="435">
        <v>1160</v>
      </c>
      <c r="B1530" s="705">
        <v>3122</v>
      </c>
      <c r="C1530" s="705">
        <v>5336</v>
      </c>
      <c r="D1530" s="1178"/>
      <c r="E1530" s="1564" t="s">
        <v>1357</v>
      </c>
      <c r="F1530" s="897"/>
      <c r="G1530" s="921">
        <f>G1531+G1532+G1533</f>
        <v>25781</v>
      </c>
      <c r="H1530" s="921">
        <f>H1531+H1532+H1533</f>
        <v>25781</v>
      </c>
      <c r="I1530" s="923">
        <f t="shared" si="72"/>
        <v>100</v>
      </c>
    </row>
    <row r="1531" spans="1:20" ht="14.25" x14ac:dyDescent="0.2">
      <c r="A1531" s="435"/>
      <c r="B1531" s="705"/>
      <c r="C1531" s="705"/>
      <c r="D1531" s="578" t="s">
        <v>1267</v>
      </c>
      <c r="E1531" s="474" t="s">
        <v>882</v>
      </c>
      <c r="F1531" s="897"/>
      <c r="G1531" s="897">
        <v>24952</v>
      </c>
      <c r="H1531" s="897">
        <v>24952</v>
      </c>
      <c r="I1531" s="893">
        <f t="shared" si="72"/>
        <v>100</v>
      </c>
    </row>
    <row r="1532" spans="1:20" ht="14.25" x14ac:dyDescent="0.2">
      <c r="A1532" s="435"/>
      <c r="B1532" s="808"/>
      <c r="C1532" s="808"/>
      <c r="D1532" s="1569" t="s">
        <v>1771</v>
      </c>
      <c r="E1532" s="1561" t="s">
        <v>1908</v>
      </c>
      <c r="F1532" s="903"/>
      <c r="G1532" s="903">
        <v>124</v>
      </c>
      <c r="H1532" s="903">
        <v>124</v>
      </c>
      <c r="I1532" s="898">
        <f t="shared" si="72"/>
        <v>100</v>
      </c>
    </row>
    <row r="1533" spans="1:20" ht="14.25" x14ac:dyDescent="0.2">
      <c r="A1533" s="435"/>
      <c r="B1533" s="808"/>
      <c r="C1533" s="808"/>
      <c r="D1533" s="1569" t="s">
        <v>1773</v>
      </c>
      <c r="E1533" s="1561" t="s">
        <v>1908</v>
      </c>
      <c r="F1533" s="903"/>
      <c r="G1533" s="903">
        <v>705</v>
      </c>
      <c r="H1533" s="903">
        <v>705</v>
      </c>
      <c r="I1533" s="898">
        <f t="shared" si="72"/>
        <v>100</v>
      </c>
    </row>
    <row r="1534" spans="1:20" ht="15" x14ac:dyDescent="0.25">
      <c r="A1534" s="435">
        <v>1160</v>
      </c>
      <c r="B1534" s="808">
        <v>3142</v>
      </c>
      <c r="C1534" s="808">
        <v>5331</v>
      </c>
      <c r="D1534" s="929"/>
      <c r="E1534" s="704" t="s">
        <v>1066</v>
      </c>
      <c r="F1534" s="905">
        <f>F1535+F1536</f>
        <v>684</v>
      </c>
      <c r="G1534" s="905">
        <f>G1535+G1536</f>
        <v>684</v>
      </c>
      <c r="H1534" s="905">
        <f>H1535+H1536</f>
        <v>684</v>
      </c>
      <c r="I1534" s="906">
        <f t="shared" si="72"/>
        <v>100</v>
      </c>
    </row>
    <row r="1535" spans="1:20" ht="14.25" x14ac:dyDescent="0.2">
      <c r="A1535" s="435"/>
      <c r="B1535" s="808"/>
      <c r="C1535" s="808"/>
      <c r="D1535" s="578" t="s">
        <v>636</v>
      </c>
      <c r="E1535" s="474" t="s">
        <v>72</v>
      </c>
      <c r="F1535" s="903">
        <v>684</v>
      </c>
      <c r="G1535" s="903">
        <v>676</v>
      </c>
      <c r="H1535" s="903">
        <v>676</v>
      </c>
      <c r="I1535" s="898">
        <f t="shared" si="72"/>
        <v>100</v>
      </c>
    </row>
    <row r="1536" spans="1:20" ht="20.25" customHeight="1" x14ac:dyDescent="0.2">
      <c r="A1536" s="435"/>
      <c r="B1536" s="808"/>
      <c r="C1536" s="808"/>
      <c r="D1536" s="1169" t="s">
        <v>735</v>
      </c>
      <c r="E1536" s="1398" t="s">
        <v>1454</v>
      </c>
      <c r="F1536" s="903"/>
      <c r="G1536" s="903">
        <v>8</v>
      </c>
      <c r="H1536" s="903">
        <v>8</v>
      </c>
      <c r="I1536" s="898">
        <f t="shared" si="72"/>
        <v>100</v>
      </c>
    </row>
    <row r="1537" spans="1:20" ht="15" x14ac:dyDescent="0.25">
      <c r="A1537" s="435">
        <v>1160</v>
      </c>
      <c r="B1537" s="808">
        <v>3142</v>
      </c>
      <c r="C1537" s="808">
        <v>5336</v>
      </c>
      <c r="D1537" s="578"/>
      <c r="E1537" s="1564" t="s">
        <v>1357</v>
      </c>
      <c r="F1537" s="903"/>
      <c r="G1537" s="916">
        <v>954</v>
      </c>
      <c r="H1537" s="916">
        <v>954</v>
      </c>
      <c r="I1537" s="908">
        <f t="shared" si="72"/>
        <v>100</v>
      </c>
    </row>
    <row r="1538" spans="1:20" ht="14.25" x14ac:dyDescent="0.2">
      <c r="A1538" s="435"/>
      <c r="B1538" s="808"/>
      <c r="C1538" s="808"/>
      <c r="D1538" s="578" t="s">
        <v>1267</v>
      </c>
      <c r="E1538" s="474" t="s">
        <v>882</v>
      </c>
      <c r="F1538" s="903"/>
      <c r="G1538" s="903">
        <v>954</v>
      </c>
      <c r="H1538" s="903">
        <v>954</v>
      </c>
      <c r="I1538" s="898">
        <f t="shared" si="72"/>
        <v>100</v>
      </c>
    </row>
    <row r="1539" spans="1:20" ht="15" x14ac:dyDescent="0.25">
      <c r="A1539" s="435">
        <v>1160</v>
      </c>
      <c r="B1539" s="808">
        <v>3147</v>
      </c>
      <c r="C1539" s="808">
        <v>5331</v>
      </c>
      <c r="D1539" s="929"/>
      <c r="E1539" s="704" t="s">
        <v>1066</v>
      </c>
      <c r="F1539" s="905">
        <f>SUM(F1540:F1542)</f>
        <v>396</v>
      </c>
      <c r="G1539" s="905">
        <v>396</v>
      </c>
      <c r="H1539" s="905">
        <v>396</v>
      </c>
      <c r="I1539" s="906">
        <f t="shared" si="72"/>
        <v>100</v>
      </c>
    </row>
    <row r="1540" spans="1:20" ht="14.25" x14ac:dyDescent="0.2">
      <c r="A1540" s="435"/>
      <c r="B1540" s="808"/>
      <c r="C1540" s="808"/>
      <c r="D1540" s="578" t="s">
        <v>636</v>
      </c>
      <c r="E1540" s="474" t="s">
        <v>72</v>
      </c>
      <c r="F1540" s="903">
        <v>396</v>
      </c>
      <c r="G1540" s="903">
        <v>396</v>
      </c>
      <c r="H1540" s="903">
        <v>396</v>
      </c>
      <c r="I1540" s="898">
        <f t="shared" si="72"/>
        <v>100</v>
      </c>
    </row>
    <row r="1541" spans="1:20" ht="15" x14ac:dyDescent="0.25">
      <c r="A1541" s="435">
        <v>1160</v>
      </c>
      <c r="B1541" s="808">
        <v>3147</v>
      </c>
      <c r="C1541" s="808">
        <v>5336</v>
      </c>
      <c r="D1541" s="578"/>
      <c r="E1541" s="1564" t="s">
        <v>1357</v>
      </c>
      <c r="F1541" s="903"/>
      <c r="G1541" s="916">
        <v>3766</v>
      </c>
      <c r="H1541" s="916">
        <v>3766</v>
      </c>
      <c r="I1541" s="908">
        <f t="shared" si="72"/>
        <v>100</v>
      </c>
    </row>
    <row r="1542" spans="1:20" ht="14.25" x14ac:dyDescent="0.2">
      <c r="A1542" s="435"/>
      <c r="B1542" s="808"/>
      <c r="C1542" s="808"/>
      <c r="D1542" s="578" t="s">
        <v>1267</v>
      </c>
      <c r="E1542" s="474" t="s">
        <v>882</v>
      </c>
      <c r="F1542" s="903"/>
      <c r="G1542" s="903">
        <v>3766</v>
      </c>
      <c r="H1542" s="903">
        <v>3766</v>
      </c>
      <c r="I1542" s="898">
        <f t="shared" si="72"/>
        <v>100</v>
      </c>
    </row>
    <row r="1543" spans="1:20" ht="15" x14ac:dyDescent="0.25">
      <c r="A1543" s="435">
        <v>1160</v>
      </c>
      <c r="B1543" s="808">
        <v>3150</v>
      </c>
      <c r="C1543" s="808">
        <v>5331</v>
      </c>
      <c r="D1543" s="929"/>
      <c r="E1543" s="704" t="s">
        <v>1066</v>
      </c>
      <c r="F1543" s="905">
        <f>SUM(F1544:F1546)</f>
        <v>1500</v>
      </c>
      <c r="G1543" s="905">
        <v>1500</v>
      </c>
      <c r="H1543" s="905">
        <v>1500</v>
      </c>
      <c r="I1543" s="906">
        <f t="shared" si="72"/>
        <v>100</v>
      </c>
    </row>
    <row r="1544" spans="1:20" ht="14.25" x14ac:dyDescent="0.2">
      <c r="A1544" s="435"/>
      <c r="B1544" s="808"/>
      <c r="C1544" s="808"/>
      <c r="D1544" s="578" t="s">
        <v>636</v>
      </c>
      <c r="E1544" s="474" t="s">
        <v>72</v>
      </c>
      <c r="F1544" s="903">
        <v>1500</v>
      </c>
      <c r="G1544" s="903">
        <v>1500</v>
      </c>
      <c r="H1544" s="903">
        <v>1500</v>
      </c>
      <c r="I1544" s="898">
        <f t="shared" si="72"/>
        <v>100</v>
      </c>
    </row>
    <row r="1545" spans="1:20" ht="15" x14ac:dyDescent="0.25">
      <c r="A1545" s="435">
        <v>1160</v>
      </c>
      <c r="B1545" s="808">
        <v>3150</v>
      </c>
      <c r="C1545" s="808">
        <v>5336</v>
      </c>
      <c r="D1545" s="578"/>
      <c r="E1545" s="1564" t="s">
        <v>1357</v>
      </c>
      <c r="F1545" s="903"/>
      <c r="G1545" s="916">
        <v>13921</v>
      </c>
      <c r="H1545" s="916">
        <v>13921</v>
      </c>
      <c r="I1545" s="908">
        <f t="shared" si="72"/>
        <v>100</v>
      </c>
    </row>
    <row r="1546" spans="1:20" ht="15" thickBot="1" x14ac:dyDescent="0.25">
      <c r="A1546" s="435"/>
      <c r="B1546" s="808"/>
      <c r="C1546" s="808"/>
      <c r="D1546" s="578" t="s">
        <v>1267</v>
      </c>
      <c r="E1546" s="474" t="s">
        <v>882</v>
      </c>
      <c r="F1546" s="903"/>
      <c r="G1546" s="903">
        <v>13921</v>
      </c>
      <c r="H1546" s="903">
        <v>13921</v>
      </c>
      <c r="I1546" s="898">
        <f t="shared" si="72"/>
        <v>100</v>
      </c>
    </row>
    <row r="1547" spans="1:20" ht="16.5" thickTop="1" thickBot="1" x14ac:dyDescent="0.3">
      <c r="A1547" s="2739" t="s">
        <v>1246</v>
      </c>
      <c r="B1547" s="2740"/>
      <c r="C1547" s="2740"/>
      <c r="D1547" s="2740"/>
      <c r="E1547" s="2740"/>
      <c r="F1547" s="894">
        <f>F1526+F1530+F1534+F1537+F1539+F1541+F1543+F1545</f>
        <v>7067</v>
      </c>
      <c r="G1547" s="894">
        <f>G1526+G1530+G1534+G1537+G1539+G1541+G1543+G1545</f>
        <v>51417</v>
      </c>
      <c r="H1547" s="894">
        <f>H1526+H1530+H1534+H1537+H1539+H1541+H1543+H1545</f>
        <v>51417</v>
      </c>
      <c r="I1547" s="895">
        <f t="shared" si="72"/>
        <v>100</v>
      </c>
      <c r="R1547" s="385">
        <f>F1547</f>
        <v>7067</v>
      </c>
      <c r="S1547" s="385">
        <f>G1547</f>
        <v>51417</v>
      </c>
      <c r="T1547" s="385">
        <f>H1547</f>
        <v>51417</v>
      </c>
    </row>
    <row r="1548" spans="1:20" ht="13.5" thickTop="1" x14ac:dyDescent="0.2"/>
    <row r="1549" spans="1:20" ht="13.5" thickBot="1" x14ac:dyDescent="0.25">
      <c r="A1549" s="439" t="s">
        <v>196</v>
      </c>
      <c r="I1549" s="1548" t="s">
        <v>179</v>
      </c>
    </row>
    <row r="1550" spans="1:20" s="107" customFormat="1" thickTop="1" thickBot="1" x14ac:dyDescent="0.25">
      <c r="A1550" s="657" t="s">
        <v>692</v>
      </c>
      <c r="B1550" s="835" t="s">
        <v>180</v>
      </c>
      <c r="C1550" s="658" t="s">
        <v>181</v>
      </c>
      <c r="D1550" s="660" t="s">
        <v>783</v>
      </c>
      <c r="E1550" s="660" t="s">
        <v>182</v>
      </c>
      <c r="F1550" s="660" t="s">
        <v>183</v>
      </c>
      <c r="G1550" s="660" t="s">
        <v>985</v>
      </c>
      <c r="H1550" s="660" t="s">
        <v>986</v>
      </c>
      <c r="I1550" s="888" t="s">
        <v>987</v>
      </c>
    </row>
    <row r="1551" spans="1:20" s="386" customFormat="1" ht="13.5" thickTop="1" thickBot="1" x14ac:dyDescent="0.25">
      <c r="A1551" s="592">
        <v>1</v>
      </c>
      <c r="B1551" s="593">
        <v>2</v>
      </c>
      <c r="C1551" s="593">
        <v>3</v>
      </c>
      <c r="D1551" s="593">
        <v>4</v>
      </c>
      <c r="E1551" s="593">
        <v>5</v>
      </c>
      <c r="F1551" s="567">
        <v>6</v>
      </c>
      <c r="G1551" s="567">
        <v>7</v>
      </c>
      <c r="H1551" s="568">
        <v>8</v>
      </c>
      <c r="I1551" s="662" t="s">
        <v>848</v>
      </c>
    </row>
    <row r="1552" spans="1:20" ht="15.75" thickTop="1" x14ac:dyDescent="0.25">
      <c r="A1552" s="1562">
        <v>1161</v>
      </c>
      <c r="B1552" s="917">
        <v>3122</v>
      </c>
      <c r="C1552" s="917">
        <v>5331</v>
      </c>
      <c r="D1552" s="922"/>
      <c r="E1552" s="956" t="s">
        <v>1066</v>
      </c>
      <c r="F1552" s="915">
        <f>F1553+F1554+F1555</f>
        <v>1606</v>
      </c>
      <c r="G1552" s="915">
        <f>G1553+G1554+G1555</f>
        <v>1645</v>
      </c>
      <c r="H1552" s="915">
        <f>H1553+H1554+H1555</f>
        <v>1645</v>
      </c>
      <c r="I1552" s="919">
        <f t="shared" ref="I1552:I1560" si="73">(H1552/G1552)*100</f>
        <v>100</v>
      </c>
    </row>
    <row r="1553" spans="1:20" ht="18" customHeight="1" x14ac:dyDescent="0.2">
      <c r="A1553" s="435"/>
      <c r="B1553" s="705"/>
      <c r="C1553" s="705"/>
      <c r="D1553" s="743" t="s">
        <v>641</v>
      </c>
      <c r="E1553" s="1679" t="s">
        <v>883</v>
      </c>
      <c r="F1553" s="897">
        <v>50</v>
      </c>
      <c r="G1553" s="897">
        <v>55</v>
      </c>
      <c r="H1553" s="897">
        <v>55</v>
      </c>
      <c r="I1553" s="893">
        <f t="shared" si="73"/>
        <v>100</v>
      </c>
    </row>
    <row r="1554" spans="1:20" ht="20.25" customHeight="1" x14ac:dyDescent="0.2">
      <c r="A1554" s="435"/>
      <c r="B1554" s="705"/>
      <c r="C1554" s="705"/>
      <c r="D1554" s="578" t="s">
        <v>636</v>
      </c>
      <c r="E1554" s="474" t="s">
        <v>72</v>
      </c>
      <c r="F1554" s="897">
        <v>1556</v>
      </c>
      <c r="G1554" s="897">
        <v>1556</v>
      </c>
      <c r="H1554" s="897">
        <v>1556</v>
      </c>
      <c r="I1554" s="893">
        <f t="shared" si="73"/>
        <v>100</v>
      </c>
    </row>
    <row r="1555" spans="1:20" ht="20.25" customHeight="1" x14ac:dyDescent="0.2">
      <c r="A1555" s="435"/>
      <c r="B1555" s="705"/>
      <c r="C1555" s="705"/>
      <c r="D1555" s="1178" t="s">
        <v>1763</v>
      </c>
      <c r="E1555" s="2590" t="s">
        <v>1913</v>
      </c>
      <c r="F1555" s="897"/>
      <c r="G1555" s="897">
        <v>34</v>
      </c>
      <c r="H1555" s="897">
        <v>34</v>
      </c>
      <c r="I1555" s="893">
        <f t="shared" si="73"/>
        <v>100</v>
      </c>
    </row>
    <row r="1556" spans="1:20" ht="15" x14ac:dyDescent="0.25">
      <c r="A1556" s="435">
        <v>1161</v>
      </c>
      <c r="B1556" s="705">
        <v>3122</v>
      </c>
      <c r="C1556" s="705">
        <v>5336</v>
      </c>
      <c r="D1556" s="2536"/>
      <c r="E1556" s="1564" t="s">
        <v>1357</v>
      </c>
      <c r="F1556" s="897"/>
      <c r="G1556" s="921">
        <f>G1557+G1558+G1559</f>
        <v>13304</v>
      </c>
      <c r="H1556" s="921">
        <f>H1557+H1558+H1559</f>
        <v>13304</v>
      </c>
      <c r="I1556" s="923">
        <f t="shared" si="73"/>
        <v>100</v>
      </c>
    </row>
    <row r="1557" spans="1:20" ht="14.25" x14ac:dyDescent="0.2">
      <c r="A1557" s="435"/>
      <c r="B1557" s="705"/>
      <c r="C1557" s="1550"/>
      <c r="D1557" s="578" t="s">
        <v>1267</v>
      </c>
      <c r="E1557" s="474" t="s">
        <v>882</v>
      </c>
      <c r="F1557" s="897"/>
      <c r="G1557" s="897">
        <v>12780</v>
      </c>
      <c r="H1557" s="897">
        <v>12780</v>
      </c>
      <c r="I1557" s="893">
        <f t="shared" si="73"/>
        <v>100</v>
      </c>
    </row>
    <row r="1558" spans="1:20" ht="14.25" x14ac:dyDescent="0.2">
      <c r="A1558" s="435"/>
      <c r="B1558" s="705"/>
      <c r="C1558" s="1550"/>
      <c r="D1558" s="1569" t="s">
        <v>1771</v>
      </c>
      <c r="E1558" s="1561" t="s">
        <v>1908</v>
      </c>
      <c r="F1558" s="897"/>
      <c r="G1558" s="897">
        <v>79</v>
      </c>
      <c r="H1558" s="897">
        <v>79</v>
      </c>
      <c r="I1558" s="893">
        <f t="shared" si="73"/>
        <v>100</v>
      </c>
    </row>
    <row r="1559" spans="1:20" ht="15" thickBot="1" x14ac:dyDescent="0.25">
      <c r="A1559" s="435"/>
      <c r="B1559" s="705"/>
      <c r="C1559" s="1550"/>
      <c r="D1559" s="1569" t="s">
        <v>1773</v>
      </c>
      <c r="E1559" s="1561" t="s">
        <v>1908</v>
      </c>
      <c r="F1559" s="897"/>
      <c r="G1559" s="897">
        <v>445</v>
      </c>
      <c r="H1559" s="897">
        <v>445</v>
      </c>
      <c r="I1559" s="893">
        <f t="shared" si="73"/>
        <v>100</v>
      </c>
    </row>
    <row r="1560" spans="1:20" ht="16.5" thickTop="1" thickBot="1" x14ac:dyDescent="0.3">
      <c r="A1560" s="2739" t="s">
        <v>1246</v>
      </c>
      <c r="B1560" s="2740"/>
      <c r="C1560" s="2740"/>
      <c r="D1560" s="2740"/>
      <c r="E1560" s="2740"/>
      <c r="F1560" s="894">
        <f>SUM(F1552)</f>
        <v>1606</v>
      </c>
      <c r="G1560" s="894">
        <f>G1552+G1556</f>
        <v>14949</v>
      </c>
      <c r="H1560" s="894">
        <f>H1552+H1556</f>
        <v>14949</v>
      </c>
      <c r="I1560" s="895">
        <f t="shared" si="73"/>
        <v>100</v>
      </c>
      <c r="R1560" s="385">
        <f>F1560</f>
        <v>1606</v>
      </c>
      <c r="S1560" s="385">
        <f>G1560</f>
        <v>14949</v>
      </c>
      <c r="T1560" s="385">
        <f>H1560</f>
        <v>14949</v>
      </c>
    </row>
    <row r="1561" spans="1:20" ht="13.5" thickTop="1" x14ac:dyDescent="0.2"/>
    <row r="1562" spans="1:20" ht="13.5" thickBot="1" x14ac:dyDescent="0.25">
      <c r="A1562" s="439" t="s">
        <v>197</v>
      </c>
      <c r="I1562" s="1548" t="s">
        <v>179</v>
      </c>
    </row>
    <row r="1563" spans="1:20" s="107" customFormat="1" thickTop="1" thickBot="1" x14ac:dyDescent="0.25">
      <c r="A1563" s="657" t="s">
        <v>692</v>
      </c>
      <c r="B1563" s="835" t="s">
        <v>180</v>
      </c>
      <c r="C1563" s="658" t="s">
        <v>181</v>
      </c>
      <c r="D1563" s="660" t="s">
        <v>783</v>
      </c>
      <c r="E1563" s="660" t="s">
        <v>182</v>
      </c>
      <c r="F1563" s="660" t="s">
        <v>183</v>
      </c>
      <c r="G1563" s="660" t="s">
        <v>985</v>
      </c>
      <c r="H1563" s="660" t="s">
        <v>986</v>
      </c>
      <c r="I1563" s="888" t="s">
        <v>987</v>
      </c>
    </row>
    <row r="1564" spans="1:20" s="386" customFormat="1" ht="13.5" thickTop="1" thickBot="1" x14ac:dyDescent="0.25">
      <c r="A1564" s="592">
        <v>1</v>
      </c>
      <c r="B1564" s="593">
        <v>2</v>
      </c>
      <c r="C1564" s="593">
        <v>3</v>
      </c>
      <c r="D1564" s="593">
        <v>4</v>
      </c>
      <c r="E1564" s="593">
        <v>5</v>
      </c>
      <c r="F1564" s="567">
        <v>6</v>
      </c>
      <c r="G1564" s="567">
        <v>7</v>
      </c>
      <c r="H1564" s="568">
        <v>8</v>
      </c>
      <c r="I1564" s="662" t="s">
        <v>848</v>
      </c>
    </row>
    <row r="1565" spans="1:20" ht="15.75" thickTop="1" x14ac:dyDescent="0.25">
      <c r="A1565" s="1562">
        <v>1162</v>
      </c>
      <c r="B1565" s="917">
        <v>3122</v>
      </c>
      <c r="C1565" s="917">
        <v>5331</v>
      </c>
      <c r="D1565" s="922"/>
      <c r="E1565" s="956" t="s">
        <v>1066</v>
      </c>
      <c r="F1565" s="915">
        <f>F1566+F1567+F1568</f>
        <v>2296</v>
      </c>
      <c r="G1565" s="915">
        <f>G1566+G1567+G1568</f>
        <v>2992</v>
      </c>
      <c r="H1565" s="915">
        <f>H1566+H1567+H1568</f>
        <v>2992</v>
      </c>
      <c r="I1565" s="919">
        <f t="shared" ref="I1565:I1572" si="74">(H1565/G1565)*100</f>
        <v>100</v>
      </c>
    </row>
    <row r="1566" spans="1:20" ht="14.25" x14ac:dyDescent="0.2">
      <c r="A1566" s="435"/>
      <c r="B1566" s="705"/>
      <c r="C1566" s="705"/>
      <c r="D1566" s="743" t="s">
        <v>641</v>
      </c>
      <c r="E1566" s="1679" t="s">
        <v>883</v>
      </c>
      <c r="F1566" s="897">
        <v>237</v>
      </c>
      <c r="G1566" s="897">
        <v>233</v>
      </c>
      <c r="H1566" s="897">
        <v>233</v>
      </c>
      <c r="I1566" s="893">
        <f t="shared" si="74"/>
        <v>100</v>
      </c>
    </row>
    <row r="1567" spans="1:20" ht="14.25" x14ac:dyDescent="0.2">
      <c r="A1567" s="435"/>
      <c r="B1567" s="705"/>
      <c r="C1567" s="705"/>
      <c r="D1567" s="578" t="s">
        <v>636</v>
      </c>
      <c r="E1567" s="474" t="s">
        <v>72</v>
      </c>
      <c r="F1567" s="897">
        <v>2059</v>
      </c>
      <c r="G1567" s="897">
        <v>2059</v>
      </c>
      <c r="H1567" s="897">
        <v>2059</v>
      </c>
      <c r="I1567" s="893">
        <f t="shared" si="74"/>
        <v>100</v>
      </c>
    </row>
    <row r="1568" spans="1:20" ht="14.25" x14ac:dyDescent="0.2">
      <c r="A1568" s="435"/>
      <c r="B1568" s="705"/>
      <c r="C1568" s="705"/>
      <c r="D1568" s="1179" t="s">
        <v>1536</v>
      </c>
      <c r="E1568" s="1702" t="s">
        <v>1537</v>
      </c>
      <c r="F1568" s="897"/>
      <c r="G1568" s="897">
        <v>700</v>
      </c>
      <c r="H1568" s="897">
        <v>700</v>
      </c>
      <c r="I1568" s="893">
        <f t="shared" si="74"/>
        <v>100</v>
      </c>
    </row>
    <row r="1569" spans="1:20" ht="15" x14ac:dyDescent="0.25">
      <c r="A1569" s="435">
        <v>1162</v>
      </c>
      <c r="B1569" s="705">
        <v>3122</v>
      </c>
      <c r="C1569" s="705">
        <v>5336</v>
      </c>
      <c r="D1569" s="1178"/>
      <c r="E1569" s="1564" t="s">
        <v>1357</v>
      </c>
      <c r="F1569" s="897"/>
      <c r="G1569" s="921">
        <f>G1570+G1571+G1572</f>
        <v>12850</v>
      </c>
      <c r="H1569" s="921">
        <f>H1570+H1571+H1572</f>
        <v>12850</v>
      </c>
      <c r="I1569" s="923">
        <f t="shared" si="74"/>
        <v>100</v>
      </c>
    </row>
    <row r="1570" spans="1:20" ht="18" customHeight="1" x14ac:dyDescent="0.2">
      <c r="A1570" s="435"/>
      <c r="B1570" s="705"/>
      <c r="C1570" s="1550"/>
      <c r="D1570" s="578" t="s">
        <v>1267</v>
      </c>
      <c r="E1570" s="474" t="s">
        <v>882</v>
      </c>
      <c r="F1570" s="897"/>
      <c r="G1570" s="897">
        <v>12331</v>
      </c>
      <c r="H1570" s="897">
        <v>12331</v>
      </c>
      <c r="I1570" s="893">
        <f t="shared" si="74"/>
        <v>100</v>
      </c>
    </row>
    <row r="1571" spans="1:20" ht="14.25" x14ac:dyDescent="0.2">
      <c r="A1571" s="435"/>
      <c r="B1571" s="705"/>
      <c r="C1571" s="1550"/>
      <c r="D1571" s="1569" t="s">
        <v>1771</v>
      </c>
      <c r="E1571" s="1561" t="s">
        <v>1908</v>
      </c>
      <c r="F1571" s="897"/>
      <c r="G1571" s="897">
        <v>78</v>
      </c>
      <c r="H1571" s="897">
        <v>78</v>
      </c>
      <c r="I1571" s="893">
        <f t="shared" si="74"/>
        <v>100</v>
      </c>
    </row>
    <row r="1572" spans="1:20" ht="15" thickBot="1" x14ac:dyDescent="0.25">
      <c r="A1572" s="435"/>
      <c r="B1572" s="705"/>
      <c r="C1572" s="1550"/>
      <c r="D1572" s="1569" t="s">
        <v>1773</v>
      </c>
      <c r="E1572" s="1561" t="s">
        <v>1908</v>
      </c>
      <c r="F1572" s="897"/>
      <c r="G1572" s="897">
        <v>441</v>
      </c>
      <c r="H1572" s="897">
        <v>441</v>
      </c>
      <c r="I1572" s="893">
        <f t="shared" si="74"/>
        <v>100</v>
      </c>
    </row>
    <row r="1573" spans="1:20" ht="16.5" thickTop="1" thickBot="1" x14ac:dyDescent="0.3">
      <c r="A1573" s="2739" t="s">
        <v>1246</v>
      </c>
      <c r="B1573" s="2740"/>
      <c r="C1573" s="2740"/>
      <c r="D1573" s="2740"/>
      <c r="E1573" s="2740"/>
      <c r="F1573" s="894">
        <f>F1565+F1569</f>
        <v>2296</v>
      </c>
      <c r="G1573" s="894">
        <f>G1565+G1569</f>
        <v>15842</v>
      </c>
      <c r="H1573" s="894">
        <f>H1565+H1569</f>
        <v>15842</v>
      </c>
      <c r="I1573" s="895">
        <f>(H1573/G1573)*100</f>
        <v>100</v>
      </c>
      <c r="R1573" s="385">
        <f>F1573</f>
        <v>2296</v>
      </c>
      <c r="S1573" s="385">
        <f>G1573</f>
        <v>15842</v>
      </c>
      <c r="T1573" s="385">
        <f>H1573</f>
        <v>15842</v>
      </c>
    </row>
    <row r="1574" spans="1:20" ht="13.5" thickTop="1" x14ac:dyDescent="0.2"/>
    <row r="1581" spans="1:20" ht="13.5" thickBot="1" x14ac:dyDescent="0.25">
      <c r="A1581" s="439" t="s">
        <v>198</v>
      </c>
      <c r="I1581" s="1548" t="s">
        <v>179</v>
      </c>
    </row>
    <row r="1582" spans="1:20" s="107" customFormat="1" thickTop="1" thickBot="1" x14ac:dyDescent="0.25">
      <c r="A1582" s="657" t="s">
        <v>692</v>
      </c>
      <c r="B1582" s="835" t="s">
        <v>180</v>
      </c>
      <c r="C1582" s="658" t="s">
        <v>181</v>
      </c>
      <c r="D1582" s="660" t="s">
        <v>783</v>
      </c>
      <c r="E1582" s="660" t="s">
        <v>182</v>
      </c>
      <c r="F1582" s="660" t="s">
        <v>183</v>
      </c>
      <c r="G1582" s="660" t="s">
        <v>985</v>
      </c>
      <c r="H1582" s="660" t="s">
        <v>986</v>
      </c>
      <c r="I1582" s="888" t="s">
        <v>987</v>
      </c>
    </row>
    <row r="1583" spans="1:20" s="386" customFormat="1" ht="13.5" thickTop="1" thickBot="1" x14ac:dyDescent="0.25">
      <c r="A1583" s="592">
        <v>1</v>
      </c>
      <c r="B1583" s="593">
        <v>2</v>
      </c>
      <c r="C1583" s="593">
        <v>3</v>
      </c>
      <c r="D1583" s="593">
        <v>4</v>
      </c>
      <c r="E1583" s="593">
        <v>5</v>
      </c>
      <c r="F1583" s="567">
        <v>6</v>
      </c>
      <c r="G1583" s="567">
        <v>7</v>
      </c>
      <c r="H1583" s="568">
        <v>8</v>
      </c>
      <c r="I1583" s="662" t="s">
        <v>848</v>
      </c>
    </row>
    <row r="1584" spans="1:20" ht="15.75" thickTop="1" x14ac:dyDescent="0.25">
      <c r="A1584" s="1562">
        <v>1163</v>
      </c>
      <c r="B1584" s="917">
        <v>3122</v>
      </c>
      <c r="C1584" s="917">
        <v>5331</v>
      </c>
      <c r="D1584" s="922"/>
      <c r="E1584" s="956" t="s">
        <v>1066</v>
      </c>
      <c r="F1584" s="915">
        <f>SUM(F1585:F1588)</f>
        <v>1739</v>
      </c>
      <c r="G1584" s="915">
        <f>G1585+G1586</f>
        <v>1739</v>
      </c>
      <c r="H1584" s="915">
        <f>H1585+H1586</f>
        <v>1739</v>
      </c>
      <c r="I1584" s="919">
        <f t="shared" ref="I1584:I1599" si="75">(H1584/G1584)*100</f>
        <v>100</v>
      </c>
    </row>
    <row r="1585" spans="1:9" ht="14.25" x14ac:dyDescent="0.2">
      <c r="A1585" s="435"/>
      <c r="B1585" s="705"/>
      <c r="C1585" s="705"/>
      <c r="D1585" s="743" t="s">
        <v>641</v>
      </c>
      <c r="E1585" s="1679" t="s">
        <v>883</v>
      </c>
      <c r="F1585" s="897">
        <v>36</v>
      </c>
      <c r="G1585" s="897">
        <v>36</v>
      </c>
      <c r="H1585" s="897">
        <v>36</v>
      </c>
      <c r="I1585" s="893">
        <f t="shared" si="75"/>
        <v>100</v>
      </c>
    </row>
    <row r="1586" spans="1:9" ht="14.25" x14ac:dyDescent="0.2">
      <c r="A1586" s="435"/>
      <c r="B1586" s="705"/>
      <c r="C1586" s="1550"/>
      <c r="D1586" s="578" t="s">
        <v>636</v>
      </c>
      <c r="E1586" s="474" t="s">
        <v>72</v>
      </c>
      <c r="F1586" s="897">
        <v>1703</v>
      </c>
      <c r="G1586" s="897">
        <v>1703</v>
      </c>
      <c r="H1586" s="897">
        <v>1703</v>
      </c>
      <c r="I1586" s="893">
        <f t="shared" si="75"/>
        <v>100</v>
      </c>
    </row>
    <row r="1587" spans="1:9" ht="14.25" customHeight="1" x14ac:dyDescent="0.25">
      <c r="A1587" s="435">
        <v>1163</v>
      </c>
      <c r="B1587" s="705">
        <v>3122</v>
      </c>
      <c r="C1587" s="1550">
        <v>5336</v>
      </c>
      <c r="D1587" s="1178"/>
      <c r="E1587" s="1564" t="s">
        <v>1357</v>
      </c>
      <c r="F1587" s="897"/>
      <c r="G1587" s="921">
        <f>G1588+G1589+G1590</f>
        <v>14794</v>
      </c>
      <c r="H1587" s="921">
        <f>H1588+H1589+H1590</f>
        <v>14794</v>
      </c>
      <c r="I1587" s="923">
        <f t="shared" si="75"/>
        <v>100</v>
      </c>
    </row>
    <row r="1588" spans="1:9" ht="14.25" x14ac:dyDescent="0.2">
      <c r="A1588" s="435"/>
      <c r="B1588" s="705"/>
      <c r="C1588" s="1550"/>
      <c r="D1588" s="578" t="s">
        <v>1267</v>
      </c>
      <c r="E1588" s="474" t="s">
        <v>882</v>
      </c>
      <c r="F1588" s="897"/>
      <c r="G1588" s="897">
        <v>14213</v>
      </c>
      <c r="H1588" s="897">
        <v>14213</v>
      </c>
      <c r="I1588" s="893">
        <f t="shared" si="75"/>
        <v>100</v>
      </c>
    </row>
    <row r="1589" spans="1:9" ht="14.25" x14ac:dyDescent="0.2">
      <c r="A1589" s="435"/>
      <c r="B1589" s="705"/>
      <c r="C1589" s="1550"/>
      <c r="D1589" s="1569" t="s">
        <v>1771</v>
      </c>
      <c r="E1589" s="1561" t="s">
        <v>1908</v>
      </c>
      <c r="F1589" s="897"/>
      <c r="G1589" s="897">
        <v>87</v>
      </c>
      <c r="H1589" s="897">
        <v>87</v>
      </c>
      <c r="I1589" s="893">
        <f t="shared" si="75"/>
        <v>100</v>
      </c>
    </row>
    <row r="1590" spans="1:9" ht="14.25" x14ac:dyDescent="0.2">
      <c r="A1590" s="435"/>
      <c r="B1590" s="705"/>
      <c r="C1590" s="1550"/>
      <c r="D1590" s="1569" t="s">
        <v>1773</v>
      </c>
      <c r="E1590" s="1561" t="s">
        <v>1908</v>
      </c>
      <c r="F1590" s="897"/>
      <c r="G1590" s="897">
        <v>494</v>
      </c>
      <c r="H1590" s="897">
        <v>494</v>
      </c>
      <c r="I1590" s="893">
        <f t="shared" si="75"/>
        <v>100</v>
      </c>
    </row>
    <row r="1591" spans="1:9" ht="15" x14ac:dyDescent="0.25">
      <c r="A1591" s="435">
        <v>1163</v>
      </c>
      <c r="B1591" s="808">
        <v>3142</v>
      </c>
      <c r="C1591" s="808">
        <v>5331</v>
      </c>
      <c r="D1591" s="929"/>
      <c r="E1591" s="704" t="s">
        <v>1066</v>
      </c>
      <c r="F1591" s="905">
        <f>F1592+F1593</f>
        <v>430</v>
      </c>
      <c r="G1591" s="905">
        <f>G1592+G1593</f>
        <v>425</v>
      </c>
      <c r="H1591" s="905">
        <f>H1592+H1593</f>
        <v>425</v>
      </c>
      <c r="I1591" s="906">
        <f t="shared" si="75"/>
        <v>100</v>
      </c>
    </row>
    <row r="1592" spans="1:9" ht="18" customHeight="1" x14ac:dyDescent="0.2">
      <c r="A1592" s="435"/>
      <c r="B1592" s="808"/>
      <c r="C1592" s="808"/>
      <c r="D1592" s="743" t="s">
        <v>641</v>
      </c>
      <c r="E1592" s="1679" t="s">
        <v>883</v>
      </c>
      <c r="F1592" s="903">
        <v>47</v>
      </c>
      <c r="G1592" s="903">
        <v>42</v>
      </c>
      <c r="H1592" s="903">
        <v>42</v>
      </c>
      <c r="I1592" s="898">
        <f t="shared" si="75"/>
        <v>100</v>
      </c>
    </row>
    <row r="1593" spans="1:9" ht="14.25" x14ac:dyDescent="0.2">
      <c r="A1593" s="435"/>
      <c r="B1593" s="808"/>
      <c r="C1593" s="808"/>
      <c r="D1593" s="578" t="s">
        <v>636</v>
      </c>
      <c r="E1593" s="474" t="s">
        <v>72</v>
      </c>
      <c r="F1593" s="903">
        <v>383</v>
      </c>
      <c r="G1593" s="903">
        <v>383</v>
      </c>
      <c r="H1593" s="903">
        <v>383</v>
      </c>
      <c r="I1593" s="898">
        <f t="shared" si="75"/>
        <v>100</v>
      </c>
    </row>
    <row r="1594" spans="1:9" ht="15" x14ac:dyDescent="0.25">
      <c r="A1594" s="435">
        <v>1163</v>
      </c>
      <c r="B1594" s="808">
        <v>3142</v>
      </c>
      <c r="C1594" s="808">
        <v>5336</v>
      </c>
      <c r="D1594" s="578"/>
      <c r="E1594" s="1564" t="s">
        <v>1357</v>
      </c>
      <c r="F1594" s="903"/>
      <c r="G1594" s="916">
        <v>865</v>
      </c>
      <c r="H1594" s="916">
        <v>865</v>
      </c>
      <c r="I1594" s="908">
        <f t="shared" si="75"/>
        <v>100</v>
      </c>
    </row>
    <row r="1595" spans="1:9" ht="14.25" x14ac:dyDescent="0.2">
      <c r="A1595" s="435"/>
      <c r="B1595" s="808"/>
      <c r="C1595" s="1551"/>
      <c r="D1595" s="578" t="s">
        <v>1267</v>
      </c>
      <c r="E1595" s="474" t="s">
        <v>882</v>
      </c>
      <c r="F1595" s="903"/>
      <c r="G1595" s="903">
        <v>865</v>
      </c>
      <c r="H1595" s="903">
        <v>865</v>
      </c>
      <c r="I1595" s="898">
        <f t="shared" si="75"/>
        <v>100</v>
      </c>
    </row>
    <row r="1596" spans="1:9" ht="15" x14ac:dyDescent="0.25">
      <c r="A1596" s="435">
        <v>1163</v>
      </c>
      <c r="B1596" s="808">
        <v>3147</v>
      </c>
      <c r="C1596" s="808">
        <v>5331</v>
      </c>
      <c r="D1596" s="929"/>
      <c r="E1596" s="704" t="s">
        <v>1066</v>
      </c>
      <c r="F1596" s="905">
        <f>SUM(F1597:F1599)</f>
        <v>504</v>
      </c>
      <c r="G1596" s="905">
        <v>504</v>
      </c>
      <c r="H1596" s="905">
        <v>504</v>
      </c>
      <c r="I1596" s="906">
        <f t="shared" si="75"/>
        <v>100</v>
      </c>
    </row>
    <row r="1597" spans="1:9" ht="14.25" x14ac:dyDescent="0.2">
      <c r="A1597" s="435"/>
      <c r="B1597" s="808"/>
      <c r="C1597" s="808"/>
      <c r="D1597" s="578" t="s">
        <v>636</v>
      </c>
      <c r="E1597" s="474" t="s">
        <v>72</v>
      </c>
      <c r="F1597" s="903">
        <v>504</v>
      </c>
      <c r="G1597" s="903">
        <v>504</v>
      </c>
      <c r="H1597" s="903">
        <v>504</v>
      </c>
      <c r="I1597" s="898">
        <f t="shared" si="75"/>
        <v>100</v>
      </c>
    </row>
    <row r="1598" spans="1:9" ht="15" x14ac:dyDescent="0.25">
      <c r="A1598" s="435">
        <v>1163</v>
      </c>
      <c r="B1598" s="808">
        <v>3147</v>
      </c>
      <c r="C1598" s="808">
        <v>5336</v>
      </c>
      <c r="D1598" s="578"/>
      <c r="E1598" s="1564" t="s">
        <v>1357</v>
      </c>
      <c r="F1598" s="903"/>
      <c r="G1598" s="916">
        <v>1733</v>
      </c>
      <c r="H1598" s="916">
        <v>1733</v>
      </c>
      <c r="I1598" s="908">
        <f t="shared" si="75"/>
        <v>100</v>
      </c>
    </row>
    <row r="1599" spans="1:9" ht="14.25" x14ac:dyDescent="0.2">
      <c r="A1599" s="435"/>
      <c r="B1599" s="808"/>
      <c r="C1599" s="1551"/>
      <c r="D1599" s="578" t="s">
        <v>1267</v>
      </c>
      <c r="E1599" s="474" t="s">
        <v>882</v>
      </c>
      <c r="F1599" s="903"/>
      <c r="G1599" s="903">
        <v>1733</v>
      </c>
      <c r="H1599" s="903">
        <v>1733</v>
      </c>
      <c r="I1599" s="898">
        <f t="shared" si="75"/>
        <v>100</v>
      </c>
    </row>
    <row r="1600" spans="1:9" ht="15" x14ac:dyDescent="0.25">
      <c r="A1600" s="435">
        <v>1163</v>
      </c>
      <c r="B1600" s="705">
        <v>3293</v>
      </c>
      <c r="C1600" s="1550">
        <v>5331</v>
      </c>
      <c r="D1600" s="899"/>
      <c r="E1600" s="854" t="s">
        <v>1066</v>
      </c>
      <c r="F1600" s="905"/>
      <c r="G1600" s="890">
        <v>11</v>
      </c>
      <c r="H1600" s="890">
        <v>11</v>
      </c>
      <c r="I1600" s="891">
        <f>(H1600/G1600)*100</f>
        <v>100</v>
      </c>
    </row>
    <row r="1601" spans="1:20" ht="15.75" thickBot="1" x14ac:dyDescent="0.3">
      <c r="A1601" s="435"/>
      <c r="B1601" s="705"/>
      <c r="C1601" s="1550"/>
      <c r="D1601" s="594" t="s">
        <v>1270</v>
      </c>
      <c r="E1601" s="1694" t="s">
        <v>62</v>
      </c>
      <c r="F1601" s="890"/>
      <c r="G1601" s="897">
        <v>11</v>
      </c>
      <c r="H1601" s="897">
        <v>11</v>
      </c>
      <c r="I1601" s="893">
        <f>(H1601/G1601)*100</f>
        <v>100</v>
      </c>
    </row>
    <row r="1602" spans="1:20" ht="16.5" thickTop="1" thickBot="1" x14ac:dyDescent="0.3">
      <c r="A1602" s="2739" t="s">
        <v>1246</v>
      </c>
      <c r="B1602" s="2740"/>
      <c r="C1602" s="2740"/>
      <c r="D1602" s="2740"/>
      <c r="E1602" s="2740"/>
      <c r="F1602" s="894">
        <f>F1584+F1587+F1591+F1596+F1598+F1600</f>
        <v>2673</v>
      </c>
      <c r="G1602" s="894">
        <f>G1584+G1587+G1591+G1596+G1598+G1600+G1594</f>
        <v>20071</v>
      </c>
      <c r="H1602" s="894">
        <f>H1584+H1587+H1591+H1596+H1598+H1600+H1594</f>
        <v>20071</v>
      </c>
      <c r="I1602" s="895">
        <f>(H1602/G1602)*100</f>
        <v>100</v>
      </c>
      <c r="R1602" s="385">
        <f>F1602</f>
        <v>2673</v>
      </c>
      <c r="S1602" s="385">
        <f>G1602</f>
        <v>20071</v>
      </c>
      <c r="T1602" s="385">
        <f>H1602</f>
        <v>20071</v>
      </c>
    </row>
    <row r="1603" spans="1:20" ht="13.5" thickTop="1" x14ac:dyDescent="0.2"/>
    <row r="1604" spans="1:20" ht="13.5" thickBot="1" x14ac:dyDescent="0.25">
      <c r="A1604" s="439" t="s">
        <v>590</v>
      </c>
      <c r="I1604" s="1548" t="s">
        <v>179</v>
      </c>
    </row>
    <row r="1605" spans="1:20" s="107" customFormat="1" thickTop="1" thickBot="1" x14ac:dyDescent="0.25">
      <c r="A1605" s="657" t="s">
        <v>692</v>
      </c>
      <c r="B1605" s="835" t="s">
        <v>180</v>
      </c>
      <c r="C1605" s="658" t="s">
        <v>181</v>
      </c>
      <c r="D1605" s="660" t="s">
        <v>783</v>
      </c>
      <c r="E1605" s="660" t="s">
        <v>182</v>
      </c>
      <c r="F1605" s="660" t="s">
        <v>183</v>
      </c>
      <c r="G1605" s="660" t="s">
        <v>985</v>
      </c>
      <c r="H1605" s="660" t="s">
        <v>986</v>
      </c>
      <c r="I1605" s="888" t="s">
        <v>987</v>
      </c>
    </row>
    <row r="1606" spans="1:20" s="386" customFormat="1" ht="13.5" thickTop="1" thickBot="1" x14ac:dyDescent="0.25">
      <c r="A1606" s="592">
        <v>1</v>
      </c>
      <c r="B1606" s="593">
        <v>2</v>
      </c>
      <c r="C1606" s="593">
        <v>3</v>
      </c>
      <c r="D1606" s="593">
        <v>4</v>
      </c>
      <c r="E1606" s="593">
        <v>5</v>
      </c>
      <c r="F1606" s="567">
        <v>6</v>
      </c>
      <c r="G1606" s="567">
        <v>7</v>
      </c>
      <c r="H1606" s="568">
        <v>8</v>
      </c>
      <c r="I1606" s="662" t="s">
        <v>848</v>
      </c>
    </row>
    <row r="1607" spans="1:20" s="386" customFormat="1" ht="15.75" thickTop="1" x14ac:dyDescent="0.25">
      <c r="A1607" s="435">
        <v>1170</v>
      </c>
      <c r="B1607" s="808">
        <v>3122</v>
      </c>
      <c r="C1607" s="808">
        <v>5336</v>
      </c>
      <c r="D1607" s="929"/>
      <c r="E1607" s="1564" t="s">
        <v>1357</v>
      </c>
      <c r="F1607" s="1445"/>
      <c r="G1607" s="1338">
        <v>3578</v>
      </c>
      <c r="H1607" s="1338">
        <v>3578</v>
      </c>
      <c r="I1607" s="985">
        <f>(H1607/G1607)*100</f>
        <v>100</v>
      </c>
    </row>
    <row r="1608" spans="1:20" s="386" customFormat="1" ht="14.25" x14ac:dyDescent="0.2">
      <c r="A1608" s="936"/>
      <c r="B1608" s="937"/>
      <c r="C1608" s="937"/>
      <c r="D1608" s="578" t="s">
        <v>1267</v>
      </c>
      <c r="E1608" s="474" t="s">
        <v>882</v>
      </c>
      <c r="F1608" s="1444"/>
      <c r="G1608" s="1572">
        <v>3578</v>
      </c>
      <c r="H1608" s="1545">
        <v>3578</v>
      </c>
      <c r="I1608" s="898">
        <f t="shared" ref="I1608:I1626" si="76">(H1608/G1608)*100</f>
        <v>100</v>
      </c>
    </row>
    <row r="1609" spans="1:20" ht="15" x14ac:dyDescent="0.25">
      <c r="A1609" s="435">
        <v>1170</v>
      </c>
      <c r="B1609" s="808">
        <v>3123</v>
      </c>
      <c r="C1609" s="808">
        <v>5331</v>
      </c>
      <c r="D1609" s="929"/>
      <c r="E1609" s="704" t="s">
        <v>1066</v>
      </c>
      <c r="F1609" s="905">
        <f>F1610+F1611+F1612+F1613</f>
        <v>4494</v>
      </c>
      <c r="G1609" s="905">
        <f>G1610+G1611+G1612+G1613</f>
        <v>3124</v>
      </c>
      <c r="H1609" s="905">
        <f>H1610+H1611+H1612+H1613</f>
        <v>3124</v>
      </c>
      <c r="I1609" s="906">
        <f t="shared" si="76"/>
        <v>100</v>
      </c>
    </row>
    <row r="1610" spans="1:20" ht="14.25" x14ac:dyDescent="0.2">
      <c r="A1610" s="435"/>
      <c r="B1610" s="808"/>
      <c r="C1610" s="808"/>
      <c r="D1610" s="743" t="s">
        <v>641</v>
      </c>
      <c r="E1610" s="1679" t="s">
        <v>883</v>
      </c>
      <c r="F1610" s="903">
        <v>316</v>
      </c>
      <c r="G1610" s="903">
        <v>165</v>
      </c>
      <c r="H1610" s="903">
        <v>165</v>
      </c>
      <c r="I1610" s="898">
        <f t="shared" si="76"/>
        <v>100</v>
      </c>
      <c r="R1610" s="2753"/>
      <c r="S1610" s="2755"/>
    </row>
    <row r="1611" spans="1:20" ht="14.25" x14ac:dyDescent="0.2">
      <c r="A1611" s="435"/>
      <c r="B1611" s="808"/>
      <c r="C1611" s="808"/>
      <c r="D1611" s="578" t="s">
        <v>636</v>
      </c>
      <c r="E1611" s="474" t="s">
        <v>72</v>
      </c>
      <c r="F1611" s="903">
        <v>4026</v>
      </c>
      <c r="G1611" s="903">
        <v>2684</v>
      </c>
      <c r="H1611" s="903">
        <v>2684</v>
      </c>
      <c r="I1611" s="898">
        <f t="shared" si="76"/>
        <v>100</v>
      </c>
      <c r="R1611" s="2754"/>
      <c r="S1611" s="2756"/>
    </row>
    <row r="1612" spans="1:20" ht="18" customHeight="1" x14ac:dyDescent="0.2">
      <c r="A1612" s="435"/>
      <c r="B1612" s="808"/>
      <c r="C1612" s="808"/>
      <c r="D1612" s="578" t="s">
        <v>1266</v>
      </c>
      <c r="E1612" s="474" t="s">
        <v>1234</v>
      </c>
      <c r="F1612" s="903">
        <v>152</v>
      </c>
      <c r="G1612" s="903">
        <v>95</v>
      </c>
      <c r="H1612" s="903">
        <v>95</v>
      </c>
      <c r="I1612" s="898">
        <f t="shared" si="76"/>
        <v>100</v>
      </c>
    </row>
    <row r="1613" spans="1:20" ht="20.25" customHeight="1" x14ac:dyDescent="0.2">
      <c r="A1613" s="435"/>
      <c r="B1613" s="808"/>
      <c r="C1613" s="808"/>
      <c r="D1613" s="1565" t="s">
        <v>22</v>
      </c>
      <c r="E1613" s="1275" t="s">
        <v>1351</v>
      </c>
      <c r="F1613" s="903"/>
      <c r="G1613" s="903">
        <v>180</v>
      </c>
      <c r="H1613" s="903">
        <v>180</v>
      </c>
      <c r="I1613" s="898">
        <f t="shared" si="76"/>
        <v>100</v>
      </c>
    </row>
    <row r="1614" spans="1:20" ht="15" x14ac:dyDescent="0.25">
      <c r="A1614" s="435">
        <v>1170</v>
      </c>
      <c r="B1614" s="808">
        <v>3123</v>
      </c>
      <c r="C1614" s="808">
        <v>5336</v>
      </c>
      <c r="D1614" s="578"/>
      <c r="E1614" s="1564" t="s">
        <v>1357</v>
      </c>
      <c r="F1614" s="903"/>
      <c r="G1614" s="916">
        <f>G1615+G1616+G1617</f>
        <v>10446</v>
      </c>
      <c r="H1614" s="916">
        <f>H1615+H1616+H1617</f>
        <v>10446</v>
      </c>
      <c r="I1614" s="908">
        <f t="shared" si="76"/>
        <v>100</v>
      </c>
    </row>
    <row r="1615" spans="1:20" ht="14.25" x14ac:dyDescent="0.2">
      <c r="A1615" s="435"/>
      <c r="B1615" s="808"/>
      <c r="C1615" s="808"/>
      <c r="D1615" s="578" t="s">
        <v>1267</v>
      </c>
      <c r="E1615" s="474" t="s">
        <v>882</v>
      </c>
      <c r="F1615" s="903"/>
      <c r="G1615" s="903">
        <v>9635</v>
      </c>
      <c r="H1615" s="903">
        <v>9635</v>
      </c>
      <c r="I1615" s="898">
        <f t="shared" si="76"/>
        <v>100</v>
      </c>
    </row>
    <row r="1616" spans="1:20" ht="14.25" x14ac:dyDescent="0.2">
      <c r="A1616" s="435"/>
      <c r="B1616" s="808"/>
      <c r="C1616" s="808"/>
      <c r="D1616" s="1569" t="s">
        <v>1771</v>
      </c>
      <c r="E1616" s="1561" t="s">
        <v>1908</v>
      </c>
      <c r="F1616" s="903"/>
      <c r="G1616" s="903">
        <v>122</v>
      </c>
      <c r="H1616" s="903">
        <v>122</v>
      </c>
      <c r="I1616" s="898">
        <f t="shared" si="76"/>
        <v>100</v>
      </c>
    </row>
    <row r="1617" spans="1:20" ht="14.25" x14ac:dyDescent="0.2">
      <c r="A1617" s="435"/>
      <c r="B1617" s="808"/>
      <c r="C1617" s="808"/>
      <c r="D1617" s="1569" t="s">
        <v>1773</v>
      </c>
      <c r="E1617" s="1561" t="s">
        <v>1908</v>
      </c>
      <c r="F1617" s="903"/>
      <c r="G1617" s="903">
        <v>689</v>
      </c>
      <c r="H1617" s="903">
        <v>689</v>
      </c>
      <c r="I1617" s="898">
        <f t="shared" si="76"/>
        <v>100</v>
      </c>
    </row>
    <row r="1618" spans="1:20" ht="15" x14ac:dyDescent="0.25">
      <c r="A1618" s="435">
        <v>1170</v>
      </c>
      <c r="B1618" s="705">
        <v>3142</v>
      </c>
      <c r="C1618" s="705">
        <v>5331</v>
      </c>
      <c r="D1618" s="889"/>
      <c r="E1618" s="854" t="s">
        <v>1066</v>
      </c>
      <c r="F1618" s="890">
        <v>89</v>
      </c>
      <c r="G1618" s="890">
        <v>59</v>
      </c>
      <c r="H1618" s="890">
        <v>59</v>
      </c>
      <c r="I1618" s="906">
        <f t="shared" si="76"/>
        <v>100</v>
      </c>
    </row>
    <row r="1619" spans="1:20" ht="14.25" x14ac:dyDescent="0.2">
      <c r="A1619" s="435"/>
      <c r="B1619" s="808"/>
      <c r="C1619" s="808"/>
      <c r="D1619" s="578" t="s">
        <v>636</v>
      </c>
      <c r="E1619" s="474" t="s">
        <v>72</v>
      </c>
      <c r="F1619" s="903">
        <v>89</v>
      </c>
      <c r="G1619" s="903">
        <v>59</v>
      </c>
      <c r="H1619" s="903">
        <v>59</v>
      </c>
      <c r="I1619" s="898">
        <f t="shared" si="76"/>
        <v>100</v>
      </c>
    </row>
    <row r="1620" spans="1:20" ht="15" x14ac:dyDescent="0.25">
      <c r="A1620" s="435">
        <v>1170</v>
      </c>
      <c r="B1620" s="808">
        <v>3142</v>
      </c>
      <c r="C1620" s="808">
        <v>5336</v>
      </c>
      <c r="D1620" s="578"/>
      <c r="E1620" s="1564" t="s">
        <v>1357</v>
      </c>
      <c r="F1620" s="903"/>
      <c r="G1620" s="916">
        <v>27</v>
      </c>
      <c r="H1620" s="916">
        <v>27</v>
      </c>
      <c r="I1620" s="908">
        <f t="shared" si="76"/>
        <v>100</v>
      </c>
    </row>
    <row r="1621" spans="1:20" ht="14.25" x14ac:dyDescent="0.2">
      <c r="A1621" s="435"/>
      <c r="B1621" s="808"/>
      <c r="C1621" s="1551"/>
      <c r="D1621" s="578" t="s">
        <v>1267</v>
      </c>
      <c r="E1621" s="474" t="s">
        <v>882</v>
      </c>
      <c r="F1621" s="903"/>
      <c r="G1621" s="903">
        <v>27</v>
      </c>
      <c r="H1621" s="903">
        <v>27</v>
      </c>
      <c r="I1621" s="898">
        <f t="shared" si="76"/>
        <v>100</v>
      </c>
    </row>
    <row r="1622" spans="1:20" ht="15" x14ac:dyDescent="0.25">
      <c r="A1622" s="435">
        <v>1170</v>
      </c>
      <c r="B1622" s="808">
        <v>3147</v>
      </c>
      <c r="C1622" s="808">
        <v>5331</v>
      </c>
      <c r="D1622" s="929"/>
      <c r="E1622" s="704" t="s">
        <v>1066</v>
      </c>
      <c r="F1622" s="905">
        <f>SUM(F1623:F1625)</f>
        <v>100</v>
      </c>
      <c r="G1622" s="905">
        <v>67</v>
      </c>
      <c r="H1622" s="905">
        <v>67</v>
      </c>
      <c r="I1622" s="906">
        <f t="shared" si="76"/>
        <v>100</v>
      </c>
    </row>
    <row r="1623" spans="1:20" ht="14.25" x14ac:dyDescent="0.2">
      <c r="A1623" s="435"/>
      <c r="B1623" s="808"/>
      <c r="C1623" s="808"/>
      <c r="D1623" s="578" t="s">
        <v>636</v>
      </c>
      <c r="E1623" s="474" t="s">
        <v>72</v>
      </c>
      <c r="F1623" s="903">
        <v>100</v>
      </c>
      <c r="G1623" s="903">
        <v>67</v>
      </c>
      <c r="H1623" s="903">
        <v>67</v>
      </c>
      <c r="I1623" s="898">
        <f t="shared" si="76"/>
        <v>100</v>
      </c>
    </row>
    <row r="1624" spans="1:20" ht="15" x14ac:dyDescent="0.25">
      <c r="A1624" s="435">
        <v>1170</v>
      </c>
      <c r="B1624" s="808">
        <v>3147</v>
      </c>
      <c r="C1624" s="808">
        <v>5336</v>
      </c>
      <c r="D1624" s="578"/>
      <c r="E1624" s="1564" t="s">
        <v>1357</v>
      </c>
      <c r="F1624" s="903"/>
      <c r="G1624" s="916">
        <v>894</v>
      </c>
      <c r="H1624" s="916">
        <v>894</v>
      </c>
      <c r="I1624" s="908">
        <f t="shared" si="76"/>
        <v>100</v>
      </c>
    </row>
    <row r="1625" spans="1:20" ht="15" thickBot="1" x14ac:dyDescent="0.25">
      <c r="A1625" s="435"/>
      <c r="B1625" s="808"/>
      <c r="C1625" s="1551"/>
      <c r="D1625" s="578" t="s">
        <v>1267</v>
      </c>
      <c r="E1625" s="474" t="s">
        <v>882</v>
      </c>
      <c r="F1625" s="903"/>
      <c r="G1625" s="903">
        <v>894</v>
      </c>
      <c r="H1625" s="903">
        <v>894</v>
      </c>
      <c r="I1625" s="898">
        <f t="shared" si="76"/>
        <v>100</v>
      </c>
    </row>
    <row r="1626" spans="1:20" ht="16.5" thickTop="1" thickBot="1" x14ac:dyDescent="0.3">
      <c r="A1626" s="2739" t="s">
        <v>1246</v>
      </c>
      <c r="B1626" s="2740"/>
      <c r="C1626" s="2740"/>
      <c r="D1626" s="2740"/>
      <c r="E1626" s="2740"/>
      <c r="F1626" s="894">
        <f>F1609+F1618+F1622+F1607</f>
        <v>4683</v>
      </c>
      <c r="G1626" s="894">
        <f>G1609+G1618+G1622+G1607+G1614+G1620+G1624</f>
        <v>18195</v>
      </c>
      <c r="H1626" s="894">
        <f>H1609+H1618+H1622+H1607+H1614+H1620+H1624</f>
        <v>18195</v>
      </c>
      <c r="I1626" s="895">
        <f t="shared" si="76"/>
        <v>100</v>
      </c>
      <c r="R1626" s="385">
        <f>F1626</f>
        <v>4683</v>
      </c>
      <c r="S1626" s="385">
        <f>G1626</f>
        <v>18195</v>
      </c>
      <c r="T1626" s="385">
        <f>H1626</f>
        <v>18195</v>
      </c>
    </row>
    <row r="1627" spans="1:20" ht="15.75" thickTop="1" x14ac:dyDescent="0.25">
      <c r="A1627" s="370"/>
      <c r="B1627" s="370"/>
      <c r="C1627" s="370"/>
      <c r="D1627" s="370"/>
      <c r="E1627" s="370"/>
      <c r="F1627" s="181"/>
      <c r="G1627" s="181"/>
      <c r="H1627" s="181"/>
      <c r="I1627" s="210"/>
      <c r="R1627" s="385"/>
      <c r="S1627" s="385"/>
      <c r="T1627" s="385"/>
    </row>
    <row r="1628" spans="1:20" ht="13.5" thickBot="1" x14ac:dyDescent="0.25">
      <c r="A1628" s="439" t="s">
        <v>1364</v>
      </c>
      <c r="I1628" s="1548" t="s">
        <v>179</v>
      </c>
    </row>
    <row r="1629" spans="1:20" s="107" customFormat="1" thickTop="1" thickBot="1" x14ac:dyDescent="0.25">
      <c r="A1629" s="657" t="s">
        <v>692</v>
      </c>
      <c r="B1629" s="835" t="s">
        <v>180</v>
      </c>
      <c r="C1629" s="658" t="s">
        <v>181</v>
      </c>
      <c r="D1629" s="660" t="s">
        <v>783</v>
      </c>
      <c r="E1629" s="660" t="s">
        <v>182</v>
      </c>
      <c r="F1629" s="660" t="s">
        <v>183</v>
      </c>
      <c r="G1629" s="660" t="s">
        <v>985</v>
      </c>
      <c r="H1629" s="660" t="s">
        <v>986</v>
      </c>
      <c r="I1629" s="888" t="s">
        <v>987</v>
      </c>
    </row>
    <row r="1630" spans="1:20" s="386" customFormat="1" ht="13.5" thickTop="1" thickBot="1" x14ac:dyDescent="0.25">
      <c r="A1630" s="592">
        <v>1</v>
      </c>
      <c r="B1630" s="593">
        <v>2</v>
      </c>
      <c r="C1630" s="593">
        <v>3</v>
      </c>
      <c r="D1630" s="593">
        <v>4</v>
      </c>
      <c r="E1630" s="593">
        <v>5</v>
      </c>
      <c r="F1630" s="567">
        <v>6</v>
      </c>
      <c r="G1630" s="567">
        <v>7</v>
      </c>
      <c r="H1630" s="568">
        <v>8</v>
      </c>
      <c r="I1630" s="662" t="s">
        <v>848</v>
      </c>
    </row>
    <row r="1631" spans="1:20" ht="15.75" thickTop="1" x14ac:dyDescent="0.25">
      <c r="A1631" s="1562">
        <v>1171</v>
      </c>
      <c r="B1631" s="917">
        <v>3122</v>
      </c>
      <c r="C1631" s="917">
        <v>5331</v>
      </c>
      <c r="D1631" s="922"/>
      <c r="E1631" s="956" t="s">
        <v>1066</v>
      </c>
      <c r="F1631" s="921">
        <f>SUM(F1632:F1634)</f>
        <v>2280</v>
      </c>
      <c r="G1631" s="921">
        <v>2280</v>
      </c>
      <c r="H1631" s="921">
        <v>2280</v>
      </c>
      <c r="I1631" s="923">
        <f>(H1631/G1631)*100</f>
        <v>100</v>
      </c>
    </row>
    <row r="1632" spans="1:20" ht="14.25" x14ac:dyDescent="0.2">
      <c r="A1632" s="435"/>
      <c r="B1632" s="705"/>
      <c r="C1632" s="1550"/>
      <c r="D1632" s="578" t="s">
        <v>636</v>
      </c>
      <c r="E1632" s="474" t="s">
        <v>72</v>
      </c>
      <c r="F1632" s="357">
        <v>2280</v>
      </c>
      <c r="G1632" s="357">
        <v>2280</v>
      </c>
      <c r="H1632" s="357">
        <v>2280</v>
      </c>
      <c r="I1632" s="924">
        <v>100</v>
      </c>
    </row>
    <row r="1633" spans="1:16" ht="15" x14ac:dyDescent="0.25">
      <c r="A1633" s="435">
        <v>1171</v>
      </c>
      <c r="B1633" s="705">
        <v>3122</v>
      </c>
      <c r="C1633" s="1550">
        <v>5336</v>
      </c>
      <c r="D1633" s="578"/>
      <c r="E1633" s="1564" t="s">
        <v>1357</v>
      </c>
      <c r="F1633" s="357"/>
      <c r="G1633" s="921">
        <f>G1634+G1635+G1636</f>
        <v>5114</v>
      </c>
      <c r="H1633" s="921">
        <f>H1634+H1635+H1636</f>
        <v>5114</v>
      </c>
      <c r="I1633" s="921">
        <f t="shared" ref="I1633:O1633" si="77">I1634+I1635+I1636</f>
        <v>300</v>
      </c>
      <c r="J1633" s="357">
        <f t="shared" si="77"/>
        <v>0</v>
      </c>
      <c r="K1633" s="357">
        <f t="shared" si="77"/>
        <v>0</v>
      </c>
      <c r="L1633" s="357">
        <f t="shared" si="77"/>
        <v>0</v>
      </c>
      <c r="M1633" s="357">
        <f t="shared" si="77"/>
        <v>0</v>
      </c>
      <c r="N1633" s="357">
        <f t="shared" si="77"/>
        <v>0</v>
      </c>
      <c r="O1633" s="892">
        <f t="shared" si="77"/>
        <v>0</v>
      </c>
      <c r="P1633" s="2608"/>
    </row>
    <row r="1634" spans="1:16" ht="14.25" x14ac:dyDescent="0.2">
      <c r="A1634" s="435"/>
      <c r="B1634" s="705"/>
      <c r="C1634" s="1550"/>
      <c r="D1634" s="578" t="s">
        <v>1267</v>
      </c>
      <c r="E1634" s="474" t="s">
        <v>882</v>
      </c>
      <c r="F1634" s="357"/>
      <c r="G1634" s="357">
        <v>4495</v>
      </c>
      <c r="H1634" s="357">
        <v>4495</v>
      </c>
      <c r="I1634" s="924">
        <v>100</v>
      </c>
    </row>
    <row r="1635" spans="1:16" ht="14.25" x14ac:dyDescent="0.2">
      <c r="A1635" s="435"/>
      <c r="B1635" s="808"/>
      <c r="C1635" s="1551"/>
      <c r="D1635" s="1569" t="s">
        <v>1771</v>
      </c>
      <c r="E1635" s="1561" t="s">
        <v>1908</v>
      </c>
      <c r="F1635" s="907"/>
      <c r="G1635" s="907">
        <v>93</v>
      </c>
      <c r="H1635" s="907">
        <v>93</v>
      </c>
      <c r="I1635" s="924">
        <v>100</v>
      </c>
    </row>
    <row r="1636" spans="1:16" ht="14.25" x14ac:dyDescent="0.2">
      <c r="A1636" s="435"/>
      <c r="B1636" s="808"/>
      <c r="C1636" s="1551"/>
      <c r="D1636" s="1569" t="s">
        <v>1773</v>
      </c>
      <c r="E1636" s="1561" t="s">
        <v>1908</v>
      </c>
      <c r="F1636" s="907"/>
      <c r="G1636" s="907">
        <v>526</v>
      </c>
      <c r="H1636" s="907">
        <v>526</v>
      </c>
      <c r="I1636" s="924">
        <v>100</v>
      </c>
    </row>
    <row r="1637" spans="1:16" ht="13.5" customHeight="1" x14ac:dyDescent="0.25">
      <c r="A1637" s="435">
        <v>1171</v>
      </c>
      <c r="B1637" s="808">
        <v>3123</v>
      </c>
      <c r="C1637" s="1551">
        <v>5331</v>
      </c>
      <c r="D1637" s="912"/>
      <c r="E1637" s="704" t="s">
        <v>1066</v>
      </c>
      <c r="F1637" s="916">
        <f>F1638+F1639+F1640</f>
        <v>3509</v>
      </c>
      <c r="G1637" s="916">
        <f>G1638+G1639+G1640</f>
        <v>3591</v>
      </c>
      <c r="H1637" s="916">
        <f>H1638+H1639+H1640</f>
        <v>3591</v>
      </c>
      <c r="I1637" s="908">
        <f>(H1637/G1637)*100</f>
        <v>100</v>
      </c>
    </row>
    <row r="1638" spans="1:16" ht="14.25" x14ac:dyDescent="0.2">
      <c r="A1638" s="435"/>
      <c r="B1638" s="808"/>
      <c r="C1638" s="1551"/>
      <c r="D1638" s="853" t="s">
        <v>641</v>
      </c>
      <c r="E1638" s="1679" t="s">
        <v>883</v>
      </c>
      <c r="F1638" s="907">
        <v>685</v>
      </c>
      <c r="G1638" s="907">
        <v>687</v>
      </c>
      <c r="H1638" s="907">
        <v>687</v>
      </c>
      <c r="I1638" s="378">
        <v>100</v>
      </c>
    </row>
    <row r="1639" spans="1:16" ht="14.25" x14ac:dyDescent="0.2">
      <c r="A1639" s="435"/>
      <c r="B1639" s="808"/>
      <c r="C1639" s="1551"/>
      <c r="D1639" s="578" t="s">
        <v>636</v>
      </c>
      <c r="E1639" s="474" t="s">
        <v>72</v>
      </c>
      <c r="F1639" s="907">
        <v>2824</v>
      </c>
      <c r="G1639" s="907">
        <v>2824</v>
      </c>
      <c r="H1639" s="907">
        <v>2824</v>
      </c>
      <c r="I1639" s="378">
        <v>100</v>
      </c>
    </row>
    <row r="1640" spans="1:16" ht="14.25" x14ac:dyDescent="0.2">
      <c r="A1640" s="435"/>
      <c r="B1640" s="808"/>
      <c r="C1640" s="1551"/>
      <c r="D1640" s="1179" t="s">
        <v>1038</v>
      </c>
      <c r="E1640" s="1275" t="s">
        <v>1363</v>
      </c>
      <c r="F1640" s="907"/>
      <c r="G1640" s="907">
        <v>80</v>
      </c>
      <c r="H1640" s="907">
        <v>80</v>
      </c>
      <c r="I1640" s="378">
        <v>100</v>
      </c>
    </row>
    <row r="1641" spans="1:16" ht="15" x14ac:dyDescent="0.25">
      <c r="A1641" s="435">
        <v>1171</v>
      </c>
      <c r="B1641" s="808">
        <v>3123</v>
      </c>
      <c r="C1641" s="1551">
        <v>5336</v>
      </c>
      <c r="D1641" s="1179"/>
      <c r="E1641" s="1564" t="s">
        <v>1357</v>
      </c>
      <c r="F1641" s="907"/>
      <c r="G1641" s="916">
        <v>7975</v>
      </c>
      <c r="H1641" s="916">
        <v>7975</v>
      </c>
      <c r="I1641" s="908">
        <v>100</v>
      </c>
    </row>
    <row r="1642" spans="1:16" ht="14.25" x14ac:dyDescent="0.2">
      <c r="A1642" s="435"/>
      <c r="B1642" s="808"/>
      <c r="C1642" s="1551"/>
      <c r="D1642" s="578" t="s">
        <v>1267</v>
      </c>
      <c r="E1642" s="474" t="s">
        <v>882</v>
      </c>
      <c r="F1642" s="907"/>
      <c r="G1642" s="907">
        <v>7975</v>
      </c>
      <c r="H1642" s="907">
        <v>7975</v>
      </c>
      <c r="I1642" s="378">
        <v>100</v>
      </c>
    </row>
    <row r="1643" spans="1:16" ht="15" x14ac:dyDescent="0.25">
      <c r="A1643" s="435">
        <v>1171</v>
      </c>
      <c r="B1643" s="808">
        <v>3141</v>
      </c>
      <c r="C1643" s="1551">
        <v>5336</v>
      </c>
      <c r="D1643" s="594"/>
      <c r="E1643" s="1564" t="s">
        <v>1357</v>
      </c>
      <c r="F1643" s="916"/>
      <c r="G1643" s="916">
        <v>160</v>
      </c>
      <c r="H1643" s="916">
        <v>160</v>
      </c>
      <c r="I1643" s="908">
        <v>100</v>
      </c>
    </row>
    <row r="1644" spans="1:16" ht="14.25" x14ac:dyDescent="0.2">
      <c r="A1644" s="435"/>
      <c r="B1644" s="808"/>
      <c r="C1644" s="1551"/>
      <c r="D1644" s="578" t="s">
        <v>1267</v>
      </c>
      <c r="E1644" s="474" t="s">
        <v>882</v>
      </c>
      <c r="F1644" s="907"/>
      <c r="G1644" s="907">
        <v>160</v>
      </c>
      <c r="H1644" s="907">
        <v>160</v>
      </c>
      <c r="I1644" s="378">
        <v>100</v>
      </c>
    </row>
    <row r="1645" spans="1:16" ht="15" x14ac:dyDescent="0.25">
      <c r="A1645" s="435">
        <v>1171</v>
      </c>
      <c r="B1645" s="808">
        <v>3142</v>
      </c>
      <c r="C1645" s="808">
        <v>5331</v>
      </c>
      <c r="D1645" s="929"/>
      <c r="E1645" s="704" t="s">
        <v>1066</v>
      </c>
      <c r="F1645" s="916">
        <f>F1646+F1647</f>
        <v>489</v>
      </c>
      <c r="G1645" s="916">
        <f>G1646+G1647</f>
        <v>476</v>
      </c>
      <c r="H1645" s="916">
        <f>H1646+H1647</f>
        <v>476</v>
      </c>
      <c r="I1645" s="908">
        <f>(H1645/G1645)*100</f>
        <v>100</v>
      </c>
    </row>
    <row r="1646" spans="1:16" ht="14.25" customHeight="1" x14ac:dyDescent="0.2">
      <c r="A1646" s="435"/>
      <c r="B1646" s="808"/>
      <c r="C1646" s="808"/>
      <c r="D1646" s="743" t="s">
        <v>641</v>
      </c>
      <c r="E1646" s="1679" t="s">
        <v>883</v>
      </c>
      <c r="F1646" s="907">
        <v>67</v>
      </c>
      <c r="G1646" s="907">
        <v>54</v>
      </c>
      <c r="H1646" s="907">
        <v>54</v>
      </c>
      <c r="I1646" s="378">
        <v>100</v>
      </c>
    </row>
    <row r="1647" spans="1:16" ht="14.25" x14ac:dyDescent="0.2">
      <c r="A1647" s="435"/>
      <c r="B1647" s="808"/>
      <c r="C1647" s="808"/>
      <c r="D1647" s="578" t="s">
        <v>636</v>
      </c>
      <c r="E1647" s="474" t="s">
        <v>72</v>
      </c>
      <c r="F1647" s="907">
        <v>422</v>
      </c>
      <c r="G1647" s="907">
        <v>422</v>
      </c>
      <c r="H1647" s="907">
        <v>422</v>
      </c>
      <c r="I1647" s="378">
        <v>100</v>
      </c>
    </row>
    <row r="1648" spans="1:16" ht="15" x14ac:dyDescent="0.25">
      <c r="A1648" s="435">
        <v>1171</v>
      </c>
      <c r="B1648" s="808">
        <v>3142</v>
      </c>
      <c r="C1648" s="808">
        <v>5336</v>
      </c>
      <c r="D1648" s="578"/>
      <c r="E1648" s="1564" t="s">
        <v>1357</v>
      </c>
      <c r="F1648" s="907"/>
      <c r="G1648" s="916">
        <v>862</v>
      </c>
      <c r="H1648" s="916">
        <v>862</v>
      </c>
      <c r="I1648" s="908">
        <f>(H1648/G1648)*100</f>
        <v>100</v>
      </c>
    </row>
    <row r="1649" spans="1:20" ht="15" thickBot="1" x14ac:dyDescent="0.25">
      <c r="A1649" s="1552"/>
      <c r="B1649" s="962"/>
      <c r="C1649" s="962"/>
      <c r="D1649" s="757" t="s">
        <v>1267</v>
      </c>
      <c r="E1649" s="476" t="s">
        <v>882</v>
      </c>
      <c r="F1649" s="977"/>
      <c r="G1649" s="977">
        <v>862</v>
      </c>
      <c r="H1649" s="977">
        <v>862</v>
      </c>
      <c r="I1649" s="978">
        <v>100</v>
      </c>
    </row>
    <row r="1650" spans="1:20" s="1555" customFormat="1" ht="15" thickTop="1" x14ac:dyDescent="0.2">
      <c r="B1650" s="803"/>
      <c r="C1650" s="803"/>
      <c r="D1650" s="853"/>
      <c r="E1650" s="67"/>
      <c r="F1650" s="953"/>
      <c r="G1650" s="953"/>
      <c r="H1650" s="953"/>
      <c r="I1650" s="2616"/>
    </row>
    <row r="1651" spans="1:20" s="1555" customFormat="1" ht="14.25" x14ac:dyDescent="0.2">
      <c r="B1651" s="803"/>
      <c r="C1651" s="803"/>
      <c r="D1651" s="853"/>
      <c r="E1651" s="67"/>
      <c r="F1651" s="953"/>
      <c r="G1651" s="953"/>
      <c r="H1651" s="953"/>
      <c r="I1651" s="2616"/>
    </row>
    <row r="1652" spans="1:20" ht="13.5" thickBot="1" x14ac:dyDescent="0.25">
      <c r="A1652" s="439"/>
      <c r="I1652" s="1548" t="s">
        <v>179</v>
      </c>
    </row>
    <row r="1653" spans="1:20" s="107" customFormat="1" thickTop="1" thickBot="1" x14ac:dyDescent="0.25">
      <c r="A1653" s="657" t="s">
        <v>692</v>
      </c>
      <c r="B1653" s="835" t="s">
        <v>180</v>
      </c>
      <c r="C1653" s="658" t="s">
        <v>181</v>
      </c>
      <c r="D1653" s="660" t="s">
        <v>783</v>
      </c>
      <c r="E1653" s="660" t="s">
        <v>182</v>
      </c>
      <c r="F1653" s="660" t="s">
        <v>183</v>
      </c>
      <c r="G1653" s="660" t="s">
        <v>985</v>
      </c>
      <c r="H1653" s="660" t="s">
        <v>986</v>
      </c>
      <c r="I1653" s="888" t="s">
        <v>987</v>
      </c>
    </row>
    <row r="1654" spans="1:20" s="386" customFormat="1" ht="13.5" thickTop="1" thickBot="1" x14ac:dyDescent="0.25">
      <c r="A1654" s="592">
        <v>1</v>
      </c>
      <c r="B1654" s="593">
        <v>2</v>
      </c>
      <c r="C1654" s="593">
        <v>3</v>
      </c>
      <c r="D1654" s="593">
        <v>4</v>
      </c>
      <c r="E1654" s="593">
        <v>5</v>
      </c>
      <c r="F1654" s="567">
        <v>6</v>
      </c>
      <c r="G1654" s="567">
        <v>7</v>
      </c>
      <c r="H1654" s="568">
        <v>8</v>
      </c>
      <c r="I1654" s="662" t="s">
        <v>848</v>
      </c>
    </row>
    <row r="1655" spans="1:20" ht="15.75" thickTop="1" x14ac:dyDescent="0.25">
      <c r="A1655" s="435">
        <v>1171</v>
      </c>
      <c r="B1655" s="808">
        <v>3147</v>
      </c>
      <c r="C1655" s="808">
        <v>5331</v>
      </c>
      <c r="D1655" s="929"/>
      <c r="E1655" s="704" t="s">
        <v>1066</v>
      </c>
      <c r="F1655" s="916">
        <f>F1656+F1657</f>
        <v>697</v>
      </c>
      <c r="G1655" s="916">
        <f>G1656+G1657</f>
        <v>691</v>
      </c>
      <c r="H1655" s="916">
        <f>H1656+H1657</f>
        <v>691</v>
      </c>
      <c r="I1655" s="908">
        <f>(H1655/G1655)*100</f>
        <v>100</v>
      </c>
    </row>
    <row r="1656" spans="1:20" ht="14.25" x14ac:dyDescent="0.2">
      <c r="A1656" s="435"/>
      <c r="B1656" s="808"/>
      <c r="C1656" s="808"/>
      <c r="D1656" s="743" t="s">
        <v>641</v>
      </c>
      <c r="E1656" s="1679" t="s">
        <v>883</v>
      </c>
      <c r="F1656" s="907">
        <v>214</v>
      </c>
      <c r="G1656" s="907">
        <v>208</v>
      </c>
      <c r="H1656" s="907">
        <v>208</v>
      </c>
      <c r="I1656" s="378">
        <v>100</v>
      </c>
    </row>
    <row r="1657" spans="1:20" ht="14.25" x14ac:dyDescent="0.2">
      <c r="A1657" s="435"/>
      <c r="B1657" s="808"/>
      <c r="C1657" s="808"/>
      <c r="D1657" s="578" t="s">
        <v>636</v>
      </c>
      <c r="E1657" s="474" t="s">
        <v>72</v>
      </c>
      <c r="F1657" s="907">
        <v>483</v>
      </c>
      <c r="G1657" s="907">
        <v>483</v>
      </c>
      <c r="H1657" s="907">
        <v>483</v>
      </c>
      <c r="I1657" s="378">
        <v>100</v>
      </c>
    </row>
    <row r="1658" spans="1:20" ht="15" x14ac:dyDescent="0.25">
      <c r="A1658" s="435">
        <v>1171</v>
      </c>
      <c r="B1658" s="808">
        <v>3147</v>
      </c>
      <c r="C1658" s="808">
        <v>5336</v>
      </c>
      <c r="D1658" s="578"/>
      <c r="E1658" s="1564" t="s">
        <v>1357</v>
      </c>
      <c r="F1658" s="907"/>
      <c r="G1658" s="916">
        <v>1688</v>
      </c>
      <c r="H1658" s="916">
        <v>1688</v>
      </c>
      <c r="I1658" s="908">
        <v>100</v>
      </c>
    </row>
    <row r="1659" spans="1:20" ht="15.75" thickBot="1" x14ac:dyDescent="0.3">
      <c r="A1659" s="435"/>
      <c r="B1659" s="808"/>
      <c r="C1659" s="808"/>
      <c r="D1659" s="578" t="s">
        <v>1267</v>
      </c>
      <c r="E1659" s="474" t="s">
        <v>882</v>
      </c>
      <c r="F1659" s="916"/>
      <c r="G1659" s="907">
        <v>1688</v>
      </c>
      <c r="H1659" s="907">
        <v>1688</v>
      </c>
      <c r="I1659" s="378">
        <v>100</v>
      </c>
    </row>
    <row r="1660" spans="1:20" ht="16.5" thickTop="1" thickBot="1" x14ac:dyDescent="0.3">
      <c r="A1660" s="2745" t="s">
        <v>1246</v>
      </c>
      <c r="B1660" s="2746"/>
      <c r="C1660" s="2746"/>
      <c r="D1660" s="2746"/>
      <c r="E1660" s="2747"/>
      <c r="F1660" s="960">
        <f>F1631+F1637+F1645+F1655+F1643+F1633+F1641+F1648+F1658</f>
        <v>6975</v>
      </c>
      <c r="G1660" s="960">
        <f>G1631+G1637+G1645+G1655+G1643+G1633+G1641+G1648+G1658</f>
        <v>22837</v>
      </c>
      <c r="H1660" s="960">
        <f>H1631+H1637+H1645+H1655+H1643+H1633+H1641+H1648+H1658</f>
        <v>22837</v>
      </c>
      <c r="I1660" s="961">
        <f>(H1660/G1660)*100</f>
        <v>100</v>
      </c>
      <c r="R1660" s="385">
        <f>F1660</f>
        <v>6975</v>
      </c>
      <c r="S1660" s="385">
        <f>G1660</f>
        <v>22837</v>
      </c>
      <c r="T1660" s="385">
        <f>H1660</f>
        <v>22837</v>
      </c>
    </row>
    <row r="1661" spans="1:20" ht="15.75" thickTop="1" x14ac:dyDescent="0.25">
      <c r="A1661" s="370"/>
      <c r="B1661" s="370"/>
      <c r="C1661" s="370"/>
      <c r="D1661" s="370"/>
      <c r="E1661" s="370"/>
      <c r="F1661" s="993"/>
      <c r="G1661" s="993"/>
      <c r="H1661" s="993"/>
      <c r="I1661" s="1573"/>
      <c r="R1661" s="385"/>
      <c r="S1661" s="385"/>
      <c r="T1661" s="385"/>
    </row>
    <row r="1662" spans="1:20" ht="13.5" thickBot="1" x14ac:dyDescent="0.25">
      <c r="A1662" s="439" t="s">
        <v>394</v>
      </c>
      <c r="I1662" s="1548" t="s">
        <v>179</v>
      </c>
    </row>
    <row r="1663" spans="1:20" s="107" customFormat="1" thickTop="1" thickBot="1" x14ac:dyDescent="0.25">
      <c r="A1663" s="657" t="s">
        <v>692</v>
      </c>
      <c r="B1663" s="835" t="s">
        <v>180</v>
      </c>
      <c r="C1663" s="658" t="s">
        <v>181</v>
      </c>
      <c r="D1663" s="660" t="s">
        <v>783</v>
      </c>
      <c r="E1663" s="660" t="s">
        <v>182</v>
      </c>
      <c r="F1663" s="660" t="s">
        <v>183</v>
      </c>
      <c r="G1663" s="660" t="s">
        <v>985</v>
      </c>
      <c r="H1663" s="660" t="s">
        <v>986</v>
      </c>
      <c r="I1663" s="888" t="s">
        <v>987</v>
      </c>
    </row>
    <row r="1664" spans="1:20" s="386" customFormat="1" ht="13.5" thickTop="1" thickBot="1" x14ac:dyDescent="0.25">
      <c r="A1664" s="592">
        <v>1</v>
      </c>
      <c r="B1664" s="593">
        <v>2</v>
      </c>
      <c r="C1664" s="593">
        <v>3</v>
      </c>
      <c r="D1664" s="593">
        <v>4</v>
      </c>
      <c r="E1664" s="593">
        <v>5</v>
      </c>
      <c r="F1664" s="567">
        <v>6</v>
      </c>
      <c r="G1664" s="567">
        <v>7</v>
      </c>
      <c r="H1664" s="568">
        <v>8</v>
      </c>
      <c r="I1664" s="662" t="s">
        <v>848</v>
      </c>
    </row>
    <row r="1665" spans="1:9" ht="12.75" customHeight="1" thickTop="1" x14ac:dyDescent="0.25">
      <c r="A1665" s="1562">
        <v>1173</v>
      </c>
      <c r="B1665" s="917">
        <v>3122</v>
      </c>
      <c r="C1665" s="917">
        <v>5331</v>
      </c>
      <c r="D1665" s="922"/>
      <c r="E1665" s="956" t="s">
        <v>1066</v>
      </c>
      <c r="F1665" s="915">
        <f>SUM(F1666:F1668)</f>
        <v>2060</v>
      </c>
      <c r="G1665" s="915">
        <v>2060</v>
      </c>
      <c r="H1665" s="915">
        <v>2060</v>
      </c>
      <c r="I1665" s="919">
        <f t="shared" ref="I1665:I1693" si="78">(H1665/G1665)*100</f>
        <v>100</v>
      </c>
    </row>
    <row r="1666" spans="1:9" ht="14.25" x14ac:dyDescent="0.2">
      <c r="A1666" s="435"/>
      <c r="B1666" s="705"/>
      <c r="C1666" s="705"/>
      <c r="D1666" s="578" t="s">
        <v>636</v>
      </c>
      <c r="E1666" s="474" t="s">
        <v>72</v>
      </c>
      <c r="F1666" s="897">
        <v>2060</v>
      </c>
      <c r="G1666" s="897">
        <v>2060</v>
      </c>
      <c r="H1666" s="897">
        <v>206</v>
      </c>
      <c r="I1666" s="893">
        <f t="shared" si="78"/>
        <v>10</v>
      </c>
    </row>
    <row r="1667" spans="1:9" ht="15" x14ac:dyDescent="0.25">
      <c r="A1667" s="435">
        <v>1173</v>
      </c>
      <c r="B1667" s="705">
        <v>3122</v>
      </c>
      <c r="C1667" s="705">
        <v>5336</v>
      </c>
      <c r="D1667" s="2536"/>
      <c r="E1667" s="1564" t="s">
        <v>1357</v>
      </c>
      <c r="F1667" s="897"/>
      <c r="G1667" s="916">
        <v>6009</v>
      </c>
      <c r="H1667" s="921">
        <v>6009</v>
      </c>
      <c r="I1667" s="923">
        <f t="shared" si="78"/>
        <v>100</v>
      </c>
    </row>
    <row r="1668" spans="1:9" ht="14.25" x14ac:dyDescent="0.2">
      <c r="A1668" s="435"/>
      <c r="B1668" s="705"/>
      <c r="C1668" s="1550"/>
      <c r="D1668" s="578" t="s">
        <v>1267</v>
      </c>
      <c r="E1668" s="474" t="s">
        <v>882</v>
      </c>
      <c r="F1668" s="897"/>
      <c r="G1668" s="903">
        <v>6009</v>
      </c>
      <c r="H1668" s="897">
        <v>6009</v>
      </c>
      <c r="I1668" s="893">
        <f t="shared" si="78"/>
        <v>100</v>
      </c>
    </row>
    <row r="1669" spans="1:9" ht="15" x14ac:dyDescent="0.25">
      <c r="A1669" s="435">
        <v>1173</v>
      </c>
      <c r="B1669" s="808">
        <v>3123</v>
      </c>
      <c r="C1669" s="808">
        <v>5331</v>
      </c>
      <c r="D1669" s="929"/>
      <c r="E1669" s="704" t="s">
        <v>1066</v>
      </c>
      <c r="F1669" s="905">
        <f>F1670+F1671+F1672+F1673</f>
        <v>7351</v>
      </c>
      <c r="G1669" s="905">
        <f>G1670+G1671+G1672+G1673</f>
        <v>7873</v>
      </c>
      <c r="H1669" s="905">
        <f>H1670+H1671+H1672+H1673</f>
        <v>7873</v>
      </c>
      <c r="I1669" s="906">
        <f t="shared" si="78"/>
        <v>100</v>
      </c>
    </row>
    <row r="1670" spans="1:9" ht="14.25" x14ac:dyDescent="0.2">
      <c r="A1670" s="435"/>
      <c r="B1670" s="808"/>
      <c r="C1670" s="808"/>
      <c r="D1670" s="743" t="s">
        <v>641</v>
      </c>
      <c r="E1670" s="1679" t="s">
        <v>883</v>
      </c>
      <c r="F1670" s="903">
        <v>2860</v>
      </c>
      <c r="G1670" s="903">
        <v>2860</v>
      </c>
      <c r="H1670" s="903">
        <v>2860</v>
      </c>
      <c r="I1670" s="898">
        <f t="shared" si="78"/>
        <v>100</v>
      </c>
    </row>
    <row r="1671" spans="1:9" ht="14.25" x14ac:dyDescent="0.2">
      <c r="A1671" s="435"/>
      <c r="B1671" s="808"/>
      <c r="C1671" s="808"/>
      <c r="D1671" s="578" t="s">
        <v>636</v>
      </c>
      <c r="E1671" s="474" t="s">
        <v>72</v>
      </c>
      <c r="F1671" s="903">
        <v>4391</v>
      </c>
      <c r="G1671" s="903">
        <v>4391</v>
      </c>
      <c r="H1671" s="903">
        <v>4391</v>
      </c>
      <c r="I1671" s="898">
        <f t="shared" si="78"/>
        <v>100</v>
      </c>
    </row>
    <row r="1672" spans="1:9" ht="14.25" x14ac:dyDescent="0.2">
      <c r="A1672" s="435"/>
      <c r="B1672" s="808"/>
      <c r="C1672" s="808"/>
      <c r="D1672" s="578" t="s">
        <v>735</v>
      </c>
      <c r="E1672" s="474" t="s">
        <v>76</v>
      </c>
      <c r="F1672" s="903">
        <v>100</v>
      </c>
      <c r="G1672" s="903">
        <v>100</v>
      </c>
      <c r="H1672" s="903">
        <v>100</v>
      </c>
      <c r="I1672" s="898">
        <f t="shared" si="78"/>
        <v>100</v>
      </c>
    </row>
    <row r="1673" spans="1:9" ht="14.25" x14ac:dyDescent="0.2">
      <c r="A1673" s="435"/>
      <c r="B1673" s="808"/>
      <c r="C1673" s="808"/>
      <c r="D1673" s="1179" t="s">
        <v>1038</v>
      </c>
      <c r="E1673" s="1275" t="s">
        <v>1363</v>
      </c>
      <c r="F1673" s="903"/>
      <c r="G1673" s="903">
        <v>522</v>
      </c>
      <c r="H1673" s="903">
        <v>522</v>
      </c>
      <c r="I1673" s="898">
        <f t="shared" si="78"/>
        <v>100</v>
      </c>
    </row>
    <row r="1674" spans="1:9" ht="15" x14ac:dyDescent="0.25">
      <c r="A1674" s="435">
        <v>1173</v>
      </c>
      <c r="B1674" s="808">
        <v>3123</v>
      </c>
      <c r="C1674" s="808">
        <v>5336</v>
      </c>
      <c r="D1674" s="1179"/>
      <c r="E1674" s="1564" t="s">
        <v>1357</v>
      </c>
      <c r="F1674" s="903"/>
      <c r="G1674" s="916">
        <f>G1675+G1676+G1677</f>
        <v>20671</v>
      </c>
      <c r="H1674" s="916">
        <f>H1675+H1676+H1677</f>
        <v>20671</v>
      </c>
      <c r="I1674" s="908">
        <f t="shared" si="78"/>
        <v>100</v>
      </c>
    </row>
    <row r="1675" spans="1:9" ht="14.25" x14ac:dyDescent="0.2">
      <c r="A1675" s="435"/>
      <c r="B1675" s="808"/>
      <c r="C1675" s="808"/>
      <c r="D1675" s="578" t="s">
        <v>1267</v>
      </c>
      <c r="E1675" s="474" t="s">
        <v>882</v>
      </c>
      <c r="F1675" s="903"/>
      <c r="G1675" s="903">
        <v>19582</v>
      </c>
      <c r="H1675" s="903">
        <v>19582</v>
      </c>
      <c r="I1675" s="898">
        <f t="shared" si="78"/>
        <v>100</v>
      </c>
    </row>
    <row r="1676" spans="1:9" ht="14.25" x14ac:dyDescent="0.2">
      <c r="A1676" s="435"/>
      <c r="B1676" s="808"/>
      <c r="C1676" s="808"/>
      <c r="D1676" s="1569" t="s">
        <v>1771</v>
      </c>
      <c r="E1676" s="1561" t="s">
        <v>1908</v>
      </c>
      <c r="F1676" s="903"/>
      <c r="G1676" s="903">
        <v>163</v>
      </c>
      <c r="H1676" s="903">
        <v>163</v>
      </c>
      <c r="I1676" s="898">
        <f t="shared" si="78"/>
        <v>100</v>
      </c>
    </row>
    <row r="1677" spans="1:9" ht="14.25" x14ac:dyDescent="0.2">
      <c r="A1677" s="435"/>
      <c r="B1677" s="808"/>
      <c r="C1677" s="808"/>
      <c r="D1677" s="1569" t="s">
        <v>1773</v>
      </c>
      <c r="E1677" s="1561" t="s">
        <v>1908</v>
      </c>
      <c r="F1677" s="903"/>
      <c r="G1677" s="903">
        <v>926</v>
      </c>
      <c r="H1677" s="903">
        <v>926</v>
      </c>
      <c r="I1677" s="898">
        <f t="shared" si="78"/>
        <v>100</v>
      </c>
    </row>
    <row r="1678" spans="1:9" ht="15" x14ac:dyDescent="0.25">
      <c r="A1678" s="435">
        <v>1173</v>
      </c>
      <c r="B1678" s="808">
        <v>3124</v>
      </c>
      <c r="C1678" s="808">
        <v>5331</v>
      </c>
      <c r="D1678" s="594"/>
      <c r="E1678" s="704" t="s">
        <v>1066</v>
      </c>
      <c r="F1678" s="916"/>
      <c r="G1678" s="916">
        <v>103</v>
      </c>
      <c r="H1678" s="916">
        <v>103</v>
      </c>
      <c r="I1678" s="908">
        <f t="shared" si="78"/>
        <v>100</v>
      </c>
    </row>
    <row r="1679" spans="1:9" ht="15" x14ac:dyDescent="0.25">
      <c r="A1679" s="435"/>
      <c r="B1679" s="808"/>
      <c r="C1679" s="808"/>
      <c r="D1679" s="1179" t="s">
        <v>1038</v>
      </c>
      <c r="E1679" s="1275" t="s">
        <v>1363</v>
      </c>
      <c r="F1679" s="916"/>
      <c r="G1679" s="907">
        <v>103</v>
      </c>
      <c r="H1679" s="907">
        <v>103</v>
      </c>
      <c r="I1679" s="378">
        <f t="shared" si="78"/>
        <v>100</v>
      </c>
    </row>
    <row r="1680" spans="1:9" ht="15" x14ac:dyDescent="0.25">
      <c r="A1680" s="435">
        <v>1173</v>
      </c>
      <c r="B1680" s="808">
        <v>3124</v>
      </c>
      <c r="C1680" s="808">
        <v>5336</v>
      </c>
      <c r="D1680" s="1179"/>
      <c r="E1680" s="1564" t="s">
        <v>1357</v>
      </c>
      <c r="F1680" s="916"/>
      <c r="G1680" s="916">
        <v>2730</v>
      </c>
      <c r="H1680" s="916">
        <v>2730</v>
      </c>
      <c r="I1680" s="908">
        <f t="shared" si="78"/>
        <v>100</v>
      </c>
    </row>
    <row r="1681" spans="1:20" ht="14.25" x14ac:dyDescent="0.2">
      <c r="A1681" s="435"/>
      <c r="B1681" s="808"/>
      <c r="C1681" s="808"/>
      <c r="D1681" s="578" t="s">
        <v>1267</v>
      </c>
      <c r="E1681" s="474" t="s">
        <v>882</v>
      </c>
      <c r="F1681" s="903"/>
      <c r="G1681" s="903">
        <v>2730</v>
      </c>
      <c r="H1681" s="903">
        <v>2730</v>
      </c>
      <c r="I1681" s="898">
        <f t="shared" si="78"/>
        <v>100</v>
      </c>
    </row>
    <row r="1682" spans="1:20" ht="15" x14ac:dyDescent="0.25">
      <c r="A1682" s="435">
        <v>1173</v>
      </c>
      <c r="B1682" s="808">
        <v>3141</v>
      </c>
      <c r="C1682" s="808">
        <v>5331</v>
      </c>
      <c r="D1682" s="929"/>
      <c r="E1682" s="704" t="s">
        <v>1066</v>
      </c>
      <c r="F1682" s="905"/>
      <c r="G1682" s="905">
        <f>SUM(G1683:G1683)</f>
        <v>252</v>
      </c>
      <c r="H1682" s="905">
        <f>SUM(H1683:H1683)</f>
        <v>252</v>
      </c>
      <c r="I1682" s="906">
        <f>(H1682/G1682)*100</f>
        <v>100</v>
      </c>
    </row>
    <row r="1683" spans="1:20" ht="14.25" x14ac:dyDescent="0.2">
      <c r="A1683" s="435"/>
      <c r="B1683" s="808"/>
      <c r="C1683" s="808"/>
      <c r="D1683" s="578" t="s">
        <v>1267</v>
      </c>
      <c r="E1683" s="474" t="s">
        <v>882</v>
      </c>
      <c r="F1683" s="903"/>
      <c r="G1683" s="903">
        <v>252</v>
      </c>
      <c r="H1683" s="903">
        <v>252</v>
      </c>
      <c r="I1683" s="898">
        <f>(H1683/G1683)*100</f>
        <v>100</v>
      </c>
    </row>
    <row r="1684" spans="1:20" ht="15" x14ac:dyDescent="0.25">
      <c r="A1684" s="435">
        <v>1173</v>
      </c>
      <c r="B1684" s="808">
        <v>3142</v>
      </c>
      <c r="C1684" s="808">
        <v>5331</v>
      </c>
      <c r="D1684" s="929"/>
      <c r="E1684" s="704" t="s">
        <v>1066</v>
      </c>
      <c r="F1684" s="905">
        <f>SUM(F1685:F1687)</f>
        <v>900</v>
      </c>
      <c r="G1684" s="905">
        <v>900</v>
      </c>
      <c r="H1684" s="905">
        <v>900</v>
      </c>
      <c r="I1684" s="906">
        <f t="shared" si="78"/>
        <v>100</v>
      </c>
    </row>
    <row r="1685" spans="1:20" ht="14.25" x14ac:dyDescent="0.2">
      <c r="A1685" s="435"/>
      <c r="B1685" s="808"/>
      <c r="C1685" s="808"/>
      <c r="D1685" s="578" t="s">
        <v>636</v>
      </c>
      <c r="E1685" s="474" t="s">
        <v>72</v>
      </c>
      <c r="F1685" s="903">
        <v>900</v>
      </c>
      <c r="G1685" s="903">
        <v>900</v>
      </c>
      <c r="H1685" s="903">
        <v>900</v>
      </c>
      <c r="I1685" s="898">
        <f t="shared" si="78"/>
        <v>100</v>
      </c>
    </row>
    <row r="1686" spans="1:20" ht="15" x14ac:dyDescent="0.25">
      <c r="A1686" s="435">
        <v>1173</v>
      </c>
      <c r="B1686" s="808">
        <v>3142</v>
      </c>
      <c r="C1686" s="808">
        <v>5336</v>
      </c>
      <c r="D1686" s="578"/>
      <c r="E1686" s="1564" t="s">
        <v>1357</v>
      </c>
      <c r="F1686" s="903"/>
      <c r="G1686" s="916">
        <v>1706</v>
      </c>
      <c r="H1686" s="916">
        <v>1706</v>
      </c>
      <c r="I1686" s="908">
        <f t="shared" si="78"/>
        <v>100</v>
      </c>
    </row>
    <row r="1687" spans="1:20" ht="14.25" x14ac:dyDescent="0.2">
      <c r="A1687" s="435"/>
      <c r="B1687" s="808"/>
      <c r="C1687" s="808"/>
      <c r="D1687" s="578" t="s">
        <v>1267</v>
      </c>
      <c r="E1687" s="474" t="s">
        <v>882</v>
      </c>
      <c r="F1687" s="903"/>
      <c r="G1687" s="903">
        <v>1706</v>
      </c>
      <c r="H1687" s="903">
        <v>1706</v>
      </c>
      <c r="I1687" s="898">
        <f t="shared" si="78"/>
        <v>100</v>
      </c>
    </row>
    <row r="1688" spans="1:20" ht="15" x14ac:dyDescent="0.25">
      <c r="A1688" s="435">
        <v>1173</v>
      </c>
      <c r="B1688" s="705">
        <v>3147</v>
      </c>
      <c r="C1688" s="1551">
        <v>5331</v>
      </c>
      <c r="D1688" s="899"/>
      <c r="E1688" s="854" t="s">
        <v>1066</v>
      </c>
      <c r="F1688" s="890">
        <v>950</v>
      </c>
      <c r="G1688" s="905">
        <v>950</v>
      </c>
      <c r="H1688" s="905">
        <v>950</v>
      </c>
      <c r="I1688" s="891">
        <f t="shared" si="78"/>
        <v>100</v>
      </c>
    </row>
    <row r="1689" spans="1:20" ht="14.25" x14ac:dyDescent="0.2">
      <c r="A1689" s="435"/>
      <c r="B1689" s="705"/>
      <c r="C1689" s="1550"/>
      <c r="D1689" s="578" t="s">
        <v>636</v>
      </c>
      <c r="E1689" s="474" t="s">
        <v>72</v>
      </c>
      <c r="F1689" s="357">
        <v>950</v>
      </c>
      <c r="G1689" s="897">
        <v>950</v>
      </c>
      <c r="H1689" s="897">
        <v>950</v>
      </c>
      <c r="I1689" s="893">
        <f t="shared" si="78"/>
        <v>100</v>
      </c>
    </row>
    <row r="1690" spans="1:20" ht="15" x14ac:dyDescent="0.25">
      <c r="A1690" s="435">
        <v>1173</v>
      </c>
      <c r="B1690" s="705">
        <v>3147</v>
      </c>
      <c r="C1690" s="1551">
        <v>5336</v>
      </c>
      <c r="D1690" s="578"/>
      <c r="E1690" s="1564" t="s">
        <v>1357</v>
      </c>
      <c r="F1690" s="357"/>
      <c r="G1690" s="916">
        <v>4018</v>
      </c>
      <c r="H1690" s="916">
        <v>4018</v>
      </c>
      <c r="I1690" s="923">
        <f t="shared" si="78"/>
        <v>100</v>
      </c>
    </row>
    <row r="1691" spans="1:20" ht="14.25" x14ac:dyDescent="0.2">
      <c r="A1691" s="435"/>
      <c r="B1691" s="705"/>
      <c r="C1691" s="1551"/>
      <c r="D1691" s="578" t="s">
        <v>1267</v>
      </c>
      <c r="E1691" s="474" t="s">
        <v>882</v>
      </c>
      <c r="F1691" s="357"/>
      <c r="G1691" s="903">
        <v>4378</v>
      </c>
      <c r="H1691" s="903">
        <v>4378</v>
      </c>
      <c r="I1691" s="893">
        <f t="shared" si="78"/>
        <v>100</v>
      </c>
    </row>
    <row r="1692" spans="1:20" ht="18" customHeight="1" x14ac:dyDescent="0.25">
      <c r="A1692" s="435">
        <v>1173</v>
      </c>
      <c r="B1692" s="705">
        <v>5399</v>
      </c>
      <c r="C1692" s="1551">
        <v>5331</v>
      </c>
      <c r="D1692" s="578"/>
      <c r="E1692" s="854" t="s">
        <v>1066</v>
      </c>
      <c r="F1692" s="921"/>
      <c r="G1692" s="916">
        <v>57</v>
      </c>
      <c r="H1692" s="916">
        <v>57</v>
      </c>
      <c r="I1692" s="923">
        <f t="shared" si="78"/>
        <v>100</v>
      </c>
    </row>
    <row r="1693" spans="1:20" ht="18" customHeight="1" thickBot="1" x14ac:dyDescent="0.25">
      <c r="A1693" s="435"/>
      <c r="B1693" s="705"/>
      <c r="C1693" s="1551"/>
      <c r="D1693" s="1565" t="s">
        <v>973</v>
      </c>
      <c r="E1693" s="1422" t="s">
        <v>540</v>
      </c>
      <c r="F1693" s="357"/>
      <c r="G1693" s="903">
        <v>57</v>
      </c>
      <c r="H1693" s="903">
        <v>57</v>
      </c>
      <c r="I1693" s="893">
        <f t="shared" si="78"/>
        <v>100</v>
      </c>
    </row>
    <row r="1694" spans="1:20" ht="18" customHeight="1" thickTop="1" thickBot="1" x14ac:dyDescent="0.3">
      <c r="A1694" s="2739" t="s">
        <v>1246</v>
      </c>
      <c r="B1694" s="2740"/>
      <c r="C1694" s="2740"/>
      <c r="D1694" s="2740"/>
      <c r="E1694" s="2740"/>
      <c r="F1694" s="894">
        <f>F1665+F1669+F1684+F1688</f>
        <v>11261</v>
      </c>
      <c r="G1694" s="894">
        <f>G1665+G1667+G1669+G1674+G1678+G1680+G1682+G1684+G1686+G1688+G1690+G1692</f>
        <v>47329</v>
      </c>
      <c r="H1694" s="894">
        <f>H1665+H1667+H1669+H1674+H1678+H1680+H1682+H1684+H1686+H1688+H1690+H1692</f>
        <v>47329</v>
      </c>
      <c r="I1694" s="895">
        <f>(H1694/G1694)*100</f>
        <v>100</v>
      </c>
      <c r="R1694" s="385">
        <f>F1694</f>
        <v>11261</v>
      </c>
      <c r="S1694" s="385">
        <f>G1694</f>
        <v>47329</v>
      </c>
      <c r="T1694" s="385">
        <f>H1694</f>
        <v>47329</v>
      </c>
    </row>
    <row r="1695" spans="1:20" s="107" customFormat="1" ht="15.75" thickTop="1" x14ac:dyDescent="0.25">
      <c r="A1695" s="370"/>
      <c r="B1695" s="370"/>
      <c r="C1695" s="370"/>
      <c r="D1695" s="370"/>
      <c r="E1695" s="370"/>
      <c r="F1695" s="181"/>
      <c r="G1695" s="181"/>
      <c r="H1695" s="181"/>
      <c r="I1695" s="210"/>
    </row>
    <row r="1696" spans="1:20" ht="13.5" thickBot="1" x14ac:dyDescent="0.25">
      <c r="A1696" s="439" t="s">
        <v>146</v>
      </c>
      <c r="I1696" s="1548" t="s">
        <v>179</v>
      </c>
    </row>
    <row r="1697" spans="1:9" ht="14.25" thickTop="1" thickBot="1" x14ac:dyDescent="0.25">
      <c r="A1697" s="657" t="s">
        <v>692</v>
      </c>
      <c r="B1697" s="835" t="s">
        <v>180</v>
      </c>
      <c r="C1697" s="658" t="s">
        <v>181</v>
      </c>
      <c r="D1697" s="660" t="s">
        <v>783</v>
      </c>
      <c r="E1697" s="660" t="s">
        <v>182</v>
      </c>
      <c r="F1697" s="660" t="s">
        <v>183</v>
      </c>
      <c r="G1697" s="660" t="s">
        <v>985</v>
      </c>
      <c r="H1697" s="660" t="s">
        <v>986</v>
      </c>
      <c r="I1697" s="888" t="s">
        <v>987</v>
      </c>
    </row>
    <row r="1698" spans="1:9" ht="14.25" thickTop="1" thickBot="1" x14ac:dyDescent="0.25">
      <c r="A1698" s="592">
        <v>1</v>
      </c>
      <c r="B1698" s="593">
        <v>2</v>
      </c>
      <c r="C1698" s="593">
        <v>3</v>
      </c>
      <c r="D1698" s="593">
        <v>4</v>
      </c>
      <c r="E1698" s="593">
        <v>5</v>
      </c>
      <c r="F1698" s="567">
        <v>6</v>
      </c>
      <c r="G1698" s="567">
        <v>7</v>
      </c>
      <c r="H1698" s="568">
        <v>8</v>
      </c>
      <c r="I1698" s="662" t="s">
        <v>848</v>
      </c>
    </row>
    <row r="1699" spans="1:9" ht="15.75" thickTop="1" x14ac:dyDescent="0.25">
      <c r="A1699" s="1562">
        <v>1174</v>
      </c>
      <c r="B1699" s="917">
        <v>3122</v>
      </c>
      <c r="C1699" s="917">
        <v>5336</v>
      </c>
      <c r="D1699" s="922"/>
      <c r="E1699" s="1564" t="s">
        <v>1357</v>
      </c>
      <c r="F1699" s="915"/>
      <c r="G1699" s="915">
        <v>3147</v>
      </c>
      <c r="H1699" s="915">
        <v>3147</v>
      </c>
      <c r="I1699" s="919">
        <f t="shared" ref="I1699:I1717" si="79">(H1699/G1699)*100</f>
        <v>100</v>
      </c>
    </row>
    <row r="1700" spans="1:9" ht="14.25" x14ac:dyDescent="0.2">
      <c r="A1700" s="435"/>
      <c r="B1700" s="705"/>
      <c r="C1700" s="1550"/>
      <c r="D1700" s="578" t="s">
        <v>1267</v>
      </c>
      <c r="E1700" s="474" t="s">
        <v>882</v>
      </c>
      <c r="F1700" s="897"/>
      <c r="G1700" s="897">
        <v>3147</v>
      </c>
      <c r="H1700" s="897">
        <v>3147</v>
      </c>
      <c r="I1700" s="893">
        <f t="shared" si="79"/>
        <v>100</v>
      </c>
    </row>
    <row r="1701" spans="1:9" ht="15" x14ac:dyDescent="0.25">
      <c r="A1701" s="435">
        <v>1174</v>
      </c>
      <c r="B1701" s="808">
        <v>3123</v>
      </c>
      <c r="C1701" s="808">
        <v>5331</v>
      </c>
      <c r="D1701" s="929"/>
      <c r="E1701" s="704" t="s">
        <v>1066</v>
      </c>
      <c r="F1701" s="905">
        <f>F1702+F1703+F1704+F1705</f>
        <v>3468</v>
      </c>
      <c r="G1701" s="905">
        <f>G1702+G1703+G1704+G1705</f>
        <v>4868</v>
      </c>
      <c r="H1701" s="905">
        <f>H1702+H1703+H1704+H1705</f>
        <v>4868</v>
      </c>
      <c r="I1701" s="906">
        <f>(H1701/G1701)*100</f>
        <v>100</v>
      </c>
    </row>
    <row r="1702" spans="1:9" ht="14.25" x14ac:dyDescent="0.2">
      <c r="A1702" s="435"/>
      <c r="B1702" s="808"/>
      <c r="C1702" s="808"/>
      <c r="D1702" s="743" t="s">
        <v>641</v>
      </c>
      <c r="E1702" s="1679" t="s">
        <v>883</v>
      </c>
      <c r="F1702" s="907">
        <v>384</v>
      </c>
      <c r="G1702" s="907">
        <v>481</v>
      </c>
      <c r="H1702" s="907">
        <v>481</v>
      </c>
      <c r="I1702" s="893">
        <f t="shared" si="79"/>
        <v>100</v>
      </c>
    </row>
    <row r="1703" spans="1:9" ht="14.25" x14ac:dyDescent="0.2">
      <c r="A1703" s="435"/>
      <c r="B1703" s="808"/>
      <c r="C1703" s="808"/>
      <c r="D1703" s="805" t="s">
        <v>385</v>
      </c>
      <c r="E1703" s="474" t="s">
        <v>930</v>
      </c>
      <c r="F1703" s="907"/>
      <c r="G1703" s="907">
        <v>10</v>
      </c>
      <c r="H1703" s="907">
        <v>10</v>
      </c>
      <c r="I1703" s="893">
        <f t="shared" si="79"/>
        <v>100</v>
      </c>
    </row>
    <row r="1704" spans="1:9" ht="14.25" x14ac:dyDescent="0.2">
      <c r="A1704" s="435"/>
      <c r="B1704" s="808"/>
      <c r="C1704" s="808"/>
      <c r="D1704" s="578" t="s">
        <v>636</v>
      </c>
      <c r="E1704" s="474" t="s">
        <v>72</v>
      </c>
      <c r="F1704" s="907">
        <v>3084</v>
      </c>
      <c r="G1704" s="907">
        <v>3980</v>
      </c>
      <c r="H1704" s="907">
        <v>3980</v>
      </c>
      <c r="I1704" s="893">
        <f t="shared" si="79"/>
        <v>100</v>
      </c>
    </row>
    <row r="1705" spans="1:9" ht="14.25" x14ac:dyDescent="0.2">
      <c r="A1705" s="435"/>
      <c r="B1705" s="808"/>
      <c r="C1705" s="808"/>
      <c r="D1705" s="1179" t="s">
        <v>1038</v>
      </c>
      <c r="E1705" s="1275" t="s">
        <v>1363</v>
      </c>
      <c r="F1705" s="907"/>
      <c r="G1705" s="907">
        <v>397</v>
      </c>
      <c r="H1705" s="907">
        <v>397</v>
      </c>
      <c r="I1705" s="898">
        <f t="shared" si="79"/>
        <v>100</v>
      </c>
    </row>
    <row r="1706" spans="1:9" ht="15" x14ac:dyDescent="0.25">
      <c r="A1706" s="435">
        <v>1174</v>
      </c>
      <c r="B1706" s="808">
        <v>3123</v>
      </c>
      <c r="C1706" s="808">
        <v>5336</v>
      </c>
      <c r="D1706" s="1179"/>
      <c r="E1706" s="1564" t="s">
        <v>1357</v>
      </c>
      <c r="F1706" s="907"/>
      <c r="G1706" s="916">
        <f>G1707+G1708+G1709</f>
        <v>11846</v>
      </c>
      <c r="H1706" s="916">
        <f>H1707+H1708+H1709</f>
        <v>11846</v>
      </c>
      <c r="I1706" s="908">
        <f>(H1706/G1706)*100</f>
        <v>100</v>
      </c>
    </row>
    <row r="1707" spans="1:9" ht="14.25" x14ac:dyDescent="0.2">
      <c r="A1707" s="435"/>
      <c r="B1707" s="808"/>
      <c r="C1707" s="1551"/>
      <c r="D1707" s="578" t="s">
        <v>1267</v>
      </c>
      <c r="E1707" s="474" t="s">
        <v>882</v>
      </c>
      <c r="F1707" s="903"/>
      <c r="G1707" s="903">
        <v>11254</v>
      </c>
      <c r="H1707" s="903">
        <v>11254</v>
      </c>
      <c r="I1707" s="898">
        <f>(H1707/G1707)*100</f>
        <v>100</v>
      </c>
    </row>
    <row r="1708" spans="1:9" ht="14.25" x14ac:dyDescent="0.2">
      <c r="A1708" s="435"/>
      <c r="B1708" s="808"/>
      <c r="C1708" s="1551"/>
      <c r="D1708" s="1569" t="s">
        <v>1771</v>
      </c>
      <c r="E1708" s="1561" t="s">
        <v>1908</v>
      </c>
      <c r="F1708" s="903"/>
      <c r="G1708" s="903">
        <v>89</v>
      </c>
      <c r="H1708" s="903">
        <v>89</v>
      </c>
      <c r="I1708" s="898">
        <f>(H1708/G1708)*100</f>
        <v>100</v>
      </c>
    </row>
    <row r="1709" spans="1:9" ht="14.25" x14ac:dyDescent="0.2">
      <c r="A1709" s="435"/>
      <c r="B1709" s="808"/>
      <c r="C1709" s="1551"/>
      <c r="D1709" s="1569" t="s">
        <v>1773</v>
      </c>
      <c r="E1709" s="1561" t="s">
        <v>1908</v>
      </c>
      <c r="F1709" s="903"/>
      <c r="G1709" s="903">
        <v>503</v>
      </c>
      <c r="H1709" s="903">
        <v>503</v>
      </c>
      <c r="I1709" s="898">
        <f>(H1709/G1709)*100</f>
        <v>100</v>
      </c>
    </row>
    <row r="1710" spans="1:9" ht="15.75" customHeight="1" x14ac:dyDescent="0.25">
      <c r="A1710" s="435">
        <v>1174</v>
      </c>
      <c r="B1710" s="808">
        <v>3124</v>
      </c>
      <c r="C1710" s="808">
        <v>5336</v>
      </c>
      <c r="D1710" s="929"/>
      <c r="E1710" s="1564" t="s">
        <v>1357</v>
      </c>
      <c r="F1710" s="905"/>
      <c r="G1710" s="905">
        <v>1310</v>
      </c>
      <c r="H1710" s="905">
        <v>1310</v>
      </c>
      <c r="I1710" s="906">
        <f t="shared" si="79"/>
        <v>100</v>
      </c>
    </row>
    <row r="1711" spans="1:9" ht="14.25" x14ac:dyDescent="0.2">
      <c r="A1711" s="435"/>
      <c r="B1711" s="808"/>
      <c r="C1711" s="808"/>
      <c r="D1711" s="578" t="s">
        <v>1267</v>
      </c>
      <c r="E1711" s="474" t="s">
        <v>882</v>
      </c>
      <c r="F1711" s="903"/>
      <c r="G1711" s="903">
        <v>1310</v>
      </c>
      <c r="H1711" s="903">
        <v>1310</v>
      </c>
      <c r="I1711" s="898">
        <f t="shared" si="79"/>
        <v>100</v>
      </c>
    </row>
    <row r="1712" spans="1:9" ht="18" customHeight="1" x14ac:dyDescent="0.25">
      <c r="A1712" s="435">
        <v>1174</v>
      </c>
      <c r="B1712" s="808">
        <v>3142</v>
      </c>
      <c r="C1712" s="808">
        <v>5331</v>
      </c>
      <c r="D1712" s="912"/>
      <c r="E1712" s="704" t="s">
        <v>1066</v>
      </c>
      <c r="F1712" s="916">
        <v>25</v>
      </c>
      <c r="G1712" s="916">
        <f>G1713</f>
        <v>25</v>
      </c>
      <c r="H1712" s="916">
        <f>H1713</f>
        <v>25</v>
      </c>
      <c r="I1712" s="908">
        <f t="shared" si="79"/>
        <v>100</v>
      </c>
    </row>
    <row r="1713" spans="1:20" ht="14.25" x14ac:dyDescent="0.2">
      <c r="A1713" s="435"/>
      <c r="B1713" s="808"/>
      <c r="C1713" s="808"/>
      <c r="D1713" s="578" t="s">
        <v>636</v>
      </c>
      <c r="E1713" s="474" t="s">
        <v>72</v>
      </c>
      <c r="F1713" s="903">
        <v>25</v>
      </c>
      <c r="G1713" s="903">
        <v>25</v>
      </c>
      <c r="H1713" s="903">
        <v>25</v>
      </c>
      <c r="I1713" s="898">
        <f t="shared" si="79"/>
        <v>100</v>
      </c>
    </row>
    <row r="1714" spans="1:20" ht="15" x14ac:dyDescent="0.25">
      <c r="A1714" s="435">
        <v>1174</v>
      </c>
      <c r="B1714" s="808">
        <v>3142</v>
      </c>
      <c r="C1714" s="808">
        <v>5336</v>
      </c>
      <c r="D1714" s="578"/>
      <c r="E1714" s="1564" t="s">
        <v>1357</v>
      </c>
      <c r="F1714" s="903"/>
      <c r="G1714" s="916">
        <v>108</v>
      </c>
      <c r="H1714" s="916">
        <v>108</v>
      </c>
      <c r="I1714" s="908">
        <f t="shared" si="79"/>
        <v>100</v>
      </c>
    </row>
    <row r="1715" spans="1:20" ht="18" customHeight="1" x14ac:dyDescent="0.2">
      <c r="A1715" s="435"/>
      <c r="B1715" s="808"/>
      <c r="C1715" s="808"/>
      <c r="D1715" s="578" t="s">
        <v>1267</v>
      </c>
      <c r="E1715" s="474" t="s">
        <v>882</v>
      </c>
      <c r="F1715" s="903"/>
      <c r="G1715" s="903">
        <v>108</v>
      </c>
      <c r="H1715" s="903">
        <v>108</v>
      </c>
      <c r="I1715" s="898">
        <f t="shared" si="79"/>
        <v>100</v>
      </c>
    </row>
    <row r="1716" spans="1:20" ht="15" x14ac:dyDescent="0.25">
      <c r="A1716" s="435">
        <v>1174</v>
      </c>
      <c r="B1716" s="808">
        <v>3147</v>
      </c>
      <c r="C1716" s="808">
        <v>5336</v>
      </c>
      <c r="D1716" s="578"/>
      <c r="E1716" s="1564" t="s">
        <v>1357</v>
      </c>
      <c r="F1716" s="903"/>
      <c r="G1716" s="916">
        <v>91</v>
      </c>
      <c r="H1716" s="916">
        <v>91</v>
      </c>
      <c r="I1716" s="908">
        <f t="shared" si="79"/>
        <v>100</v>
      </c>
    </row>
    <row r="1717" spans="1:20" ht="15" thickBot="1" x14ac:dyDescent="0.25">
      <c r="A1717" s="435"/>
      <c r="B1717" s="808"/>
      <c r="C1717" s="808"/>
      <c r="D1717" s="578" t="s">
        <v>1267</v>
      </c>
      <c r="E1717" s="474" t="s">
        <v>882</v>
      </c>
      <c r="F1717" s="903"/>
      <c r="G1717" s="903">
        <v>91</v>
      </c>
      <c r="H1717" s="903">
        <v>91</v>
      </c>
      <c r="I1717" s="898">
        <f t="shared" si="79"/>
        <v>100</v>
      </c>
    </row>
    <row r="1718" spans="1:20" ht="16.5" thickTop="1" thickBot="1" x14ac:dyDescent="0.3">
      <c r="A1718" s="2739" t="s">
        <v>1246</v>
      </c>
      <c r="B1718" s="2740"/>
      <c r="C1718" s="2740"/>
      <c r="D1718" s="2740"/>
      <c r="E1718" s="2740"/>
      <c r="F1718" s="894">
        <f>F1701+F1712</f>
        <v>3493</v>
      </c>
      <c r="G1718" s="894">
        <f>G1699+G1701+G1706+G1710+G1712+G1714+G1716</f>
        <v>21395</v>
      </c>
      <c r="H1718" s="894">
        <f>H1699+H1701+H1706+H1710+H1712+H1714+H1716</f>
        <v>21395</v>
      </c>
      <c r="I1718" s="895">
        <f>(H1718/G1718)*100</f>
        <v>100</v>
      </c>
      <c r="R1718" s="385">
        <f>F1718</f>
        <v>3493</v>
      </c>
      <c r="S1718" s="385">
        <f>G1718</f>
        <v>21395</v>
      </c>
      <c r="T1718" s="385">
        <f>H1718</f>
        <v>21395</v>
      </c>
    </row>
    <row r="1719" spans="1:20" s="386" customFormat="1" ht="13.5" thickTop="1" x14ac:dyDescent="0.2">
      <c r="A1719" s="384"/>
      <c r="B1719" s="669"/>
      <c r="C1719" s="384"/>
      <c r="D1719" s="884"/>
      <c r="E1719" s="384"/>
      <c r="F1719" s="385"/>
      <c r="G1719" s="385"/>
      <c r="H1719" s="385"/>
      <c r="I1719" s="1548"/>
    </row>
    <row r="1720" spans="1:20" s="386" customFormat="1" x14ac:dyDescent="0.2">
      <c r="A1720" s="384"/>
      <c r="B1720" s="669"/>
      <c r="C1720" s="384"/>
      <c r="D1720" s="884"/>
      <c r="E1720" s="384"/>
      <c r="F1720" s="385"/>
      <c r="G1720" s="385"/>
      <c r="H1720" s="385"/>
      <c r="I1720" s="1548"/>
    </row>
    <row r="1721" spans="1:20" s="386" customFormat="1" x14ac:dyDescent="0.2">
      <c r="A1721" s="384"/>
      <c r="B1721" s="669"/>
      <c r="C1721" s="384"/>
      <c r="D1721" s="884"/>
      <c r="E1721" s="384"/>
      <c r="F1721" s="385"/>
      <c r="G1721" s="385"/>
      <c r="H1721" s="385"/>
      <c r="I1721" s="1548"/>
    </row>
    <row r="1722" spans="1:20" s="386" customFormat="1" x14ac:dyDescent="0.2">
      <c r="A1722" s="384"/>
      <c r="B1722" s="669"/>
      <c r="C1722" s="384"/>
      <c r="D1722" s="884"/>
      <c r="E1722" s="384"/>
      <c r="F1722" s="385"/>
      <c r="G1722" s="385"/>
      <c r="H1722" s="385"/>
      <c r="I1722" s="1548"/>
    </row>
    <row r="1723" spans="1:20" ht="13.5" thickBot="1" x14ac:dyDescent="0.25">
      <c r="A1723" s="439" t="s">
        <v>439</v>
      </c>
      <c r="I1723" s="1548" t="s">
        <v>179</v>
      </c>
    </row>
    <row r="1724" spans="1:20" ht="14.25" thickTop="1" thickBot="1" x14ac:dyDescent="0.25">
      <c r="A1724" s="657" t="s">
        <v>692</v>
      </c>
      <c r="B1724" s="835" t="s">
        <v>180</v>
      </c>
      <c r="C1724" s="658" t="s">
        <v>181</v>
      </c>
      <c r="D1724" s="660" t="s">
        <v>783</v>
      </c>
      <c r="E1724" s="660" t="s">
        <v>182</v>
      </c>
      <c r="F1724" s="660" t="s">
        <v>183</v>
      </c>
      <c r="G1724" s="660" t="s">
        <v>985</v>
      </c>
      <c r="H1724" s="660" t="s">
        <v>986</v>
      </c>
      <c r="I1724" s="888" t="s">
        <v>987</v>
      </c>
    </row>
    <row r="1725" spans="1:20" ht="14.25" thickTop="1" thickBot="1" x14ac:dyDescent="0.25">
      <c r="A1725" s="592">
        <v>1</v>
      </c>
      <c r="B1725" s="593">
        <v>2</v>
      </c>
      <c r="C1725" s="593">
        <v>3</v>
      </c>
      <c r="D1725" s="593">
        <v>4</v>
      </c>
      <c r="E1725" s="593">
        <v>5</v>
      </c>
      <c r="F1725" s="567">
        <v>6</v>
      </c>
      <c r="G1725" s="567">
        <v>7</v>
      </c>
      <c r="H1725" s="568">
        <v>8</v>
      </c>
      <c r="I1725" s="662" t="s">
        <v>848</v>
      </c>
    </row>
    <row r="1726" spans="1:20" ht="15.75" thickTop="1" x14ac:dyDescent="0.25">
      <c r="A1726" s="1562">
        <v>1175</v>
      </c>
      <c r="B1726" s="917">
        <v>3122</v>
      </c>
      <c r="C1726" s="917">
        <v>5331</v>
      </c>
      <c r="D1726" s="922"/>
      <c r="E1726" s="956" t="s">
        <v>1066</v>
      </c>
      <c r="F1726" s="915">
        <f>F1727+F1728</f>
        <v>2289</v>
      </c>
      <c r="G1726" s="915">
        <f>G1727+G1728+G1729+G1730+G1731</f>
        <v>2562</v>
      </c>
      <c r="H1726" s="915">
        <f>H1727+H1728+H1729+H1730+H1731</f>
        <v>2562</v>
      </c>
      <c r="I1726" s="919">
        <f>(H1726/G1726)*100</f>
        <v>100</v>
      </c>
    </row>
    <row r="1727" spans="1:20" ht="14.25" x14ac:dyDescent="0.2">
      <c r="A1727" s="435"/>
      <c r="B1727" s="705"/>
      <c r="C1727" s="705"/>
      <c r="D1727" s="743" t="s">
        <v>641</v>
      </c>
      <c r="E1727" s="1679" t="s">
        <v>883</v>
      </c>
      <c r="F1727" s="897">
        <v>377</v>
      </c>
      <c r="G1727" s="897">
        <v>370</v>
      </c>
      <c r="H1727" s="897">
        <v>370</v>
      </c>
      <c r="I1727" s="893">
        <f>(H1727/G1727)*100</f>
        <v>100</v>
      </c>
    </row>
    <row r="1728" spans="1:20" ht="14.25" x14ac:dyDescent="0.2">
      <c r="A1728" s="435"/>
      <c r="B1728" s="705"/>
      <c r="C1728" s="705"/>
      <c r="D1728" s="578" t="s">
        <v>636</v>
      </c>
      <c r="E1728" s="474" t="s">
        <v>72</v>
      </c>
      <c r="F1728" s="897">
        <v>1912</v>
      </c>
      <c r="G1728" s="897">
        <v>1912</v>
      </c>
      <c r="H1728" s="897">
        <v>1912</v>
      </c>
      <c r="I1728" s="893">
        <v>100</v>
      </c>
    </row>
    <row r="1729" spans="1:9" ht="14.25" x14ac:dyDescent="0.2">
      <c r="A1729" s="435"/>
      <c r="B1729" s="705"/>
      <c r="C1729" s="705"/>
      <c r="D1729" s="1565" t="s">
        <v>22</v>
      </c>
      <c r="E1729" s="1275" t="s">
        <v>1351</v>
      </c>
      <c r="F1729" s="897"/>
      <c r="G1729" s="897">
        <v>80</v>
      </c>
      <c r="H1729" s="897">
        <v>80</v>
      </c>
      <c r="I1729" s="893">
        <v>100</v>
      </c>
    </row>
    <row r="1730" spans="1:9" ht="14.25" x14ac:dyDescent="0.2">
      <c r="A1730" s="435"/>
      <c r="B1730" s="705"/>
      <c r="C1730" s="705"/>
      <c r="D1730" s="1179" t="s">
        <v>1536</v>
      </c>
      <c r="E1730" s="1702" t="s">
        <v>1537</v>
      </c>
      <c r="F1730" s="897"/>
      <c r="G1730" s="897">
        <v>160</v>
      </c>
      <c r="H1730" s="897">
        <v>160</v>
      </c>
      <c r="I1730" s="893">
        <v>100</v>
      </c>
    </row>
    <row r="1731" spans="1:9" ht="14.25" x14ac:dyDescent="0.2">
      <c r="A1731" s="435"/>
      <c r="B1731" s="705"/>
      <c r="C1731" s="705"/>
      <c r="D1731" s="2708" t="s">
        <v>1641</v>
      </c>
      <c r="E1731" s="2741" t="s">
        <v>1667</v>
      </c>
      <c r="F1731" s="897"/>
      <c r="G1731" s="897">
        <v>40</v>
      </c>
      <c r="H1731" s="897">
        <v>40</v>
      </c>
      <c r="I1731" s="893">
        <v>100</v>
      </c>
    </row>
    <row r="1732" spans="1:9" ht="14.25" x14ac:dyDescent="0.2">
      <c r="A1732" s="435"/>
      <c r="B1732" s="705"/>
      <c r="C1732" s="705"/>
      <c r="D1732" s="2734"/>
      <c r="E1732" s="2742"/>
      <c r="F1732" s="897"/>
      <c r="G1732" s="897"/>
      <c r="H1732" s="897"/>
      <c r="I1732" s="893"/>
    </row>
    <row r="1733" spans="1:9" ht="14.25" x14ac:dyDescent="0.2">
      <c r="A1733" s="435"/>
      <c r="B1733" s="705"/>
      <c r="C1733" s="705"/>
      <c r="D1733" s="2734"/>
      <c r="E1733" s="2742"/>
      <c r="F1733" s="897"/>
      <c r="G1733" s="897"/>
      <c r="H1733" s="897"/>
      <c r="I1733" s="893"/>
    </row>
    <row r="1734" spans="1:9" ht="15" x14ac:dyDescent="0.25">
      <c r="A1734" s="435">
        <v>1175</v>
      </c>
      <c r="B1734" s="705">
        <v>3122</v>
      </c>
      <c r="C1734" s="705">
        <v>5336</v>
      </c>
      <c r="D1734" s="2533"/>
      <c r="E1734" s="1564" t="s">
        <v>1357</v>
      </c>
      <c r="F1734" s="897"/>
      <c r="G1734" s="921">
        <f>G1735+G1736+G1737</f>
        <v>14000</v>
      </c>
      <c r="H1734" s="921">
        <f>H1735+H1736+H1737</f>
        <v>14000</v>
      </c>
      <c r="I1734" s="923">
        <v>100</v>
      </c>
    </row>
    <row r="1735" spans="1:9" ht="14.25" x14ac:dyDescent="0.2">
      <c r="A1735" s="435"/>
      <c r="B1735" s="705"/>
      <c r="C1735" s="705"/>
      <c r="D1735" s="578" t="s">
        <v>1267</v>
      </c>
      <c r="E1735" s="474" t="s">
        <v>882</v>
      </c>
      <c r="F1735" s="897"/>
      <c r="G1735" s="897">
        <v>13247</v>
      </c>
      <c r="H1735" s="897">
        <v>13247</v>
      </c>
      <c r="I1735" s="893">
        <v>100</v>
      </c>
    </row>
    <row r="1736" spans="1:9" ht="14.25" x14ac:dyDescent="0.2">
      <c r="A1736" s="435"/>
      <c r="B1736" s="808"/>
      <c r="C1736" s="808"/>
      <c r="D1736" s="1569" t="s">
        <v>1771</v>
      </c>
      <c r="E1736" s="1561" t="s">
        <v>1908</v>
      </c>
      <c r="F1736" s="903"/>
      <c r="G1736" s="903">
        <v>113</v>
      </c>
      <c r="H1736" s="903">
        <v>113</v>
      </c>
      <c r="I1736" s="893">
        <v>100</v>
      </c>
    </row>
    <row r="1737" spans="1:9" ht="20.25" customHeight="1" x14ac:dyDescent="0.2">
      <c r="A1737" s="435"/>
      <c r="B1737" s="808"/>
      <c r="C1737" s="808"/>
      <c r="D1737" s="1569" t="s">
        <v>1773</v>
      </c>
      <c r="E1737" s="1561" t="s">
        <v>1908</v>
      </c>
      <c r="F1737" s="903"/>
      <c r="G1737" s="903">
        <v>640</v>
      </c>
      <c r="H1737" s="903">
        <v>640</v>
      </c>
      <c r="I1737" s="893">
        <v>100</v>
      </c>
    </row>
    <row r="1738" spans="1:9" ht="15" x14ac:dyDescent="0.25">
      <c r="A1738" s="435">
        <v>1175</v>
      </c>
      <c r="B1738" s="808">
        <v>3142</v>
      </c>
      <c r="C1738" s="808">
        <v>5331</v>
      </c>
      <c r="D1738" s="929"/>
      <c r="E1738" s="704" t="s">
        <v>1066</v>
      </c>
      <c r="F1738" s="905">
        <f>F1739+F1740</f>
        <v>767</v>
      </c>
      <c r="G1738" s="905">
        <f>G1739+G1740</f>
        <v>771</v>
      </c>
      <c r="H1738" s="905">
        <f>H1739+H1740</f>
        <v>771</v>
      </c>
      <c r="I1738" s="906">
        <f t="shared" ref="I1738:I1744" si="80">(H1738/G1738)*100</f>
        <v>100</v>
      </c>
    </row>
    <row r="1739" spans="1:9" ht="14.25" x14ac:dyDescent="0.2">
      <c r="A1739" s="435"/>
      <c r="B1739" s="808"/>
      <c r="C1739" s="808"/>
      <c r="D1739" s="743" t="s">
        <v>641</v>
      </c>
      <c r="E1739" s="1679" t="s">
        <v>883</v>
      </c>
      <c r="F1739" s="903">
        <v>237</v>
      </c>
      <c r="G1739" s="903">
        <v>241</v>
      </c>
      <c r="H1739" s="903">
        <v>241</v>
      </c>
      <c r="I1739" s="898">
        <f t="shared" si="80"/>
        <v>100</v>
      </c>
    </row>
    <row r="1740" spans="1:9" ht="14.25" x14ac:dyDescent="0.2">
      <c r="A1740" s="435"/>
      <c r="B1740" s="808"/>
      <c r="C1740" s="1551"/>
      <c r="D1740" s="578" t="s">
        <v>636</v>
      </c>
      <c r="E1740" s="474" t="s">
        <v>72</v>
      </c>
      <c r="F1740" s="903">
        <v>530</v>
      </c>
      <c r="G1740" s="903">
        <v>530</v>
      </c>
      <c r="H1740" s="903">
        <v>530</v>
      </c>
      <c r="I1740" s="898">
        <f t="shared" si="80"/>
        <v>100</v>
      </c>
    </row>
    <row r="1741" spans="1:9" ht="15" x14ac:dyDescent="0.25">
      <c r="A1741" s="435">
        <v>1175</v>
      </c>
      <c r="B1741" s="808">
        <v>3142</v>
      </c>
      <c r="C1741" s="1551">
        <v>5336</v>
      </c>
      <c r="D1741" s="578"/>
      <c r="E1741" s="1564" t="s">
        <v>1357</v>
      </c>
      <c r="F1741" s="903"/>
      <c r="G1741" s="916">
        <v>547</v>
      </c>
      <c r="H1741" s="916">
        <v>547</v>
      </c>
      <c r="I1741" s="908">
        <f t="shared" si="80"/>
        <v>100</v>
      </c>
    </row>
    <row r="1742" spans="1:9" ht="14.25" x14ac:dyDescent="0.2">
      <c r="A1742" s="435"/>
      <c r="B1742" s="808"/>
      <c r="C1742" s="1551"/>
      <c r="D1742" s="578" t="s">
        <v>1267</v>
      </c>
      <c r="E1742" s="474" t="s">
        <v>882</v>
      </c>
      <c r="F1742" s="903"/>
      <c r="G1742" s="903">
        <v>547</v>
      </c>
      <c r="H1742" s="903">
        <v>547</v>
      </c>
      <c r="I1742" s="898">
        <f t="shared" si="80"/>
        <v>100</v>
      </c>
    </row>
    <row r="1743" spans="1:9" ht="15" x14ac:dyDescent="0.25">
      <c r="A1743" s="435">
        <v>1175</v>
      </c>
      <c r="B1743" s="705">
        <v>3299</v>
      </c>
      <c r="C1743" s="1550">
        <v>5331</v>
      </c>
      <c r="D1743" s="899"/>
      <c r="E1743" s="854" t="s">
        <v>1066</v>
      </c>
      <c r="F1743" s="890"/>
      <c r="G1743" s="890">
        <f>G1744</f>
        <v>15</v>
      </c>
      <c r="H1743" s="890">
        <f>H1744</f>
        <v>15</v>
      </c>
      <c r="I1743" s="906">
        <f t="shared" si="80"/>
        <v>100</v>
      </c>
    </row>
    <row r="1744" spans="1:9" ht="15.75" thickBot="1" x14ac:dyDescent="0.3">
      <c r="A1744" s="435"/>
      <c r="B1744" s="705"/>
      <c r="C1744" s="1550"/>
      <c r="D1744" s="1439" t="s">
        <v>535</v>
      </c>
      <c r="E1744" s="1441" t="s">
        <v>75</v>
      </c>
      <c r="F1744" s="890"/>
      <c r="G1744" s="357">
        <v>15</v>
      </c>
      <c r="H1744" s="357">
        <v>15</v>
      </c>
      <c r="I1744" s="898">
        <f t="shared" si="80"/>
        <v>100</v>
      </c>
    </row>
    <row r="1745" spans="1:20" ht="16.5" thickTop="1" thickBot="1" x14ac:dyDescent="0.3">
      <c r="A1745" s="2739" t="s">
        <v>1246</v>
      </c>
      <c r="B1745" s="2740"/>
      <c r="C1745" s="2740"/>
      <c r="D1745" s="2740"/>
      <c r="E1745" s="2740"/>
      <c r="F1745" s="894">
        <f>F1726+F1738</f>
        <v>3056</v>
      </c>
      <c r="G1745" s="894">
        <f>G1726+G1734+G1738+G1741+G1743</f>
        <v>17895</v>
      </c>
      <c r="H1745" s="894">
        <f>H1726+H1734+H1738+H1741+H1743</f>
        <v>17895</v>
      </c>
      <c r="I1745" s="895">
        <f>(H1745/G1745)*100</f>
        <v>100</v>
      </c>
      <c r="R1745" s="385">
        <f>F1745</f>
        <v>3056</v>
      </c>
      <c r="S1745" s="385">
        <f>G1745</f>
        <v>17895</v>
      </c>
      <c r="T1745" s="385">
        <f>H1745</f>
        <v>17895</v>
      </c>
    </row>
    <row r="1746" spans="1:20" s="386" customFormat="1" ht="13.5" thickTop="1" x14ac:dyDescent="0.2">
      <c r="A1746" s="384"/>
      <c r="B1746" s="669"/>
      <c r="C1746" s="384"/>
      <c r="D1746" s="884"/>
      <c r="E1746" s="384"/>
      <c r="F1746" s="385"/>
      <c r="G1746" s="385"/>
      <c r="H1746" s="385"/>
      <c r="I1746" s="1548"/>
    </row>
    <row r="1747" spans="1:20" ht="13.5" thickBot="1" x14ac:dyDescent="0.25">
      <c r="A1747" s="439" t="s">
        <v>962</v>
      </c>
      <c r="I1747" s="1548" t="s">
        <v>179</v>
      </c>
    </row>
    <row r="1748" spans="1:20" ht="14.25" thickTop="1" thickBot="1" x14ac:dyDescent="0.25">
      <c r="A1748" s="657" t="s">
        <v>692</v>
      </c>
      <c r="B1748" s="835" t="s">
        <v>180</v>
      </c>
      <c r="C1748" s="658" t="s">
        <v>181</v>
      </c>
      <c r="D1748" s="660" t="s">
        <v>783</v>
      </c>
      <c r="E1748" s="660" t="s">
        <v>182</v>
      </c>
      <c r="F1748" s="660" t="s">
        <v>183</v>
      </c>
      <c r="G1748" s="660" t="s">
        <v>985</v>
      </c>
      <c r="H1748" s="660" t="s">
        <v>986</v>
      </c>
      <c r="I1748" s="888" t="s">
        <v>987</v>
      </c>
    </row>
    <row r="1749" spans="1:20" ht="14.25" thickTop="1" thickBot="1" x14ac:dyDescent="0.25">
      <c r="A1749" s="592">
        <v>1</v>
      </c>
      <c r="B1749" s="593">
        <v>2</v>
      </c>
      <c r="C1749" s="593">
        <v>3</v>
      </c>
      <c r="D1749" s="593">
        <v>4</v>
      </c>
      <c r="E1749" s="593">
        <v>5</v>
      </c>
      <c r="F1749" s="567">
        <v>6</v>
      </c>
      <c r="G1749" s="567">
        <v>7</v>
      </c>
      <c r="H1749" s="568">
        <v>8</v>
      </c>
      <c r="I1749" s="662" t="s">
        <v>848</v>
      </c>
    </row>
    <row r="1750" spans="1:20" ht="15.75" thickTop="1" x14ac:dyDescent="0.25">
      <c r="A1750" s="1562">
        <v>1200</v>
      </c>
      <c r="B1750" s="917">
        <v>3122</v>
      </c>
      <c r="C1750" s="917">
        <v>5336</v>
      </c>
      <c r="D1750" s="922"/>
      <c r="E1750" s="1564" t="s">
        <v>1357</v>
      </c>
      <c r="F1750" s="1574"/>
      <c r="G1750" s="416">
        <v>1375</v>
      </c>
      <c r="H1750" s="416">
        <v>1375</v>
      </c>
      <c r="I1750" s="919">
        <f>(H1750/G1750)*100</f>
        <v>100</v>
      </c>
    </row>
    <row r="1751" spans="1:20" ht="14.25" x14ac:dyDescent="0.2">
      <c r="A1751" s="936"/>
      <c r="B1751" s="1447"/>
      <c r="C1751" s="1447"/>
      <c r="D1751" s="578" t="s">
        <v>1267</v>
      </c>
      <c r="E1751" s="474" t="s">
        <v>882</v>
      </c>
      <c r="F1751" s="1692"/>
      <c r="G1751" s="1545">
        <v>1375</v>
      </c>
      <c r="H1751" s="1691">
        <v>1375</v>
      </c>
      <c r="I1751" s="893">
        <f>(H1751/G1751)*100</f>
        <v>100</v>
      </c>
    </row>
    <row r="1752" spans="1:20" ht="14.25" customHeight="1" x14ac:dyDescent="0.25">
      <c r="A1752" s="435">
        <v>1200</v>
      </c>
      <c r="B1752" s="705">
        <v>3123</v>
      </c>
      <c r="C1752" s="705">
        <v>5331</v>
      </c>
      <c r="D1752" s="889"/>
      <c r="E1752" s="854" t="s">
        <v>1066</v>
      </c>
      <c r="F1752" s="890">
        <f>F1753+F1754+F1755+F1756+F1757+F1758</f>
        <v>3887</v>
      </c>
      <c r="G1752" s="890">
        <f>G1753+G1754+G1755+G1756+G1757+G1758</f>
        <v>4772</v>
      </c>
      <c r="H1752" s="890">
        <f>H1753+H1754+H1755+H1756+H1757+H1758</f>
        <v>4772</v>
      </c>
      <c r="I1752" s="891">
        <f t="shared" ref="I1752:I1767" si="81">(H1752/G1752)*100</f>
        <v>100</v>
      </c>
    </row>
    <row r="1753" spans="1:20" ht="14.25" x14ac:dyDescent="0.2">
      <c r="A1753" s="435"/>
      <c r="B1753" s="705"/>
      <c r="C1753" s="705"/>
      <c r="D1753" s="743" t="s">
        <v>641</v>
      </c>
      <c r="E1753" s="1679" t="s">
        <v>883</v>
      </c>
      <c r="F1753" s="897">
        <v>255</v>
      </c>
      <c r="G1753" s="897">
        <v>257</v>
      </c>
      <c r="H1753" s="897">
        <v>257</v>
      </c>
      <c r="I1753" s="893">
        <f t="shared" si="81"/>
        <v>100</v>
      </c>
    </row>
    <row r="1754" spans="1:20" ht="14.25" x14ac:dyDescent="0.2">
      <c r="A1754" s="435"/>
      <c r="B1754" s="705"/>
      <c r="C1754" s="705"/>
      <c r="D1754" s="1169" t="s">
        <v>202</v>
      </c>
      <c r="E1754" s="1275" t="s">
        <v>791</v>
      </c>
      <c r="F1754" s="897"/>
      <c r="G1754" s="897">
        <v>400</v>
      </c>
      <c r="H1754" s="897">
        <v>400</v>
      </c>
      <c r="I1754" s="893">
        <f t="shared" si="81"/>
        <v>100</v>
      </c>
    </row>
    <row r="1755" spans="1:20" ht="14.25" x14ac:dyDescent="0.2">
      <c r="A1755" s="435"/>
      <c r="B1755" s="705"/>
      <c r="C1755" s="705"/>
      <c r="D1755" s="578" t="s">
        <v>636</v>
      </c>
      <c r="E1755" s="474" t="s">
        <v>72</v>
      </c>
      <c r="F1755" s="897">
        <v>3632</v>
      </c>
      <c r="G1755" s="897">
        <v>3632</v>
      </c>
      <c r="H1755" s="897">
        <v>3632</v>
      </c>
      <c r="I1755" s="893">
        <f t="shared" si="81"/>
        <v>100</v>
      </c>
    </row>
    <row r="1756" spans="1:20" ht="14.25" x14ac:dyDescent="0.2">
      <c r="A1756" s="435"/>
      <c r="B1756" s="705"/>
      <c r="C1756" s="705"/>
      <c r="D1756" s="1565" t="s">
        <v>22</v>
      </c>
      <c r="E1756" s="117" t="s">
        <v>1351</v>
      </c>
      <c r="F1756" s="897"/>
      <c r="G1756" s="897">
        <v>95</v>
      </c>
      <c r="H1756" s="897">
        <v>95</v>
      </c>
      <c r="I1756" s="893">
        <f t="shared" si="81"/>
        <v>100</v>
      </c>
    </row>
    <row r="1757" spans="1:20" ht="14.25" x14ac:dyDescent="0.2">
      <c r="A1757" s="435"/>
      <c r="B1757" s="705"/>
      <c r="C1757" s="705"/>
      <c r="D1757" s="1179" t="s">
        <v>1038</v>
      </c>
      <c r="E1757" s="1275" t="s">
        <v>1363</v>
      </c>
      <c r="F1757" s="897"/>
      <c r="G1757" s="897">
        <v>88</v>
      </c>
      <c r="H1757" s="897">
        <v>88</v>
      </c>
      <c r="I1757" s="893">
        <f t="shared" si="81"/>
        <v>100</v>
      </c>
    </row>
    <row r="1758" spans="1:20" ht="14.25" x14ac:dyDescent="0.2">
      <c r="A1758" s="435"/>
      <c r="B1758" s="705"/>
      <c r="C1758" s="705"/>
      <c r="D1758" s="1179" t="s">
        <v>1536</v>
      </c>
      <c r="E1758" s="1702" t="s">
        <v>1537</v>
      </c>
      <c r="F1758" s="897"/>
      <c r="G1758" s="897">
        <v>300</v>
      </c>
      <c r="H1758" s="897">
        <v>300</v>
      </c>
      <c r="I1758" s="893">
        <f t="shared" si="81"/>
        <v>100</v>
      </c>
    </row>
    <row r="1759" spans="1:20" ht="15" x14ac:dyDescent="0.25">
      <c r="A1759" s="435">
        <v>1200</v>
      </c>
      <c r="B1759" s="705">
        <v>3123</v>
      </c>
      <c r="C1759" s="705">
        <v>5336</v>
      </c>
      <c r="D1759" s="1179"/>
      <c r="E1759" s="1564" t="s">
        <v>1357</v>
      </c>
      <c r="F1759" s="897"/>
      <c r="G1759" s="921">
        <f>G1760+G1761+G1762</f>
        <v>8074</v>
      </c>
      <c r="H1759" s="921">
        <f>H1760+H1761+H1762</f>
        <v>8074</v>
      </c>
      <c r="I1759" s="923">
        <f t="shared" si="81"/>
        <v>100</v>
      </c>
    </row>
    <row r="1760" spans="1:20" ht="14.25" x14ac:dyDescent="0.2">
      <c r="A1760" s="435"/>
      <c r="B1760" s="705"/>
      <c r="C1760" s="1550"/>
      <c r="D1760" s="578" t="s">
        <v>1267</v>
      </c>
      <c r="E1760" s="474" t="s">
        <v>882</v>
      </c>
      <c r="F1760" s="897"/>
      <c r="G1760" s="897">
        <v>7590</v>
      </c>
      <c r="H1760" s="897">
        <v>7590</v>
      </c>
      <c r="I1760" s="893">
        <f t="shared" si="81"/>
        <v>100</v>
      </c>
    </row>
    <row r="1761" spans="1:20" ht="14.25" x14ac:dyDescent="0.2">
      <c r="A1761" s="435"/>
      <c r="B1761" s="808"/>
      <c r="C1761" s="1551"/>
      <c r="D1761" s="1569" t="s">
        <v>1771</v>
      </c>
      <c r="E1761" s="1561" t="s">
        <v>1908</v>
      </c>
      <c r="F1761" s="903"/>
      <c r="G1761" s="903">
        <v>73</v>
      </c>
      <c r="H1761" s="903">
        <v>73</v>
      </c>
      <c r="I1761" s="898">
        <f t="shared" si="81"/>
        <v>100</v>
      </c>
    </row>
    <row r="1762" spans="1:20" ht="14.25" x14ac:dyDescent="0.2">
      <c r="A1762" s="435"/>
      <c r="B1762" s="808"/>
      <c r="C1762" s="1551"/>
      <c r="D1762" s="1569" t="s">
        <v>1773</v>
      </c>
      <c r="E1762" s="1561" t="s">
        <v>1908</v>
      </c>
      <c r="F1762" s="903"/>
      <c r="G1762" s="903">
        <v>411</v>
      </c>
      <c r="H1762" s="903">
        <v>411</v>
      </c>
      <c r="I1762" s="898">
        <f t="shared" si="81"/>
        <v>100</v>
      </c>
    </row>
    <row r="1763" spans="1:20" ht="15" x14ac:dyDescent="0.25">
      <c r="A1763" s="435">
        <v>1200</v>
      </c>
      <c r="B1763" s="808">
        <v>3147</v>
      </c>
      <c r="C1763" s="808">
        <v>5331</v>
      </c>
      <c r="D1763" s="929"/>
      <c r="E1763" s="704" t="s">
        <v>1066</v>
      </c>
      <c r="F1763" s="905">
        <f>F1764+F1765+F1767</f>
        <v>548</v>
      </c>
      <c r="G1763" s="905">
        <f>G1764+G1765</f>
        <v>549</v>
      </c>
      <c r="H1763" s="905">
        <f>H1764+H1765</f>
        <v>549</v>
      </c>
      <c r="I1763" s="906">
        <f t="shared" si="81"/>
        <v>100</v>
      </c>
    </row>
    <row r="1764" spans="1:20" ht="14.25" x14ac:dyDescent="0.2">
      <c r="A1764" s="435"/>
      <c r="B1764" s="808"/>
      <c r="C1764" s="808"/>
      <c r="D1764" s="743" t="s">
        <v>641</v>
      </c>
      <c r="E1764" s="1679" t="s">
        <v>883</v>
      </c>
      <c r="F1764" s="903">
        <v>298</v>
      </c>
      <c r="G1764" s="903">
        <v>299</v>
      </c>
      <c r="H1764" s="903">
        <v>299</v>
      </c>
      <c r="I1764" s="898">
        <f t="shared" si="81"/>
        <v>100</v>
      </c>
    </row>
    <row r="1765" spans="1:20" ht="20.25" customHeight="1" x14ac:dyDescent="0.2">
      <c r="A1765" s="435"/>
      <c r="B1765" s="808"/>
      <c r="C1765" s="808"/>
      <c r="D1765" s="578" t="s">
        <v>636</v>
      </c>
      <c r="E1765" s="474" t="s">
        <v>72</v>
      </c>
      <c r="F1765" s="903">
        <v>250</v>
      </c>
      <c r="G1765" s="903">
        <v>250</v>
      </c>
      <c r="H1765" s="903">
        <v>250</v>
      </c>
      <c r="I1765" s="898">
        <f t="shared" si="81"/>
        <v>100</v>
      </c>
    </row>
    <row r="1766" spans="1:20" ht="15" x14ac:dyDescent="0.25">
      <c r="A1766" s="435">
        <v>1200</v>
      </c>
      <c r="B1766" s="808">
        <v>3147</v>
      </c>
      <c r="C1766" s="808">
        <v>5336</v>
      </c>
      <c r="D1766" s="578"/>
      <c r="E1766" s="1564" t="s">
        <v>1357</v>
      </c>
      <c r="F1766" s="903"/>
      <c r="G1766" s="916">
        <v>1057</v>
      </c>
      <c r="H1766" s="916">
        <v>1057</v>
      </c>
      <c r="I1766" s="908">
        <f t="shared" si="81"/>
        <v>100</v>
      </c>
    </row>
    <row r="1767" spans="1:20" ht="12.75" customHeight="1" thickBot="1" x14ac:dyDescent="0.25">
      <c r="A1767" s="435"/>
      <c r="B1767" s="808"/>
      <c r="C1767" s="1551"/>
      <c r="D1767" s="578" t="s">
        <v>1267</v>
      </c>
      <c r="E1767" s="474" t="s">
        <v>882</v>
      </c>
      <c r="F1767" s="903"/>
      <c r="G1767" s="903">
        <v>1057</v>
      </c>
      <c r="H1767" s="903">
        <v>1057</v>
      </c>
      <c r="I1767" s="898">
        <f t="shared" si="81"/>
        <v>100</v>
      </c>
    </row>
    <row r="1768" spans="1:20" s="107" customFormat="1" ht="16.5" thickTop="1" thickBot="1" x14ac:dyDescent="0.3">
      <c r="A1768" s="2739" t="s">
        <v>1246</v>
      </c>
      <c r="B1768" s="2740"/>
      <c r="C1768" s="2740"/>
      <c r="D1768" s="2740"/>
      <c r="E1768" s="2740"/>
      <c r="F1768" s="894">
        <f>F1752+F1763</f>
        <v>4435</v>
      </c>
      <c r="G1768" s="894">
        <f>G1750+G1752+G1759+G1763+G1766</f>
        <v>15827</v>
      </c>
      <c r="H1768" s="894">
        <f>H1750+H1752+H1759+H1763+H1766</f>
        <v>15827</v>
      </c>
      <c r="I1768" s="895">
        <f>(H1768/G1768)*100</f>
        <v>100</v>
      </c>
      <c r="R1768" s="385">
        <f>F1768</f>
        <v>4435</v>
      </c>
      <c r="S1768" s="385">
        <f>G1768</f>
        <v>15827</v>
      </c>
      <c r="T1768" s="385">
        <f>H1768</f>
        <v>15827</v>
      </c>
    </row>
    <row r="1769" spans="1:20" s="386" customFormat="1" ht="13.5" thickTop="1" x14ac:dyDescent="0.2">
      <c r="A1769" s="384"/>
      <c r="B1769" s="669"/>
      <c r="C1769" s="384"/>
      <c r="D1769" s="884"/>
      <c r="E1769" s="384"/>
      <c r="F1769" s="385"/>
      <c r="G1769" s="385"/>
      <c r="H1769" s="385"/>
      <c r="I1769" s="1548"/>
    </row>
    <row r="1770" spans="1:20" ht="13.5" thickBot="1" x14ac:dyDescent="0.25">
      <c r="A1770" s="439" t="s">
        <v>147</v>
      </c>
      <c r="I1770" s="1548" t="s">
        <v>179</v>
      </c>
    </row>
    <row r="1771" spans="1:20" ht="25.5" customHeight="1" thickTop="1" thickBot="1" x14ac:dyDescent="0.25">
      <c r="A1771" s="657" t="s">
        <v>692</v>
      </c>
      <c r="B1771" s="835" t="s">
        <v>180</v>
      </c>
      <c r="C1771" s="658" t="s">
        <v>181</v>
      </c>
      <c r="D1771" s="660" t="s">
        <v>783</v>
      </c>
      <c r="E1771" s="660" t="s">
        <v>182</v>
      </c>
      <c r="F1771" s="660" t="s">
        <v>183</v>
      </c>
      <c r="G1771" s="660" t="s">
        <v>985</v>
      </c>
      <c r="H1771" s="660" t="s">
        <v>986</v>
      </c>
      <c r="I1771" s="888" t="s">
        <v>987</v>
      </c>
    </row>
    <row r="1772" spans="1:20" ht="14.25" thickTop="1" thickBot="1" x14ac:dyDescent="0.25">
      <c r="A1772" s="592">
        <v>1</v>
      </c>
      <c r="B1772" s="593">
        <v>2</v>
      </c>
      <c r="C1772" s="593">
        <v>3</v>
      </c>
      <c r="D1772" s="593">
        <v>4</v>
      </c>
      <c r="E1772" s="593">
        <v>5</v>
      </c>
      <c r="F1772" s="567">
        <v>6</v>
      </c>
      <c r="G1772" s="567">
        <v>7</v>
      </c>
      <c r="H1772" s="568">
        <v>8</v>
      </c>
      <c r="I1772" s="662" t="s">
        <v>848</v>
      </c>
    </row>
    <row r="1773" spans="1:20" ht="15.75" thickTop="1" x14ac:dyDescent="0.25">
      <c r="A1773" s="435">
        <v>1201</v>
      </c>
      <c r="B1773" s="705">
        <v>3122</v>
      </c>
      <c r="C1773" s="705">
        <v>5336</v>
      </c>
      <c r="D1773" s="889"/>
      <c r="E1773" s="1564" t="s">
        <v>1357</v>
      </c>
      <c r="F1773" s="890"/>
      <c r="G1773" s="890">
        <v>2415</v>
      </c>
      <c r="H1773" s="890">
        <v>2415</v>
      </c>
      <c r="I1773" s="891">
        <f>(H1773/G1773)*100</f>
        <v>100</v>
      </c>
    </row>
    <row r="1774" spans="1:20" ht="14.25" x14ac:dyDescent="0.2">
      <c r="A1774" s="936"/>
      <c r="B1774" s="1447"/>
      <c r="C1774" s="1447"/>
      <c r="D1774" s="578" t="s">
        <v>1267</v>
      </c>
      <c r="E1774" s="474" t="s">
        <v>882</v>
      </c>
      <c r="F1774" s="897"/>
      <c r="G1774" s="897">
        <v>2415</v>
      </c>
      <c r="H1774" s="897">
        <v>2415</v>
      </c>
      <c r="I1774" s="893">
        <f>(H1774/G1774)*100</f>
        <v>100</v>
      </c>
    </row>
    <row r="1775" spans="1:20" ht="15" x14ac:dyDescent="0.25">
      <c r="A1775" s="435">
        <v>1201</v>
      </c>
      <c r="B1775" s="705">
        <v>3123</v>
      </c>
      <c r="C1775" s="705">
        <v>5331</v>
      </c>
      <c r="D1775" s="889"/>
      <c r="E1775" s="854" t="s">
        <v>1066</v>
      </c>
      <c r="F1775" s="890">
        <f>F1776+F1777+F1778</f>
        <v>6084</v>
      </c>
      <c r="G1775" s="890">
        <f>G1776+G1777+G1778</f>
        <v>6628</v>
      </c>
      <c r="H1775" s="890">
        <f>H1776+H1777+H1778</f>
        <v>6628</v>
      </c>
      <c r="I1775" s="891">
        <f t="shared" ref="I1775:I1790" si="82">(H1775/G1775)*100</f>
        <v>100</v>
      </c>
    </row>
    <row r="1776" spans="1:20" ht="14.25" x14ac:dyDescent="0.2">
      <c r="A1776" s="435"/>
      <c r="B1776" s="705"/>
      <c r="C1776" s="705"/>
      <c r="D1776" s="743" t="s">
        <v>641</v>
      </c>
      <c r="E1776" s="1679" t="s">
        <v>883</v>
      </c>
      <c r="F1776" s="897">
        <v>2704</v>
      </c>
      <c r="G1776" s="897">
        <v>2718</v>
      </c>
      <c r="H1776" s="897">
        <v>2718</v>
      </c>
      <c r="I1776" s="893">
        <f t="shared" si="82"/>
        <v>100</v>
      </c>
    </row>
    <row r="1777" spans="1:20" ht="14.25" x14ac:dyDescent="0.2">
      <c r="A1777" s="435"/>
      <c r="B1777" s="705"/>
      <c r="C1777" s="705"/>
      <c r="D1777" s="578" t="s">
        <v>636</v>
      </c>
      <c r="E1777" s="474" t="s">
        <v>72</v>
      </c>
      <c r="F1777" s="897">
        <v>3380</v>
      </c>
      <c r="G1777" s="897">
        <v>3380</v>
      </c>
      <c r="H1777" s="897">
        <v>3380</v>
      </c>
      <c r="I1777" s="893">
        <f t="shared" si="82"/>
        <v>100</v>
      </c>
    </row>
    <row r="1778" spans="1:20" ht="14.25" x14ac:dyDescent="0.2">
      <c r="A1778" s="435"/>
      <c r="B1778" s="705"/>
      <c r="C1778" s="705"/>
      <c r="D1778" s="1179" t="s">
        <v>1038</v>
      </c>
      <c r="E1778" s="1275" t="s">
        <v>1363</v>
      </c>
      <c r="F1778" s="897"/>
      <c r="G1778" s="897">
        <v>530</v>
      </c>
      <c r="H1778" s="897">
        <v>530</v>
      </c>
      <c r="I1778" s="893">
        <f t="shared" si="82"/>
        <v>100</v>
      </c>
    </row>
    <row r="1779" spans="1:20" ht="15" x14ac:dyDescent="0.25">
      <c r="A1779" s="435">
        <v>1201</v>
      </c>
      <c r="B1779" s="705">
        <v>3123</v>
      </c>
      <c r="C1779" s="705">
        <v>5336</v>
      </c>
      <c r="D1779" s="1179"/>
      <c r="E1779" s="1564" t="s">
        <v>1357</v>
      </c>
      <c r="F1779" s="897"/>
      <c r="G1779" s="921">
        <f>G1780+G1781+G1782</f>
        <v>16359</v>
      </c>
      <c r="H1779" s="921">
        <f>H1780+H1781+H1782</f>
        <v>16359</v>
      </c>
      <c r="I1779" s="923">
        <f t="shared" si="82"/>
        <v>100</v>
      </c>
    </row>
    <row r="1780" spans="1:20" ht="14.25" x14ac:dyDescent="0.2">
      <c r="A1780" s="435"/>
      <c r="B1780" s="705"/>
      <c r="C1780" s="705"/>
      <c r="D1780" s="578" t="s">
        <v>1267</v>
      </c>
      <c r="E1780" s="474" t="s">
        <v>882</v>
      </c>
      <c r="F1780" s="897"/>
      <c r="G1780" s="897">
        <v>15651</v>
      </c>
      <c r="H1780" s="897">
        <v>15651</v>
      </c>
      <c r="I1780" s="893">
        <f t="shared" si="82"/>
        <v>100</v>
      </c>
    </row>
    <row r="1781" spans="1:20" ht="14.25" x14ac:dyDescent="0.2">
      <c r="A1781" s="435"/>
      <c r="B1781" s="808"/>
      <c r="C1781" s="808"/>
      <c r="D1781" s="1569" t="s">
        <v>1771</v>
      </c>
      <c r="E1781" s="1561" t="s">
        <v>1908</v>
      </c>
      <c r="F1781" s="903"/>
      <c r="G1781" s="903">
        <v>106</v>
      </c>
      <c r="H1781" s="903">
        <v>106</v>
      </c>
      <c r="I1781" s="898">
        <f t="shared" si="82"/>
        <v>100</v>
      </c>
    </row>
    <row r="1782" spans="1:20" ht="12.75" customHeight="1" x14ac:dyDescent="0.2">
      <c r="A1782" s="435"/>
      <c r="B1782" s="808"/>
      <c r="C1782" s="808"/>
      <c r="D1782" s="1569" t="s">
        <v>1773</v>
      </c>
      <c r="E1782" s="1561" t="s">
        <v>1908</v>
      </c>
      <c r="F1782" s="903"/>
      <c r="G1782" s="903">
        <v>602</v>
      </c>
      <c r="H1782" s="903">
        <v>602</v>
      </c>
      <c r="I1782" s="898">
        <f t="shared" si="82"/>
        <v>100</v>
      </c>
    </row>
    <row r="1783" spans="1:20" ht="15" x14ac:dyDescent="0.25">
      <c r="A1783" s="435">
        <v>1201</v>
      </c>
      <c r="B1783" s="808">
        <v>3142</v>
      </c>
      <c r="C1783" s="1551">
        <v>5331</v>
      </c>
      <c r="D1783" s="912"/>
      <c r="E1783" s="704" t="s">
        <v>1066</v>
      </c>
      <c r="F1783" s="905">
        <v>200</v>
      </c>
      <c r="G1783" s="905">
        <v>200</v>
      </c>
      <c r="H1783" s="905">
        <v>200</v>
      </c>
      <c r="I1783" s="906">
        <f t="shared" si="82"/>
        <v>100</v>
      </c>
    </row>
    <row r="1784" spans="1:20" ht="14.25" x14ac:dyDescent="0.2">
      <c r="A1784" s="435"/>
      <c r="B1784" s="808"/>
      <c r="C1784" s="1551"/>
      <c r="D1784" s="578" t="s">
        <v>636</v>
      </c>
      <c r="E1784" s="474" t="s">
        <v>72</v>
      </c>
      <c r="F1784" s="903">
        <v>200</v>
      </c>
      <c r="G1784" s="903">
        <v>200</v>
      </c>
      <c r="H1784" s="903">
        <v>200</v>
      </c>
      <c r="I1784" s="898">
        <f t="shared" si="82"/>
        <v>100</v>
      </c>
    </row>
    <row r="1785" spans="1:20" ht="15" x14ac:dyDescent="0.25">
      <c r="A1785" s="435">
        <v>1201</v>
      </c>
      <c r="B1785" s="808">
        <v>3147</v>
      </c>
      <c r="C1785" s="808">
        <v>5331</v>
      </c>
      <c r="D1785" s="929"/>
      <c r="E1785" s="704" t="s">
        <v>1066</v>
      </c>
      <c r="F1785" s="905">
        <f>F1786+F1789</f>
        <v>410</v>
      </c>
      <c r="G1785" s="905">
        <f>G1786+G1787</f>
        <v>552</v>
      </c>
      <c r="H1785" s="905">
        <f>H1786+H1787</f>
        <v>552</v>
      </c>
      <c r="I1785" s="906">
        <f t="shared" si="82"/>
        <v>100</v>
      </c>
    </row>
    <row r="1786" spans="1:20" ht="14.25" x14ac:dyDescent="0.2">
      <c r="A1786" s="435"/>
      <c r="B1786" s="808"/>
      <c r="C1786" s="808"/>
      <c r="D1786" s="578" t="s">
        <v>636</v>
      </c>
      <c r="E1786" s="474" t="s">
        <v>72</v>
      </c>
      <c r="F1786" s="903">
        <v>410</v>
      </c>
      <c r="G1786" s="903">
        <v>410</v>
      </c>
      <c r="H1786" s="903">
        <v>410</v>
      </c>
      <c r="I1786" s="898">
        <f t="shared" si="82"/>
        <v>100</v>
      </c>
    </row>
    <row r="1787" spans="1:20" ht="14.25" x14ac:dyDescent="0.2">
      <c r="A1787" s="435"/>
      <c r="B1787" s="808"/>
      <c r="C1787" s="808"/>
      <c r="D1787" s="1169" t="s">
        <v>1268</v>
      </c>
      <c r="E1787" s="1398" t="s">
        <v>1277</v>
      </c>
      <c r="F1787" s="903"/>
      <c r="G1787" s="903">
        <v>142</v>
      </c>
      <c r="H1787" s="903">
        <v>142</v>
      </c>
      <c r="I1787" s="898">
        <f t="shared" si="82"/>
        <v>100</v>
      </c>
    </row>
    <row r="1788" spans="1:20" ht="15" x14ac:dyDescent="0.25">
      <c r="A1788" s="435">
        <v>1201</v>
      </c>
      <c r="B1788" s="808">
        <v>3147</v>
      </c>
      <c r="C1788" s="808">
        <v>5336</v>
      </c>
      <c r="D1788" s="578"/>
      <c r="E1788" s="1564" t="s">
        <v>1357</v>
      </c>
      <c r="F1788" s="903"/>
      <c r="G1788" s="916">
        <v>1195</v>
      </c>
      <c r="H1788" s="916">
        <v>1195</v>
      </c>
      <c r="I1788" s="908">
        <f t="shared" si="82"/>
        <v>100</v>
      </c>
    </row>
    <row r="1789" spans="1:20" ht="15" thickBot="1" x14ac:dyDescent="0.25">
      <c r="A1789" s="435"/>
      <c r="B1789" s="808"/>
      <c r="C1789" s="1551"/>
      <c r="D1789" s="578" t="s">
        <v>1267</v>
      </c>
      <c r="E1789" s="474" t="s">
        <v>882</v>
      </c>
      <c r="F1789" s="903"/>
      <c r="G1789" s="903">
        <v>1195</v>
      </c>
      <c r="H1789" s="903">
        <v>1195</v>
      </c>
      <c r="I1789" s="898">
        <f t="shared" si="82"/>
        <v>100</v>
      </c>
    </row>
    <row r="1790" spans="1:20" ht="16.5" thickTop="1" thickBot="1" x14ac:dyDescent="0.3">
      <c r="A1790" s="2739" t="s">
        <v>1246</v>
      </c>
      <c r="B1790" s="2740"/>
      <c r="C1790" s="2740"/>
      <c r="D1790" s="2740"/>
      <c r="E1790" s="2740"/>
      <c r="F1790" s="894">
        <f>F1775+F1783+F1785</f>
        <v>6694</v>
      </c>
      <c r="G1790" s="894">
        <f>G1773+G1775+G1779+G1783+G1785+G1788</f>
        <v>27349</v>
      </c>
      <c r="H1790" s="894">
        <f>H1773+H1775+H1779+H1783+H1785+H1788</f>
        <v>27349</v>
      </c>
      <c r="I1790" s="895">
        <f t="shared" si="82"/>
        <v>100</v>
      </c>
      <c r="R1790" s="385">
        <f>F1790</f>
        <v>6694</v>
      </c>
      <c r="S1790" s="385">
        <f>G1790</f>
        <v>27349</v>
      </c>
      <c r="T1790" s="385">
        <f>H1790</f>
        <v>27349</v>
      </c>
    </row>
    <row r="1791" spans="1:20" ht="14.25" customHeight="1" thickTop="1" x14ac:dyDescent="0.25">
      <c r="A1791" s="370"/>
      <c r="B1791" s="370"/>
      <c r="C1791" s="370"/>
      <c r="D1791" s="370"/>
      <c r="E1791" s="370"/>
      <c r="F1791" s="181"/>
      <c r="G1791" s="181"/>
      <c r="H1791" s="181"/>
      <c r="I1791" s="210"/>
      <c r="R1791" s="385"/>
      <c r="S1791" s="385"/>
      <c r="T1791" s="385"/>
    </row>
    <row r="1792" spans="1:20" ht="15" x14ac:dyDescent="0.25">
      <c r="A1792" s="370"/>
      <c r="B1792" s="370"/>
      <c r="C1792" s="370"/>
      <c r="D1792" s="370"/>
      <c r="E1792" s="370"/>
      <c r="F1792" s="181"/>
      <c r="G1792" s="181"/>
      <c r="H1792" s="181"/>
      <c r="I1792" s="210"/>
      <c r="R1792" s="385"/>
      <c r="S1792" s="385"/>
      <c r="T1792" s="385"/>
    </row>
    <row r="1793" spans="1:9" ht="15.75" customHeight="1" thickBot="1" x14ac:dyDescent="0.25">
      <c r="A1793" s="439" t="s">
        <v>1669</v>
      </c>
      <c r="I1793" s="1548" t="s">
        <v>179</v>
      </c>
    </row>
    <row r="1794" spans="1:9" ht="14.25" thickTop="1" thickBot="1" x14ac:dyDescent="0.25">
      <c r="A1794" s="657" t="s">
        <v>692</v>
      </c>
      <c r="B1794" s="835" t="s">
        <v>180</v>
      </c>
      <c r="C1794" s="658" t="s">
        <v>181</v>
      </c>
      <c r="D1794" s="660" t="s">
        <v>783</v>
      </c>
      <c r="E1794" s="660" t="s">
        <v>182</v>
      </c>
      <c r="F1794" s="660" t="s">
        <v>183</v>
      </c>
      <c r="G1794" s="660" t="s">
        <v>985</v>
      </c>
      <c r="H1794" s="660" t="s">
        <v>986</v>
      </c>
      <c r="I1794" s="888" t="s">
        <v>987</v>
      </c>
    </row>
    <row r="1795" spans="1:9" ht="14.25" thickTop="1" thickBot="1" x14ac:dyDescent="0.25">
      <c r="A1795" s="592">
        <v>1</v>
      </c>
      <c r="B1795" s="593">
        <v>2</v>
      </c>
      <c r="C1795" s="593">
        <v>3</v>
      </c>
      <c r="D1795" s="593">
        <v>4</v>
      </c>
      <c r="E1795" s="593">
        <v>5</v>
      </c>
      <c r="F1795" s="567">
        <v>6</v>
      </c>
      <c r="G1795" s="567">
        <v>7</v>
      </c>
      <c r="H1795" s="568">
        <v>8</v>
      </c>
      <c r="I1795" s="662" t="s">
        <v>848</v>
      </c>
    </row>
    <row r="1796" spans="1:9" ht="15.75" thickTop="1" x14ac:dyDescent="0.25">
      <c r="A1796" s="1562">
        <v>1202</v>
      </c>
      <c r="B1796" s="917">
        <v>3122</v>
      </c>
      <c r="C1796" s="917">
        <v>5331</v>
      </c>
      <c r="D1796" s="922"/>
      <c r="E1796" s="956" t="s">
        <v>1066</v>
      </c>
      <c r="F1796" s="915">
        <f>F1797+F1798</f>
        <v>3248</v>
      </c>
      <c r="G1796" s="915">
        <f>G1797+G1798+G1799</f>
        <v>3407</v>
      </c>
      <c r="H1796" s="915">
        <f>H1797+H1798+H1799</f>
        <v>3407</v>
      </c>
      <c r="I1796" s="919">
        <f t="shared" ref="I1796:I1814" si="83">(H1796/G1796)*100</f>
        <v>100</v>
      </c>
    </row>
    <row r="1797" spans="1:9" ht="14.25" x14ac:dyDescent="0.2">
      <c r="A1797" s="435"/>
      <c r="B1797" s="705"/>
      <c r="C1797" s="705"/>
      <c r="D1797" s="743" t="s">
        <v>641</v>
      </c>
      <c r="E1797" s="1679" t="s">
        <v>883</v>
      </c>
      <c r="F1797" s="897">
        <v>920</v>
      </c>
      <c r="G1797" s="897">
        <v>982</v>
      </c>
      <c r="H1797" s="897">
        <v>982</v>
      </c>
      <c r="I1797" s="893">
        <f t="shared" si="83"/>
        <v>100</v>
      </c>
    </row>
    <row r="1798" spans="1:9" ht="14.25" x14ac:dyDescent="0.2">
      <c r="A1798" s="435"/>
      <c r="B1798" s="705"/>
      <c r="C1798" s="705"/>
      <c r="D1798" s="578" t="s">
        <v>636</v>
      </c>
      <c r="E1798" s="474" t="s">
        <v>72</v>
      </c>
      <c r="F1798" s="897">
        <v>2328</v>
      </c>
      <c r="G1798" s="897">
        <v>2328</v>
      </c>
      <c r="H1798" s="897">
        <v>2328</v>
      </c>
      <c r="I1798" s="893">
        <f t="shared" si="83"/>
        <v>100</v>
      </c>
    </row>
    <row r="1799" spans="1:9" ht="14.25" x14ac:dyDescent="0.2">
      <c r="A1799" s="435"/>
      <c r="B1799" s="705"/>
      <c r="C1799" s="705"/>
      <c r="D1799" s="2708" t="s">
        <v>1641</v>
      </c>
      <c r="E1799" s="2748" t="s">
        <v>1667</v>
      </c>
      <c r="F1799" s="897"/>
      <c r="G1799" s="897">
        <v>97</v>
      </c>
      <c r="H1799" s="897">
        <v>97</v>
      </c>
      <c r="I1799" s="893">
        <f t="shared" si="83"/>
        <v>100</v>
      </c>
    </row>
    <row r="1800" spans="1:9" ht="14.25" x14ac:dyDescent="0.2">
      <c r="A1800" s="435"/>
      <c r="B1800" s="705"/>
      <c r="C1800" s="705"/>
      <c r="D1800" s="2734"/>
      <c r="E1800" s="2734"/>
      <c r="F1800" s="897"/>
      <c r="G1800" s="897"/>
      <c r="H1800" s="897"/>
      <c r="I1800" s="893"/>
    </row>
    <row r="1801" spans="1:9" ht="14.25" x14ac:dyDescent="0.2">
      <c r="A1801" s="435"/>
      <c r="B1801" s="705"/>
      <c r="C1801" s="705"/>
      <c r="D1801" s="2734"/>
      <c r="E1801" s="2734"/>
      <c r="F1801" s="897"/>
      <c r="G1801" s="897"/>
      <c r="H1801" s="897"/>
      <c r="I1801" s="893"/>
    </row>
    <row r="1802" spans="1:9" ht="15" x14ac:dyDescent="0.25">
      <c r="A1802" s="435">
        <v>1202</v>
      </c>
      <c r="B1802" s="705">
        <v>3122</v>
      </c>
      <c r="C1802" s="705">
        <v>5336</v>
      </c>
      <c r="D1802" s="2533"/>
      <c r="E1802" s="1564" t="s">
        <v>1357</v>
      </c>
      <c r="F1802" s="897"/>
      <c r="G1802" s="921">
        <f>G1803+G1804+G1805</f>
        <v>13550</v>
      </c>
      <c r="H1802" s="921">
        <f>H1803+H1804+H1805</f>
        <v>13550</v>
      </c>
      <c r="I1802" s="923">
        <f t="shared" si="83"/>
        <v>100</v>
      </c>
    </row>
    <row r="1803" spans="1:9" ht="14.25" x14ac:dyDescent="0.2">
      <c r="A1803" s="435"/>
      <c r="B1803" s="705"/>
      <c r="C1803" s="1550"/>
      <c r="D1803" s="578" t="s">
        <v>1267</v>
      </c>
      <c r="E1803" s="474" t="s">
        <v>882</v>
      </c>
      <c r="F1803" s="897"/>
      <c r="G1803" s="897">
        <v>12890</v>
      </c>
      <c r="H1803" s="897">
        <v>12890</v>
      </c>
      <c r="I1803" s="893">
        <f t="shared" si="83"/>
        <v>100</v>
      </c>
    </row>
    <row r="1804" spans="1:9" ht="14.25" x14ac:dyDescent="0.2">
      <c r="A1804" s="435"/>
      <c r="B1804" s="808"/>
      <c r="C1804" s="1551"/>
      <c r="D1804" s="1569" t="s">
        <v>1771</v>
      </c>
      <c r="E1804" s="1561" t="s">
        <v>1908</v>
      </c>
      <c r="F1804" s="903"/>
      <c r="G1804" s="903">
        <v>99</v>
      </c>
      <c r="H1804" s="903">
        <v>99</v>
      </c>
      <c r="I1804" s="893">
        <f t="shared" si="83"/>
        <v>100</v>
      </c>
    </row>
    <row r="1805" spans="1:9" ht="14.25" x14ac:dyDescent="0.2">
      <c r="A1805" s="435"/>
      <c r="B1805" s="808"/>
      <c r="C1805" s="1551"/>
      <c r="D1805" s="1569" t="s">
        <v>1773</v>
      </c>
      <c r="E1805" s="1561" t="s">
        <v>1908</v>
      </c>
      <c r="F1805" s="903"/>
      <c r="G1805" s="903">
        <v>561</v>
      </c>
      <c r="H1805" s="903">
        <v>561</v>
      </c>
      <c r="I1805" s="893">
        <f t="shared" si="83"/>
        <v>100</v>
      </c>
    </row>
    <row r="1806" spans="1:9" ht="15" x14ac:dyDescent="0.25">
      <c r="A1806" s="435">
        <v>1202</v>
      </c>
      <c r="B1806" s="808">
        <v>3123</v>
      </c>
      <c r="C1806" s="808">
        <v>5331</v>
      </c>
      <c r="D1806" s="929"/>
      <c r="E1806" s="704" t="s">
        <v>1066</v>
      </c>
      <c r="F1806" s="905">
        <v>1735</v>
      </c>
      <c r="G1806" s="905">
        <v>1735</v>
      </c>
      <c r="H1806" s="905">
        <v>1735</v>
      </c>
      <c r="I1806" s="906">
        <f t="shared" si="83"/>
        <v>100</v>
      </c>
    </row>
    <row r="1807" spans="1:9" ht="14.25" x14ac:dyDescent="0.2">
      <c r="A1807" s="435"/>
      <c r="B1807" s="808"/>
      <c r="C1807" s="808"/>
      <c r="D1807" s="578" t="s">
        <v>636</v>
      </c>
      <c r="E1807" s="474" t="s">
        <v>72</v>
      </c>
      <c r="F1807" s="907">
        <v>1735</v>
      </c>
      <c r="G1807" s="903">
        <v>1735</v>
      </c>
      <c r="H1807" s="903">
        <v>1735</v>
      </c>
      <c r="I1807" s="898">
        <f t="shared" si="83"/>
        <v>100</v>
      </c>
    </row>
    <row r="1808" spans="1:9" ht="15" x14ac:dyDescent="0.25">
      <c r="A1808" s="435">
        <v>1202</v>
      </c>
      <c r="B1808" s="808">
        <v>3123</v>
      </c>
      <c r="C1808" s="808">
        <v>5336</v>
      </c>
      <c r="D1808" s="578"/>
      <c r="E1808" s="1564" t="s">
        <v>1357</v>
      </c>
      <c r="F1808" s="907"/>
      <c r="G1808" s="916">
        <v>1410</v>
      </c>
      <c r="H1808" s="916">
        <v>1410</v>
      </c>
      <c r="I1808" s="908">
        <f t="shared" si="83"/>
        <v>100</v>
      </c>
    </row>
    <row r="1809" spans="1:20" ht="14.25" x14ac:dyDescent="0.2">
      <c r="A1809" s="435"/>
      <c r="B1809" s="808"/>
      <c r="C1809" s="808"/>
      <c r="D1809" s="578" t="s">
        <v>1267</v>
      </c>
      <c r="E1809" s="474" t="s">
        <v>882</v>
      </c>
      <c r="F1809" s="903"/>
      <c r="G1809" s="903">
        <v>1410</v>
      </c>
      <c r="H1809" s="903">
        <v>1410</v>
      </c>
      <c r="I1809" s="898">
        <f t="shared" si="83"/>
        <v>100</v>
      </c>
    </row>
    <row r="1810" spans="1:20" ht="15" x14ac:dyDescent="0.25">
      <c r="A1810" s="435">
        <v>1202</v>
      </c>
      <c r="B1810" s="808">
        <v>3142</v>
      </c>
      <c r="C1810" s="808">
        <v>5336</v>
      </c>
      <c r="D1810" s="578"/>
      <c r="E1810" s="1564" t="s">
        <v>1357</v>
      </c>
      <c r="F1810" s="903"/>
      <c r="G1810" s="916">
        <v>503</v>
      </c>
      <c r="H1810" s="916">
        <v>503</v>
      </c>
      <c r="I1810" s="908">
        <f t="shared" si="83"/>
        <v>100</v>
      </c>
    </row>
    <row r="1811" spans="1:20" ht="14.25" x14ac:dyDescent="0.2">
      <c r="A1811" s="435"/>
      <c r="B1811" s="808"/>
      <c r="C1811" s="808"/>
      <c r="D1811" s="578" t="s">
        <v>1267</v>
      </c>
      <c r="E1811" s="474" t="s">
        <v>882</v>
      </c>
      <c r="F1811" s="903"/>
      <c r="G1811" s="903">
        <v>503</v>
      </c>
      <c r="H1811" s="903">
        <v>503</v>
      </c>
      <c r="I1811" s="898">
        <f t="shared" si="83"/>
        <v>100</v>
      </c>
    </row>
    <row r="1812" spans="1:20" ht="15" x14ac:dyDescent="0.25">
      <c r="A1812" s="435">
        <v>1202</v>
      </c>
      <c r="B1812" s="808">
        <v>3147</v>
      </c>
      <c r="C1812" s="1551">
        <v>5331</v>
      </c>
      <c r="D1812" s="912"/>
      <c r="E1812" s="704" t="s">
        <v>1066</v>
      </c>
      <c r="F1812" s="916">
        <v>985</v>
      </c>
      <c r="G1812" s="916">
        <v>985</v>
      </c>
      <c r="H1812" s="916">
        <v>985</v>
      </c>
      <c r="I1812" s="906">
        <f t="shared" si="83"/>
        <v>100</v>
      </c>
    </row>
    <row r="1813" spans="1:20" ht="15" customHeight="1" x14ac:dyDescent="0.2">
      <c r="A1813" s="435"/>
      <c r="B1813" s="808"/>
      <c r="C1813" s="1551"/>
      <c r="D1813" s="578" t="s">
        <v>636</v>
      </c>
      <c r="E1813" s="474" t="s">
        <v>72</v>
      </c>
      <c r="F1813" s="903">
        <v>985</v>
      </c>
      <c r="G1813" s="903">
        <v>985</v>
      </c>
      <c r="H1813" s="903">
        <v>985</v>
      </c>
      <c r="I1813" s="898">
        <f t="shared" si="83"/>
        <v>100</v>
      </c>
    </row>
    <row r="1814" spans="1:20" ht="15" x14ac:dyDescent="0.25">
      <c r="A1814" s="435">
        <v>1202</v>
      </c>
      <c r="B1814" s="808">
        <v>3147</v>
      </c>
      <c r="C1814" s="1551">
        <v>5336</v>
      </c>
      <c r="D1814" s="578"/>
      <c r="E1814" s="1564" t="s">
        <v>1357</v>
      </c>
      <c r="F1814" s="916"/>
      <c r="G1814" s="916">
        <v>3887</v>
      </c>
      <c r="H1814" s="916">
        <v>3887</v>
      </c>
      <c r="I1814" s="906">
        <f t="shared" si="83"/>
        <v>100</v>
      </c>
    </row>
    <row r="1815" spans="1:20" ht="15" thickBot="1" x14ac:dyDescent="0.25">
      <c r="A1815" s="435"/>
      <c r="B1815" s="808"/>
      <c r="C1815" s="1551"/>
      <c r="D1815" s="578" t="s">
        <v>1267</v>
      </c>
      <c r="E1815" s="474" t="s">
        <v>882</v>
      </c>
      <c r="F1815" s="903"/>
      <c r="G1815" s="903">
        <v>3887</v>
      </c>
      <c r="H1815" s="903">
        <v>3887</v>
      </c>
      <c r="I1815" s="898">
        <f>(H1815/G1815)*100</f>
        <v>100</v>
      </c>
    </row>
    <row r="1816" spans="1:20" ht="16.5" thickTop="1" thickBot="1" x14ac:dyDescent="0.3">
      <c r="A1816" s="2739" t="s">
        <v>1246</v>
      </c>
      <c r="B1816" s="2740"/>
      <c r="C1816" s="2740"/>
      <c r="D1816" s="2740"/>
      <c r="E1816" s="2740"/>
      <c r="F1816" s="894">
        <f>F1796+F1806+F1812</f>
        <v>5968</v>
      </c>
      <c r="G1816" s="894">
        <f>G1796+G1802+G1806+G1808+G1810+G1812+G1814</f>
        <v>25477</v>
      </c>
      <c r="H1816" s="894">
        <f>H1796+H1802+H1806+H1808+H1810+H1812+H1814</f>
        <v>25477</v>
      </c>
      <c r="I1816" s="895">
        <f>(H1816/G1816)*100</f>
        <v>100</v>
      </c>
      <c r="R1816" s="385">
        <f>F1816</f>
        <v>5968</v>
      </c>
      <c r="S1816" s="385">
        <f>G1816</f>
        <v>25477</v>
      </c>
      <c r="T1816" s="385">
        <f>H1816</f>
        <v>25477</v>
      </c>
    </row>
    <row r="1817" spans="1:20" ht="12.75" customHeight="1" thickTop="1" x14ac:dyDescent="0.25">
      <c r="A1817" s="370"/>
      <c r="B1817" s="370"/>
      <c r="C1817" s="370"/>
      <c r="D1817" s="370"/>
      <c r="E1817" s="370"/>
      <c r="F1817" s="181"/>
      <c r="G1817" s="181"/>
      <c r="H1817" s="181"/>
      <c r="I1817" s="210"/>
      <c r="R1817" s="385"/>
      <c r="S1817" s="385"/>
      <c r="T1817" s="385"/>
    </row>
    <row r="1818" spans="1:20" ht="13.5" thickBot="1" x14ac:dyDescent="0.25">
      <c r="A1818" s="439" t="s">
        <v>349</v>
      </c>
      <c r="I1818" s="1548" t="s">
        <v>179</v>
      </c>
    </row>
    <row r="1819" spans="1:20" ht="14.25" thickTop="1" thickBot="1" x14ac:dyDescent="0.25">
      <c r="A1819" s="657" t="s">
        <v>692</v>
      </c>
      <c r="B1819" s="835" t="s">
        <v>180</v>
      </c>
      <c r="C1819" s="658" t="s">
        <v>181</v>
      </c>
      <c r="D1819" s="660" t="s">
        <v>783</v>
      </c>
      <c r="E1819" s="660" t="s">
        <v>182</v>
      </c>
      <c r="F1819" s="660" t="s">
        <v>183</v>
      </c>
      <c r="G1819" s="660" t="s">
        <v>985</v>
      </c>
      <c r="H1819" s="660" t="s">
        <v>986</v>
      </c>
      <c r="I1819" s="888" t="s">
        <v>987</v>
      </c>
    </row>
    <row r="1820" spans="1:20" ht="14.25" thickTop="1" thickBot="1" x14ac:dyDescent="0.25">
      <c r="A1820" s="592">
        <v>1</v>
      </c>
      <c r="B1820" s="593">
        <v>2</v>
      </c>
      <c r="C1820" s="593">
        <v>3</v>
      </c>
      <c r="D1820" s="593">
        <v>4</v>
      </c>
      <c r="E1820" s="593">
        <v>5</v>
      </c>
      <c r="F1820" s="567">
        <v>6</v>
      </c>
      <c r="G1820" s="567">
        <v>7</v>
      </c>
      <c r="H1820" s="568">
        <v>8</v>
      </c>
      <c r="I1820" s="662" t="s">
        <v>848</v>
      </c>
    </row>
    <row r="1821" spans="1:20" ht="15.75" thickTop="1" x14ac:dyDescent="0.25">
      <c r="A1821" s="1562">
        <v>1204</v>
      </c>
      <c r="B1821" s="917">
        <v>3122</v>
      </c>
      <c r="C1821" s="917">
        <v>5336</v>
      </c>
      <c r="D1821" s="922"/>
      <c r="E1821" s="1564" t="s">
        <v>1357</v>
      </c>
      <c r="F1821" s="915"/>
      <c r="G1821" s="915">
        <v>11019</v>
      </c>
      <c r="H1821" s="915">
        <v>11019</v>
      </c>
      <c r="I1821" s="919">
        <f>(H1821/G1821)*100</f>
        <v>100</v>
      </c>
    </row>
    <row r="1822" spans="1:20" ht="14.25" x14ac:dyDescent="0.2">
      <c r="A1822" s="435"/>
      <c r="B1822" s="705"/>
      <c r="C1822" s="1550"/>
      <c r="D1822" s="578" t="s">
        <v>1267</v>
      </c>
      <c r="E1822" s="474" t="s">
        <v>882</v>
      </c>
      <c r="F1822" s="897"/>
      <c r="G1822" s="897">
        <v>11019</v>
      </c>
      <c r="H1822" s="897">
        <v>11019</v>
      </c>
      <c r="I1822" s="893">
        <f t="shared" ref="I1822:I1848" si="84">(H1822/G1822)*100</f>
        <v>100</v>
      </c>
    </row>
    <row r="1823" spans="1:20" ht="15" x14ac:dyDescent="0.25">
      <c r="A1823" s="435">
        <v>1204</v>
      </c>
      <c r="B1823" s="808">
        <v>3123</v>
      </c>
      <c r="C1823" s="1551">
        <v>5331</v>
      </c>
      <c r="D1823" s="594"/>
      <c r="E1823" s="704" t="s">
        <v>1066</v>
      </c>
      <c r="F1823" s="916">
        <f>F1824+F1825+F1826+F1827</f>
        <v>10139</v>
      </c>
      <c r="G1823" s="916">
        <f>G1824+G1825+G1826+G1827</f>
        <v>11911</v>
      </c>
      <c r="H1823" s="916">
        <f>H1824+H1825+H1826+H1827</f>
        <v>11911</v>
      </c>
      <c r="I1823" s="906">
        <f t="shared" si="84"/>
        <v>100</v>
      </c>
    </row>
    <row r="1824" spans="1:20" ht="14.25" x14ac:dyDescent="0.2">
      <c r="A1824" s="435"/>
      <c r="B1824" s="808"/>
      <c r="C1824" s="1551"/>
      <c r="D1824" s="743" t="s">
        <v>641</v>
      </c>
      <c r="E1824" s="1679" t="s">
        <v>883</v>
      </c>
      <c r="F1824" s="903">
        <v>2965</v>
      </c>
      <c r="G1824" s="903">
        <v>3050</v>
      </c>
      <c r="H1824" s="903">
        <v>3050</v>
      </c>
      <c r="I1824" s="898">
        <f t="shared" si="84"/>
        <v>100</v>
      </c>
    </row>
    <row r="1825" spans="1:9" ht="14.25" x14ac:dyDescent="0.2">
      <c r="A1825" s="435"/>
      <c r="B1825" s="808"/>
      <c r="C1825" s="1551"/>
      <c r="D1825" s="578" t="s">
        <v>636</v>
      </c>
      <c r="E1825" s="474" t="s">
        <v>72</v>
      </c>
      <c r="F1825" s="903">
        <v>7174</v>
      </c>
      <c r="G1825" s="903">
        <v>7174</v>
      </c>
      <c r="H1825" s="903">
        <v>7174</v>
      </c>
      <c r="I1825" s="898">
        <f t="shared" si="84"/>
        <v>100</v>
      </c>
    </row>
    <row r="1826" spans="1:9" ht="14.25" x14ac:dyDescent="0.2">
      <c r="A1826" s="435"/>
      <c r="B1826" s="808"/>
      <c r="C1826" s="1551"/>
      <c r="D1826" s="1179" t="s">
        <v>1038</v>
      </c>
      <c r="E1826" s="1275" t="s">
        <v>1363</v>
      </c>
      <c r="F1826" s="903"/>
      <c r="G1826" s="903">
        <v>687</v>
      </c>
      <c r="H1826" s="903">
        <v>687</v>
      </c>
      <c r="I1826" s="898">
        <f t="shared" si="84"/>
        <v>100</v>
      </c>
    </row>
    <row r="1827" spans="1:9" ht="14.25" x14ac:dyDescent="0.2">
      <c r="A1827" s="435"/>
      <c r="B1827" s="808"/>
      <c r="C1827" s="1551"/>
      <c r="D1827" s="1179" t="s">
        <v>1536</v>
      </c>
      <c r="E1827" s="1702" t="s">
        <v>1537</v>
      </c>
      <c r="F1827" s="903"/>
      <c r="G1827" s="903">
        <v>1000</v>
      </c>
      <c r="H1827" s="903">
        <v>1000</v>
      </c>
      <c r="I1827" s="898">
        <f t="shared" si="84"/>
        <v>100</v>
      </c>
    </row>
    <row r="1828" spans="1:9" ht="15" x14ac:dyDescent="0.25">
      <c r="A1828" s="435">
        <v>1204</v>
      </c>
      <c r="B1828" s="808">
        <v>3123</v>
      </c>
      <c r="C1828" s="1551">
        <v>5336</v>
      </c>
      <c r="D1828" s="2536"/>
      <c r="E1828" s="1564" t="s">
        <v>1357</v>
      </c>
      <c r="F1828" s="903"/>
      <c r="G1828" s="916">
        <f>G1829+G1830+G1831+G1832</f>
        <v>32097</v>
      </c>
      <c r="H1828" s="916">
        <f>H1829+H1830+H1831+H1832</f>
        <v>32097</v>
      </c>
      <c r="I1828" s="908">
        <f t="shared" si="84"/>
        <v>100</v>
      </c>
    </row>
    <row r="1829" spans="1:9" ht="14.25" x14ac:dyDescent="0.2">
      <c r="A1829" s="435"/>
      <c r="B1829" s="808"/>
      <c r="C1829" s="1551"/>
      <c r="D1829" s="578" t="s">
        <v>1267</v>
      </c>
      <c r="E1829" s="474" t="s">
        <v>882</v>
      </c>
      <c r="F1829" s="903"/>
      <c r="G1829" s="903">
        <v>30509</v>
      </c>
      <c r="H1829" s="903">
        <v>30509</v>
      </c>
      <c r="I1829" s="898">
        <f t="shared" si="84"/>
        <v>100</v>
      </c>
    </row>
    <row r="1830" spans="1:9" ht="14.25" x14ac:dyDescent="0.2">
      <c r="A1830" s="435"/>
      <c r="B1830" s="808"/>
      <c r="C1830" s="1551"/>
      <c r="D1830" s="1179" t="s">
        <v>1720</v>
      </c>
      <c r="E1830" s="2585" t="s">
        <v>1743</v>
      </c>
      <c r="F1830" s="903"/>
      <c r="G1830" s="903">
        <v>65</v>
      </c>
      <c r="H1830" s="903">
        <v>65</v>
      </c>
      <c r="I1830" s="898">
        <f t="shared" si="84"/>
        <v>100</v>
      </c>
    </row>
    <row r="1831" spans="1:9" ht="14.25" x14ac:dyDescent="0.2">
      <c r="A1831" s="435"/>
      <c r="B1831" s="808"/>
      <c r="C1831" s="1551"/>
      <c r="D1831" s="1569" t="s">
        <v>1771</v>
      </c>
      <c r="E1831" s="1561" t="s">
        <v>1908</v>
      </c>
      <c r="F1831" s="903"/>
      <c r="G1831" s="903">
        <v>228</v>
      </c>
      <c r="H1831" s="903">
        <v>228</v>
      </c>
      <c r="I1831" s="898">
        <f t="shared" si="84"/>
        <v>100</v>
      </c>
    </row>
    <row r="1832" spans="1:9" ht="14.25" x14ac:dyDescent="0.2">
      <c r="A1832" s="435"/>
      <c r="B1832" s="808"/>
      <c r="C1832" s="1551"/>
      <c r="D1832" s="1569" t="s">
        <v>1773</v>
      </c>
      <c r="E1832" s="1561" t="s">
        <v>1908</v>
      </c>
      <c r="F1832" s="903"/>
      <c r="G1832" s="903">
        <v>1295</v>
      </c>
      <c r="H1832" s="903">
        <v>1295</v>
      </c>
      <c r="I1832" s="898">
        <f t="shared" si="84"/>
        <v>100</v>
      </c>
    </row>
    <row r="1833" spans="1:9" ht="15" x14ac:dyDescent="0.25">
      <c r="A1833" s="435">
        <v>1204</v>
      </c>
      <c r="B1833" s="808">
        <v>3124</v>
      </c>
      <c r="C1833" s="808">
        <v>5331</v>
      </c>
      <c r="D1833" s="929"/>
      <c r="E1833" s="704" t="s">
        <v>1066</v>
      </c>
      <c r="F1833" s="905"/>
      <c r="G1833" s="905">
        <v>74</v>
      </c>
      <c r="H1833" s="905">
        <v>74</v>
      </c>
      <c r="I1833" s="906">
        <f t="shared" si="84"/>
        <v>100</v>
      </c>
    </row>
    <row r="1834" spans="1:9" ht="14.25" x14ac:dyDescent="0.2">
      <c r="A1834" s="435"/>
      <c r="B1834" s="808"/>
      <c r="C1834" s="1551"/>
      <c r="D1834" s="1179" t="s">
        <v>1038</v>
      </c>
      <c r="E1834" s="1275" t="s">
        <v>1363</v>
      </c>
      <c r="F1834" s="903"/>
      <c r="G1834" s="907">
        <v>74</v>
      </c>
      <c r="H1834" s="907">
        <v>74</v>
      </c>
      <c r="I1834" s="378">
        <f t="shared" si="84"/>
        <v>100</v>
      </c>
    </row>
    <row r="1835" spans="1:9" ht="15" x14ac:dyDescent="0.25">
      <c r="A1835" s="435">
        <v>1204</v>
      </c>
      <c r="B1835" s="808">
        <v>3124</v>
      </c>
      <c r="C1835" s="1551">
        <v>5336</v>
      </c>
      <c r="D1835" s="1179"/>
      <c r="E1835" s="1564" t="s">
        <v>1357</v>
      </c>
      <c r="F1835" s="903"/>
      <c r="G1835" s="916">
        <v>1506</v>
      </c>
      <c r="H1835" s="916">
        <v>1506</v>
      </c>
      <c r="I1835" s="908">
        <f t="shared" si="84"/>
        <v>100</v>
      </c>
    </row>
    <row r="1836" spans="1:9" ht="14.25" x14ac:dyDescent="0.2">
      <c r="A1836" s="435"/>
      <c r="B1836" s="808"/>
      <c r="C1836" s="1551"/>
      <c r="D1836" s="578" t="s">
        <v>1267</v>
      </c>
      <c r="E1836" s="474" t="s">
        <v>882</v>
      </c>
      <c r="F1836" s="903"/>
      <c r="G1836" s="903">
        <v>1506</v>
      </c>
      <c r="H1836" s="903">
        <v>1506</v>
      </c>
      <c r="I1836" s="898">
        <f t="shared" si="84"/>
        <v>100</v>
      </c>
    </row>
    <row r="1837" spans="1:9" ht="15" x14ac:dyDescent="0.25">
      <c r="A1837" s="435">
        <v>1204</v>
      </c>
      <c r="B1837" s="808">
        <v>3141</v>
      </c>
      <c r="C1837" s="1551">
        <v>5336</v>
      </c>
      <c r="D1837" s="594"/>
      <c r="E1837" s="1564" t="s">
        <v>1357</v>
      </c>
      <c r="F1837" s="916"/>
      <c r="G1837" s="916">
        <v>83</v>
      </c>
      <c r="H1837" s="916">
        <v>83</v>
      </c>
      <c r="I1837" s="908">
        <f t="shared" si="84"/>
        <v>100</v>
      </c>
    </row>
    <row r="1838" spans="1:9" ht="14.25" x14ac:dyDescent="0.2">
      <c r="A1838" s="435"/>
      <c r="B1838" s="808"/>
      <c r="C1838" s="1551"/>
      <c r="D1838" s="578" t="s">
        <v>1267</v>
      </c>
      <c r="E1838" s="474" t="s">
        <v>882</v>
      </c>
      <c r="F1838" s="903"/>
      <c r="G1838" s="903">
        <v>83</v>
      </c>
      <c r="H1838" s="903">
        <v>83</v>
      </c>
      <c r="I1838" s="898">
        <f t="shared" si="84"/>
        <v>100</v>
      </c>
    </row>
    <row r="1839" spans="1:9" ht="15" x14ac:dyDescent="0.25">
      <c r="A1839" s="435">
        <v>1204</v>
      </c>
      <c r="B1839" s="808">
        <v>3142</v>
      </c>
      <c r="C1839" s="808">
        <v>5331</v>
      </c>
      <c r="D1839" s="929"/>
      <c r="E1839" s="704" t="s">
        <v>1066</v>
      </c>
      <c r="F1839" s="905">
        <f>SUM(F1840:F1840)</f>
        <v>400</v>
      </c>
      <c r="G1839" s="905">
        <v>400</v>
      </c>
      <c r="H1839" s="905">
        <v>400</v>
      </c>
      <c r="I1839" s="906">
        <f t="shared" si="84"/>
        <v>100</v>
      </c>
    </row>
    <row r="1840" spans="1:9" ht="14.25" x14ac:dyDescent="0.2">
      <c r="A1840" s="435"/>
      <c r="B1840" s="808"/>
      <c r="C1840" s="808"/>
      <c r="D1840" s="578" t="s">
        <v>636</v>
      </c>
      <c r="E1840" s="474" t="s">
        <v>72</v>
      </c>
      <c r="F1840" s="903">
        <v>400</v>
      </c>
      <c r="G1840" s="903">
        <v>400</v>
      </c>
      <c r="H1840" s="903">
        <v>400</v>
      </c>
      <c r="I1840" s="898">
        <f t="shared" si="84"/>
        <v>100</v>
      </c>
    </row>
    <row r="1841" spans="1:27" ht="15" x14ac:dyDescent="0.25">
      <c r="A1841" s="435">
        <v>1204</v>
      </c>
      <c r="B1841" s="808">
        <v>3142</v>
      </c>
      <c r="C1841" s="808">
        <v>5336</v>
      </c>
      <c r="D1841" s="578"/>
      <c r="E1841" s="1564" t="s">
        <v>1357</v>
      </c>
      <c r="F1841" s="903"/>
      <c r="G1841" s="916">
        <v>1525</v>
      </c>
      <c r="H1841" s="916">
        <v>1525</v>
      </c>
      <c r="I1841" s="908">
        <f t="shared" si="84"/>
        <v>100</v>
      </c>
    </row>
    <row r="1842" spans="1:27" ht="14.25" x14ac:dyDescent="0.2">
      <c r="A1842" s="435"/>
      <c r="B1842" s="808"/>
      <c r="C1842" s="1551"/>
      <c r="D1842" s="578" t="s">
        <v>1267</v>
      </c>
      <c r="E1842" s="474" t="s">
        <v>882</v>
      </c>
      <c r="F1842" s="903"/>
      <c r="G1842" s="903">
        <v>1525</v>
      </c>
      <c r="H1842" s="903">
        <v>1525</v>
      </c>
      <c r="I1842" s="898">
        <f t="shared" si="84"/>
        <v>100</v>
      </c>
    </row>
    <row r="1843" spans="1:27" ht="15" x14ac:dyDescent="0.25">
      <c r="A1843" s="435">
        <v>1204</v>
      </c>
      <c r="B1843" s="705">
        <v>3147</v>
      </c>
      <c r="C1843" s="808">
        <v>5331</v>
      </c>
      <c r="D1843" s="889"/>
      <c r="E1843" s="854" t="s">
        <v>1066</v>
      </c>
      <c r="F1843" s="890">
        <v>480</v>
      </c>
      <c r="G1843" s="890">
        <v>480</v>
      </c>
      <c r="H1843" s="890">
        <v>480</v>
      </c>
      <c r="I1843" s="891">
        <f t="shared" si="84"/>
        <v>100</v>
      </c>
    </row>
    <row r="1844" spans="1:27" ht="14.25" x14ac:dyDescent="0.2">
      <c r="A1844" s="435"/>
      <c r="B1844" s="705"/>
      <c r="C1844" s="705"/>
      <c r="D1844" s="578" t="s">
        <v>636</v>
      </c>
      <c r="E1844" s="474" t="s">
        <v>72</v>
      </c>
      <c r="F1844" s="897">
        <v>480</v>
      </c>
      <c r="G1844" s="897">
        <v>480</v>
      </c>
      <c r="H1844" s="897">
        <v>480</v>
      </c>
      <c r="I1844" s="893">
        <f t="shared" si="84"/>
        <v>100</v>
      </c>
    </row>
    <row r="1845" spans="1:27" ht="15" x14ac:dyDescent="0.25">
      <c r="A1845" s="435">
        <v>1204</v>
      </c>
      <c r="B1845" s="705">
        <v>3147</v>
      </c>
      <c r="C1845" s="705">
        <v>5336</v>
      </c>
      <c r="D1845" s="578"/>
      <c r="E1845" s="1564" t="s">
        <v>1357</v>
      </c>
      <c r="F1845" s="897"/>
      <c r="G1845" s="921">
        <v>3839</v>
      </c>
      <c r="H1845" s="921">
        <v>3839</v>
      </c>
      <c r="I1845" s="923">
        <f t="shared" si="84"/>
        <v>100</v>
      </c>
    </row>
    <row r="1846" spans="1:27" ht="14.25" x14ac:dyDescent="0.2">
      <c r="A1846" s="435"/>
      <c r="B1846" s="705"/>
      <c r="C1846" s="1550"/>
      <c r="D1846" s="578" t="s">
        <v>1267</v>
      </c>
      <c r="E1846" s="474" t="s">
        <v>882</v>
      </c>
      <c r="F1846" s="897"/>
      <c r="G1846" s="897">
        <v>3839</v>
      </c>
      <c r="H1846" s="897">
        <v>3839</v>
      </c>
      <c r="I1846" s="893">
        <f t="shared" si="84"/>
        <v>100</v>
      </c>
    </row>
    <row r="1847" spans="1:27" ht="15" x14ac:dyDescent="0.25">
      <c r="A1847" s="435">
        <v>1204</v>
      </c>
      <c r="B1847" s="705">
        <v>3293</v>
      </c>
      <c r="C1847" s="1550">
        <v>5331</v>
      </c>
      <c r="D1847" s="944"/>
      <c r="E1847" s="854" t="s">
        <v>1066</v>
      </c>
      <c r="F1847" s="905"/>
      <c r="G1847" s="890">
        <v>14</v>
      </c>
      <c r="H1847" s="890">
        <v>14</v>
      </c>
      <c r="I1847" s="891">
        <f t="shared" si="84"/>
        <v>100</v>
      </c>
      <c r="R1847" s="385"/>
      <c r="S1847" s="385"/>
      <c r="T1847" s="385"/>
    </row>
    <row r="1848" spans="1:27" ht="15.75" thickBot="1" x14ac:dyDescent="0.3">
      <c r="A1848" s="435"/>
      <c r="B1848" s="705"/>
      <c r="C1848" s="1550"/>
      <c r="D1848" s="805" t="s">
        <v>1270</v>
      </c>
      <c r="E1848" s="1694" t="s">
        <v>62</v>
      </c>
      <c r="F1848" s="905"/>
      <c r="G1848" s="897">
        <v>14</v>
      </c>
      <c r="H1848" s="897">
        <v>14</v>
      </c>
      <c r="I1848" s="893">
        <f t="shared" si="84"/>
        <v>100</v>
      </c>
      <c r="R1848" s="385"/>
      <c r="S1848" s="385"/>
      <c r="T1848" s="385"/>
    </row>
    <row r="1849" spans="1:27" ht="16.5" thickTop="1" thickBot="1" x14ac:dyDescent="0.3">
      <c r="A1849" s="2739" t="s">
        <v>1246</v>
      </c>
      <c r="B1849" s="2740"/>
      <c r="C1849" s="2740"/>
      <c r="D1849" s="2740"/>
      <c r="E1849" s="2740"/>
      <c r="F1849" s="894">
        <f>F1823+F1839+F1843</f>
        <v>11019</v>
      </c>
      <c r="G1849" s="894">
        <f>G1821+G1823+G1828+G1833+G1835+G1837+G1839+G1841+G1843+G1845+G1847</f>
        <v>62948</v>
      </c>
      <c r="H1849" s="894">
        <f>H1821+H1823+H1828+H1833+H1835+H1837+H1839+H1841+H1843+H1845+H1847</f>
        <v>62948</v>
      </c>
      <c r="I1849" s="895">
        <f>(H1849/G1849)*100</f>
        <v>100</v>
      </c>
      <c r="J1849" s="385">
        <f>F1849</f>
        <v>11019</v>
      </c>
      <c r="K1849" s="385" t="e">
        <f>G1849+#REF!</f>
        <v>#REF!</v>
      </c>
      <c r="L1849" s="385" t="e">
        <f>H1849+#REF!</f>
        <v>#REF!</v>
      </c>
      <c r="R1849" s="385">
        <f>F1849</f>
        <v>11019</v>
      </c>
      <c r="S1849" s="385">
        <f>G1849</f>
        <v>62948</v>
      </c>
      <c r="T1849" s="385">
        <f>H1849</f>
        <v>62948</v>
      </c>
      <c r="U1849" s="385"/>
      <c r="V1849" s="385"/>
      <c r="W1849" s="385"/>
      <c r="Y1849" s="385"/>
      <c r="Z1849" s="385"/>
      <c r="AA1849" s="385"/>
    </row>
    <row r="1850" spans="1:27" s="107" customFormat="1" ht="13.5" thickTop="1" x14ac:dyDescent="0.2">
      <c r="A1850" s="384"/>
      <c r="B1850" s="669"/>
      <c r="C1850" s="384"/>
      <c r="D1850" s="884"/>
      <c r="E1850" s="384"/>
      <c r="F1850" s="385"/>
      <c r="G1850" s="385"/>
      <c r="H1850" s="385"/>
      <c r="I1850" s="1548"/>
    </row>
    <row r="1851" spans="1:27" ht="13.5" thickBot="1" x14ac:dyDescent="0.25">
      <c r="A1851" s="439" t="s">
        <v>350</v>
      </c>
      <c r="I1851" s="1548" t="s">
        <v>179</v>
      </c>
    </row>
    <row r="1852" spans="1:27" ht="14.25" thickTop="1" thickBot="1" x14ac:dyDescent="0.25">
      <c r="A1852" s="657" t="s">
        <v>692</v>
      </c>
      <c r="B1852" s="835" t="s">
        <v>180</v>
      </c>
      <c r="C1852" s="658" t="s">
        <v>181</v>
      </c>
      <c r="D1852" s="660" t="s">
        <v>783</v>
      </c>
      <c r="E1852" s="660" t="s">
        <v>182</v>
      </c>
      <c r="F1852" s="660" t="s">
        <v>183</v>
      </c>
      <c r="G1852" s="660" t="s">
        <v>985</v>
      </c>
      <c r="H1852" s="660" t="s">
        <v>986</v>
      </c>
      <c r="I1852" s="888" t="s">
        <v>987</v>
      </c>
    </row>
    <row r="1853" spans="1:27" ht="14.25" thickTop="1" thickBot="1" x14ac:dyDescent="0.25">
      <c r="A1853" s="592">
        <v>1</v>
      </c>
      <c r="B1853" s="593">
        <v>2</v>
      </c>
      <c r="C1853" s="593">
        <v>3</v>
      </c>
      <c r="D1853" s="593">
        <v>4</v>
      </c>
      <c r="E1853" s="593">
        <v>5</v>
      </c>
      <c r="F1853" s="567">
        <v>6</v>
      </c>
      <c r="G1853" s="567">
        <v>7</v>
      </c>
      <c r="H1853" s="568">
        <v>8</v>
      </c>
      <c r="I1853" s="662" t="s">
        <v>848</v>
      </c>
    </row>
    <row r="1854" spans="1:27" ht="15.75" thickTop="1" x14ac:dyDescent="0.25">
      <c r="A1854" s="1562">
        <v>1205</v>
      </c>
      <c r="B1854" s="917">
        <v>3122</v>
      </c>
      <c r="C1854" s="917">
        <v>5331</v>
      </c>
      <c r="D1854" s="922"/>
      <c r="E1854" s="956" t="s">
        <v>1066</v>
      </c>
      <c r="F1854" s="915"/>
      <c r="G1854" s="915">
        <v>2435</v>
      </c>
      <c r="H1854" s="915">
        <v>2435</v>
      </c>
      <c r="I1854" s="919">
        <f t="shared" ref="I1854:I1871" si="85">(H1854/G1854)*100</f>
        <v>100</v>
      </c>
    </row>
    <row r="1855" spans="1:27" ht="15" x14ac:dyDescent="0.25">
      <c r="A1855" s="435"/>
      <c r="B1855" s="705"/>
      <c r="C1855" s="705"/>
      <c r="D1855" s="578" t="s">
        <v>1267</v>
      </c>
      <c r="E1855" s="474" t="s">
        <v>882</v>
      </c>
      <c r="F1855" s="890"/>
      <c r="G1855" s="897">
        <v>2435</v>
      </c>
      <c r="H1855" s="897">
        <v>2435</v>
      </c>
      <c r="I1855" s="893">
        <f t="shared" si="85"/>
        <v>100</v>
      </c>
    </row>
    <row r="1856" spans="1:27" ht="18" customHeight="1" x14ac:dyDescent="0.25">
      <c r="A1856" s="435">
        <v>1205</v>
      </c>
      <c r="B1856" s="808">
        <v>3123</v>
      </c>
      <c r="C1856" s="808">
        <v>5331</v>
      </c>
      <c r="D1856" s="929"/>
      <c r="E1856" s="704" t="s">
        <v>1066</v>
      </c>
      <c r="F1856" s="905">
        <f>F1857+F1858</f>
        <v>4530</v>
      </c>
      <c r="G1856" s="905">
        <f>G1857+G1858</f>
        <v>5041</v>
      </c>
      <c r="H1856" s="905">
        <f>H1857+H1858</f>
        <v>5041</v>
      </c>
      <c r="I1856" s="923">
        <f t="shared" si="85"/>
        <v>100</v>
      </c>
    </row>
    <row r="1857" spans="1:9" ht="15.75" customHeight="1" x14ac:dyDescent="0.2">
      <c r="A1857" s="435"/>
      <c r="B1857" s="808"/>
      <c r="C1857" s="808"/>
      <c r="D1857" s="743" t="s">
        <v>641</v>
      </c>
      <c r="E1857" s="1679" t="s">
        <v>883</v>
      </c>
      <c r="F1857" s="907">
        <v>487</v>
      </c>
      <c r="G1857" s="903">
        <v>998</v>
      </c>
      <c r="H1857" s="903">
        <v>998</v>
      </c>
      <c r="I1857" s="893">
        <f t="shared" si="85"/>
        <v>100</v>
      </c>
    </row>
    <row r="1858" spans="1:9" ht="15.75" customHeight="1" x14ac:dyDescent="0.2">
      <c r="A1858" s="435"/>
      <c r="B1858" s="808"/>
      <c r="C1858" s="808"/>
      <c r="D1858" s="578" t="s">
        <v>636</v>
      </c>
      <c r="E1858" s="474" t="s">
        <v>72</v>
      </c>
      <c r="F1858" s="907">
        <v>4043</v>
      </c>
      <c r="G1858" s="903">
        <v>4043</v>
      </c>
      <c r="H1858" s="903">
        <v>4043</v>
      </c>
      <c r="I1858" s="893">
        <f t="shared" si="85"/>
        <v>100</v>
      </c>
    </row>
    <row r="1859" spans="1:9" ht="15" x14ac:dyDescent="0.25">
      <c r="A1859" s="435">
        <v>1205</v>
      </c>
      <c r="B1859" s="808">
        <v>3123</v>
      </c>
      <c r="C1859" s="808">
        <v>5336</v>
      </c>
      <c r="D1859" s="578"/>
      <c r="E1859" s="1564" t="s">
        <v>1357</v>
      </c>
      <c r="F1859" s="907"/>
      <c r="G1859" s="916">
        <f>G1860+G1861+G1862</f>
        <v>14539</v>
      </c>
      <c r="H1859" s="916">
        <f>H1860+H1861+H1862</f>
        <v>14539</v>
      </c>
      <c r="I1859" s="923">
        <f t="shared" si="85"/>
        <v>100</v>
      </c>
    </row>
    <row r="1860" spans="1:9" ht="16.5" customHeight="1" x14ac:dyDescent="0.25">
      <c r="A1860" s="435"/>
      <c r="B1860" s="808"/>
      <c r="C1860" s="808"/>
      <c r="D1860" s="578" t="s">
        <v>1267</v>
      </c>
      <c r="E1860" s="474" t="s">
        <v>882</v>
      </c>
      <c r="F1860" s="905"/>
      <c r="G1860" s="903">
        <v>13957</v>
      </c>
      <c r="H1860" s="903">
        <v>13957</v>
      </c>
      <c r="I1860" s="893">
        <f t="shared" si="85"/>
        <v>100</v>
      </c>
    </row>
    <row r="1861" spans="1:9" ht="15" x14ac:dyDescent="0.25">
      <c r="A1861" s="435"/>
      <c r="B1861" s="808"/>
      <c r="C1861" s="808"/>
      <c r="D1861" s="1569" t="s">
        <v>1771</v>
      </c>
      <c r="E1861" s="1561" t="s">
        <v>1908</v>
      </c>
      <c r="F1861" s="905"/>
      <c r="G1861" s="903">
        <v>87</v>
      </c>
      <c r="H1861" s="903">
        <v>87</v>
      </c>
      <c r="I1861" s="898">
        <f t="shared" si="85"/>
        <v>100</v>
      </c>
    </row>
    <row r="1862" spans="1:9" ht="15.75" thickBot="1" x14ac:dyDescent="0.3">
      <c r="A1862" s="435"/>
      <c r="B1862" s="808"/>
      <c r="C1862" s="808"/>
      <c r="D1862" s="1569" t="s">
        <v>1773</v>
      </c>
      <c r="E1862" s="1561" t="s">
        <v>1908</v>
      </c>
      <c r="F1862" s="905"/>
      <c r="G1862" s="903">
        <v>495</v>
      </c>
      <c r="H1862" s="903">
        <v>495</v>
      </c>
      <c r="I1862" s="898">
        <f t="shared" si="85"/>
        <v>100</v>
      </c>
    </row>
    <row r="1863" spans="1:9" ht="15.75" thickTop="1" x14ac:dyDescent="0.25">
      <c r="A1863" s="1716"/>
      <c r="B1863" s="680"/>
      <c r="C1863" s="680"/>
      <c r="D1863" s="2603"/>
      <c r="E1863" s="2604"/>
      <c r="F1863" s="1044"/>
      <c r="G1863" s="1718"/>
      <c r="H1863" s="1718"/>
      <c r="I1863" s="1719"/>
    </row>
    <row r="1864" spans="1:9" ht="15.75" thickBot="1" x14ac:dyDescent="0.3">
      <c r="A1864" s="2594"/>
      <c r="B1864" s="807"/>
      <c r="C1864" s="807"/>
      <c r="D1864" s="2605"/>
      <c r="E1864" s="2606"/>
      <c r="F1864" s="2078"/>
      <c r="G1864" s="2597"/>
      <c r="H1864" s="2597"/>
      <c r="I1864" s="2601" t="s">
        <v>1379</v>
      </c>
    </row>
    <row r="1865" spans="1:9" ht="14.25" thickTop="1" thickBot="1" x14ac:dyDescent="0.25">
      <c r="A1865" s="657" t="s">
        <v>692</v>
      </c>
      <c r="B1865" s="835" t="s">
        <v>180</v>
      </c>
      <c r="C1865" s="658" t="s">
        <v>181</v>
      </c>
      <c r="D1865" s="660" t="s">
        <v>783</v>
      </c>
      <c r="E1865" s="660" t="s">
        <v>182</v>
      </c>
      <c r="F1865" s="660" t="s">
        <v>183</v>
      </c>
      <c r="G1865" s="660" t="s">
        <v>985</v>
      </c>
      <c r="H1865" s="660" t="s">
        <v>986</v>
      </c>
      <c r="I1865" s="888" t="s">
        <v>987</v>
      </c>
    </row>
    <row r="1866" spans="1:9" ht="14.25" thickTop="1" thickBot="1" x14ac:dyDescent="0.25">
      <c r="A1866" s="592">
        <v>1</v>
      </c>
      <c r="B1866" s="593">
        <v>2</v>
      </c>
      <c r="C1866" s="593">
        <v>3</v>
      </c>
      <c r="D1866" s="593">
        <v>4</v>
      </c>
      <c r="E1866" s="593">
        <v>5</v>
      </c>
      <c r="F1866" s="567">
        <v>6</v>
      </c>
      <c r="G1866" s="567">
        <v>7</v>
      </c>
      <c r="H1866" s="568">
        <v>8</v>
      </c>
      <c r="I1866" s="662" t="s">
        <v>848</v>
      </c>
    </row>
    <row r="1867" spans="1:9" ht="15.75" thickTop="1" x14ac:dyDescent="0.25">
      <c r="A1867" s="435">
        <v>1205</v>
      </c>
      <c r="B1867" s="808">
        <v>3142</v>
      </c>
      <c r="C1867" s="808">
        <v>5331</v>
      </c>
      <c r="D1867" s="929"/>
      <c r="E1867" s="704" t="s">
        <v>1066</v>
      </c>
      <c r="F1867" s="905">
        <v>300</v>
      </c>
      <c r="G1867" s="905">
        <v>300</v>
      </c>
      <c r="H1867" s="905">
        <v>300</v>
      </c>
      <c r="I1867" s="906">
        <f t="shared" si="85"/>
        <v>100</v>
      </c>
    </row>
    <row r="1868" spans="1:9" ht="14.25" x14ac:dyDescent="0.2">
      <c r="A1868" s="435"/>
      <c r="B1868" s="808"/>
      <c r="C1868" s="808"/>
      <c r="D1868" s="578" t="s">
        <v>636</v>
      </c>
      <c r="E1868" s="474" t="s">
        <v>72</v>
      </c>
      <c r="F1868" s="903">
        <v>300</v>
      </c>
      <c r="G1868" s="903">
        <v>300</v>
      </c>
      <c r="H1868" s="903">
        <v>300</v>
      </c>
      <c r="I1868" s="898">
        <f t="shared" si="85"/>
        <v>100</v>
      </c>
    </row>
    <row r="1869" spans="1:9" ht="15" x14ac:dyDescent="0.25">
      <c r="A1869" s="435">
        <v>1205</v>
      </c>
      <c r="B1869" s="808">
        <v>3142</v>
      </c>
      <c r="C1869" s="808">
        <v>5336</v>
      </c>
      <c r="D1869" s="578"/>
      <c r="E1869" s="1564" t="s">
        <v>1357</v>
      </c>
      <c r="F1869" s="903"/>
      <c r="G1869" s="916">
        <v>67</v>
      </c>
      <c r="H1869" s="916">
        <v>67</v>
      </c>
      <c r="I1869" s="908">
        <f t="shared" si="85"/>
        <v>100</v>
      </c>
    </row>
    <row r="1870" spans="1:9" ht="14.25" x14ac:dyDescent="0.2">
      <c r="A1870" s="435"/>
      <c r="B1870" s="808"/>
      <c r="C1870" s="1551"/>
      <c r="D1870" s="578" t="s">
        <v>1267</v>
      </c>
      <c r="E1870" s="474" t="s">
        <v>882</v>
      </c>
      <c r="F1870" s="903"/>
      <c r="G1870" s="903">
        <v>67</v>
      </c>
      <c r="H1870" s="903">
        <v>67</v>
      </c>
      <c r="I1870" s="898">
        <f t="shared" si="85"/>
        <v>100</v>
      </c>
    </row>
    <row r="1871" spans="1:9" ht="15" x14ac:dyDescent="0.25">
      <c r="A1871" s="435">
        <v>1205</v>
      </c>
      <c r="B1871" s="705">
        <v>3293</v>
      </c>
      <c r="C1871" s="1551">
        <v>5331</v>
      </c>
      <c r="D1871" s="899"/>
      <c r="E1871" s="854" t="s">
        <v>1066</v>
      </c>
      <c r="F1871" s="890"/>
      <c r="G1871" s="905">
        <v>4</v>
      </c>
      <c r="H1871" s="890">
        <v>4</v>
      </c>
      <c r="I1871" s="891">
        <f t="shared" si="85"/>
        <v>100</v>
      </c>
    </row>
    <row r="1872" spans="1:9" ht="15" thickBot="1" x14ac:dyDescent="0.25">
      <c r="A1872" s="435"/>
      <c r="B1872" s="705"/>
      <c r="C1872" s="1550"/>
      <c r="D1872" s="805" t="s">
        <v>1270</v>
      </c>
      <c r="E1872" s="1694" t="s">
        <v>62</v>
      </c>
      <c r="F1872" s="897"/>
      <c r="G1872" s="897">
        <v>4</v>
      </c>
      <c r="H1872" s="897">
        <v>4</v>
      </c>
      <c r="I1872" s="893">
        <v>100</v>
      </c>
    </row>
    <row r="1873" spans="1:27" ht="16.5" thickTop="1" thickBot="1" x14ac:dyDescent="0.3">
      <c r="A1873" s="2739" t="s">
        <v>1246</v>
      </c>
      <c r="B1873" s="2740"/>
      <c r="C1873" s="2740"/>
      <c r="D1873" s="2740"/>
      <c r="E1873" s="2740"/>
      <c r="F1873" s="894">
        <f>F1856+F1867</f>
        <v>4830</v>
      </c>
      <c r="G1873" s="894">
        <f>G1854+G1856+G1859+G1867+G1869+G1871</f>
        <v>22386</v>
      </c>
      <c r="H1873" s="894">
        <f>H1854+H1856+H1859+H1867+H1869+H1871</f>
        <v>22386</v>
      </c>
      <c r="I1873" s="895">
        <f>(H1873/G1873)*100</f>
        <v>100</v>
      </c>
      <c r="J1873" s="385">
        <f>F1873</f>
        <v>4830</v>
      </c>
      <c r="K1873" s="385" t="e">
        <f>G1873+#REF!</f>
        <v>#REF!</v>
      </c>
      <c r="L1873" s="385" t="e">
        <f>H1873+#REF!</f>
        <v>#REF!</v>
      </c>
      <c r="R1873" s="385">
        <f>F1873</f>
        <v>4830</v>
      </c>
      <c r="S1873" s="385">
        <f>G1873</f>
        <v>22386</v>
      </c>
      <c r="T1873" s="385">
        <f>H1873</f>
        <v>22386</v>
      </c>
      <c r="U1873" s="385"/>
      <c r="V1873" s="385"/>
      <c r="W1873" s="385"/>
      <c r="Y1873" s="385"/>
      <c r="Z1873" s="385"/>
      <c r="AA1873" s="385"/>
    </row>
    <row r="1874" spans="1:27" s="386" customFormat="1" ht="13.5" thickTop="1" x14ac:dyDescent="0.2">
      <c r="A1874" s="384"/>
      <c r="B1874" s="669"/>
      <c r="C1874" s="384"/>
      <c r="D1874" s="884"/>
      <c r="E1874" s="384"/>
      <c r="F1874" s="385"/>
      <c r="G1874" s="385"/>
      <c r="H1874" s="385"/>
      <c r="I1874" s="1548"/>
    </row>
    <row r="1875" spans="1:27" ht="13.5" thickBot="1" x14ac:dyDescent="0.25">
      <c r="A1875" s="439" t="s">
        <v>351</v>
      </c>
      <c r="I1875" s="1548" t="s">
        <v>179</v>
      </c>
    </row>
    <row r="1876" spans="1:27" ht="14.25" thickTop="1" thickBot="1" x14ac:dyDescent="0.25">
      <c r="A1876" s="657" t="s">
        <v>692</v>
      </c>
      <c r="B1876" s="835" t="s">
        <v>180</v>
      </c>
      <c r="C1876" s="658" t="s">
        <v>181</v>
      </c>
      <c r="D1876" s="660" t="s">
        <v>783</v>
      </c>
      <c r="E1876" s="660" t="s">
        <v>182</v>
      </c>
      <c r="F1876" s="660" t="s">
        <v>183</v>
      </c>
      <c r="G1876" s="660" t="s">
        <v>985</v>
      </c>
      <c r="H1876" s="660" t="s">
        <v>986</v>
      </c>
      <c r="I1876" s="888" t="s">
        <v>987</v>
      </c>
    </row>
    <row r="1877" spans="1:27" ht="14.25" thickTop="1" thickBot="1" x14ac:dyDescent="0.25">
      <c r="A1877" s="592">
        <v>1</v>
      </c>
      <c r="B1877" s="593">
        <v>2</v>
      </c>
      <c r="C1877" s="593">
        <v>3</v>
      </c>
      <c r="D1877" s="593">
        <v>4</v>
      </c>
      <c r="E1877" s="593">
        <v>5</v>
      </c>
      <c r="F1877" s="567">
        <v>6</v>
      </c>
      <c r="G1877" s="567">
        <v>7</v>
      </c>
      <c r="H1877" s="568">
        <v>8</v>
      </c>
      <c r="I1877" s="662" t="s">
        <v>848</v>
      </c>
    </row>
    <row r="1878" spans="1:27" ht="15.75" thickTop="1" x14ac:dyDescent="0.25">
      <c r="A1878" s="1562">
        <v>1206</v>
      </c>
      <c r="B1878" s="917">
        <v>3122</v>
      </c>
      <c r="C1878" s="917">
        <v>5331</v>
      </c>
      <c r="D1878" s="922"/>
      <c r="E1878" s="956" t="s">
        <v>1066</v>
      </c>
      <c r="F1878" s="915"/>
      <c r="G1878" s="915">
        <v>5026</v>
      </c>
      <c r="H1878" s="915">
        <v>5026</v>
      </c>
      <c r="I1878" s="919">
        <f t="shared" ref="I1878:I1895" si="86">(H1878/G1878)*100</f>
        <v>100</v>
      </c>
    </row>
    <row r="1879" spans="1:27" ht="14.25" x14ac:dyDescent="0.2">
      <c r="A1879" s="435"/>
      <c r="B1879" s="705"/>
      <c r="C1879" s="705"/>
      <c r="D1879" s="578" t="s">
        <v>1267</v>
      </c>
      <c r="E1879" s="474" t="s">
        <v>882</v>
      </c>
      <c r="F1879" s="897"/>
      <c r="G1879" s="897">
        <v>5026</v>
      </c>
      <c r="H1879" s="897">
        <v>5026</v>
      </c>
      <c r="I1879" s="893">
        <f t="shared" si="86"/>
        <v>100</v>
      </c>
    </row>
    <row r="1880" spans="1:27" ht="18" customHeight="1" x14ac:dyDescent="0.25">
      <c r="A1880" s="435">
        <v>1206</v>
      </c>
      <c r="B1880" s="705">
        <v>3123</v>
      </c>
      <c r="C1880" s="705">
        <v>5331</v>
      </c>
      <c r="D1880" s="889"/>
      <c r="E1880" s="854" t="s">
        <v>1066</v>
      </c>
      <c r="F1880" s="890">
        <f>F1881+F1882+F1883+F1884</f>
        <v>3814</v>
      </c>
      <c r="G1880" s="890">
        <f>G1881+G1882+G1883+G1884</f>
        <v>3859</v>
      </c>
      <c r="H1880" s="890">
        <f>H1881+H1882+H1883+H1884</f>
        <v>3859</v>
      </c>
      <c r="I1880" s="891">
        <f t="shared" si="86"/>
        <v>100</v>
      </c>
    </row>
    <row r="1881" spans="1:27" ht="16.5" customHeight="1" x14ac:dyDescent="0.2">
      <c r="A1881" s="435"/>
      <c r="B1881" s="705"/>
      <c r="C1881" s="705"/>
      <c r="D1881" s="743" t="s">
        <v>641</v>
      </c>
      <c r="E1881" s="1679" t="s">
        <v>883</v>
      </c>
      <c r="F1881" s="357">
        <v>323</v>
      </c>
      <c r="G1881" s="897">
        <v>323</v>
      </c>
      <c r="H1881" s="897">
        <v>323</v>
      </c>
      <c r="I1881" s="893">
        <f t="shared" si="86"/>
        <v>100</v>
      </c>
    </row>
    <row r="1882" spans="1:27" ht="14.25" x14ac:dyDescent="0.2">
      <c r="A1882" s="435"/>
      <c r="B1882" s="705"/>
      <c r="C1882" s="705"/>
      <c r="D1882" s="578" t="s">
        <v>636</v>
      </c>
      <c r="E1882" s="474" t="s">
        <v>72</v>
      </c>
      <c r="F1882" s="897">
        <v>3441</v>
      </c>
      <c r="G1882" s="897">
        <v>3491</v>
      </c>
      <c r="H1882" s="897">
        <v>3491</v>
      </c>
      <c r="I1882" s="893">
        <f t="shared" si="86"/>
        <v>100</v>
      </c>
    </row>
    <row r="1883" spans="1:27" ht="14.25" x14ac:dyDescent="0.2">
      <c r="A1883" s="435"/>
      <c r="B1883" s="705"/>
      <c r="C1883" s="705"/>
      <c r="D1883" s="578" t="s">
        <v>735</v>
      </c>
      <c r="E1883" s="474" t="s">
        <v>76</v>
      </c>
      <c r="F1883" s="897">
        <v>50</v>
      </c>
      <c r="G1883" s="897">
        <v>0</v>
      </c>
      <c r="H1883" s="897">
        <v>0</v>
      </c>
      <c r="I1883" s="893">
        <v>0</v>
      </c>
    </row>
    <row r="1884" spans="1:27" ht="14.25" x14ac:dyDescent="0.2">
      <c r="A1884" s="435"/>
      <c r="B1884" s="705"/>
      <c r="C1884" s="705"/>
      <c r="D1884" s="1179" t="s">
        <v>1038</v>
      </c>
      <c r="E1884" s="1275" t="s">
        <v>1363</v>
      </c>
      <c r="F1884" s="897"/>
      <c r="G1884" s="897">
        <v>45</v>
      </c>
      <c r="H1884" s="897">
        <v>45</v>
      </c>
      <c r="I1884" s="893">
        <f t="shared" si="86"/>
        <v>100</v>
      </c>
    </row>
    <row r="1885" spans="1:27" ht="15" x14ac:dyDescent="0.25">
      <c r="A1885" s="435">
        <v>1206</v>
      </c>
      <c r="B1885" s="705">
        <v>3123</v>
      </c>
      <c r="C1885" s="705">
        <v>5336</v>
      </c>
      <c r="D1885" s="1179"/>
      <c r="E1885" s="1564" t="s">
        <v>1357</v>
      </c>
      <c r="F1885" s="897"/>
      <c r="G1885" s="921">
        <f>G1886+G1887+G1888</f>
        <v>23821</v>
      </c>
      <c r="H1885" s="921">
        <f>H1886+H1887+H1888</f>
        <v>23821</v>
      </c>
      <c r="I1885" s="923">
        <f t="shared" si="86"/>
        <v>100</v>
      </c>
    </row>
    <row r="1886" spans="1:27" ht="14.25" x14ac:dyDescent="0.2">
      <c r="A1886" s="435"/>
      <c r="B1886" s="705"/>
      <c r="C1886" s="705"/>
      <c r="D1886" s="578" t="s">
        <v>1267</v>
      </c>
      <c r="E1886" s="474" t="s">
        <v>882</v>
      </c>
      <c r="F1886" s="897"/>
      <c r="G1886" s="897">
        <v>22672</v>
      </c>
      <c r="H1886" s="897">
        <v>22672</v>
      </c>
      <c r="I1886" s="893">
        <f t="shared" si="86"/>
        <v>100</v>
      </c>
    </row>
    <row r="1887" spans="1:27" ht="14.25" x14ac:dyDescent="0.2">
      <c r="A1887" s="435"/>
      <c r="B1887" s="808"/>
      <c r="C1887" s="808"/>
      <c r="D1887" s="1569" t="s">
        <v>1771</v>
      </c>
      <c r="E1887" s="1561" t="s">
        <v>1908</v>
      </c>
      <c r="F1887" s="903"/>
      <c r="G1887" s="903">
        <v>172</v>
      </c>
      <c r="H1887" s="903">
        <v>172</v>
      </c>
      <c r="I1887" s="893">
        <f t="shared" si="86"/>
        <v>100</v>
      </c>
    </row>
    <row r="1888" spans="1:27" ht="14.25" x14ac:dyDescent="0.2">
      <c r="A1888" s="435"/>
      <c r="B1888" s="808"/>
      <c r="C1888" s="808"/>
      <c r="D1888" s="1569" t="s">
        <v>1773</v>
      </c>
      <c r="E1888" s="1561" t="s">
        <v>1908</v>
      </c>
      <c r="F1888" s="903"/>
      <c r="G1888" s="903">
        <v>977</v>
      </c>
      <c r="H1888" s="903">
        <v>977</v>
      </c>
      <c r="I1888" s="893">
        <f t="shared" si="86"/>
        <v>100</v>
      </c>
    </row>
    <row r="1889" spans="1:20" ht="15" x14ac:dyDescent="0.25">
      <c r="A1889" s="435">
        <v>1206</v>
      </c>
      <c r="B1889" s="808">
        <v>3142</v>
      </c>
      <c r="C1889" s="808">
        <v>5331</v>
      </c>
      <c r="D1889" s="929"/>
      <c r="E1889" s="704" t="s">
        <v>1066</v>
      </c>
      <c r="F1889" s="905">
        <f>F1890+F1891</f>
        <v>420</v>
      </c>
      <c r="G1889" s="905">
        <f>G1890+G1891</f>
        <v>420</v>
      </c>
      <c r="H1889" s="905">
        <f>H1890+H1891</f>
        <v>420</v>
      </c>
      <c r="I1889" s="906">
        <f t="shared" si="86"/>
        <v>100</v>
      </c>
    </row>
    <row r="1890" spans="1:20" ht="14.25" x14ac:dyDescent="0.2">
      <c r="A1890" s="435"/>
      <c r="B1890" s="808"/>
      <c r="C1890" s="808"/>
      <c r="D1890" s="578" t="s">
        <v>636</v>
      </c>
      <c r="E1890" s="474" t="s">
        <v>72</v>
      </c>
      <c r="F1890" s="903">
        <v>400</v>
      </c>
      <c r="G1890" s="903">
        <v>412</v>
      </c>
      <c r="H1890" s="903">
        <v>412</v>
      </c>
      <c r="I1890" s="898">
        <f t="shared" si="86"/>
        <v>100</v>
      </c>
    </row>
    <row r="1891" spans="1:20" ht="14.25" x14ac:dyDescent="0.2">
      <c r="A1891" s="435"/>
      <c r="B1891" s="808"/>
      <c r="C1891" s="808"/>
      <c r="D1891" s="578" t="s">
        <v>735</v>
      </c>
      <c r="E1891" s="474" t="s">
        <v>76</v>
      </c>
      <c r="F1891" s="903">
        <v>20</v>
      </c>
      <c r="G1891" s="903">
        <v>8</v>
      </c>
      <c r="H1891" s="903">
        <v>8</v>
      </c>
      <c r="I1891" s="898">
        <f t="shared" si="86"/>
        <v>100</v>
      </c>
    </row>
    <row r="1892" spans="1:20" ht="15" x14ac:dyDescent="0.25">
      <c r="A1892" s="435">
        <v>1206</v>
      </c>
      <c r="B1892" s="808">
        <v>3142</v>
      </c>
      <c r="C1892" s="808">
        <v>5336</v>
      </c>
      <c r="D1892" s="578"/>
      <c r="E1892" s="1564" t="s">
        <v>1357</v>
      </c>
      <c r="F1892" s="903"/>
      <c r="G1892" s="916">
        <v>858</v>
      </c>
      <c r="H1892" s="916">
        <v>858</v>
      </c>
      <c r="I1892" s="908">
        <f t="shared" si="86"/>
        <v>100</v>
      </c>
    </row>
    <row r="1893" spans="1:20" ht="14.25" x14ac:dyDescent="0.2">
      <c r="A1893" s="435"/>
      <c r="B1893" s="808"/>
      <c r="C1893" s="1551"/>
      <c r="D1893" s="578" t="s">
        <v>1267</v>
      </c>
      <c r="E1893" s="474" t="s">
        <v>882</v>
      </c>
      <c r="F1893" s="903"/>
      <c r="G1893" s="903">
        <v>858</v>
      </c>
      <c r="H1893" s="903">
        <v>858</v>
      </c>
      <c r="I1893" s="898">
        <f t="shared" si="86"/>
        <v>100</v>
      </c>
    </row>
    <row r="1894" spans="1:20" ht="15" x14ac:dyDescent="0.25">
      <c r="A1894" s="435">
        <v>1206</v>
      </c>
      <c r="B1894" s="705">
        <v>3293</v>
      </c>
      <c r="C1894" s="1550">
        <v>5331</v>
      </c>
      <c r="D1894" s="912"/>
      <c r="E1894" s="854" t="s">
        <v>1066</v>
      </c>
      <c r="F1894" s="916"/>
      <c r="G1894" s="916">
        <v>29</v>
      </c>
      <c r="H1894" s="916">
        <v>29</v>
      </c>
      <c r="I1894" s="908">
        <f t="shared" si="86"/>
        <v>100</v>
      </c>
    </row>
    <row r="1895" spans="1:20" ht="15" thickBot="1" x14ac:dyDescent="0.25">
      <c r="A1895" s="435"/>
      <c r="B1895" s="808"/>
      <c r="C1895" s="1551"/>
      <c r="D1895" s="805" t="s">
        <v>1270</v>
      </c>
      <c r="E1895" s="1694" t="s">
        <v>62</v>
      </c>
      <c r="F1895" s="903"/>
      <c r="G1895" s="903">
        <v>29</v>
      </c>
      <c r="H1895" s="903">
        <v>29</v>
      </c>
      <c r="I1895" s="898">
        <f t="shared" si="86"/>
        <v>100</v>
      </c>
    </row>
    <row r="1896" spans="1:20" s="107" customFormat="1" ht="16.5" thickTop="1" thickBot="1" x14ac:dyDescent="0.3">
      <c r="A1896" s="2739" t="s">
        <v>1246</v>
      </c>
      <c r="B1896" s="2740"/>
      <c r="C1896" s="2740"/>
      <c r="D1896" s="2740"/>
      <c r="E1896" s="2740"/>
      <c r="F1896" s="894">
        <f>F1880+F1889</f>
        <v>4234</v>
      </c>
      <c r="G1896" s="894">
        <f>G1878+G1880+G1885+G1889+G1892+G1894</f>
        <v>34013</v>
      </c>
      <c r="H1896" s="894">
        <f>H1878+H1880+H1885+H1889+H1892+H1894</f>
        <v>34013</v>
      </c>
      <c r="I1896" s="895">
        <f>(H1896/G1896)*100</f>
        <v>100</v>
      </c>
      <c r="R1896" s="385">
        <f>F1896</f>
        <v>4234</v>
      </c>
      <c r="S1896" s="385">
        <f>G1896</f>
        <v>34013</v>
      </c>
      <c r="T1896" s="385">
        <f>H1896</f>
        <v>34013</v>
      </c>
    </row>
    <row r="1897" spans="1:20" s="386" customFormat="1" ht="13.5" thickTop="1" x14ac:dyDescent="0.2">
      <c r="A1897" s="384"/>
      <c r="B1897" s="669"/>
      <c r="C1897" s="384"/>
      <c r="D1897" s="884"/>
      <c r="E1897" s="384"/>
      <c r="F1897" s="385"/>
      <c r="G1897" s="385"/>
      <c r="H1897" s="385"/>
      <c r="I1897" s="1548"/>
    </row>
    <row r="1898" spans="1:20" ht="13.5" thickBot="1" x14ac:dyDescent="0.25">
      <c r="A1898" s="439" t="s">
        <v>352</v>
      </c>
      <c r="I1898" s="1548" t="s">
        <v>179</v>
      </c>
    </row>
    <row r="1899" spans="1:20" ht="14.25" thickTop="1" thickBot="1" x14ac:dyDescent="0.25">
      <c r="A1899" s="657" t="s">
        <v>692</v>
      </c>
      <c r="B1899" s="835" t="s">
        <v>180</v>
      </c>
      <c r="C1899" s="658" t="s">
        <v>181</v>
      </c>
      <c r="D1899" s="660" t="s">
        <v>783</v>
      </c>
      <c r="E1899" s="660" t="s">
        <v>182</v>
      </c>
      <c r="F1899" s="660" t="s">
        <v>183</v>
      </c>
      <c r="G1899" s="660" t="s">
        <v>985</v>
      </c>
      <c r="H1899" s="660" t="s">
        <v>986</v>
      </c>
      <c r="I1899" s="888" t="s">
        <v>987</v>
      </c>
    </row>
    <row r="1900" spans="1:20" ht="14.25" thickTop="1" thickBot="1" x14ac:dyDescent="0.25">
      <c r="A1900" s="592">
        <v>1</v>
      </c>
      <c r="B1900" s="593">
        <v>2</v>
      </c>
      <c r="C1900" s="593">
        <v>3</v>
      </c>
      <c r="D1900" s="593">
        <v>4</v>
      </c>
      <c r="E1900" s="593">
        <v>5</v>
      </c>
      <c r="F1900" s="567">
        <v>6</v>
      </c>
      <c r="G1900" s="567">
        <v>7</v>
      </c>
      <c r="H1900" s="568">
        <v>8</v>
      </c>
      <c r="I1900" s="662" t="s">
        <v>848</v>
      </c>
    </row>
    <row r="1901" spans="1:20" ht="15.75" thickTop="1" x14ac:dyDescent="0.25">
      <c r="A1901" s="435">
        <v>1207</v>
      </c>
      <c r="B1901" s="808">
        <v>3122</v>
      </c>
      <c r="C1901" s="808">
        <v>5331</v>
      </c>
      <c r="D1901" s="929"/>
      <c r="E1901" s="704" t="s">
        <v>1066</v>
      </c>
      <c r="F1901" s="915"/>
      <c r="G1901" s="915">
        <v>104</v>
      </c>
      <c r="H1901" s="915">
        <v>104</v>
      </c>
      <c r="I1901" s="919">
        <f>(H1901/G1901)*100</f>
        <v>100</v>
      </c>
    </row>
    <row r="1902" spans="1:20" ht="15" x14ac:dyDescent="0.25">
      <c r="A1902" s="435"/>
      <c r="B1902" s="808"/>
      <c r="C1902" s="808"/>
      <c r="D1902" s="2708" t="s">
        <v>1641</v>
      </c>
      <c r="E1902" s="2741" t="s">
        <v>1667</v>
      </c>
      <c r="F1902" s="890"/>
      <c r="G1902" s="357">
        <v>104</v>
      </c>
      <c r="H1902" s="357">
        <v>104</v>
      </c>
      <c r="I1902" s="893">
        <f>(H1902/G1902)*100</f>
        <v>100</v>
      </c>
    </row>
    <row r="1903" spans="1:20" ht="18" customHeight="1" x14ac:dyDescent="0.25">
      <c r="A1903" s="435"/>
      <c r="B1903" s="808"/>
      <c r="C1903" s="808"/>
      <c r="D1903" s="2734"/>
      <c r="E1903" s="2742"/>
      <c r="F1903" s="890"/>
      <c r="G1903" s="357"/>
      <c r="H1903" s="357"/>
      <c r="I1903" s="893"/>
    </row>
    <row r="1904" spans="1:20" ht="13.5" customHeight="1" x14ac:dyDescent="0.2">
      <c r="A1904" s="435"/>
      <c r="B1904" s="808"/>
      <c r="C1904" s="808"/>
      <c r="D1904" s="2734"/>
      <c r="E1904" s="2742"/>
      <c r="F1904" s="897"/>
      <c r="G1904" s="897"/>
      <c r="H1904" s="897"/>
      <c r="I1904" s="893"/>
    </row>
    <row r="1905" spans="1:9" ht="12" customHeight="1" x14ac:dyDescent="0.25">
      <c r="A1905" s="435">
        <v>1207</v>
      </c>
      <c r="B1905" s="808">
        <v>3122</v>
      </c>
      <c r="C1905" s="808">
        <v>5336</v>
      </c>
      <c r="D1905" s="2533"/>
      <c r="E1905" s="1564" t="s">
        <v>1357</v>
      </c>
      <c r="F1905" s="897"/>
      <c r="G1905" s="921">
        <v>5270</v>
      </c>
      <c r="H1905" s="921">
        <v>5270</v>
      </c>
      <c r="I1905" s="891">
        <f t="shared" ref="I1905:I1926" si="87">(H1905/G1905)*100</f>
        <v>100</v>
      </c>
    </row>
    <row r="1906" spans="1:9" ht="14.25" x14ac:dyDescent="0.2">
      <c r="A1906" s="435"/>
      <c r="B1906" s="808"/>
      <c r="C1906" s="808"/>
      <c r="D1906" s="578" t="s">
        <v>1267</v>
      </c>
      <c r="E1906" s="474" t="s">
        <v>882</v>
      </c>
      <c r="F1906" s="897"/>
      <c r="G1906" s="897">
        <v>5270</v>
      </c>
      <c r="H1906" s="897">
        <v>5270</v>
      </c>
      <c r="I1906" s="893">
        <f t="shared" si="87"/>
        <v>100</v>
      </c>
    </row>
    <row r="1907" spans="1:9" ht="15" x14ac:dyDescent="0.25">
      <c r="A1907" s="435">
        <v>1207</v>
      </c>
      <c r="B1907" s="705">
        <v>3123</v>
      </c>
      <c r="C1907" s="705">
        <v>5331</v>
      </c>
      <c r="D1907" s="889"/>
      <c r="E1907" s="854" t="s">
        <v>1066</v>
      </c>
      <c r="F1907" s="890">
        <f>F1908+F1909+F1910</f>
        <v>3018</v>
      </c>
      <c r="G1907" s="890">
        <f>G1908+G1909+G1910</f>
        <v>3655</v>
      </c>
      <c r="H1907" s="890">
        <f>H1908+H1909+H1910</f>
        <v>3655</v>
      </c>
      <c r="I1907" s="891">
        <f t="shared" si="87"/>
        <v>100</v>
      </c>
    </row>
    <row r="1908" spans="1:9" ht="14.25" x14ac:dyDescent="0.2">
      <c r="A1908" s="435"/>
      <c r="B1908" s="705"/>
      <c r="C1908" s="705"/>
      <c r="D1908" s="743" t="s">
        <v>641</v>
      </c>
      <c r="E1908" s="1679" t="s">
        <v>883</v>
      </c>
      <c r="F1908" s="897">
        <v>368</v>
      </c>
      <c r="G1908" s="897">
        <v>751</v>
      </c>
      <c r="H1908" s="897">
        <v>751</v>
      </c>
      <c r="I1908" s="893">
        <f t="shared" si="87"/>
        <v>100</v>
      </c>
    </row>
    <row r="1909" spans="1:9" ht="14.25" x14ac:dyDescent="0.2">
      <c r="A1909" s="435"/>
      <c r="B1909" s="705"/>
      <c r="C1909" s="705"/>
      <c r="D1909" s="578" t="s">
        <v>636</v>
      </c>
      <c r="E1909" s="474" t="s">
        <v>72</v>
      </c>
      <c r="F1909" s="897">
        <v>2650</v>
      </c>
      <c r="G1909" s="897">
        <v>2650</v>
      </c>
      <c r="H1909" s="897">
        <v>2650</v>
      </c>
      <c r="I1909" s="893">
        <f t="shared" si="87"/>
        <v>100</v>
      </c>
    </row>
    <row r="1910" spans="1:9" ht="14.25" x14ac:dyDescent="0.2">
      <c r="A1910" s="435"/>
      <c r="B1910" s="705"/>
      <c r="C1910" s="705"/>
      <c r="D1910" s="1179" t="s">
        <v>1038</v>
      </c>
      <c r="E1910" s="1275" t="s">
        <v>1363</v>
      </c>
      <c r="F1910" s="897"/>
      <c r="G1910" s="897">
        <v>254</v>
      </c>
      <c r="H1910" s="897">
        <v>254</v>
      </c>
      <c r="I1910" s="893">
        <f t="shared" si="87"/>
        <v>100</v>
      </c>
    </row>
    <row r="1911" spans="1:9" ht="15" x14ac:dyDescent="0.25">
      <c r="A1911" s="435">
        <v>1207</v>
      </c>
      <c r="B1911" s="705">
        <v>3123</v>
      </c>
      <c r="C1911" s="705">
        <v>5336</v>
      </c>
      <c r="D1911" s="2537"/>
      <c r="E1911" s="1564" t="s">
        <v>1357</v>
      </c>
      <c r="F1911" s="897"/>
      <c r="G1911" s="921">
        <f>G1912+G1913+G1914</f>
        <v>23213</v>
      </c>
      <c r="H1911" s="921">
        <f>H1912+H1913+H1914</f>
        <v>23213</v>
      </c>
      <c r="I1911" s="923">
        <f t="shared" si="87"/>
        <v>100</v>
      </c>
    </row>
    <row r="1912" spans="1:9" ht="14.25" x14ac:dyDescent="0.2">
      <c r="A1912" s="435"/>
      <c r="B1912" s="705"/>
      <c r="C1912" s="1550"/>
      <c r="D1912" s="578" t="s">
        <v>1267</v>
      </c>
      <c r="E1912" s="474" t="s">
        <v>882</v>
      </c>
      <c r="F1912" s="897"/>
      <c r="G1912" s="897">
        <v>22030</v>
      </c>
      <c r="H1912" s="897">
        <v>22030</v>
      </c>
      <c r="I1912" s="893">
        <f t="shared" si="87"/>
        <v>100</v>
      </c>
    </row>
    <row r="1913" spans="1:9" ht="14.25" x14ac:dyDescent="0.2">
      <c r="A1913" s="435"/>
      <c r="B1913" s="808"/>
      <c r="C1913" s="1551"/>
      <c r="D1913" s="1569" t="s">
        <v>1771</v>
      </c>
      <c r="E1913" s="1561" t="s">
        <v>1908</v>
      </c>
      <c r="F1913" s="903"/>
      <c r="G1913" s="903">
        <v>177</v>
      </c>
      <c r="H1913" s="903">
        <v>177</v>
      </c>
      <c r="I1913" s="898">
        <f t="shared" si="87"/>
        <v>100</v>
      </c>
    </row>
    <row r="1914" spans="1:9" ht="14.25" x14ac:dyDescent="0.2">
      <c r="A1914" s="435"/>
      <c r="B1914" s="808"/>
      <c r="C1914" s="1551"/>
      <c r="D1914" s="1569" t="s">
        <v>1773</v>
      </c>
      <c r="E1914" s="1561" t="s">
        <v>1908</v>
      </c>
      <c r="F1914" s="903"/>
      <c r="G1914" s="903">
        <v>1006</v>
      </c>
      <c r="H1914" s="903">
        <v>1006</v>
      </c>
      <c r="I1914" s="898">
        <f t="shared" si="87"/>
        <v>100</v>
      </c>
    </row>
    <row r="1915" spans="1:9" ht="15" x14ac:dyDescent="0.25">
      <c r="A1915" s="435">
        <v>1207</v>
      </c>
      <c r="B1915" s="808">
        <v>3142</v>
      </c>
      <c r="C1915" s="808">
        <v>5331</v>
      </c>
      <c r="D1915" s="929"/>
      <c r="E1915" s="704" t="s">
        <v>1066</v>
      </c>
      <c r="F1915" s="905">
        <f>F1916+F1917</f>
        <v>482</v>
      </c>
      <c r="G1915" s="905">
        <f>G1916+G1917</f>
        <v>81</v>
      </c>
      <c r="H1915" s="905">
        <f>H1916+H1917</f>
        <v>81</v>
      </c>
      <c r="I1915" s="906">
        <f t="shared" si="87"/>
        <v>100</v>
      </c>
    </row>
    <row r="1916" spans="1:9" ht="14.25" x14ac:dyDescent="0.2">
      <c r="A1916" s="435"/>
      <c r="B1916" s="808"/>
      <c r="C1916" s="808"/>
      <c r="D1916" s="743" t="s">
        <v>641</v>
      </c>
      <c r="E1916" s="1679" t="s">
        <v>883</v>
      </c>
      <c r="F1916" s="907">
        <v>407</v>
      </c>
      <c r="G1916" s="907">
        <v>6</v>
      </c>
      <c r="H1916" s="907">
        <v>6</v>
      </c>
      <c r="I1916" s="898">
        <f t="shared" si="87"/>
        <v>100</v>
      </c>
    </row>
    <row r="1917" spans="1:9" ht="14.25" x14ac:dyDescent="0.2">
      <c r="A1917" s="435"/>
      <c r="B1917" s="808"/>
      <c r="C1917" s="808"/>
      <c r="D1917" s="578" t="s">
        <v>636</v>
      </c>
      <c r="E1917" s="474" t="s">
        <v>72</v>
      </c>
      <c r="F1917" s="903">
        <v>75</v>
      </c>
      <c r="G1917" s="903">
        <v>75</v>
      </c>
      <c r="H1917" s="903">
        <v>75</v>
      </c>
      <c r="I1917" s="898">
        <f t="shared" si="87"/>
        <v>100</v>
      </c>
    </row>
    <row r="1918" spans="1:9" ht="18" customHeight="1" x14ac:dyDescent="0.25">
      <c r="A1918" s="435">
        <v>1207</v>
      </c>
      <c r="B1918" s="808">
        <v>3142</v>
      </c>
      <c r="C1918" s="808">
        <v>5336</v>
      </c>
      <c r="D1918" s="578"/>
      <c r="E1918" s="1564" t="s">
        <v>1357</v>
      </c>
      <c r="F1918" s="903"/>
      <c r="G1918" s="916">
        <v>57</v>
      </c>
      <c r="H1918" s="916">
        <v>57</v>
      </c>
      <c r="I1918" s="908">
        <f t="shared" si="87"/>
        <v>100</v>
      </c>
    </row>
    <row r="1919" spans="1:9" ht="18" customHeight="1" x14ac:dyDescent="0.2">
      <c r="A1919" s="435"/>
      <c r="B1919" s="808"/>
      <c r="C1919" s="1551"/>
      <c r="D1919" s="578" t="s">
        <v>1267</v>
      </c>
      <c r="E1919" s="474" t="s">
        <v>882</v>
      </c>
      <c r="F1919" s="903"/>
      <c r="G1919" s="903">
        <v>57</v>
      </c>
      <c r="H1919" s="903">
        <v>57</v>
      </c>
      <c r="I1919" s="898">
        <f t="shared" si="87"/>
        <v>100</v>
      </c>
    </row>
    <row r="1920" spans="1:9" ht="15" customHeight="1" x14ac:dyDescent="0.25">
      <c r="A1920" s="435">
        <v>1207</v>
      </c>
      <c r="B1920" s="808">
        <v>3147</v>
      </c>
      <c r="C1920" s="808">
        <v>5331</v>
      </c>
      <c r="D1920" s="929"/>
      <c r="E1920" s="704" t="s">
        <v>1066</v>
      </c>
      <c r="F1920" s="905">
        <f>F1921+F1922</f>
        <v>769</v>
      </c>
      <c r="G1920" s="905">
        <f>G1921+G1922</f>
        <v>769</v>
      </c>
      <c r="H1920" s="905">
        <f>H1921+H1922</f>
        <v>769</v>
      </c>
      <c r="I1920" s="906">
        <f t="shared" si="87"/>
        <v>100</v>
      </c>
    </row>
    <row r="1921" spans="1:20" ht="14.25" x14ac:dyDescent="0.2">
      <c r="A1921" s="435"/>
      <c r="B1921" s="808"/>
      <c r="C1921" s="808"/>
      <c r="D1921" s="743" t="s">
        <v>641</v>
      </c>
      <c r="E1921" s="1679" t="s">
        <v>883</v>
      </c>
      <c r="F1921" s="903">
        <v>116</v>
      </c>
      <c r="G1921" s="903">
        <v>116</v>
      </c>
      <c r="H1921" s="903">
        <v>116</v>
      </c>
      <c r="I1921" s="898">
        <f t="shared" si="87"/>
        <v>100</v>
      </c>
    </row>
    <row r="1922" spans="1:20" ht="14.25" x14ac:dyDescent="0.2">
      <c r="A1922" s="435"/>
      <c r="B1922" s="808"/>
      <c r="C1922" s="808"/>
      <c r="D1922" s="578" t="s">
        <v>636</v>
      </c>
      <c r="E1922" s="474" t="s">
        <v>72</v>
      </c>
      <c r="F1922" s="903">
        <v>653</v>
      </c>
      <c r="G1922" s="903">
        <v>653</v>
      </c>
      <c r="H1922" s="903">
        <v>653</v>
      </c>
      <c r="I1922" s="898">
        <f t="shared" si="87"/>
        <v>100</v>
      </c>
    </row>
    <row r="1923" spans="1:20" ht="15" x14ac:dyDescent="0.25">
      <c r="A1923" s="435">
        <v>1207</v>
      </c>
      <c r="B1923" s="808">
        <v>3147</v>
      </c>
      <c r="C1923" s="808">
        <v>5336</v>
      </c>
      <c r="D1923" s="578"/>
      <c r="E1923" s="1564" t="s">
        <v>1357</v>
      </c>
      <c r="F1923" s="903"/>
      <c r="G1923" s="916">
        <v>1672</v>
      </c>
      <c r="H1923" s="916">
        <v>1672</v>
      </c>
      <c r="I1923" s="908">
        <f t="shared" si="87"/>
        <v>100</v>
      </c>
    </row>
    <row r="1924" spans="1:20" ht="14.25" x14ac:dyDescent="0.2">
      <c r="A1924" s="435"/>
      <c r="B1924" s="808"/>
      <c r="C1924" s="1551"/>
      <c r="D1924" s="578" t="s">
        <v>1267</v>
      </c>
      <c r="E1924" s="474" t="s">
        <v>882</v>
      </c>
      <c r="F1924" s="903"/>
      <c r="G1924" s="903">
        <v>1672</v>
      </c>
      <c r="H1924" s="903">
        <v>1672</v>
      </c>
      <c r="I1924" s="898">
        <f t="shared" si="87"/>
        <v>100</v>
      </c>
    </row>
    <row r="1925" spans="1:20" ht="15" x14ac:dyDescent="0.25">
      <c r="A1925" s="435">
        <v>1207</v>
      </c>
      <c r="B1925" s="808">
        <v>3299</v>
      </c>
      <c r="C1925" s="1551">
        <v>5331</v>
      </c>
      <c r="D1925" s="578"/>
      <c r="E1925" s="704" t="s">
        <v>1066</v>
      </c>
      <c r="F1925" s="916"/>
      <c r="G1925" s="916">
        <v>8</v>
      </c>
      <c r="H1925" s="916">
        <v>8</v>
      </c>
      <c r="I1925" s="908">
        <f t="shared" si="87"/>
        <v>100</v>
      </c>
    </row>
    <row r="1926" spans="1:20" ht="15" thickBot="1" x14ac:dyDescent="0.25">
      <c r="A1926" s="435"/>
      <c r="B1926" s="808"/>
      <c r="C1926" s="1551"/>
      <c r="D1926" s="1192" t="s">
        <v>1265</v>
      </c>
      <c r="E1926" s="1571" t="s">
        <v>441</v>
      </c>
      <c r="F1926" s="903"/>
      <c r="G1926" s="903">
        <v>8</v>
      </c>
      <c r="H1926" s="903">
        <v>8</v>
      </c>
      <c r="I1926" s="898">
        <f t="shared" si="87"/>
        <v>100</v>
      </c>
    </row>
    <row r="1927" spans="1:20" s="107" customFormat="1" ht="16.5" thickTop="1" thickBot="1" x14ac:dyDescent="0.3">
      <c r="A1927" s="2739" t="s">
        <v>1246</v>
      </c>
      <c r="B1927" s="2740"/>
      <c r="C1927" s="2740"/>
      <c r="D1927" s="2740"/>
      <c r="E1927" s="2740"/>
      <c r="F1927" s="894">
        <f>F1907+F1915+F1920</f>
        <v>4269</v>
      </c>
      <c r="G1927" s="894">
        <f>G1901+G1905+G1907+G1911+G1915+G1918+G1920+G1923+G1925</f>
        <v>34829</v>
      </c>
      <c r="H1927" s="894">
        <f>H1901+H1905+H1907+H1911+H1915+H1918+H1920+H1923+H1925</f>
        <v>34829</v>
      </c>
      <c r="I1927" s="895">
        <f>(H1927/G1927)*100</f>
        <v>100</v>
      </c>
      <c r="R1927" s="385">
        <f>F1927</f>
        <v>4269</v>
      </c>
      <c r="S1927" s="385">
        <f>G1927</f>
        <v>34829</v>
      </c>
      <c r="T1927" s="385">
        <f>H1927</f>
        <v>34829</v>
      </c>
    </row>
    <row r="1928" spans="1:20" s="386" customFormat="1" ht="15.75" thickTop="1" x14ac:dyDescent="0.25">
      <c r="A1928" s="370"/>
      <c r="B1928" s="370"/>
      <c r="C1928" s="370"/>
      <c r="D1928" s="370"/>
      <c r="E1928" s="370"/>
      <c r="F1928" s="181"/>
      <c r="G1928" s="181"/>
      <c r="H1928" s="181"/>
      <c r="I1928" s="210"/>
    </row>
    <row r="1929" spans="1:20" s="386" customFormat="1" ht="15" x14ac:dyDescent="0.25">
      <c r="A1929" s="370"/>
      <c r="B1929" s="370"/>
      <c r="C1929" s="370"/>
      <c r="D1929" s="370"/>
      <c r="E1929" s="370"/>
      <c r="F1929" s="181"/>
      <c r="G1929" s="181"/>
      <c r="H1929" s="181"/>
      <c r="I1929" s="210"/>
    </row>
    <row r="1930" spans="1:20" s="386" customFormat="1" ht="15" x14ac:dyDescent="0.25">
      <c r="A1930" s="370"/>
      <c r="B1930" s="370"/>
      <c r="C1930" s="370"/>
      <c r="D1930" s="370"/>
      <c r="E1930" s="370"/>
      <c r="F1930" s="181"/>
      <c r="G1930" s="181"/>
      <c r="H1930" s="181"/>
      <c r="I1930" s="210"/>
    </row>
    <row r="1931" spans="1:20" s="386" customFormat="1" ht="15" x14ac:dyDescent="0.25">
      <c r="A1931" s="370"/>
      <c r="B1931" s="370"/>
      <c r="C1931" s="370"/>
      <c r="D1931" s="370"/>
      <c r="E1931" s="370"/>
      <c r="F1931" s="181"/>
      <c r="G1931" s="181"/>
      <c r="H1931" s="181"/>
      <c r="I1931" s="210"/>
    </row>
    <row r="1932" spans="1:20" s="386" customFormat="1" ht="15" x14ac:dyDescent="0.25">
      <c r="A1932" s="370"/>
      <c r="B1932" s="370"/>
      <c r="C1932" s="370"/>
      <c r="D1932" s="370"/>
      <c r="E1932" s="370"/>
      <c r="F1932" s="181"/>
      <c r="G1932" s="181"/>
      <c r="H1932" s="181"/>
      <c r="I1932" s="210"/>
    </row>
    <row r="1933" spans="1:20" s="386" customFormat="1" ht="15" x14ac:dyDescent="0.25">
      <c r="A1933" s="370"/>
      <c r="B1933" s="370"/>
      <c r="C1933" s="370"/>
      <c r="D1933" s="370"/>
      <c r="E1933" s="370"/>
      <c r="F1933" s="181"/>
      <c r="G1933" s="181"/>
      <c r="H1933" s="181"/>
      <c r="I1933" s="210"/>
    </row>
    <row r="1934" spans="1:20" ht="13.5" thickBot="1" x14ac:dyDescent="0.25">
      <c r="A1934" s="439" t="s">
        <v>1670</v>
      </c>
      <c r="I1934" s="1548" t="s">
        <v>179</v>
      </c>
    </row>
    <row r="1935" spans="1:20" ht="14.25" thickTop="1" thickBot="1" x14ac:dyDescent="0.25">
      <c r="A1935" s="657" t="s">
        <v>692</v>
      </c>
      <c r="B1935" s="835" t="s">
        <v>180</v>
      </c>
      <c r="C1935" s="658" t="s">
        <v>181</v>
      </c>
      <c r="D1935" s="660" t="s">
        <v>783</v>
      </c>
      <c r="E1935" s="660" t="s">
        <v>182</v>
      </c>
      <c r="F1935" s="660" t="s">
        <v>183</v>
      </c>
      <c r="G1935" s="660" t="s">
        <v>985</v>
      </c>
      <c r="H1935" s="660" t="s">
        <v>986</v>
      </c>
      <c r="I1935" s="888" t="s">
        <v>987</v>
      </c>
    </row>
    <row r="1936" spans="1:20" ht="14.25" thickTop="1" thickBot="1" x14ac:dyDescent="0.25">
      <c r="A1936" s="592">
        <v>1</v>
      </c>
      <c r="B1936" s="593">
        <v>2</v>
      </c>
      <c r="C1936" s="593">
        <v>3</v>
      </c>
      <c r="D1936" s="593">
        <v>4</v>
      </c>
      <c r="E1936" s="593">
        <v>5</v>
      </c>
      <c r="F1936" s="567">
        <v>6</v>
      </c>
      <c r="G1936" s="567">
        <v>7</v>
      </c>
      <c r="H1936" s="568">
        <v>8</v>
      </c>
      <c r="I1936" s="662" t="s">
        <v>848</v>
      </c>
    </row>
    <row r="1937" spans="1:9" ht="15.75" thickTop="1" x14ac:dyDescent="0.25">
      <c r="A1937" s="1562">
        <v>1208</v>
      </c>
      <c r="B1937" s="917">
        <v>3122</v>
      </c>
      <c r="C1937" s="917">
        <v>5336</v>
      </c>
      <c r="D1937" s="922"/>
      <c r="E1937" s="1564" t="s">
        <v>1357</v>
      </c>
      <c r="F1937" s="915"/>
      <c r="G1937" s="915">
        <v>2103</v>
      </c>
      <c r="H1937" s="915">
        <v>2103</v>
      </c>
      <c r="I1937" s="919">
        <f>(H1937/G1937)*100</f>
        <v>100</v>
      </c>
    </row>
    <row r="1938" spans="1:9" ht="14.25" x14ac:dyDescent="0.2">
      <c r="A1938" s="435"/>
      <c r="B1938" s="705"/>
      <c r="C1938" s="705"/>
      <c r="D1938" s="578" t="s">
        <v>1267</v>
      </c>
      <c r="E1938" s="474" t="s">
        <v>882</v>
      </c>
      <c r="F1938" s="897"/>
      <c r="G1938" s="897">
        <v>2103</v>
      </c>
      <c r="H1938" s="897">
        <v>2103</v>
      </c>
      <c r="I1938" s="893">
        <f>(H1938/G1938)*100</f>
        <v>100</v>
      </c>
    </row>
    <row r="1939" spans="1:9" ht="15" x14ac:dyDescent="0.25">
      <c r="A1939" s="435">
        <v>1208</v>
      </c>
      <c r="B1939" s="705">
        <v>3123</v>
      </c>
      <c r="C1939" s="705">
        <v>5331</v>
      </c>
      <c r="D1939" s="889"/>
      <c r="E1939" s="854" t="s">
        <v>1066</v>
      </c>
      <c r="F1939" s="890">
        <f>F1940+F1941+F1942+F1943</f>
        <v>4026</v>
      </c>
      <c r="G1939" s="890">
        <f>G1940+G1941+G1942+G1943</f>
        <v>4117</v>
      </c>
      <c r="H1939" s="890">
        <f>H1940+H1941+H1942+H1943</f>
        <v>4117</v>
      </c>
      <c r="I1939" s="891">
        <f t="shared" ref="I1939:I1950" si="88">(H1939/G1939)*100</f>
        <v>100</v>
      </c>
    </row>
    <row r="1940" spans="1:9" ht="14.25" x14ac:dyDescent="0.2">
      <c r="A1940" s="435"/>
      <c r="B1940" s="705"/>
      <c r="C1940" s="705"/>
      <c r="D1940" s="743" t="s">
        <v>641</v>
      </c>
      <c r="E1940" s="1679" t="s">
        <v>883</v>
      </c>
      <c r="F1940" s="897">
        <v>348</v>
      </c>
      <c r="G1940" s="897">
        <v>348</v>
      </c>
      <c r="H1940" s="897">
        <v>348</v>
      </c>
      <c r="I1940" s="893">
        <f t="shared" si="88"/>
        <v>100</v>
      </c>
    </row>
    <row r="1941" spans="1:9" ht="14.25" x14ac:dyDescent="0.2">
      <c r="A1941" s="435"/>
      <c r="B1941" s="705"/>
      <c r="C1941" s="705"/>
      <c r="D1941" s="578" t="s">
        <v>636</v>
      </c>
      <c r="E1941" s="474" t="s">
        <v>72</v>
      </c>
      <c r="F1941" s="897">
        <v>3678</v>
      </c>
      <c r="G1941" s="897">
        <v>3675</v>
      </c>
      <c r="H1941" s="897">
        <v>3675</v>
      </c>
      <c r="I1941" s="893">
        <f t="shared" si="88"/>
        <v>100</v>
      </c>
    </row>
    <row r="1942" spans="1:9" ht="14.25" x14ac:dyDescent="0.2">
      <c r="A1942" s="435"/>
      <c r="B1942" s="808"/>
      <c r="C1942" s="808"/>
      <c r="D1942" s="1169" t="s">
        <v>735</v>
      </c>
      <c r="E1942" s="1398" t="s">
        <v>1454</v>
      </c>
      <c r="F1942" s="903"/>
      <c r="G1942" s="903">
        <v>3</v>
      </c>
      <c r="H1942" s="903">
        <v>3</v>
      </c>
      <c r="I1942" s="898">
        <f t="shared" si="88"/>
        <v>100</v>
      </c>
    </row>
    <row r="1943" spans="1:9" ht="14.25" x14ac:dyDescent="0.2">
      <c r="A1943" s="435"/>
      <c r="B1943" s="808"/>
      <c r="C1943" s="808"/>
      <c r="D1943" s="1179" t="s">
        <v>1038</v>
      </c>
      <c r="E1943" s="1275" t="s">
        <v>1363</v>
      </c>
      <c r="F1943" s="903"/>
      <c r="G1943" s="903">
        <v>91</v>
      </c>
      <c r="H1943" s="903">
        <v>91</v>
      </c>
      <c r="I1943" s="898">
        <f t="shared" si="88"/>
        <v>100</v>
      </c>
    </row>
    <row r="1944" spans="1:9" ht="15" x14ac:dyDescent="0.25">
      <c r="A1944" s="435">
        <v>1208</v>
      </c>
      <c r="B1944" s="808">
        <v>3123</v>
      </c>
      <c r="C1944" s="808">
        <v>5336</v>
      </c>
      <c r="D1944" s="1179"/>
      <c r="E1944" s="1564" t="s">
        <v>1357</v>
      </c>
      <c r="F1944" s="903"/>
      <c r="G1944" s="916">
        <f>G1945+G1946+G1947</f>
        <v>9830</v>
      </c>
      <c r="H1944" s="916">
        <f>H1945+H1946+H1947</f>
        <v>9830</v>
      </c>
      <c r="I1944" s="908">
        <f t="shared" si="88"/>
        <v>100</v>
      </c>
    </row>
    <row r="1945" spans="1:9" ht="14.25" x14ac:dyDescent="0.2">
      <c r="A1945" s="435"/>
      <c r="B1945" s="808"/>
      <c r="C1945" s="1551"/>
      <c r="D1945" s="578" t="s">
        <v>1267</v>
      </c>
      <c r="E1945" s="474" t="s">
        <v>882</v>
      </c>
      <c r="F1945" s="903"/>
      <c r="G1945" s="903">
        <v>9330</v>
      </c>
      <c r="H1945" s="903">
        <v>9330</v>
      </c>
      <c r="I1945" s="898">
        <f t="shared" si="88"/>
        <v>100</v>
      </c>
    </row>
    <row r="1946" spans="1:9" ht="14.25" x14ac:dyDescent="0.2">
      <c r="A1946" s="435"/>
      <c r="B1946" s="808"/>
      <c r="C1946" s="1551"/>
      <c r="D1946" s="1569" t="s">
        <v>1771</v>
      </c>
      <c r="E1946" s="1561" t="s">
        <v>1908</v>
      </c>
      <c r="F1946" s="903"/>
      <c r="G1946" s="903">
        <v>75</v>
      </c>
      <c r="H1946" s="903">
        <v>75</v>
      </c>
      <c r="I1946" s="898">
        <f t="shared" si="88"/>
        <v>100</v>
      </c>
    </row>
    <row r="1947" spans="1:9" ht="14.25" customHeight="1" x14ac:dyDescent="0.2">
      <c r="A1947" s="435"/>
      <c r="B1947" s="808"/>
      <c r="C1947" s="1551"/>
      <c r="D1947" s="1569" t="s">
        <v>1773</v>
      </c>
      <c r="E1947" s="1561" t="s">
        <v>1908</v>
      </c>
      <c r="F1947" s="903"/>
      <c r="G1947" s="903">
        <v>425</v>
      </c>
      <c r="H1947" s="903">
        <v>425</v>
      </c>
      <c r="I1947" s="898">
        <f t="shared" si="88"/>
        <v>100</v>
      </c>
    </row>
    <row r="1948" spans="1:9" ht="14.25" customHeight="1" x14ac:dyDescent="0.25">
      <c r="A1948" s="435">
        <v>1208</v>
      </c>
      <c r="B1948" s="808">
        <v>3141</v>
      </c>
      <c r="C1948" s="1551">
        <v>5336</v>
      </c>
      <c r="D1948" s="594"/>
      <c r="E1948" s="1564" t="s">
        <v>1357</v>
      </c>
      <c r="F1948" s="916"/>
      <c r="G1948" s="916">
        <v>781</v>
      </c>
      <c r="H1948" s="916">
        <v>781</v>
      </c>
      <c r="I1948" s="908">
        <f t="shared" si="88"/>
        <v>100</v>
      </c>
    </row>
    <row r="1949" spans="1:9" ht="14.25" x14ac:dyDescent="0.2">
      <c r="A1949" s="435"/>
      <c r="B1949" s="808"/>
      <c r="C1949" s="1551"/>
      <c r="D1949" s="578" t="s">
        <v>1267</v>
      </c>
      <c r="E1949" s="474" t="s">
        <v>882</v>
      </c>
      <c r="F1949" s="903"/>
      <c r="G1949" s="903">
        <v>781</v>
      </c>
      <c r="H1949" s="903">
        <v>781</v>
      </c>
      <c r="I1949" s="898">
        <f t="shared" si="88"/>
        <v>100</v>
      </c>
    </row>
    <row r="1950" spans="1:9" ht="15" x14ac:dyDescent="0.25">
      <c r="A1950" s="435">
        <v>1208</v>
      </c>
      <c r="B1950" s="808">
        <v>3142</v>
      </c>
      <c r="C1950" s="1551">
        <v>5331</v>
      </c>
      <c r="D1950" s="912"/>
      <c r="E1950" s="704" t="s">
        <v>1066</v>
      </c>
      <c r="F1950" s="905">
        <f>F1951+F1952</f>
        <v>946</v>
      </c>
      <c r="G1950" s="905">
        <f>G1951+G1952</f>
        <v>946</v>
      </c>
      <c r="H1950" s="905">
        <f>H1951+H1952</f>
        <v>946</v>
      </c>
      <c r="I1950" s="906">
        <f t="shared" si="88"/>
        <v>100</v>
      </c>
    </row>
    <row r="1951" spans="1:9" ht="14.25" x14ac:dyDescent="0.2">
      <c r="A1951" s="435"/>
      <c r="B1951" s="808"/>
      <c r="C1951" s="1551"/>
      <c r="D1951" s="743" t="s">
        <v>641</v>
      </c>
      <c r="E1951" s="1679" t="s">
        <v>883</v>
      </c>
      <c r="F1951" s="903">
        <v>233</v>
      </c>
      <c r="G1951" s="903">
        <v>233</v>
      </c>
      <c r="H1951" s="903">
        <v>233</v>
      </c>
      <c r="I1951" s="898">
        <v>100</v>
      </c>
    </row>
    <row r="1952" spans="1:9" ht="14.25" x14ac:dyDescent="0.2">
      <c r="A1952" s="435"/>
      <c r="B1952" s="808"/>
      <c r="C1952" s="1551"/>
      <c r="D1952" s="578" t="s">
        <v>636</v>
      </c>
      <c r="E1952" s="474" t="s">
        <v>72</v>
      </c>
      <c r="F1952" s="903">
        <v>713</v>
      </c>
      <c r="G1952" s="903">
        <v>713</v>
      </c>
      <c r="H1952" s="903">
        <v>713</v>
      </c>
      <c r="I1952" s="898">
        <v>100</v>
      </c>
    </row>
    <row r="1953" spans="1:20" ht="15" x14ac:dyDescent="0.25">
      <c r="A1953" s="435">
        <v>1208</v>
      </c>
      <c r="B1953" s="808">
        <v>3142</v>
      </c>
      <c r="C1953" s="1551">
        <v>5336</v>
      </c>
      <c r="D1953" s="578"/>
      <c r="E1953" s="1564" t="s">
        <v>1357</v>
      </c>
      <c r="F1953" s="903"/>
      <c r="G1953" s="916">
        <v>1014</v>
      </c>
      <c r="H1953" s="916">
        <v>1014</v>
      </c>
      <c r="I1953" s="906">
        <f t="shared" ref="I1953" si="89">(H1953/G1953)*100</f>
        <v>100</v>
      </c>
    </row>
    <row r="1954" spans="1:20" ht="14.25" x14ac:dyDescent="0.2">
      <c r="A1954" s="435"/>
      <c r="B1954" s="808"/>
      <c r="C1954" s="1551"/>
      <c r="D1954" s="578" t="s">
        <v>1267</v>
      </c>
      <c r="E1954" s="474" t="s">
        <v>882</v>
      </c>
      <c r="F1954" s="903"/>
      <c r="G1954" s="903">
        <v>1014</v>
      </c>
      <c r="H1954" s="903">
        <v>1014</v>
      </c>
      <c r="I1954" s="898">
        <v>100</v>
      </c>
    </row>
    <row r="1955" spans="1:20" ht="15" x14ac:dyDescent="0.25">
      <c r="A1955" s="435">
        <v>1208</v>
      </c>
      <c r="B1955" s="808">
        <v>3147</v>
      </c>
      <c r="C1955" s="808">
        <v>5331</v>
      </c>
      <c r="D1955" s="929"/>
      <c r="E1955" s="704" t="s">
        <v>1066</v>
      </c>
      <c r="F1955" s="905">
        <f>F1956+F1957+F1958</f>
        <v>662</v>
      </c>
      <c r="G1955" s="905">
        <f>G1956+G1957+G1958</f>
        <v>902</v>
      </c>
      <c r="H1955" s="905">
        <f>H1956+H1957+H1958</f>
        <v>902</v>
      </c>
      <c r="I1955" s="906">
        <f t="shared" ref="I1955:I1964" si="90">(H1955/G1955)*100</f>
        <v>100</v>
      </c>
    </row>
    <row r="1956" spans="1:20" ht="14.25" x14ac:dyDescent="0.2">
      <c r="A1956" s="435"/>
      <c r="B1956" s="808"/>
      <c r="C1956" s="808"/>
      <c r="D1956" s="743" t="s">
        <v>641</v>
      </c>
      <c r="E1956" s="1679" t="s">
        <v>883</v>
      </c>
      <c r="F1956" s="903">
        <v>262</v>
      </c>
      <c r="G1956" s="903">
        <v>262</v>
      </c>
      <c r="H1956" s="903">
        <v>262</v>
      </c>
      <c r="I1956" s="898">
        <f t="shared" si="90"/>
        <v>100</v>
      </c>
    </row>
    <row r="1957" spans="1:20" ht="14.25" x14ac:dyDescent="0.2">
      <c r="A1957" s="435"/>
      <c r="B1957" s="808"/>
      <c r="C1957" s="808"/>
      <c r="D1957" s="578" t="s">
        <v>636</v>
      </c>
      <c r="E1957" s="474" t="s">
        <v>72</v>
      </c>
      <c r="F1957" s="903">
        <v>400</v>
      </c>
      <c r="G1957" s="903">
        <v>400</v>
      </c>
      <c r="H1957" s="903">
        <v>400</v>
      </c>
      <c r="I1957" s="898">
        <f t="shared" si="90"/>
        <v>100</v>
      </c>
    </row>
    <row r="1958" spans="1:20" ht="14.25" x14ac:dyDescent="0.2">
      <c r="A1958" s="435"/>
      <c r="B1958" s="808"/>
      <c r="C1958" s="808"/>
      <c r="D1958" s="1565" t="s">
        <v>22</v>
      </c>
      <c r="E1958" s="1275" t="s">
        <v>1351</v>
      </c>
      <c r="F1958" s="903"/>
      <c r="G1958" s="903">
        <v>240</v>
      </c>
      <c r="H1958" s="903">
        <v>240</v>
      </c>
      <c r="I1958" s="898">
        <f t="shared" si="90"/>
        <v>100</v>
      </c>
    </row>
    <row r="1959" spans="1:20" ht="18" customHeight="1" x14ac:dyDescent="0.25">
      <c r="A1959" s="435">
        <v>1208</v>
      </c>
      <c r="B1959" s="808">
        <v>3147</v>
      </c>
      <c r="C1959" s="808">
        <v>5336</v>
      </c>
      <c r="D1959" s="1565"/>
      <c r="E1959" s="1564" t="s">
        <v>1357</v>
      </c>
      <c r="F1959" s="903"/>
      <c r="G1959" s="916">
        <v>2975</v>
      </c>
      <c r="H1959" s="916">
        <v>2975</v>
      </c>
      <c r="I1959" s="908">
        <f t="shared" si="90"/>
        <v>100</v>
      </c>
    </row>
    <row r="1960" spans="1:20" ht="18" customHeight="1" x14ac:dyDescent="0.2">
      <c r="A1960" s="435"/>
      <c r="B1960" s="808"/>
      <c r="C1960" s="808"/>
      <c r="D1960" s="578" t="s">
        <v>1267</v>
      </c>
      <c r="E1960" s="474" t="s">
        <v>882</v>
      </c>
      <c r="F1960" s="903"/>
      <c r="G1960" s="903">
        <v>2975</v>
      </c>
      <c r="H1960" s="903">
        <v>2975</v>
      </c>
      <c r="I1960" s="898">
        <f t="shared" si="90"/>
        <v>100</v>
      </c>
    </row>
    <row r="1961" spans="1:20" ht="18" customHeight="1" x14ac:dyDescent="0.25">
      <c r="A1961" s="435">
        <v>1208</v>
      </c>
      <c r="B1961" s="705">
        <v>3293</v>
      </c>
      <c r="C1961" s="1550">
        <v>5331</v>
      </c>
      <c r="D1961" s="899"/>
      <c r="E1961" s="854" t="s">
        <v>1066</v>
      </c>
      <c r="F1961" s="916"/>
      <c r="G1961" s="916">
        <v>13</v>
      </c>
      <c r="H1961" s="916">
        <v>13</v>
      </c>
      <c r="I1961" s="908">
        <f t="shared" si="90"/>
        <v>100</v>
      </c>
    </row>
    <row r="1962" spans="1:20" ht="14.25" x14ac:dyDescent="0.2">
      <c r="A1962" s="435"/>
      <c r="B1962" s="808"/>
      <c r="C1962" s="808"/>
      <c r="D1962" s="805" t="s">
        <v>1270</v>
      </c>
      <c r="E1962" s="1694" t="s">
        <v>62</v>
      </c>
      <c r="F1962" s="903"/>
      <c r="G1962" s="903">
        <v>13</v>
      </c>
      <c r="H1962" s="903">
        <v>13</v>
      </c>
      <c r="I1962" s="898">
        <f t="shared" si="90"/>
        <v>100</v>
      </c>
    </row>
    <row r="1963" spans="1:20" ht="15.75" customHeight="1" x14ac:dyDescent="0.25">
      <c r="A1963" s="435">
        <v>1208</v>
      </c>
      <c r="B1963" s="705">
        <v>3792</v>
      </c>
      <c r="C1963" s="1550">
        <v>5331</v>
      </c>
      <c r="D1963" s="899"/>
      <c r="E1963" s="854" t="s">
        <v>1066</v>
      </c>
      <c r="F1963" s="890"/>
      <c r="G1963" s="890">
        <v>25</v>
      </c>
      <c r="H1963" s="890">
        <v>25</v>
      </c>
      <c r="I1963" s="891">
        <v>25</v>
      </c>
    </row>
    <row r="1964" spans="1:20" ht="15.75" customHeight="1" thickBot="1" x14ac:dyDescent="0.3">
      <c r="A1964" s="435"/>
      <c r="B1964" s="705"/>
      <c r="C1964" s="1550"/>
      <c r="D1964" s="1192" t="s">
        <v>1479</v>
      </c>
      <c r="E1964" s="1282" t="s">
        <v>1259</v>
      </c>
      <c r="F1964" s="890"/>
      <c r="G1964" s="357">
        <v>25</v>
      </c>
      <c r="H1964" s="907">
        <v>25</v>
      </c>
      <c r="I1964" s="898">
        <f t="shared" si="90"/>
        <v>100</v>
      </c>
    </row>
    <row r="1965" spans="1:20" ht="16.5" thickTop="1" thickBot="1" x14ac:dyDescent="0.3">
      <c r="A1965" s="2739" t="s">
        <v>1246</v>
      </c>
      <c r="B1965" s="2740"/>
      <c r="C1965" s="2740"/>
      <c r="D1965" s="2740"/>
      <c r="E1965" s="2740"/>
      <c r="F1965" s="894">
        <f>F1939+F1950+F1955</f>
        <v>5634</v>
      </c>
      <c r="G1965" s="894">
        <f>G1937+G1939+G1944+G1948+G1950+G1953+G1955+G1959+G1961+G1963</f>
        <v>22706</v>
      </c>
      <c r="H1965" s="894">
        <f>H1937+H1939+H1944+H1948+H1950+H1953+H1955+H1959+H1961+H1963</f>
        <v>22706</v>
      </c>
      <c r="I1965" s="895">
        <f>(H1965/G1965)*100</f>
        <v>100</v>
      </c>
      <c r="R1965" s="385">
        <f>F1965</f>
        <v>5634</v>
      </c>
      <c r="S1965" s="385">
        <f>G1965</f>
        <v>22706</v>
      </c>
      <c r="T1965" s="385">
        <f>H1965</f>
        <v>22706</v>
      </c>
    </row>
    <row r="1966" spans="1:20" s="386" customFormat="1" ht="12" customHeight="1" thickTop="1" x14ac:dyDescent="0.2">
      <c r="A1966" s="384"/>
      <c r="B1966" s="669"/>
      <c r="C1966" s="384"/>
      <c r="D1966" s="884"/>
      <c r="E1966" s="384"/>
      <c r="F1966" s="385"/>
      <c r="G1966" s="385"/>
      <c r="H1966" s="385"/>
      <c r="I1966" s="1548"/>
    </row>
    <row r="1967" spans="1:20" ht="13.5" thickBot="1" x14ac:dyDescent="0.25">
      <c r="A1967" s="439" t="s">
        <v>371</v>
      </c>
      <c r="I1967" s="1548" t="s">
        <v>179</v>
      </c>
    </row>
    <row r="1968" spans="1:20" ht="14.25" thickTop="1" thickBot="1" x14ac:dyDescent="0.25">
      <c r="A1968" s="657" t="s">
        <v>692</v>
      </c>
      <c r="B1968" s="835" t="s">
        <v>180</v>
      </c>
      <c r="C1968" s="658" t="s">
        <v>181</v>
      </c>
      <c r="D1968" s="660" t="s">
        <v>783</v>
      </c>
      <c r="E1968" s="660" t="s">
        <v>182</v>
      </c>
      <c r="F1968" s="660" t="s">
        <v>183</v>
      </c>
      <c r="G1968" s="660" t="s">
        <v>985</v>
      </c>
      <c r="H1968" s="660" t="s">
        <v>986</v>
      </c>
      <c r="I1968" s="888" t="s">
        <v>987</v>
      </c>
    </row>
    <row r="1969" spans="1:20" ht="14.25" thickTop="1" thickBot="1" x14ac:dyDescent="0.25">
      <c r="A1969" s="592">
        <v>1</v>
      </c>
      <c r="B1969" s="593">
        <v>2</v>
      </c>
      <c r="C1969" s="593">
        <v>3</v>
      </c>
      <c r="D1969" s="593">
        <v>4</v>
      </c>
      <c r="E1969" s="593">
        <v>5</v>
      </c>
      <c r="F1969" s="567">
        <v>6</v>
      </c>
      <c r="G1969" s="567">
        <v>7</v>
      </c>
      <c r="H1969" s="568">
        <v>8</v>
      </c>
      <c r="I1969" s="662" t="s">
        <v>848</v>
      </c>
    </row>
    <row r="1970" spans="1:20" ht="15.75" thickTop="1" x14ac:dyDescent="0.25">
      <c r="A1970" s="1562">
        <v>1212</v>
      </c>
      <c r="B1970" s="917">
        <v>3122</v>
      </c>
      <c r="C1970" s="917">
        <v>5336</v>
      </c>
      <c r="D1970" s="922"/>
      <c r="E1970" s="1564" t="s">
        <v>1357</v>
      </c>
      <c r="F1970" s="915"/>
      <c r="G1970" s="915">
        <v>2554</v>
      </c>
      <c r="H1970" s="915">
        <v>2554</v>
      </c>
      <c r="I1970" s="919">
        <f>(H1970/G1970)*100</f>
        <v>100</v>
      </c>
    </row>
    <row r="1971" spans="1:20" ht="14.25" x14ac:dyDescent="0.2">
      <c r="A1971" s="435"/>
      <c r="B1971" s="705"/>
      <c r="C1971" s="705"/>
      <c r="D1971" s="578" t="s">
        <v>1267</v>
      </c>
      <c r="E1971" s="474" t="s">
        <v>882</v>
      </c>
      <c r="F1971" s="897"/>
      <c r="G1971" s="897">
        <v>2554</v>
      </c>
      <c r="H1971" s="897">
        <v>2554</v>
      </c>
      <c r="I1971" s="893">
        <f>(H1971/G1971)*100</f>
        <v>100</v>
      </c>
    </row>
    <row r="1972" spans="1:20" ht="15" x14ac:dyDescent="0.25">
      <c r="A1972" s="435">
        <v>1212</v>
      </c>
      <c r="B1972" s="705">
        <v>3123</v>
      </c>
      <c r="C1972" s="705">
        <v>5331</v>
      </c>
      <c r="D1972" s="889"/>
      <c r="E1972" s="854" t="s">
        <v>1066</v>
      </c>
      <c r="F1972" s="890">
        <f>F1973+F1974+F1975</f>
        <v>3032</v>
      </c>
      <c r="G1972" s="890">
        <f>G1973+G1974+G1975</f>
        <v>3189</v>
      </c>
      <c r="H1972" s="890">
        <f>H1973+H1974+H1975</f>
        <v>3189</v>
      </c>
      <c r="I1972" s="891">
        <f t="shared" ref="I1972:I1983" si="91">(H1972/G1972)*100</f>
        <v>100</v>
      </c>
    </row>
    <row r="1973" spans="1:20" ht="14.25" x14ac:dyDescent="0.2">
      <c r="A1973" s="435"/>
      <c r="B1973" s="705"/>
      <c r="C1973" s="705"/>
      <c r="D1973" s="743" t="s">
        <v>641</v>
      </c>
      <c r="E1973" s="1679" t="s">
        <v>883</v>
      </c>
      <c r="F1973" s="897">
        <v>79</v>
      </c>
      <c r="G1973" s="897">
        <v>179</v>
      </c>
      <c r="H1973" s="897">
        <v>179</v>
      </c>
      <c r="I1973" s="893">
        <f t="shared" si="91"/>
        <v>100</v>
      </c>
    </row>
    <row r="1974" spans="1:20" ht="14.25" x14ac:dyDescent="0.2">
      <c r="A1974" s="435"/>
      <c r="B1974" s="705"/>
      <c r="C1974" s="705"/>
      <c r="D1974" s="578" t="s">
        <v>636</v>
      </c>
      <c r="E1974" s="474" t="s">
        <v>72</v>
      </c>
      <c r="F1974" s="897">
        <v>2953</v>
      </c>
      <c r="G1974" s="897">
        <v>2953</v>
      </c>
      <c r="H1974" s="897">
        <v>2953</v>
      </c>
      <c r="I1974" s="893">
        <f t="shared" si="91"/>
        <v>100</v>
      </c>
    </row>
    <row r="1975" spans="1:20" ht="14.25" x14ac:dyDescent="0.2">
      <c r="A1975" s="435"/>
      <c r="B1975" s="705"/>
      <c r="C1975" s="705"/>
      <c r="D1975" s="1179" t="s">
        <v>1038</v>
      </c>
      <c r="E1975" s="1275" t="s">
        <v>1363</v>
      </c>
      <c r="F1975" s="897"/>
      <c r="G1975" s="897">
        <v>57</v>
      </c>
      <c r="H1975" s="897">
        <v>57</v>
      </c>
      <c r="I1975" s="893">
        <f t="shared" si="91"/>
        <v>100</v>
      </c>
    </row>
    <row r="1976" spans="1:20" ht="15" x14ac:dyDescent="0.25">
      <c r="A1976" s="435">
        <v>1212</v>
      </c>
      <c r="B1976" s="705">
        <v>3123</v>
      </c>
      <c r="C1976" s="705">
        <v>5336</v>
      </c>
      <c r="D1976" s="1179"/>
      <c r="E1976" s="1564" t="s">
        <v>1357</v>
      </c>
      <c r="F1976" s="897"/>
      <c r="G1976" s="921">
        <f>G1977+G1978+G1979</f>
        <v>18390</v>
      </c>
      <c r="H1976" s="921">
        <f>H1977+H1978+H1979</f>
        <v>18390</v>
      </c>
      <c r="I1976" s="923">
        <f t="shared" si="91"/>
        <v>100</v>
      </c>
    </row>
    <row r="1977" spans="1:20" ht="14.25" x14ac:dyDescent="0.2">
      <c r="A1977" s="435"/>
      <c r="B1977" s="705"/>
      <c r="C1977" s="705"/>
      <c r="D1977" s="578" t="s">
        <v>1267</v>
      </c>
      <c r="E1977" s="474" t="s">
        <v>882</v>
      </c>
      <c r="F1977" s="897"/>
      <c r="G1977" s="897">
        <v>17542</v>
      </c>
      <c r="H1977" s="897">
        <v>17542</v>
      </c>
      <c r="I1977" s="893">
        <f t="shared" si="91"/>
        <v>100</v>
      </c>
    </row>
    <row r="1978" spans="1:20" ht="14.25" x14ac:dyDescent="0.2">
      <c r="A1978" s="435"/>
      <c r="B1978" s="808"/>
      <c r="C1978" s="808"/>
      <c r="D1978" s="1569" t="s">
        <v>1771</v>
      </c>
      <c r="E1978" s="1561" t="s">
        <v>1908</v>
      </c>
      <c r="F1978" s="903"/>
      <c r="G1978" s="903">
        <v>127</v>
      </c>
      <c r="H1978" s="903">
        <v>127</v>
      </c>
      <c r="I1978" s="898">
        <f t="shared" si="91"/>
        <v>100</v>
      </c>
    </row>
    <row r="1979" spans="1:20" ht="14.25" x14ac:dyDescent="0.2">
      <c r="A1979" s="435"/>
      <c r="B1979" s="808"/>
      <c r="C1979" s="808"/>
      <c r="D1979" s="1569" t="s">
        <v>1773</v>
      </c>
      <c r="E1979" s="1561" t="s">
        <v>1908</v>
      </c>
      <c r="F1979" s="903"/>
      <c r="G1979" s="903">
        <v>721</v>
      </c>
      <c r="H1979" s="903">
        <v>721</v>
      </c>
      <c r="I1979" s="898">
        <f t="shared" si="91"/>
        <v>100</v>
      </c>
    </row>
    <row r="1980" spans="1:20" ht="15" x14ac:dyDescent="0.25">
      <c r="A1980" s="435">
        <v>1212</v>
      </c>
      <c r="B1980" s="808">
        <v>3142</v>
      </c>
      <c r="C1980" s="808">
        <v>5331</v>
      </c>
      <c r="D1980" s="929"/>
      <c r="E1980" s="704" t="s">
        <v>1066</v>
      </c>
      <c r="F1980" s="905">
        <v>250</v>
      </c>
      <c r="G1980" s="905">
        <v>250</v>
      </c>
      <c r="H1980" s="905">
        <v>250</v>
      </c>
      <c r="I1980" s="906">
        <f t="shared" si="91"/>
        <v>100</v>
      </c>
    </row>
    <row r="1981" spans="1:20" ht="14.25" x14ac:dyDescent="0.2">
      <c r="A1981" s="435"/>
      <c r="B1981" s="808"/>
      <c r="C1981" s="808"/>
      <c r="D1981" s="578" t="s">
        <v>636</v>
      </c>
      <c r="E1981" s="474" t="s">
        <v>72</v>
      </c>
      <c r="F1981" s="903">
        <v>250</v>
      </c>
      <c r="G1981" s="903">
        <v>250</v>
      </c>
      <c r="H1981" s="903">
        <v>191</v>
      </c>
      <c r="I1981" s="898">
        <f t="shared" si="91"/>
        <v>76.400000000000006</v>
      </c>
    </row>
    <row r="1982" spans="1:20" ht="15" x14ac:dyDescent="0.25">
      <c r="A1982" s="435">
        <v>1212</v>
      </c>
      <c r="B1982" s="808">
        <v>3293</v>
      </c>
      <c r="C1982" s="808">
        <v>5331</v>
      </c>
      <c r="D1982" s="578"/>
      <c r="E1982" s="704" t="s">
        <v>1066</v>
      </c>
      <c r="F1982" s="916"/>
      <c r="G1982" s="916">
        <v>4</v>
      </c>
      <c r="H1982" s="916">
        <v>4</v>
      </c>
      <c r="I1982" s="908">
        <f t="shared" si="91"/>
        <v>100</v>
      </c>
    </row>
    <row r="1983" spans="1:20" ht="13.5" customHeight="1" thickBot="1" x14ac:dyDescent="0.25">
      <c r="A1983" s="435"/>
      <c r="B1983" s="808"/>
      <c r="C1983" s="808"/>
      <c r="D1983" s="805" t="s">
        <v>1270</v>
      </c>
      <c r="E1983" s="1694" t="s">
        <v>62</v>
      </c>
      <c r="F1983" s="903"/>
      <c r="G1983" s="903">
        <v>4</v>
      </c>
      <c r="H1983" s="903">
        <v>4</v>
      </c>
      <c r="I1983" s="898">
        <f t="shared" si="91"/>
        <v>100</v>
      </c>
    </row>
    <row r="1984" spans="1:20" ht="16.5" thickTop="1" thickBot="1" x14ac:dyDescent="0.3">
      <c r="A1984" s="2739" t="s">
        <v>1246</v>
      </c>
      <c r="B1984" s="2740"/>
      <c r="C1984" s="2740"/>
      <c r="D1984" s="2740"/>
      <c r="E1984" s="2740"/>
      <c r="F1984" s="894">
        <f>F1972+F1980</f>
        <v>3282</v>
      </c>
      <c r="G1984" s="894">
        <f>G1970+G1972+G1976+G1980+G1982</f>
        <v>24387</v>
      </c>
      <c r="H1984" s="894">
        <f>H1970+H1972+H1976+H1980+H1982</f>
        <v>24387</v>
      </c>
      <c r="I1984" s="895">
        <f>(H1984/G1984)*100</f>
        <v>100</v>
      </c>
      <c r="R1984" s="385">
        <f>F1984</f>
        <v>3282</v>
      </c>
      <c r="S1984" s="385">
        <f>G1984</f>
        <v>24387</v>
      </c>
      <c r="T1984" s="385">
        <f>H1984</f>
        <v>24387</v>
      </c>
    </row>
    <row r="1985" spans="1:23" ht="15.75" thickTop="1" x14ac:dyDescent="0.25">
      <c r="A1985" s="435">
        <v>1212</v>
      </c>
      <c r="B1985" s="705">
        <v>3123</v>
      </c>
      <c r="C1985" s="705">
        <v>6351</v>
      </c>
      <c r="D1985" s="889"/>
      <c r="E1985" s="650" t="s">
        <v>1317</v>
      </c>
      <c r="F1985" s="890"/>
      <c r="G1985" s="890">
        <v>1137</v>
      </c>
      <c r="H1985" s="890">
        <v>1137</v>
      </c>
      <c r="I1985" s="891">
        <f>(H1985/G1985)*100</f>
        <v>100</v>
      </c>
    </row>
    <row r="1986" spans="1:23" ht="15.75" thickBot="1" x14ac:dyDescent="0.3">
      <c r="A1986" s="435"/>
      <c r="B1986" s="705"/>
      <c r="C1986" s="705"/>
      <c r="D1986" s="1438" t="s">
        <v>1329</v>
      </c>
      <c r="E1986" s="1441" t="s">
        <v>1664</v>
      </c>
      <c r="F1986" s="890"/>
      <c r="G1986" s="357">
        <v>1137</v>
      </c>
      <c r="H1986" s="357">
        <v>1137</v>
      </c>
      <c r="I1986" s="898">
        <f>(H1986/G1986)*100</f>
        <v>100</v>
      </c>
    </row>
    <row r="1987" spans="1:23" ht="16.5" thickTop="1" thickBot="1" x14ac:dyDescent="0.3">
      <c r="A1987" s="2739" t="s">
        <v>1247</v>
      </c>
      <c r="B1987" s="2740"/>
      <c r="C1987" s="2740"/>
      <c r="D1987" s="2740"/>
      <c r="E1987" s="2740"/>
      <c r="F1987" s="894">
        <v>0</v>
      </c>
      <c r="G1987" s="894">
        <f>G1985</f>
        <v>1137</v>
      </c>
      <c r="H1987" s="894">
        <f>SUM(H1985)</f>
        <v>1137</v>
      </c>
      <c r="I1987" s="895">
        <f>(H1987/G1987)*100</f>
        <v>100</v>
      </c>
      <c r="U1987" s="385">
        <f>F1987</f>
        <v>0</v>
      </c>
      <c r="V1987" s="385">
        <f>G1987</f>
        <v>1137</v>
      </c>
      <c r="W1987" s="385">
        <f>H1987</f>
        <v>1137</v>
      </c>
    </row>
    <row r="1988" spans="1:23" s="107" customFormat="1" ht="13.5" thickTop="1" x14ac:dyDescent="0.2">
      <c r="A1988" s="384"/>
      <c r="B1988" s="669"/>
      <c r="C1988" s="384"/>
      <c r="D1988" s="884"/>
      <c r="E1988" s="384"/>
      <c r="F1988" s="385"/>
      <c r="G1988" s="385"/>
      <c r="H1988" s="385"/>
      <c r="I1988" s="1548"/>
    </row>
    <row r="1989" spans="1:23" ht="13.5" thickBot="1" x14ac:dyDescent="0.25">
      <c r="A1989" s="439" t="s">
        <v>353</v>
      </c>
      <c r="I1989" s="1548" t="s">
        <v>179</v>
      </c>
    </row>
    <row r="1990" spans="1:23" ht="14.25" thickTop="1" thickBot="1" x14ac:dyDescent="0.25">
      <c r="A1990" s="657" t="s">
        <v>692</v>
      </c>
      <c r="B1990" s="835" t="s">
        <v>180</v>
      </c>
      <c r="C1990" s="658" t="s">
        <v>181</v>
      </c>
      <c r="D1990" s="660" t="s">
        <v>783</v>
      </c>
      <c r="E1990" s="660" t="s">
        <v>182</v>
      </c>
      <c r="F1990" s="660" t="s">
        <v>183</v>
      </c>
      <c r="G1990" s="660" t="s">
        <v>985</v>
      </c>
      <c r="H1990" s="660" t="s">
        <v>986</v>
      </c>
      <c r="I1990" s="888" t="s">
        <v>987</v>
      </c>
    </row>
    <row r="1991" spans="1:23" ht="14.25" thickTop="1" thickBot="1" x14ac:dyDescent="0.25">
      <c r="A1991" s="592">
        <v>1</v>
      </c>
      <c r="B1991" s="593">
        <v>2</v>
      </c>
      <c r="C1991" s="593">
        <v>3</v>
      </c>
      <c r="D1991" s="593">
        <v>4</v>
      </c>
      <c r="E1991" s="593">
        <v>5</v>
      </c>
      <c r="F1991" s="567">
        <v>6</v>
      </c>
      <c r="G1991" s="567">
        <v>7</v>
      </c>
      <c r="H1991" s="568">
        <v>8</v>
      </c>
      <c r="I1991" s="662" t="s">
        <v>848</v>
      </c>
    </row>
    <row r="1992" spans="1:23" ht="15.75" thickTop="1" x14ac:dyDescent="0.25">
      <c r="A1992" s="1562">
        <v>1213</v>
      </c>
      <c r="B1992" s="917">
        <v>3123</v>
      </c>
      <c r="C1992" s="917">
        <v>5331</v>
      </c>
      <c r="D1992" s="922"/>
      <c r="E1992" s="956" t="s">
        <v>1066</v>
      </c>
      <c r="F1992" s="915">
        <f>F1993+F1994</f>
        <v>2659</v>
      </c>
      <c r="G1992" s="915">
        <f>G1993+G1994</f>
        <v>1773</v>
      </c>
      <c r="H1992" s="915">
        <f>H1993+H1994</f>
        <v>1773</v>
      </c>
      <c r="I1992" s="919">
        <f t="shared" ref="I1992:I2014" si="92">(H1992/G1992)*100</f>
        <v>100</v>
      </c>
    </row>
    <row r="1993" spans="1:23" ht="14.25" x14ac:dyDescent="0.2">
      <c r="A1993" s="435"/>
      <c r="B1993" s="705"/>
      <c r="C1993" s="705"/>
      <c r="D1993" s="743" t="s">
        <v>641</v>
      </c>
      <c r="E1993" s="1679" t="s">
        <v>883</v>
      </c>
      <c r="F1993" s="897">
        <v>373</v>
      </c>
      <c r="G1993" s="897">
        <v>248</v>
      </c>
      <c r="H1993" s="897">
        <v>248</v>
      </c>
      <c r="I1993" s="893">
        <f t="shared" si="92"/>
        <v>100</v>
      </c>
    </row>
    <row r="1994" spans="1:23" ht="14.25" x14ac:dyDescent="0.2">
      <c r="A1994" s="435"/>
      <c r="B1994" s="705"/>
      <c r="C1994" s="705"/>
      <c r="D1994" s="578" t="s">
        <v>636</v>
      </c>
      <c r="E1994" s="474" t="s">
        <v>72</v>
      </c>
      <c r="F1994" s="897">
        <v>2286</v>
      </c>
      <c r="G1994" s="897">
        <v>1525</v>
      </c>
      <c r="H1994" s="897">
        <v>1525</v>
      </c>
      <c r="I1994" s="893">
        <f t="shared" si="92"/>
        <v>100</v>
      </c>
    </row>
    <row r="1995" spans="1:23" ht="15" x14ac:dyDescent="0.25">
      <c r="A1995" s="435">
        <v>1213</v>
      </c>
      <c r="B1995" s="705">
        <v>3123</v>
      </c>
      <c r="C1995" s="705">
        <v>5336</v>
      </c>
      <c r="D1995" s="578"/>
      <c r="E1995" s="1564" t="s">
        <v>1357</v>
      </c>
      <c r="F1995" s="897"/>
      <c r="G1995" s="916">
        <f>G1996+G1997+G1998</f>
        <v>9113</v>
      </c>
      <c r="H1995" s="916">
        <f>H1996+H1997+H1998</f>
        <v>9113</v>
      </c>
      <c r="I1995" s="923">
        <f t="shared" si="92"/>
        <v>100</v>
      </c>
    </row>
    <row r="1996" spans="1:23" ht="14.25" x14ac:dyDescent="0.2">
      <c r="A1996" s="435"/>
      <c r="B1996" s="705"/>
      <c r="C1996" s="1550"/>
      <c r="D1996" s="578" t="s">
        <v>1267</v>
      </c>
      <c r="E1996" s="474" t="s">
        <v>882</v>
      </c>
      <c r="F1996" s="897"/>
      <c r="G1996" s="903">
        <v>8644</v>
      </c>
      <c r="H1996" s="903">
        <v>8644</v>
      </c>
      <c r="I1996" s="893">
        <f t="shared" si="92"/>
        <v>100</v>
      </c>
    </row>
    <row r="1997" spans="1:23" ht="14.25" x14ac:dyDescent="0.2">
      <c r="A1997" s="435"/>
      <c r="B1997" s="808"/>
      <c r="C1997" s="1551"/>
      <c r="D1997" s="1569" t="s">
        <v>1771</v>
      </c>
      <c r="E1997" s="1561" t="s">
        <v>1908</v>
      </c>
      <c r="F1997" s="903"/>
      <c r="G1997" s="903">
        <v>70</v>
      </c>
      <c r="H1997" s="903">
        <v>70</v>
      </c>
      <c r="I1997" s="898">
        <f t="shared" si="92"/>
        <v>100</v>
      </c>
    </row>
    <row r="1998" spans="1:23" ht="14.25" x14ac:dyDescent="0.2">
      <c r="A1998" s="435"/>
      <c r="B1998" s="808"/>
      <c r="C1998" s="1551"/>
      <c r="D1998" s="1569" t="s">
        <v>1773</v>
      </c>
      <c r="E1998" s="1561" t="s">
        <v>1908</v>
      </c>
      <c r="F1998" s="903"/>
      <c r="G1998" s="903">
        <v>399</v>
      </c>
      <c r="H1998" s="903">
        <v>399</v>
      </c>
      <c r="I1998" s="898">
        <f t="shared" si="92"/>
        <v>100</v>
      </c>
    </row>
    <row r="1999" spans="1:23" ht="15" x14ac:dyDescent="0.25">
      <c r="A1999" s="435">
        <v>1213</v>
      </c>
      <c r="B1999" s="808">
        <v>3142</v>
      </c>
      <c r="C1999" s="808">
        <v>5331</v>
      </c>
      <c r="D1999" s="929"/>
      <c r="E1999" s="704" t="s">
        <v>1066</v>
      </c>
      <c r="F1999" s="905">
        <f>F2000+F2001</f>
        <v>278</v>
      </c>
      <c r="G1999" s="905">
        <f>G2000+G2001</f>
        <v>176</v>
      </c>
      <c r="H1999" s="905">
        <f>H2000+H2001</f>
        <v>176</v>
      </c>
      <c r="I1999" s="906">
        <f t="shared" si="92"/>
        <v>100</v>
      </c>
    </row>
    <row r="2000" spans="1:23" ht="14.25" x14ac:dyDescent="0.2">
      <c r="A2000" s="435"/>
      <c r="B2000" s="808"/>
      <c r="C2000" s="808"/>
      <c r="D2000" s="743" t="s">
        <v>641</v>
      </c>
      <c r="E2000" s="1679" t="s">
        <v>883</v>
      </c>
      <c r="F2000" s="903">
        <v>33</v>
      </c>
      <c r="G2000" s="903">
        <v>26</v>
      </c>
      <c r="H2000" s="903">
        <v>26</v>
      </c>
      <c r="I2000" s="898">
        <f t="shared" si="92"/>
        <v>100</v>
      </c>
    </row>
    <row r="2001" spans="1:20" ht="15" thickBot="1" x14ac:dyDescent="0.25">
      <c r="A2001" s="435"/>
      <c r="B2001" s="808"/>
      <c r="C2001" s="808"/>
      <c r="D2001" s="578" t="s">
        <v>636</v>
      </c>
      <c r="E2001" s="474" t="s">
        <v>72</v>
      </c>
      <c r="F2001" s="903">
        <v>245</v>
      </c>
      <c r="G2001" s="903">
        <v>150</v>
      </c>
      <c r="H2001" s="903">
        <v>150</v>
      </c>
      <c r="I2001" s="925">
        <f t="shared" si="92"/>
        <v>100</v>
      </c>
    </row>
    <row r="2002" spans="1:20" s="1555" customFormat="1" ht="15" thickTop="1" x14ac:dyDescent="0.2">
      <c r="A2002" s="1716"/>
      <c r="B2002" s="680"/>
      <c r="C2002" s="680"/>
      <c r="D2002" s="1717"/>
      <c r="E2002" s="1161"/>
      <c r="F2002" s="1718"/>
      <c r="G2002" s="1718"/>
      <c r="H2002" s="1718"/>
    </row>
    <row r="2003" spans="1:20" s="1555" customFormat="1" ht="14.25" x14ac:dyDescent="0.2">
      <c r="B2003" s="803"/>
      <c r="C2003" s="803"/>
      <c r="D2003" s="853"/>
      <c r="E2003" s="67"/>
      <c r="F2003" s="911"/>
      <c r="G2003" s="911"/>
      <c r="H2003" s="911"/>
    </row>
    <row r="2004" spans="1:20" s="1555" customFormat="1" ht="14.25" x14ac:dyDescent="0.2">
      <c r="B2004" s="803"/>
      <c r="C2004" s="803"/>
      <c r="D2004" s="853"/>
      <c r="E2004" s="67"/>
      <c r="F2004" s="911"/>
      <c r="G2004" s="911"/>
      <c r="H2004" s="911"/>
      <c r="I2004" s="2628"/>
    </row>
    <row r="2005" spans="1:20" ht="15" thickBot="1" x14ac:dyDescent="0.25">
      <c r="A2005" s="2594"/>
      <c r="B2005" s="807"/>
      <c r="C2005" s="807"/>
      <c r="D2005" s="2595"/>
      <c r="E2005" s="2596"/>
      <c r="F2005" s="2597"/>
      <c r="G2005" s="2597"/>
      <c r="H2005" s="2597"/>
      <c r="I2005" s="2628" t="s">
        <v>1379</v>
      </c>
    </row>
    <row r="2006" spans="1:20" ht="14.25" thickTop="1" thickBot="1" x14ac:dyDescent="0.25">
      <c r="A2006" s="657" t="s">
        <v>692</v>
      </c>
      <c r="B2006" s="835" t="s">
        <v>180</v>
      </c>
      <c r="C2006" s="658" t="s">
        <v>181</v>
      </c>
      <c r="D2006" s="660" t="s">
        <v>783</v>
      </c>
      <c r="E2006" s="660" t="s">
        <v>182</v>
      </c>
      <c r="F2006" s="660" t="s">
        <v>183</v>
      </c>
      <c r="G2006" s="660" t="s">
        <v>985</v>
      </c>
      <c r="H2006" s="660" t="s">
        <v>986</v>
      </c>
      <c r="I2006" s="888" t="s">
        <v>987</v>
      </c>
    </row>
    <row r="2007" spans="1:20" ht="14.25" thickTop="1" thickBot="1" x14ac:dyDescent="0.25">
      <c r="A2007" s="592">
        <v>1</v>
      </c>
      <c r="B2007" s="593">
        <v>2</v>
      </c>
      <c r="C2007" s="593">
        <v>3</v>
      </c>
      <c r="D2007" s="593">
        <v>4</v>
      </c>
      <c r="E2007" s="593">
        <v>5</v>
      </c>
      <c r="F2007" s="567">
        <v>6</v>
      </c>
      <c r="G2007" s="567">
        <v>7</v>
      </c>
      <c r="H2007" s="568">
        <v>8</v>
      </c>
      <c r="I2007" s="662" t="s">
        <v>848</v>
      </c>
    </row>
    <row r="2008" spans="1:20" ht="15.75" thickTop="1" x14ac:dyDescent="0.25">
      <c r="A2008" s="435">
        <v>1213</v>
      </c>
      <c r="B2008" s="808">
        <v>3142</v>
      </c>
      <c r="C2008" s="808">
        <v>5336</v>
      </c>
      <c r="D2008" s="578"/>
      <c r="E2008" s="1564" t="s">
        <v>1357</v>
      </c>
      <c r="F2008" s="903"/>
      <c r="G2008" s="916">
        <v>324</v>
      </c>
      <c r="H2008" s="916">
        <v>324</v>
      </c>
      <c r="I2008" s="908">
        <f t="shared" si="92"/>
        <v>100</v>
      </c>
    </row>
    <row r="2009" spans="1:20" ht="14.25" x14ac:dyDescent="0.2">
      <c r="A2009" s="435"/>
      <c r="B2009" s="808"/>
      <c r="C2009" s="1551"/>
      <c r="D2009" s="578" t="s">
        <v>1267</v>
      </c>
      <c r="E2009" s="474" t="s">
        <v>882</v>
      </c>
      <c r="F2009" s="903"/>
      <c r="G2009" s="903">
        <v>324</v>
      </c>
      <c r="H2009" s="903">
        <v>324</v>
      </c>
      <c r="I2009" s="898">
        <f t="shared" si="92"/>
        <v>100</v>
      </c>
    </row>
    <row r="2010" spans="1:20" ht="15" x14ac:dyDescent="0.25">
      <c r="A2010" s="435">
        <v>1213</v>
      </c>
      <c r="B2010" s="808">
        <v>3147</v>
      </c>
      <c r="C2010" s="808">
        <v>5331</v>
      </c>
      <c r="D2010" s="929"/>
      <c r="E2010" s="704" t="s">
        <v>1066</v>
      </c>
      <c r="F2010" s="905">
        <f>F2011+F2012</f>
        <v>253</v>
      </c>
      <c r="G2010" s="905">
        <f>G2011+G2012</f>
        <v>183</v>
      </c>
      <c r="H2010" s="905">
        <f>H2011+H2012</f>
        <v>183</v>
      </c>
      <c r="I2010" s="906">
        <f t="shared" si="92"/>
        <v>100</v>
      </c>
    </row>
    <row r="2011" spans="1:20" ht="14.25" x14ac:dyDescent="0.2">
      <c r="A2011" s="435"/>
      <c r="B2011" s="808"/>
      <c r="C2011" s="808"/>
      <c r="D2011" s="743" t="s">
        <v>641</v>
      </c>
      <c r="E2011" s="1679" t="s">
        <v>883</v>
      </c>
      <c r="F2011" s="903">
        <v>121</v>
      </c>
      <c r="G2011" s="903">
        <v>83</v>
      </c>
      <c r="H2011" s="903">
        <v>83</v>
      </c>
      <c r="I2011" s="898">
        <f t="shared" si="92"/>
        <v>100</v>
      </c>
    </row>
    <row r="2012" spans="1:20" ht="14.25" x14ac:dyDescent="0.2">
      <c r="A2012" s="435"/>
      <c r="B2012" s="808"/>
      <c r="C2012" s="808"/>
      <c r="D2012" s="578" t="s">
        <v>636</v>
      </c>
      <c r="E2012" s="474" t="s">
        <v>72</v>
      </c>
      <c r="F2012" s="903">
        <v>132</v>
      </c>
      <c r="G2012" s="903">
        <v>100</v>
      </c>
      <c r="H2012" s="903">
        <v>100</v>
      </c>
      <c r="I2012" s="898">
        <f t="shared" si="92"/>
        <v>100</v>
      </c>
    </row>
    <row r="2013" spans="1:20" ht="15" x14ac:dyDescent="0.25">
      <c r="A2013" s="435">
        <v>1213</v>
      </c>
      <c r="B2013" s="808">
        <v>3147</v>
      </c>
      <c r="C2013" s="808">
        <v>5336</v>
      </c>
      <c r="D2013" s="578"/>
      <c r="E2013" s="1564" t="s">
        <v>1357</v>
      </c>
      <c r="F2013" s="903"/>
      <c r="G2013" s="916">
        <v>965</v>
      </c>
      <c r="H2013" s="916">
        <v>965</v>
      </c>
      <c r="I2013" s="908">
        <f t="shared" si="92"/>
        <v>100</v>
      </c>
    </row>
    <row r="2014" spans="1:20" ht="15" thickBot="1" x14ac:dyDescent="0.25">
      <c r="A2014" s="435"/>
      <c r="B2014" s="808"/>
      <c r="C2014" s="1551"/>
      <c r="D2014" s="578" t="s">
        <v>1267</v>
      </c>
      <c r="E2014" s="474" t="s">
        <v>882</v>
      </c>
      <c r="F2014" s="903"/>
      <c r="G2014" s="903">
        <v>965</v>
      </c>
      <c r="H2014" s="903">
        <v>965</v>
      </c>
      <c r="I2014" s="898">
        <f t="shared" si="92"/>
        <v>100</v>
      </c>
    </row>
    <row r="2015" spans="1:20" ht="16.5" thickTop="1" thickBot="1" x14ac:dyDescent="0.3">
      <c r="A2015" s="2739" t="s">
        <v>1246</v>
      </c>
      <c r="B2015" s="2740"/>
      <c r="C2015" s="2740"/>
      <c r="D2015" s="2740"/>
      <c r="E2015" s="2740"/>
      <c r="F2015" s="894">
        <f>F1992+F1999+F2010</f>
        <v>3190</v>
      </c>
      <c r="G2015" s="894">
        <f>G1992+G1995+G1999+G2008+G2010+G2013</f>
        <v>12534</v>
      </c>
      <c r="H2015" s="894">
        <f>H1992+H1995+H1999+H2008+H2010+H2013</f>
        <v>12534</v>
      </c>
      <c r="I2015" s="895">
        <f>(H2015/G2015)*100</f>
        <v>100</v>
      </c>
      <c r="R2015" s="385">
        <f>F2015</f>
        <v>3190</v>
      </c>
      <c r="S2015" s="385">
        <f>G2015</f>
        <v>12534</v>
      </c>
      <c r="T2015" s="385">
        <f>H2015</f>
        <v>12534</v>
      </c>
    </row>
    <row r="2016" spans="1:20" ht="13.5" thickTop="1" x14ac:dyDescent="0.2"/>
    <row r="2018" spans="1:9" ht="13.5" thickBot="1" x14ac:dyDescent="0.25">
      <c r="A2018" s="439" t="s">
        <v>354</v>
      </c>
      <c r="I2018" s="1548" t="s">
        <v>179</v>
      </c>
    </row>
    <row r="2019" spans="1:9" ht="14.25" thickTop="1" thickBot="1" x14ac:dyDescent="0.25">
      <c r="A2019" s="657" t="s">
        <v>692</v>
      </c>
      <c r="B2019" s="835" t="s">
        <v>180</v>
      </c>
      <c r="C2019" s="658" t="s">
        <v>181</v>
      </c>
      <c r="D2019" s="660" t="s">
        <v>783</v>
      </c>
      <c r="E2019" s="660" t="s">
        <v>182</v>
      </c>
      <c r="F2019" s="660" t="s">
        <v>183</v>
      </c>
      <c r="G2019" s="660" t="s">
        <v>985</v>
      </c>
      <c r="H2019" s="660" t="s">
        <v>986</v>
      </c>
      <c r="I2019" s="888" t="s">
        <v>987</v>
      </c>
    </row>
    <row r="2020" spans="1:9" ht="14.25" thickTop="1" thickBot="1" x14ac:dyDescent="0.25">
      <c r="A2020" s="592">
        <v>1</v>
      </c>
      <c r="B2020" s="593">
        <v>2</v>
      </c>
      <c r="C2020" s="593">
        <v>3</v>
      </c>
      <c r="D2020" s="593">
        <v>4</v>
      </c>
      <c r="E2020" s="593">
        <v>5</v>
      </c>
      <c r="F2020" s="567">
        <v>6</v>
      </c>
      <c r="G2020" s="567">
        <v>7</v>
      </c>
      <c r="H2020" s="568">
        <v>8</v>
      </c>
      <c r="I2020" s="662" t="s">
        <v>848</v>
      </c>
    </row>
    <row r="2021" spans="1:9" ht="15.75" thickTop="1" x14ac:dyDescent="0.25">
      <c r="A2021" s="1562">
        <v>1216</v>
      </c>
      <c r="B2021" s="917">
        <v>3123</v>
      </c>
      <c r="C2021" s="917">
        <v>5331</v>
      </c>
      <c r="D2021" s="922"/>
      <c r="E2021" s="956" t="s">
        <v>1066</v>
      </c>
      <c r="F2021" s="915">
        <f>F2022+F2023+F2024+F2025</f>
        <v>1811</v>
      </c>
      <c r="G2021" s="915">
        <f>G2022+G2023+G2024+G2025</f>
        <v>2299</v>
      </c>
      <c r="H2021" s="915">
        <f>H2022+H2023+H2024+H2025</f>
        <v>2299</v>
      </c>
      <c r="I2021" s="919">
        <f t="shared" ref="I2021:I2038" si="93">(H2021/G2021)*100</f>
        <v>100</v>
      </c>
    </row>
    <row r="2022" spans="1:9" ht="14.25" x14ac:dyDescent="0.2">
      <c r="A2022" s="435"/>
      <c r="B2022" s="705"/>
      <c r="C2022" s="705"/>
      <c r="D2022" s="743" t="s">
        <v>641</v>
      </c>
      <c r="E2022" s="1679" t="s">
        <v>883</v>
      </c>
      <c r="F2022" s="897">
        <v>310</v>
      </c>
      <c r="G2022" s="897">
        <v>319</v>
      </c>
      <c r="H2022" s="897">
        <v>319</v>
      </c>
      <c r="I2022" s="893">
        <f t="shared" si="93"/>
        <v>100</v>
      </c>
    </row>
    <row r="2023" spans="1:9" ht="14.25" x14ac:dyDescent="0.2">
      <c r="A2023" s="435"/>
      <c r="B2023" s="705"/>
      <c r="C2023" s="705"/>
      <c r="D2023" s="578" t="s">
        <v>636</v>
      </c>
      <c r="E2023" s="474" t="s">
        <v>72</v>
      </c>
      <c r="F2023" s="897">
        <v>1501</v>
      </c>
      <c r="G2023" s="897">
        <v>1501</v>
      </c>
      <c r="H2023" s="897">
        <v>1501</v>
      </c>
      <c r="I2023" s="893">
        <f t="shared" si="93"/>
        <v>100</v>
      </c>
    </row>
    <row r="2024" spans="1:9" ht="14.25" x14ac:dyDescent="0.2">
      <c r="A2024" s="435"/>
      <c r="B2024" s="705"/>
      <c r="C2024" s="705"/>
      <c r="D2024" s="1179" t="s">
        <v>1038</v>
      </c>
      <c r="E2024" s="1275" t="s">
        <v>1363</v>
      </c>
      <c r="F2024" s="897"/>
      <c r="G2024" s="897">
        <v>259</v>
      </c>
      <c r="H2024" s="897">
        <v>259</v>
      </c>
      <c r="I2024" s="893">
        <f t="shared" si="93"/>
        <v>100</v>
      </c>
    </row>
    <row r="2025" spans="1:9" ht="14.25" x14ac:dyDescent="0.2">
      <c r="A2025" s="435"/>
      <c r="B2025" s="705"/>
      <c r="C2025" s="705"/>
      <c r="D2025" s="1179" t="s">
        <v>1536</v>
      </c>
      <c r="E2025" s="1702" t="s">
        <v>1537</v>
      </c>
      <c r="F2025" s="897"/>
      <c r="G2025" s="897">
        <v>220</v>
      </c>
      <c r="H2025" s="897">
        <v>220</v>
      </c>
      <c r="I2025" s="893">
        <f t="shared" si="93"/>
        <v>100</v>
      </c>
    </row>
    <row r="2026" spans="1:9" ht="15" x14ac:dyDescent="0.25">
      <c r="A2026" s="435">
        <v>1216</v>
      </c>
      <c r="B2026" s="705">
        <v>3123</v>
      </c>
      <c r="C2026" s="705">
        <v>5336</v>
      </c>
      <c r="D2026" s="2536"/>
      <c r="E2026" s="1564" t="s">
        <v>1357</v>
      </c>
      <c r="F2026" s="897"/>
      <c r="G2026" s="921">
        <f>G2027+G2028+G2029</f>
        <v>9960</v>
      </c>
      <c r="H2026" s="921">
        <f>H2027+H2028+H2029</f>
        <v>9960</v>
      </c>
      <c r="I2026" s="923">
        <f t="shared" si="93"/>
        <v>100</v>
      </c>
    </row>
    <row r="2027" spans="1:9" ht="14.25" x14ac:dyDescent="0.2">
      <c r="A2027" s="435"/>
      <c r="B2027" s="705"/>
      <c r="C2027" s="705"/>
      <c r="D2027" s="578" t="s">
        <v>1267</v>
      </c>
      <c r="E2027" s="474" t="s">
        <v>882</v>
      </c>
      <c r="F2027" s="897"/>
      <c r="G2027" s="897">
        <v>9518</v>
      </c>
      <c r="H2027" s="897">
        <v>9518</v>
      </c>
      <c r="I2027" s="893">
        <f t="shared" si="93"/>
        <v>100</v>
      </c>
    </row>
    <row r="2028" spans="1:9" ht="14.25" x14ac:dyDescent="0.2">
      <c r="A2028" s="435"/>
      <c r="B2028" s="808"/>
      <c r="C2028" s="808"/>
      <c r="D2028" s="1569" t="s">
        <v>1771</v>
      </c>
      <c r="E2028" s="1561" t="s">
        <v>1908</v>
      </c>
      <c r="F2028" s="903"/>
      <c r="G2028" s="903">
        <v>66</v>
      </c>
      <c r="H2028" s="903">
        <v>66</v>
      </c>
      <c r="I2028" s="898">
        <f t="shared" si="93"/>
        <v>100</v>
      </c>
    </row>
    <row r="2029" spans="1:9" ht="14.25" x14ac:dyDescent="0.2">
      <c r="A2029" s="435"/>
      <c r="B2029" s="808"/>
      <c r="C2029" s="808"/>
      <c r="D2029" s="1569" t="s">
        <v>1773</v>
      </c>
      <c r="E2029" s="1561" t="s">
        <v>1908</v>
      </c>
      <c r="F2029" s="903"/>
      <c r="G2029" s="903">
        <v>376</v>
      </c>
      <c r="H2029" s="903">
        <v>376</v>
      </c>
      <c r="I2029" s="898">
        <f t="shared" si="93"/>
        <v>100</v>
      </c>
    </row>
    <row r="2030" spans="1:9" ht="15" x14ac:dyDescent="0.25">
      <c r="A2030" s="435">
        <v>1216</v>
      </c>
      <c r="B2030" s="808">
        <v>3124</v>
      </c>
      <c r="C2030" s="808">
        <v>5331</v>
      </c>
      <c r="D2030" s="929"/>
      <c r="E2030" s="704" t="s">
        <v>1066</v>
      </c>
      <c r="F2030" s="905">
        <f>SUM(F2031:F2034)</f>
        <v>260</v>
      </c>
      <c r="G2030" s="905">
        <f>G2031+G2032</f>
        <v>409</v>
      </c>
      <c r="H2030" s="905">
        <f>H2031+H2032</f>
        <v>409</v>
      </c>
      <c r="I2030" s="906">
        <f t="shared" si="93"/>
        <v>100</v>
      </c>
    </row>
    <row r="2031" spans="1:9" ht="14.25" x14ac:dyDescent="0.2">
      <c r="A2031" s="435"/>
      <c r="B2031" s="808"/>
      <c r="C2031" s="808"/>
      <c r="D2031" s="578" t="s">
        <v>636</v>
      </c>
      <c r="E2031" s="474" t="s">
        <v>72</v>
      </c>
      <c r="F2031" s="903">
        <v>260</v>
      </c>
      <c r="G2031" s="903">
        <v>260</v>
      </c>
      <c r="H2031" s="903">
        <v>260</v>
      </c>
      <c r="I2031" s="898">
        <f t="shared" si="93"/>
        <v>100</v>
      </c>
    </row>
    <row r="2032" spans="1:9" ht="14.25" x14ac:dyDescent="0.2">
      <c r="A2032" s="435"/>
      <c r="B2032" s="808"/>
      <c r="C2032" s="808"/>
      <c r="D2032" s="1179" t="s">
        <v>1038</v>
      </c>
      <c r="E2032" s="1275" t="s">
        <v>1363</v>
      </c>
      <c r="F2032" s="903"/>
      <c r="G2032" s="903">
        <v>149</v>
      </c>
      <c r="H2032" s="903">
        <v>149</v>
      </c>
      <c r="I2032" s="898">
        <f t="shared" si="93"/>
        <v>100</v>
      </c>
    </row>
    <row r="2033" spans="1:23" ht="15" x14ac:dyDescent="0.25">
      <c r="A2033" s="435">
        <v>1216</v>
      </c>
      <c r="B2033" s="808">
        <v>3124</v>
      </c>
      <c r="C2033" s="808">
        <v>5336</v>
      </c>
      <c r="D2033" s="1179"/>
      <c r="E2033" s="1564" t="s">
        <v>1357</v>
      </c>
      <c r="F2033" s="903"/>
      <c r="G2033" s="916">
        <v>2619</v>
      </c>
      <c r="H2033" s="916">
        <v>2619</v>
      </c>
      <c r="I2033" s="908">
        <f t="shared" si="93"/>
        <v>100</v>
      </c>
    </row>
    <row r="2034" spans="1:23" ht="14.25" x14ac:dyDescent="0.2">
      <c r="A2034" s="435"/>
      <c r="B2034" s="808"/>
      <c r="C2034" s="1551"/>
      <c r="D2034" s="578" t="s">
        <v>1267</v>
      </c>
      <c r="E2034" s="474" t="s">
        <v>882</v>
      </c>
      <c r="F2034" s="903"/>
      <c r="G2034" s="903">
        <v>2619</v>
      </c>
      <c r="H2034" s="903">
        <v>2619</v>
      </c>
      <c r="I2034" s="898">
        <f t="shared" si="93"/>
        <v>100</v>
      </c>
    </row>
    <row r="2035" spans="1:23" ht="15" x14ac:dyDescent="0.25">
      <c r="A2035" s="435">
        <v>1216</v>
      </c>
      <c r="B2035" s="808">
        <v>3142</v>
      </c>
      <c r="C2035" s="808">
        <v>5331</v>
      </c>
      <c r="D2035" s="929"/>
      <c r="E2035" s="704" t="s">
        <v>1066</v>
      </c>
      <c r="F2035" s="905">
        <f>SUM(F2036:F2036)</f>
        <v>190</v>
      </c>
      <c r="G2035" s="905">
        <v>190</v>
      </c>
      <c r="H2035" s="905">
        <v>190</v>
      </c>
      <c r="I2035" s="906">
        <f t="shared" si="93"/>
        <v>100</v>
      </c>
    </row>
    <row r="2036" spans="1:23" ht="14.25" x14ac:dyDescent="0.2">
      <c r="A2036" s="435"/>
      <c r="B2036" s="808"/>
      <c r="C2036" s="808"/>
      <c r="D2036" s="578" t="s">
        <v>636</v>
      </c>
      <c r="E2036" s="474" t="s">
        <v>72</v>
      </c>
      <c r="F2036" s="903">
        <v>190</v>
      </c>
      <c r="G2036" s="903">
        <v>190</v>
      </c>
      <c r="H2036" s="903">
        <v>190</v>
      </c>
      <c r="I2036" s="898">
        <f t="shared" si="93"/>
        <v>100</v>
      </c>
    </row>
    <row r="2037" spans="1:23" ht="15.75" customHeight="1" x14ac:dyDescent="0.25">
      <c r="A2037" s="435">
        <v>1216</v>
      </c>
      <c r="B2037" s="808">
        <v>3142</v>
      </c>
      <c r="C2037" s="808">
        <v>5336</v>
      </c>
      <c r="D2037" s="578"/>
      <c r="E2037" s="1564" t="s">
        <v>1357</v>
      </c>
      <c r="F2037" s="903"/>
      <c r="G2037" s="916">
        <v>59</v>
      </c>
      <c r="H2037" s="916">
        <v>59</v>
      </c>
      <c r="I2037" s="908">
        <f t="shared" si="93"/>
        <v>100</v>
      </c>
    </row>
    <row r="2038" spans="1:23" ht="15.75" customHeight="1" thickBot="1" x14ac:dyDescent="0.25">
      <c r="A2038" s="435"/>
      <c r="B2038" s="808"/>
      <c r="C2038" s="808"/>
      <c r="D2038" s="578" t="s">
        <v>1267</v>
      </c>
      <c r="E2038" s="474" t="s">
        <v>882</v>
      </c>
      <c r="F2038" s="903"/>
      <c r="G2038" s="903">
        <v>59</v>
      </c>
      <c r="H2038" s="903">
        <v>59</v>
      </c>
      <c r="I2038" s="898">
        <f t="shared" si="93"/>
        <v>100</v>
      </c>
    </row>
    <row r="2039" spans="1:23" ht="16.5" thickTop="1" thickBot="1" x14ac:dyDescent="0.3">
      <c r="A2039" s="2739" t="s">
        <v>1246</v>
      </c>
      <c r="B2039" s="2740"/>
      <c r="C2039" s="2740"/>
      <c r="D2039" s="2740"/>
      <c r="E2039" s="2740"/>
      <c r="F2039" s="894">
        <f>F2021+F2030+F2035</f>
        <v>2261</v>
      </c>
      <c r="G2039" s="894">
        <f>G2021+G2026+G2030+G2033+G2035+G2037</f>
        <v>15536</v>
      </c>
      <c r="H2039" s="894">
        <f>H2021+H2026+H2030+H2033+H2035+H2037</f>
        <v>15536</v>
      </c>
      <c r="I2039" s="895">
        <f>(H2039/G2039)*100</f>
        <v>100</v>
      </c>
      <c r="J2039" s="385">
        <f>F2039</f>
        <v>2261</v>
      </c>
      <c r="K2039" s="385" t="e">
        <f>G2039+#REF!</f>
        <v>#REF!</v>
      </c>
      <c r="L2039" s="385" t="e">
        <f>H2039+#REF!</f>
        <v>#REF!</v>
      </c>
      <c r="R2039" s="385">
        <f>F2039</f>
        <v>2261</v>
      </c>
      <c r="S2039" s="385">
        <f>G2039</f>
        <v>15536</v>
      </c>
      <c r="T2039" s="385">
        <f>H2039</f>
        <v>15536</v>
      </c>
      <c r="U2039" s="385"/>
      <c r="V2039" s="385"/>
      <c r="W2039" s="385"/>
    </row>
    <row r="2040" spans="1:23" s="386" customFormat="1" ht="13.5" thickTop="1" x14ac:dyDescent="0.2">
      <c r="A2040" s="384"/>
      <c r="B2040" s="669"/>
      <c r="C2040" s="384"/>
      <c r="D2040" s="884"/>
      <c r="E2040" s="384"/>
      <c r="F2040" s="385"/>
      <c r="G2040" s="385"/>
      <c r="H2040" s="385"/>
      <c r="I2040" s="1548"/>
    </row>
    <row r="2041" spans="1:23" s="386" customFormat="1" x14ac:dyDescent="0.2">
      <c r="A2041" s="384"/>
      <c r="B2041" s="669"/>
      <c r="C2041" s="384"/>
      <c r="D2041" s="884"/>
      <c r="E2041" s="384"/>
      <c r="F2041" s="385"/>
      <c r="G2041" s="385"/>
      <c r="H2041" s="385"/>
      <c r="I2041" s="1548"/>
    </row>
    <row r="2042" spans="1:23" ht="13.5" thickBot="1" x14ac:dyDescent="0.25">
      <c r="A2042" s="439" t="s">
        <v>1408</v>
      </c>
      <c r="I2042" s="1548" t="s">
        <v>179</v>
      </c>
    </row>
    <row r="2043" spans="1:23" ht="14.25" thickTop="1" thickBot="1" x14ac:dyDescent="0.25">
      <c r="A2043" s="657" t="s">
        <v>692</v>
      </c>
      <c r="B2043" s="835" t="s">
        <v>180</v>
      </c>
      <c r="C2043" s="658" t="s">
        <v>181</v>
      </c>
      <c r="D2043" s="660" t="s">
        <v>783</v>
      </c>
      <c r="E2043" s="660" t="s">
        <v>182</v>
      </c>
      <c r="F2043" s="660" t="s">
        <v>183</v>
      </c>
      <c r="G2043" s="660" t="s">
        <v>985</v>
      </c>
      <c r="H2043" s="660" t="s">
        <v>986</v>
      </c>
      <c r="I2043" s="888" t="s">
        <v>987</v>
      </c>
    </row>
    <row r="2044" spans="1:23" ht="14.25" thickTop="1" thickBot="1" x14ac:dyDescent="0.25">
      <c r="A2044" s="592">
        <v>1</v>
      </c>
      <c r="B2044" s="593">
        <v>2</v>
      </c>
      <c r="C2044" s="593">
        <v>3</v>
      </c>
      <c r="D2044" s="593">
        <v>4</v>
      </c>
      <c r="E2044" s="593">
        <v>5</v>
      </c>
      <c r="F2044" s="567">
        <v>6</v>
      </c>
      <c r="G2044" s="567">
        <v>7</v>
      </c>
      <c r="H2044" s="568">
        <v>8</v>
      </c>
      <c r="I2044" s="662" t="s">
        <v>848</v>
      </c>
    </row>
    <row r="2045" spans="1:23" ht="15.75" thickTop="1" x14ac:dyDescent="0.25">
      <c r="A2045" s="1562">
        <v>1218</v>
      </c>
      <c r="B2045" s="917">
        <v>3124</v>
      </c>
      <c r="C2045" s="917">
        <v>5331</v>
      </c>
      <c r="D2045" s="922"/>
      <c r="E2045" s="956" t="s">
        <v>1066</v>
      </c>
      <c r="F2045" s="915">
        <f>F2046+F2047+F2048</f>
        <v>1415</v>
      </c>
      <c r="G2045" s="915">
        <f>G2046+G2047+G2048</f>
        <v>1483</v>
      </c>
      <c r="H2045" s="915">
        <f>H2046+H2047+H2048</f>
        <v>1483</v>
      </c>
      <c r="I2045" s="919">
        <f t="shared" ref="I2045:I2066" si="94">(H2045/G2045)*100</f>
        <v>100</v>
      </c>
    </row>
    <row r="2046" spans="1:23" ht="14.25" x14ac:dyDescent="0.2">
      <c r="A2046" s="435"/>
      <c r="B2046" s="705"/>
      <c r="C2046" s="705"/>
      <c r="D2046" s="743" t="s">
        <v>641</v>
      </c>
      <c r="E2046" s="1679" t="s">
        <v>883</v>
      </c>
      <c r="F2046" s="897">
        <v>156</v>
      </c>
      <c r="G2046" s="897">
        <v>161</v>
      </c>
      <c r="H2046" s="897">
        <v>161</v>
      </c>
      <c r="I2046" s="898">
        <f t="shared" si="94"/>
        <v>100</v>
      </c>
    </row>
    <row r="2047" spans="1:23" ht="14.25" x14ac:dyDescent="0.2">
      <c r="A2047" s="435"/>
      <c r="B2047" s="705"/>
      <c r="C2047" s="705"/>
      <c r="D2047" s="578" t="s">
        <v>636</v>
      </c>
      <c r="E2047" s="474" t="s">
        <v>72</v>
      </c>
      <c r="F2047" s="897">
        <v>1259</v>
      </c>
      <c r="G2047" s="897">
        <v>1259</v>
      </c>
      <c r="H2047" s="897">
        <v>1259</v>
      </c>
      <c r="I2047" s="898">
        <f t="shared" si="94"/>
        <v>100</v>
      </c>
    </row>
    <row r="2048" spans="1:23" ht="14.25" x14ac:dyDescent="0.2">
      <c r="A2048" s="435"/>
      <c r="B2048" s="705"/>
      <c r="C2048" s="705"/>
      <c r="D2048" s="1179" t="s">
        <v>1038</v>
      </c>
      <c r="E2048" s="1275" t="s">
        <v>1363</v>
      </c>
      <c r="F2048" s="897"/>
      <c r="G2048" s="897">
        <v>63</v>
      </c>
      <c r="H2048" s="897">
        <v>63</v>
      </c>
      <c r="I2048" s="898">
        <f t="shared" si="94"/>
        <v>100</v>
      </c>
    </row>
    <row r="2049" spans="1:9" ht="15" x14ac:dyDescent="0.25">
      <c r="A2049" s="435">
        <v>1218</v>
      </c>
      <c r="B2049" s="705">
        <v>3124</v>
      </c>
      <c r="C2049" s="705">
        <v>5336</v>
      </c>
      <c r="D2049" s="1178"/>
      <c r="E2049" s="1564" t="s">
        <v>1357</v>
      </c>
      <c r="F2049" s="897"/>
      <c r="G2049" s="921">
        <f>G2050+G2051+G2052</f>
        <v>12962</v>
      </c>
      <c r="H2049" s="921">
        <f>H2050+H2051+H2052</f>
        <v>12962</v>
      </c>
      <c r="I2049" s="908">
        <f t="shared" si="94"/>
        <v>100</v>
      </c>
    </row>
    <row r="2050" spans="1:9" ht="14.25" x14ac:dyDescent="0.2">
      <c r="A2050" s="435"/>
      <c r="B2050" s="705"/>
      <c r="C2050" s="705"/>
      <c r="D2050" s="578" t="s">
        <v>1267</v>
      </c>
      <c r="E2050" s="474" t="s">
        <v>882</v>
      </c>
      <c r="F2050" s="897"/>
      <c r="G2050" s="897">
        <v>12614</v>
      </c>
      <c r="H2050" s="897">
        <v>12614</v>
      </c>
      <c r="I2050" s="898">
        <f t="shared" si="94"/>
        <v>100</v>
      </c>
    </row>
    <row r="2051" spans="1:9" ht="14.25" x14ac:dyDescent="0.2">
      <c r="A2051" s="435"/>
      <c r="B2051" s="808"/>
      <c r="C2051" s="808"/>
      <c r="D2051" s="1569" t="s">
        <v>1771</v>
      </c>
      <c r="E2051" s="1561" t="s">
        <v>1908</v>
      </c>
      <c r="F2051" s="903"/>
      <c r="G2051" s="903">
        <v>52</v>
      </c>
      <c r="H2051" s="903">
        <v>52</v>
      </c>
      <c r="I2051" s="898">
        <f t="shared" si="94"/>
        <v>100</v>
      </c>
    </row>
    <row r="2052" spans="1:9" ht="14.25" x14ac:dyDescent="0.2">
      <c r="A2052" s="435"/>
      <c r="B2052" s="808"/>
      <c r="C2052" s="808"/>
      <c r="D2052" s="1569" t="s">
        <v>1773</v>
      </c>
      <c r="E2052" s="1561" t="s">
        <v>1908</v>
      </c>
      <c r="F2052" s="903"/>
      <c r="G2052" s="903">
        <v>296</v>
      </c>
      <c r="H2052" s="903">
        <v>296</v>
      </c>
      <c r="I2052" s="898">
        <f t="shared" si="94"/>
        <v>100</v>
      </c>
    </row>
    <row r="2053" spans="1:9" ht="15" x14ac:dyDescent="0.25">
      <c r="A2053" s="435">
        <v>1218</v>
      </c>
      <c r="B2053" s="808">
        <v>3141</v>
      </c>
      <c r="C2053" s="808">
        <v>5336</v>
      </c>
      <c r="D2053" s="594"/>
      <c r="E2053" s="1564" t="s">
        <v>1357</v>
      </c>
      <c r="F2053" s="916"/>
      <c r="G2053" s="916">
        <v>330</v>
      </c>
      <c r="H2053" s="916">
        <v>330</v>
      </c>
      <c r="I2053" s="908">
        <f t="shared" si="94"/>
        <v>100</v>
      </c>
    </row>
    <row r="2054" spans="1:9" ht="14.25" x14ac:dyDescent="0.2">
      <c r="A2054" s="435"/>
      <c r="B2054" s="808"/>
      <c r="C2054" s="808"/>
      <c r="D2054" s="578" t="s">
        <v>1267</v>
      </c>
      <c r="E2054" s="474" t="s">
        <v>882</v>
      </c>
      <c r="F2054" s="903"/>
      <c r="G2054" s="903">
        <v>330</v>
      </c>
      <c r="H2054" s="903">
        <v>330</v>
      </c>
      <c r="I2054" s="898">
        <f t="shared" si="94"/>
        <v>100</v>
      </c>
    </row>
    <row r="2055" spans="1:9" ht="15" x14ac:dyDescent="0.25">
      <c r="A2055" s="435">
        <v>1218</v>
      </c>
      <c r="B2055" s="808">
        <v>3142</v>
      </c>
      <c r="C2055" s="808">
        <v>5331</v>
      </c>
      <c r="D2055" s="929"/>
      <c r="E2055" s="704" t="s">
        <v>1066</v>
      </c>
      <c r="F2055" s="905">
        <f>F2056+F2057</f>
        <v>251</v>
      </c>
      <c r="G2055" s="905">
        <f>G2056+G2057</f>
        <v>246</v>
      </c>
      <c r="H2055" s="905">
        <f>H2056+H2057</f>
        <v>246</v>
      </c>
      <c r="I2055" s="898">
        <f t="shared" si="94"/>
        <v>100</v>
      </c>
    </row>
    <row r="2056" spans="1:9" ht="14.25" x14ac:dyDescent="0.2">
      <c r="A2056" s="435"/>
      <c r="B2056" s="808"/>
      <c r="C2056" s="808"/>
      <c r="D2056" s="743" t="s">
        <v>641</v>
      </c>
      <c r="E2056" s="1679" t="s">
        <v>883</v>
      </c>
      <c r="F2056" s="903">
        <v>51</v>
      </c>
      <c r="G2056" s="903">
        <v>46</v>
      </c>
      <c r="H2056" s="903">
        <v>46</v>
      </c>
      <c r="I2056" s="898">
        <f t="shared" si="94"/>
        <v>100</v>
      </c>
    </row>
    <row r="2057" spans="1:9" ht="14.25" x14ac:dyDescent="0.2">
      <c r="A2057" s="435"/>
      <c r="B2057" s="808"/>
      <c r="C2057" s="808"/>
      <c r="D2057" s="578" t="s">
        <v>636</v>
      </c>
      <c r="E2057" s="474" t="s">
        <v>72</v>
      </c>
      <c r="F2057" s="903">
        <v>200</v>
      </c>
      <c r="G2057" s="903">
        <v>200</v>
      </c>
      <c r="H2057" s="903">
        <v>200</v>
      </c>
      <c r="I2057" s="898">
        <f t="shared" si="94"/>
        <v>100</v>
      </c>
    </row>
    <row r="2058" spans="1:9" ht="15" x14ac:dyDescent="0.25">
      <c r="A2058" s="435">
        <v>1218</v>
      </c>
      <c r="B2058" s="808">
        <v>3142</v>
      </c>
      <c r="C2058" s="808">
        <v>5336</v>
      </c>
      <c r="D2058" s="578"/>
      <c r="E2058" s="1564" t="s">
        <v>1357</v>
      </c>
      <c r="F2058" s="903"/>
      <c r="G2058" s="916">
        <v>135</v>
      </c>
      <c r="H2058" s="916">
        <v>135</v>
      </c>
      <c r="I2058" s="908">
        <f t="shared" si="94"/>
        <v>100</v>
      </c>
    </row>
    <row r="2059" spans="1:9" ht="14.25" x14ac:dyDescent="0.2">
      <c r="A2059" s="435"/>
      <c r="B2059" s="808"/>
      <c r="C2059" s="808"/>
      <c r="D2059" s="578" t="s">
        <v>1267</v>
      </c>
      <c r="E2059" s="474" t="s">
        <v>882</v>
      </c>
      <c r="F2059" s="903"/>
      <c r="G2059" s="903">
        <v>135</v>
      </c>
      <c r="H2059" s="903">
        <v>135</v>
      </c>
      <c r="I2059" s="898">
        <v>135</v>
      </c>
    </row>
    <row r="2060" spans="1:9" ht="15" x14ac:dyDescent="0.25">
      <c r="A2060" s="435">
        <v>1218</v>
      </c>
      <c r="B2060" s="808">
        <v>3145</v>
      </c>
      <c r="C2060" s="808">
        <v>5331</v>
      </c>
      <c r="D2060" s="929"/>
      <c r="E2060" s="704" t="s">
        <v>1066</v>
      </c>
      <c r="F2060" s="905">
        <f>F2061+F2062</f>
        <v>445</v>
      </c>
      <c r="G2060" s="905">
        <f>G2061+G2062</f>
        <v>445</v>
      </c>
      <c r="H2060" s="905">
        <f>H2061+H2062</f>
        <v>445</v>
      </c>
      <c r="I2060" s="898">
        <f t="shared" si="94"/>
        <v>100</v>
      </c>
    </row>
    <row r="2061" spans="1:9" ht="15.75" customHeight="1" x14ac:dyDescent="0.2">
      <c r="A2061" s="435"/>
      <c r="B2061" s="808"/>
      <c r="C2061" s="808"/>
      <c r="D2061" s="743" t="s">
        <v>641</v>
      </c>
      <c r="E2061" s="1679" t="s">
        <v>883</v>
      </c>
      <c r="F2061" s="903">
        <v>125</v>
      </c>
      <c r="G2061" s="903">
        <v>125</v>
      </c>
      <c r="H2061" s="903">
        <v>125</v>
      </c>
      <c r="I2061" s="898">
        <f t="shared" si="94"/>
        <v>100</v>
      </c>
    </row>
    <row r="2062" spans="1:9" ht="14.25" x14ac:dyDescent="0.2">
      <c r="A2062" s="435"/>
      <c r="B2062" s="808"/>
      <c r="C2062" s="808"/>
      <c r="D2062" s="578" t="s">
        <v>636</v>
      </c>
      <c r="E2062" s="474" t="s">
        <v>72</v>
      </c>
      <c r="F2062" s="903">
        <v>320</v>
      </c>
      <c r="G2062" s="903">
        <v>320</v>
      </c>
      <c r="H2062" s="903">
        <v>320</v>
      </c>
      <c r="I2062" s="898">
        <f t="shared" si="94"/>
        <v>100</v>
      </c>
    </row>
    <row r="2063" spans="1:9" ht="15" x14ac:dyDescent="0.25">
      <c r="A2063" s="435">
        <v>1218</v>
      </c>
      <c r="B2063" s="808">
        <v>3145</v>
      </c>
      <c r="C2063" s="808">
        <v>5336</v>
      </c>
      <c r="D2063" s="578"/>
      <c r="E2063" s="1564" t="s">
        <v>1357</v>
      </c>
      <c r="F2063" s="903"/>
      <c r="G2063" s="916">
        <v>2217</v>
      </c>
      <c r="H2063" s="916">
        <v>2217</v>
      </c>
      <c r="I2063" s="908">
        <f t="shared" si="94"/>
        <v>100</v>
      </c>
    </row>
    <row r="2064" spans="1:9" ht="14.25" x14ac:dyDescent="0.2">
      <c r="A2064" s="435"/>
      <c r="B2064" s="808"/>
      <c r="C2064" s="808"/>
      <c r="D2064" s="578" t="s">
        <v>1267</v>
      </c>
      <c r="E2064" s="474" t="s">
        <v>882</v>
      </c>
      <c r="F2064" s="903"/>
      <c r="G2064" s="903">
        <v>2217</v>
      </c>
      <c r="H2064" s="903">
        <v>2217</v>
      </c>
      <c r="I2064" s="898">
        <f t="shared" si="94"/>
        <v>100</v>
      </c>
    </row>
    <row r="2065" spans="1:20" ht="15" x14ac:dyDescent="0.25">
      <c r="A2065" s="435">
        <v>1218</v>
      </c>
      <c r="B2065" s="705">
        <v>3293</v>
      </c>
      <c r="C2065" s="1550">
        <v>5331</v>
      </c>
      <c r="D2065" s="899"/>
      <c r="E2065" s="854" t="s">
        <v>1066</v>
      </c>
      <c r="F2065" s="916"/>
      <c r="G2065" s="916">
        <v>100</v>
      </c>
      <c r="H2065" s="916">
        <v>100</v>
      </c>
      <c r="I2065" s="908">
        <f t="shared" si="94"/>
        <v>100</v>
      </c>
    </row>
    <row r="2066" spans="1:20" ht="15" thickBot="1" x14ac:dyDescent="0.25">
      <c r="A2066" s="435"/>
      <c r="B2066" s="808"/>
      <c r="C2066" s="808"/>
      <c r="D2066" s="805" t="s">
        <v>1270</v>
      </c>
      <c r="E2066" s="1694" t="s">
        <v>62</v>
      </c>
      <c r="F2066" s="903"/>
      <c r="G2066" s="903">
        <v>100</v>
      </c>
      <c r="H2066" s="903">
        <v>100</v>
      </c>
      <c r="I2066" s="898">
        <f t="shared" si="94"/>
        <v>100</v>
      </c>
    </row>
    <row r="2067" spans="1:20" ht="16.5" thickTop="1" thickBot="1" x14ac:dyDescent="0.3">
      <c r="A2067" s="2739" t="s">
        <v>1246</v>
      </c>
      <c r="B2067" s="2740"/>
      <c r="C2067" s="2740"/>
      <c r="D2067" s="2740"/>
      <c r="E2067" s="2740"/>
      <c r="F2067" s="894">
        <f>F2045+F2055+F2060</f>
        <v>2111</v>
      </c>
      <c r="G2067" s="894">
        <f>G2045+G2049+G2053+G2055+G2058+G2060+G2063+G2065</f>
        <v>17918</v>
      </c>
      <c r="H2067" s="894">
        <f>H2045+H2049+H2053+H2055+H2058+H2060+H2063+H2065</f>
        <v>17918</v>
      </c>
      <c r="I2067" s="895">
        <f>(H2067/G2067)*100</f>
        <v>100</v>
      </c>
      <c r="R2067" s="385">
        <f>F2067</f>
        <v>2111</v>
      </c>
      <c r="S2067" s="385">
        <f>G2067</f>
        <v>17918</v>
      </c>
      <c r="T2067" s="385">
        <f>H2067</f>
        <v>17918</v>
      </c>
    </row>
    <row r="2068" spans="1:20" ht="15.75" thickTop="1" x14ac:dyDescent="0.25">
      <c r="A2068" s="370"/>
      <c r="B2068" s="370"/>
      <c r="C2068" s="370"/>
      <c r="D2068" s="370"/>
      <c r="E2068" s="370"/>
      <c r="F2068" s="183"/>
      <c r="G2068" s="183"/>
      <c r="H2068" s="183"/>
      <c r="I2068" s="214"/>
    </row>
    <row r="2069" spans="1:20" ht="15" x14ac:dyDescent="0.25">
      <c r="A2069" s="370"/>
      <c r="B2069" s="370"/>
      <c r="C2069" s="370"/>
      <c r="D2069" s="370"/>
      <c r="E2069" s="370"/>
      <c r="F2069" s="183"/>
      <c r="G2069" s="183"/>
      <c r="H2069" s="183"/>
      <c r="I2069" s="214"/>
    </row>
    <row r="2070" spans="1:20" ht="15" x14ac:dyDescent="0.25">
      <c r="A2070" s="370"/>
      <c r="B2070" s="370"/>
      <c r="C2070" s="370"/>
      <c r="D2070" s="370"/>
      <c r="E2070" s="370"/>
      <c r="F2070" s="183"/>
      <c r="G2070" s="183"/>
      <c r="H2070" s="183"/>
      <c r="I2070" s="214"/>
    </row>
    <row r="2071" spans="1:20" ht="18" customHeight="1" x14ac:dyDescent="0.25">
      <c r="A2071" s="370"/>
      <c r="B2071" s="370"/>
      <c r="C2071" s="370"/>
      <c r="D2071" s="370"/>
      <c r="E2071" s="370"/>
      <c r="F2071" s="183"/>
      <c r="G2071" s="183"/>
      <c r="H2071" s="183"/>
      <c r="I2071" s="214"/>
    </row>
    <row r="2072" spans="1:20" ht="18" customHeight="1" x14ac:dyDescent="0.25">
      <c r="A2072" s="370"/>
      <c r="B2072" s="370"/>
      <c r="C2072" s="370"/>
      <c r="D2072" s="370"/>
      <c r="E2072" s="370"/>
      <c r="F2072" s="183"/>
      <c r="G2072" s="183"/>
      <c r="H2072" s="183"/>
      <c r="I2072" s="214"/>
    </row>
    <row r="2073" spans="1:20" ht="18" customHeight="1" x14ac:dyDescent="0.25">
      <c r="A2073" s="370"/>
      <c r="B2073" s="370"/>
      <c r="C2073" s="370"/>
      <c r="D2073" s="370"/>
      <c r="E2073" s="370"/>
      <c r="F2073" s="183"/>
      <c r="G2073" s="183"/>
      <c r="H2073" s="183"/>
      <c r="I2073" s="214"/>
    </row>
    <row r="2074" spans="1:20" s="386" customFormat="1" ht="15" x14ac:dyDescent="0.25">
      <c r="A2074" s="370"/>
      <c r="B2074" s="370"/>
      <c r="C2074" s="370"/>
      <c r="D2074" s="370"/>
      <c r="E2074" s="370"/>
      <c r="F2074" s="183"/>
      <c r="G2074" s="183"/>
      <c r="H2074" s="183"/>
      <c r="I2074" s="214"/>
    </row>
    <row r="2075" spans="1:20" ht="16.5" customHeight="1" thickBot="1" x14ac:dyDescent="0.25">
      <c r="A2075" s="439" t="s">
        <v>1671</v>
      </c>
      <c r="I2075" s="1548" t="s">
        <v>179</v>
      </c>
    </row>
    <row r="2076" spans="1:20" ht="14.25" thickTop="1" thickBot="1" x14ac:dyDescent="0.25">
      <c r="A2076" s="657" t="s">
        <v>692</v>
      </c>
      <c r="B2076" s="835" t="s">
        <v>180</v>
      </c>
      <c r="C2076" s="658" t="s">
        <v>181</v>
      </c>
      <c r="D2076" s="660" t="s">
        <v>783</v>
      </c>
      <c r="E2076" s="660" t="s">
        <v>182</v>
      </c>
      <c r="F2076" s="660" t="s">
        <v>183</v>
      </c>
      <c r="G2076" s="660" t="s">
        <v>985</v>
      </c>
      <c r="H2076" s="660" t="s">
        <v>986</v>
      </c>
      <c r="I2076" s="888" t="s">
        <v>987</v>
      </c>
    </row>
    <row r="2077" spans="1:20" ht="14.25" thickTop="1" thickBot="1" x14ac:dyDescent="0.25">
      <c r="A2077" s="592">
        <v>1</v>
      </c>
      <c r="B2077" s="593">
        <v>2</v>
      </c>
      <c r="C2077" s="593">
        <v>3</v>
      </c>
      <c r="D2077" s="593">
        <v>4</v>
      </c>
      <c r="E2077" s="593">
        <v>5</v>
      </c>
      <c r="F2077" s="567">
        <v>6</v>
      </c>
      <c r="G2077" s="567">
        <v>7</v>
      </c>
      <c r="H2077" s="568">
        <v>8</v>
      </c>
      <c r="I2077" s="662" t="s">
        <v>848</v>
      </c>
    </row>
    <row r="2078" spans="1:20" ht="15.75" thickTop="1" x14ac:dyDescent="0.25">
      <c r="A2078" s="1562">
        <v>1221</v>
      </c>
      <c r="B2078" s="917">
        <v>3122</v>
      </c>
      <c r="C2078" s="917">
        <v>5331</v>
      </c>
      <c r="D2078" s="922"/>
      <c r="E2078" s="956" t="s">
        <v>1066</v>
      </c>
      <c r="F2078" s="915">
        <f>F2079+F2080</f>
        <v>1676</v>
      </c>
      <c r="G2078" s="915">
        <f>G2079+G2080</f>
        <v>1676</v>
      </c>
      <c r="H2078" s="915">
        <f>H2079+H2080</f>
        <v>1676</v>
      </c>
      <c r="I2078" s="919">
        <v>100</v>
      </c>
    </row>
    <row r="2079" spans="1:20" ht="14.25" x14ac:dyDescent="0.2">
      <c r="A2079" s="435"/>
      <c r="B2079" s="705"/>
      <c r="C2079" s="705"/>
      <c r="D2079" s="743" t="s">
        <v>641</v>
      </c>
      <c r="E2079" s="1679" t="s">
        <v>883</v>
      </c>
      <c r="F2079" s="897">
        <v>9</v>
      </c>
      <c r="G2079" s="897">
        <v>9</v>
      </c>
      <c r="H2079" s="897">
        <v>9</v>
      </c>
      <c r="I2079" s="893">
        <f>(H2079/G2079)*100</f>
        <v>100</v>
      </c>
    </row>
    <row r="2080" spans="1:20" ht="14.25" x14ac:dyDescent="0.2">
      <c r="A2080" s="435"/>
      <c r="B2080" s="705"/>
      <c r="C2080" s="705"/>
      <c r="D2080" s="578" t="s">
        <v>636</v>
      </c>
      <c r="E2080" s="474" t="s">
        <v>72</v>
      </c>
      <c r="F2080" s="897">
        <v>1667</v>
      </c>
      <c r="G2080" s="897">
        <v>1667</v>
      </c>
      <c r="H2080" s="897">
        <v>1667</v>
      </c>
      <c r="I2080" s="893">
        <f>(H2080/G2080)*100</f>
        <v>100</v>
      </c>
    </row>
    <row r="2081" spans="1:9" ht="15" x14ac:dyDescent="0.25">
      <c r="A2081" s="435">
        <v>1221</v>
      </c>
      <c r="B2081" s="808">
        <v>3122</v>
      </c>
      <c r="C2081" s="808">
        <v>5336</v>
      </c>
      <c r="D2081" s="2536"/>
      <c r="E2081" s="1564" t="s">
        <v>1357</v>
      </c>
      <c r="F2081" s="903"/>
      <c r="G2081" s="916">
        <v>9374</v>
      </c>
      <c r="H2081" s="916">
        <v>9374</v>
      </c>
      <c r="I2081" s="923">
        <f>(H2081/G2081)*100</f>
        <v>100</v>
      </c>
    </row>
    <row r="2082" spans="1:9" ht="14.25" x14ac:dyDescent="0.2">
      <c r="A2082" s="435"/>
      <c r="B2082" s="808"/>
      <c r="C2082" s="1551"/>
      <c r="D2082" s="578" t="s">
        <v>1267</v>
      </c>
      <c r="E2082" s="474" t="s">
        <v>882</v>
      </c>
      <c r="F2082" s="903"/>
      <c r="G2082" s="903">
        <v>9374</v>
      </c>
      <c r="H2082" s="903">
        <v>9374</v>
      </c>
      <c r="I2082" s="893">
        <f t="shared" ref="I2082:I2097" si="95">(H2082/G2082)*100</f>
        <v>100</v>
      </c>
    </row>
    <row r="2083" spans="1:9" ht="18" customHeight="1" x14ac:dyDescent="0.25">
      <c r="A2083" s="435">
        <v>1221</v>
      </c>
      <c r="B2083" s="808">
        <v>3123</v>
      </c>
      <c r="C2083" s="808">
        <v>5331</v>
      </c>
      <c r="D2083" s="929"/>
      <c r="E2083" s="704" t="s">
        <v>1066</v>
      </c>
      <c r="F2083" s="905">
        <f>F2084+F2085+F2086</f>
        <v>3711</v>
      </c>
      <c r="G2083" s="905">
        <f>G2084+G2085+G2086</f>
        <v>4234</v>
      </c>
      <c r="H2083" s="905">
        <f>H2084+H2085+H2086</f>
        <v>4234</v>
      </c>
      <c r="I2083" s="906">
        <f t="shared" si="95"/>
        <v>100</v>
      </c>
    </row>
    <row r="2084" spans="1:9" ht="14.25" x14ac:dyDescent="0.2">
      <c r="A2084" s="435"/>
      <c r="B2084" s="808"/>
      <c r="C2084" s="808"/>
      <c r="D2084" s="743" t="s">
        <v>641</v>
      </c>
      <c r="E2084" s="1679" t="s">
        <v>883</v>
      </c>
      <c r="F2084" s="903">
        <v>1273</v>
      </c>
      <c r="G2084" s="903">
        <v>1285</v>
      </c>
      <c r="H2084" s="903">
        <v>1285</v>
      </c>
      <c r="I2084" s="898">
        <f t="shared" si="95"/>
        <v>100</v>
      </c>
    </row>
    <row r="2085" spans="1:9" ht="20.25" customHeight="1" x14ac:dyDescent="0.2">
      <c r="A2085" s="435"/>
      <c r="B2085" s="808"/>
      <c r="C2085" s="808"/>
      <c r="D2085" s="578" t="s">
        <v>636</v>
      </c>
      <c r="E2085" s="474" t="s">
        <v>72</v>
      </c>
      <c r="F2085" s="903">
        <v>2438</v>
      </c>
      <c r="G2085" s="903">
        <v>2438</v>
      </c>
      <c r="H2085" s="903">
        <v>2438</v>
      </c>
      <c r="I2085" s="898">
        <f t="shared" si="95"/>
        <v>100</v>
      </c>
    </row>
    <row r="2086" spans="1:9" ht="14.25" x14ac:dyDescent="0.2">
      <c r="A2086" s="936"/>
      <c r="B2086" s="937"/>
      <c r="C2086" s="937"/>
      <c r="D2086" s="1179" t="s">
        <v>1038</v>
      </c>
      <c r="E2086" s="1275" t="s">
        <v>1363</v>
      </c>
      <c r="F2086" s="1575"/>
      <c r="G2086" s="903">
        <v>511</v>
      </c>
      <c r="H2086" s="903">
        <v>511</v>
      </c>
      <c r="I2086" s="898">
        <v>0</v>
      </c>
    </row>
    <row r="2087" spans="1:9" ht="15" x14ac:dyDescent="0.25">
      <c r="A2087" s="435">
        <v>1221</v>
      </c>
      <c r="B2087" s="808">
        <v>3123</v>
      </c>
      <c r="C2087" s="808">
        <v>5336</v>
      </c>
      <c r="D2087" s="2536"/>
      <c r="E2087" s="1564" t="s">
        <v>1357</v>
      </c>
      <c r="F2087" s="903"/>
      <c r="G2087" s="916">
        <f>G2088+G2089+G2090</f>
        <v>12432</v>
      </c>
      <c r="H2087" s="916">
        <f>H2088+H2089+H2090</f>
        <v>12432</v>
      </c>
      <c r="I2087" s="908">
        <f t="shared" si="95"/>
        <v>100</v>
      </c>
    </row>
    <row r="2088" spans="1:9" ht="14.25" x14ac:dyDescent="0.2">
      <c r="A2088" s="435"/>
      <c r="B2088" s="808"/>
      <c r="C2088" s="808"/>
      <c r="D2088" s="578" t="s">
        <v>1267</v>
      </c>
      <c r="E2088" s="474" t="s">
        <v>882</v>
      </c>
      <c r="F2088" s="903"/>
      <c r="G2088" s="903">
        <v>11465</v>
      </c>
      <c r="H2088" s="903">
        <v>11465</v>
      </c>
      <c r="I2088" s="898">
        <f t="shared" si="95"/>
        <v>100</v>
      </c>
    </row>
    <row r="2089" spans="1:9" ht="14.25" x14ac:dyDescent="0.2">
      <c r="A2089" s="435"/>
      <c r="B2089" s="808"/>
      <c r="C2089" s="808"/>
      <c r="D2089" s="1569" t="s">
        <v>1771</v>
      </c>
      <c r="E2089" s="1561" t="s">
        <v>1908</v>
      </c>
      <c r="F2089" s="903"/>
      <c r="G2089" s="903">
        <v>145</v>
      </c>
      <c r="H2089" s="903">
        <v>145</v>
      </c>
      <c r="I2089" s="898">
        <f t="shared" si="95"/>
        <v>100</v>
      </c>
    </row>
    <row r="2090" spans="1:9" ht="14.25" x14ac:dyDescent="0.2">
      <c r="A2090" s="435"/>
      <c r="B2090" s="808"/>
      <c r="C2090" s="808"/>
      <c r="D2090" s="1569" t="s">
        <v>1773</v>
      </c>
      <c r="E2090" s="1561" t="s">
        <v>1908</v>
      </c>
      <c r="F2090" s="903"/>
      <c r="G2090" s="903">
        <v>822</v>
      </c>
      <c r="H2090" s="903">
        <v>822</v>
      </c>
      <c r="I2090" s="898">
        <f t="shared" si="95"/>
        <v>100</v>
      </c>
    </row>
    <row r="2091" spans="1:9" ht="15" x14ac:dyDescent="0.25">
      <c r="A2091" s="435">
        <v>1221</v>
      </c>
      <c r="B2091" s="808">
        <v>3141</v>
      </c>
      <c r="C2091" s="808">
        <v>5336</v>
      </c>
      <c r="D2091" s="594"/>
      <c r="E2091" s="1564" t="s">
        <v>1357</v>
      </c>
      <c r="F2091" s="916"/>
      <c r="G2091" s="916">
        <v>435</v>
      </c>
      <c r="H2091" s="916">
        <v>435</v>
      </c>
      <c r="I2091" s="906">
        <f t="shared" si="95"/>
        <v>100</v>
      </c>
    </row>
    <row r="2092" spans="1:9" ht="14.25" x14ac:dyDescent="0.2">
      <c r="A2092" s="435"/>
      <c r="B2092" s="808"/>
      <c r="C2092" s="808"/>
      <c r="D2092" s="578" t="s">
        <v>1267</v>
      </c>
      <c r="E2092" s="474" t="s">
        <v>882</v>
      </c>
      <c r="F2092" s="903"/>
      <c r="G2092" s="903">
        <v>435</v>
      </c>
      <c r="H2092" s="903">
        <v>435</v>
      </c>
      <c r="I2092" s="898">
        <f t="shared" si="95"/>
        <v>100</v>
      </c>
    </row>
    <row r="2093" spans="1:9" ht="15" x14ac:dyDescent="0.25">
      <c r="A2093" s="435">
        <v>1221</v>
      </c>
      <c r="B2093" s="808">
        <v>3142</v>
      </c>
      <c r="C2093" s="808">
        <v>5331</v>
      </c>
      <c r="D2093" s="929"/>
      <c r="E2093" s="704" t="s">
        <v>1066</v>
      </c>
      <c r="F2093" s="905">
        <f>F2094+F2095</f>
        <v>696</v>
      </c>
      <c r="G2093" s="905">
        <f>G2094+G2095</f>
        <v>696</v>
      </c>
      <c r="H2093" s="905">
        <f>H2094+H2095</f>
        <v>696</v>
      </c>
      <c r="I2093" s="906">
        <f t="shared" si="95"/>
        <v>100</v>
      </c>
    </row>
    <row r="2094" spans="1:9" ht="14.25" x14ac:dyDescent="0.2">
      <c r="A2094" s="435"/>
      <c r="B2094" s="808"/>
      <c r="C2094" s="808"/>
      <c r="D2094" s="743" t="s">
        <v>641</v>
      </c>
      <c r="E2094" s="1679" t="s">
        <v>883</v>
      </c>
      <c r="F2094" s="903">
        <v>16</v>
      </c>
      <c r="G2094" s="903">
        <v>16</v>
      </c>
      <c r="H2094" s="903">
        <v>16</v>
      </c>
      <c r="I2094" s="898">
        <f t="shared" si="95"/>
        <v>100</v>
      </c>
    </row>
    <row r="2095" spans="1:9" ht="14.25" x14ac:dyDescent="0.2">
      <c r="A2095" s="435"/>
      <c r="B2095" s="808"/>
      <c r="C2095" s="808"/>
      <c r="D2095" s="578" t="s">
        <v>636</v>
      </c>
      <c r="E2095" s="474" t="s">
        <v>72</v>
      </c>
      <c r="F2095" s="903">
        <v>680</v>
      </c>
      <c r="G2095" s="903">
        <v>680</v>
      </c>
      <c r="H2095" s="903">
        <v>680</v>
      </c>
      <c r="I2095" s="898">
        <f t="shared" si="95"/>
        <v>100</v>
      </c>
    </row>
    <row r="2096" spans="1:9" ht="18.75" customHeight="1" x14ac:dyDescent="0.25">
      <c r="A2096" s="435">
        <v>1221</v>
      </c>
      <c r="B2096" s="808">
        <v>3142</v>
      </c>
      <c r="C2096" s="808">
        <v>5336</v>
      </c>
      <c r="D2096" s="578"/>
      <c r="E2096" s="1564" t="s">
        <v>1357</v>
      </c>
      <c r="F2096" s="903"/>
      <c r="G2096" s="916">
        <v>391</v>
      </c>
      <c r="H2096" s="916">
        <v>391</v>
      </c>
      <c r="I2096" s="908">
        <f t="shared" si="95"/>
        <v>100</v>
      </c>
    </row>
    <row r="2097" spans="1:23" ht="15" thickBot="1" x14ac:dyDescent="0.25">
      <c r="A2097" s="435"/>
      <c r="B2097" s="808"/>
      <c r="C2097" s="1551"/>
      <c r="D2097" s="578" t="s">
        <v>1267</v>
      </c>
      <c r="E2097" s="474" t="s">
        <v>882</v>
      </c>
      <c r="F2097" s="903"/>
      <c r="G2097" s="903">
        <v>391</v>
      </c>
      <c r="H2097" s="903">
        <v>391</v>
      </c>
      <c r="I2097" s="898">
        <f t="shared" si="95"/>
        <v>100</v>
      </c>
    </row>
    <row r="2098" spans="1:23" ht="16.5" thickTop="1" thickBot="1" x14ac:dyDescent="0.3">
      <c r="A2098" s="2739" t="s">
        <v>1246</v>
      </c>
      <c r="B2098" s="2740"/>
      <c r="C2098" s="2740"/>
      <c r="D2098" s="2740"/>
      <c r="E2098" s="2740"/>
      <c r="F2098" s="894">
        <f>F2078+F2083+F2093</f>
        <v>6083</v>
      </c>
      <c r="G2098" s="894">
        <f>G2078+G2081+G2083+G2087+G2091+G2093+G2096</f>
        <v>29238</v>
      </c>
      <c r="H2098" s="894">
        <f>H2078+H2081+H2083+H2087+H2091+H2093+H2096</f>
        <v>29238</v>
      </c>
      <c r="I2098" s="895">
        <f>(H2098/G2098)*100</f>
        <v>100</v>
      </c>
      <c r="J2098" s="385">
        <f>F2098</f>
        <v>6083</v>
      </c>
      <c r="K2098" s="385" t="e">
        <f>G2098+#REF!</f>
        <v>#REF!</v>
      </c>
      <c r="L2098" s="385" t="e">
        <f>H2098+#REF!</f>
        <v>#REF!</v>
      </c>
      <c r="R2098" s="385">
        <f>F2098</f>
        <v>6083</v>
      </c>
      <c r="S2098" s="385">
        <f>G2098</f>
        <v>29238</v>
      </c>
      <c r="T2098" s="385">
        <f>H2098</f>
        <v>29238</v>
      </c>
      <c r="U2098" s="385"/>
      <c r="V2098" s="385"/>
      <c r="W2098" s="385"/>
    </row>
    <row r="2099" spans="1:23" ht="15.75" thickTop="1" x14ac:dyDescent="0.25">
      <c r="A2099" s="435">
        <v>1221</v>
      </c>
      <c r="B2099" s="705">
        <v>3122</v>
      </c>
      <c r="C2099" s="705">
        <v>6351</v>
      </c>
      <c r="D2099" s="578"/>
      <c r="E2099" s="429" t="s">
        <v>1317</v>
      </c>
      <c r="F2099" s="890"/>
      <c r="G2099" s="890">
        <v>500</v>
      </c>
      <c r="H2099" s="890">
        <v>500</v>
      </c>
      <c r="I2099" s="891">
        <v>100</v>
      </c>
    </row>
    <row r="2100" spans="1:23" ht="15.75" thickBot="1" x14ac:dyDescent="0.3">
      <c r="A2100" s="435"/>
      <c r="B2100" s="705"/>
      <c r="C2100" s="705"/>
      <c r="D2100" s="1179" t="s">
        <v>1536</v>
      </c>
      <c r="E2100" s="2541" t="s">
        <v>1537</v>
      </c>
      <c r="F2100" s="890"/>
      <c r="G2100" s="897">
        <v>500</v>
      </c>
      <c r="H2100" s="897">
        <v>500</v>
      </c>
      <c r="I2100" s="893">
        <v>100</v>
      </c>
    </row>
    <row r="2101" spans="1:23" ht="18" customHeight="1" thickTop="1" thickBot="1" x14ac:dyDescent="0.3">
      <c r="A2101" s="2739" t="s">
        <v>1247</v>
      </c>
      <c r="B2101" s="2740"/>
      <c r="C2101" s="2740"/>
      <c r="D2101" s="2740"/>
      <c r="E2101" s="2740"/>
      <c r="F2101" s="894">
        <v>0</v>
      </c>
      <c r="G2101" s="894">
        <f>G2099</f>
        <v>500</v>
      </c>
      <c r="H2101" s="894">
        <f>H2099</f>
        <v>500</v>
      </c>
      <c r="I2101" s="895">
        <f>(H2101/G2101)*100</f>
        <v>100</v>
      </c>
      <c r="U2101" s="385">
        <f>F2101</f>
        <v>0</v>
      </c>
      <c r="V2101" s="385">
        <f>G2101</f>
        <v>500</v>
      </c>
      <c r="W2101" s="385">
        <f>H2101</f>
        <v>500</v>
      </c>
    </row>
    <row r="2102" spans="1:23" s="1684" customFormat="1" ht="15.75" thickTop="1" x14ac:dyDescent="0.2">
      <c r="A2102" s="1681"/>
      <c r="B2102" s="1681"/>
      <c r="C2102" s="1681"/>
      <c r="D2102" s="1681"/>
      <c r="E2102" s="1681"/>
      <c r="F2102" s="1727"/>
      <c r="G2102" s="1727"/>
      <c r="H2102" s="1727"/>
      <c r="I2102" s="1728"/>
      <c r="J2102" s="1698"/>
      <c r="K2102" s="1698"/>
      <c r="L2102" s="1698"/>
      <c r="R2102" s="1698"/>
      <c r="S2102" s="1698"/>
      <c r="T2102" s="1698"/>
      <c r="U2102" s="1698"/>
      <c r="V2102" s="1698"/>
      <c r="W2102" s="1698"/>
    </row>
    <row r="2103" spans="1:23" ht="13.5" thickBot="1" x14ac:dyDescent="0.25">
      <c r="A2103" s="439" t="s">
        <v>153</v>
      </c>
      <c r="I2103" s="1548" t="s">
        <v>179</v>
      </c>
    </row>
    <row r="2104" spans="1:23" ht="14.25" thickTop="1" thickBot="1" x14ac:dyDescent="0.25">
      <c r="A2104" s="657" t="s">
        <v>692</v>
      </c>
      <c r="B2104" s="835" t="s">
        <v>180</v>
      </c>
      <c r="C2104" s="658" t="s">
        <v>181</v>
      </c>
      <c r="D2104" s="660" t="s">
        <v>783</v>
      </c>
      <c r="E2104" s="660" t="s">
        <v>182</v>
      </c>
      <c r="F2104" s="660" t="s">
        <v>183</v>
      </c>
      <c r="G2104" s="660" t="s">
        <v>985</v>
      </c>
      <c r="H2104" s="660" t="s">
        <v>986</v>
      </c>
      <c r="I2104" s="888" t="s">
        <v>987</v>
      </c>
    </row>
    <row r="2105" spans="1:23" ht="14.25" thickTop="1" thickBot="1" x14ac:dyDescent="0.25">
      <c r="A2105" s="592">
        <v>1</v>
      </c>
      <c r="B2105" s="593">
        <v>2</v>
      </c>
      <c r="C2105" s="593">
        <v>3</v>
      </c>
      <c r="D2105" s="593">
        <v>4</v>
      </c>
      <c r="E2105" s="593">
        <v>5</v>
      </c>
      <c r="F2105" s="567">
        <v>6</v>
      </c>
      <c r="G2105" s="567">
        <v>7</v>
      </c>
      <c r="H2105" s="568">
        <v>8</v>
      </c>
      <c r="I2105" s="662" t="s">
        <v>848</v>
      </c>
    </row>
    <row r="2106" spans="1:23" ht="15.75" thickTop="1" x14ac:dyDescent="0.25">
      <c r="A2106" s="1562">
        <v>1222</v>
      </c>
      <c r="B2106" s="917">
        <v>3124</v>
      </c>
      <c r="C2106" s="917">
        <v>5331</v>
      </c>
      <c r="D2106" s="922"/>
      <c r="E2106" s="956" t="s">
        <v>1066</v>
      </c>
      <c r="F2106" s="915">
        <f>F2107+F2108+F2109</f>
        <v>1278</v>
      </c>
      <c r="G2106" s="915">
        <f>G2107+G2108+G2109</f>
        <v>1324</v>
      </c>
      <c r="H2106" s="915">
        <f>H2107+H2108+H2109</f>
        <v>1324</v>
      </c>
      <c r="I2106" s="919">
        <f t="shared" ref="I2106:I2113" si="96">(H2106/G2106)*100</f>
        <v>100</v>
      </c>
    </row>
    <row r="2107" spans="1:23" ht="14.25" x14ac:dyDescent="0.2">
      <c r="A2107" s="435"/>
      <c r="B2107" s="705"/>
      <c r="C2107" s="705"/>
      <c r="D2107" s="743" t="s">
        <v>641</v>
      </c>
      <c r="E2107" s="1679" t="s">
        <v>883</v>
      </c>
      <c r="F2107" s="897">
        <v>121</v>
      </c>
      <c r="G2107" s="897">
        <v>120</v>
      </c>
      <c r="H2107" s="897">
        <v>120</v>
      </c>
      <c r="I2107" s="893">
        <f t="shared" si="96"/>
        <v>100</v>
      </c>
    </row>
    <row r="2108" spans="1:23" ht="14.25" x14ac:dyDescent="0.2">
      <c r="A2108" s="435"/>
      <c r="B2108" s="705"/>
      <c r="C2108" s="705"/>
      <c r="D2108" s="578" t="s">
        <v>636</v>
      </c>
      <c r="E2108" s="474" t="s">
        <v>72</v>
      </c>
      <c r="F2108" s="897">
        <v>1157</v>
      </c>
      <c r="G2108" s="897">
        <v>1157</v>
      </c>
      <c r="H2108" s="897">
        <v>1157</v>
      </c>
      <c r="I2108" s="893">
        <f t="shared" si="96"/>
        <v>100</v>
      </c>
    </row>
    <row r="2109" spans="1:23" ht="17.25" customHeight="1" x14ac:dyDescent="0.2">
      <c r="A2109" s="435"/>
      <c r="B2109" s="705"/>
      <c r="C2109" s="705"/>
      <c r="D2109" s="1179" t="s">
        <v>1038</v>
      </c>
      <c r="E2109" s="1275" t="s">
        <v>1363</v>
      </c>
      <c r="F2109" s="897"/>
      <c r="G2109" s="897">
        <v>47</v>
      </c>
      <c r="H2109" s="897">
        <v>47</v>
      </c>
      <c r="I2109" s="893">
        <f t="shared" si="96"/>
        <v>100</v>
      </c>
    </row>
    <row r="2110" spans="1:23" ht="15" x14ac:dyDescent="0.25">
      <c r="A2110" s="435">
        <v>1222</v>
      </c>
      <c r="B2110" s="705">
        <v>3124</v>
      </c>
      <c r="C2110" s="705">
        <v>5336</v>
      </c>
      <c r="D2110" s="1178"/>
      <c r="E2110" s="1564" t="s">
        <v>1357</v>
      </c>
      <c r="F2110" s="897"/>
      <c r="G2110" s="921">
        <f>G2111+G2112+G2113</f>
        <v>12027</v>
      </c>
      <c r="H2110" s="921">
        <f>H2111+H2112+H2113</f>
        <v>12027</v>
      </c>
      <c r="I2110" s="923">
        <f t="shared" si="96"/>
        <v>100</v>
      </c>
    </row>
    <row r="2111" spans="1:23" ht="14.25" x14ac:dyDescent="0.2">
      <c r="A2111" s="435"/>
      <c r="B2111" s="705"/>
      <c r="C2111" s="705"/>
      <c r="D2111" s="578" t="s">
        <v>1267</v>
      </c>
      <c r="E2111" s="474" t="s">
        <v>882</v>
      </c>
      <c r="F2111" s="897"/>
      <c r="G2111" s="897">
        <v>11618</v>
      </c>
      <c r="H2111" s="897">
        <v>11618</v>
      </c>
      <c r="I2111" s="893">
        <f t="shared" si="96"/>
        <v>100</v>
      </c>
    </row>
    <row r="2112" spans="1:23" ht="14.25" x14ac:dyDescent="0.2">
      <c r="A2112" s="435"/>
      <c r="B2112" s="705"/>
      <c r="C2112" s="705"/>
      <c r="D2112" s="1569" t="s">
        <v>1771</v>
      </c>
      <c r="E2112" s="1561" t="s">
        <v>1908</v>
      </c>
      <c r="F2112" s="903"/>
      <c r="G2112" s="897">
        <v>61</v>
      </c>
      <c r="H2112" s="897">
        <v>61</v>
      </c>
      <c r="I2112" s="893">
        <f t="shared" si="96"/>
        <v>100</v>
      </c>
    </row>
    <row r="2113" spans="1:20" ht="15" thickBot="1" x14ac:dyDescent="0.25">
      <c r="A2113" s="435"/>
      <c r="B2113" s="705"/>
      <c r="C2113" s="705"/>
      <c r="D2113" s="1569" t="s">
        <v>1773</v>
      </c>
      <c r="E2113" s="1561" t="s">
        <v>1908</v>
      </c>
      <c r="F2113" s="903"/>
      <c r="G2113" s="897">
        <v>348</v>
      </c>
      <c r="H2113" s="897">
        <v>348</v>
      </c>
      <c r="I2113" s="893">
        <f t="shared" si="96"/>
        <v>100</v>
      </c>
    </row>
    <row r="2114" spans="1:20" ht="16.5" thickTop="1" thickBot="1" x14ac:dyDescent="0.3">
      <c r="A2114" s="2739" t="s">
        <v>1246</v>
      </c>
      <c r="B2114" s="2740"/>
      <c r="C2114" s="2740"/>
      <c r="D2114" s="2740"/>
      <c r="E2114" s="2740"/>
      <c r="F2114" s="894">
        <f>F2106</f>
        <v>1278</v>
      </c>
      <c r="G2114" s="894">
        <f>G2106+G2110</f>
        <v>13351</v>
      </c>
      <c r="H2114" s="894">
        <f>H2106+H2110</f>
        <v>13351</v>
      </c>
      <c r="I2114" s="895">
        <f>(H2114/G2114)*100</f>
        <v>100</v>
      </c>
      <c r="R2114" s="385">
        <f>F2114</f>
        <v>1278</v>
      </c>
      <c r="S2114" s="385">
        <f>G2114</f>
        <v>13351</v>
      </c>
      <c r="T2114" s="385">
        <f>H2114</f>
        <v>13351</v>
      </c>
    </row>
    <row r="2115" spans="1:20" ht="13.5" thickTop="1" x14ac:dyDescent="0.2"/>
    <row r="2116" spans="1:20" ht="13.5" thickBot="1" x14ac:dyDescent="0.25">
      <c r="A2116" s="439" t="s">
        <v>154</v>
      </c>
      <c r="I2116" s="1548" t="s">
        <v>179</v>
      </c>
    </row>
    <row r="2117" spans="1:20" ht="18" customHeight="1" thickTop="1" thickBot="1" x14ac:dyDescent="0.25">
      <c r="A2117" s="657" t="s">
        <v>692</v>
      </c>
      <c r="B2117" s="835" t="s">
        <v>180</v>
      </c>
      <c r="C2117" s="658" t="s">
        <v>181</v>
      </c>
      <c r="D2117" s="660" t="s">
        <v>783</v>
      </c>
      <c r="E2117" s="660" t="s">
        <v>182</v>
      </c>
      <c r="F2117" s="660" t="s">
        <v>183</v>
      </c>
      <c r="G2117" s="660" t="s">
        <v>985</v>
      </c>
      <c r="H2117" s="660" t="s">
        <v>986</v>
      </c>
      <c r="I2117" s="888" t="s">
        <v>987</v>
      </c>
    </row>
    <row r="2118" spans="1:20" ht="14.25" thickTop="1" thickBot="1" x14ac:dyDescent="0.25">
      <c r="A2118" s="592">
        <v>1</v>
      </c>
      <c r="B2118" s="593">
        <v>2</v>
      </c>
      <c r="C2118" s="593">
        <v>3</v>
      </c>
      <c r="D2118" s="593">
        <v>4</v>
      </c>
      <c r="E2118" s="593">
        <v>5</v>
      </c>
      <c r="F2118" s="567">
        <v>6</v>
      </c>
      <c r="G2118" s="567">
        <v>7</v>
      </c>
      <c r="H2118" s="568">
        <v>8</v>
      </c>
      <c r="I2118" s="662" t="s">
        <v>848</v>
      </c>
    </row>
    <row r="2119" spans="1:20" ht="15.75" thickTop="1" x14ac:dyDescent="0.25">
      <c r="A2119" s="1562">
        <v>1223</v>
      </c>
      <c r="B2119" s="917">
        <v>3122</v>
      </c>
      <c r="C2119" s="917">
        <v>5331</v>
      </c>
      <c r="D2119" s="922"/>
      <c r="E2119" s="956" t="s">
        <v>1066</v>
      </c>
      <c r="F2119" s="915">
        <f>SUM(F2120:F2123)</f>
        <v>1566</v>
      </c>
      <c r="G2119" s="915">
        <f>G2120+G2121</f>
        <v>1633</v>
      </c>
      <c r="H2119" s="915">
        <f>H2120+H2121</f>
        <v>1633</v>
      </c>
      <c r="I2119" s="919">
        <f t="shared" ref="I2119:I2150" si="97">(H2119/G2119)*100</f>
        <v>100</v>
      </c>
    </row>
    <row r="2120" spans="1:20" ht="14.25" x14ac:dyDescent="0.2">
      <c r="A2120" s="435"/>
      <c r="B2120" s="705"/>
      <c r="C2120" s="705"/>
      <c r="D2120" s="578" t="s">
        <v>636</v>
      </c>
      <c r="E2120" s="474" t="s">
        <v>72</v>
      </c>
      <c r="F2120" s="357">
        <v>1566</v>
      </c>
      <c r="G2120" s="897">
        <v>1566</v>
      </c>
      <c r="H2120" s="897">
        <v>1566</v>
      </c>
      <c r="I2120" s="893">
        <f t="shared" si="97"/>
        <v>100</v>
      </c>
    </row>
    <row r="2121" spans="1:20" ht="14.25" x14ac:dyDescent="0.2">
      <c r="A2121" s="435"/>
      <c r="B2121" s="808"/>
      <c r="C2121" s="808"/>
      <c r="D2121" s="2708" t="s">
        <v>1641</v>
      </c>
      <c r="E2121" s="2741" t="s">
        <v>1667</v>
      </c>
      <c r="F2121" s="357"/>
      <c r="G2121" s="903">
        <v>67</v>
      </c>
      <c r="H2121" s="897">
        <v>67</v>
      </c>
      <c r="I2121" s="893">
        <f t="shared" si="97"/>
        <v>100</v>
      </c>
    </row>
    <row r="2122" spans="1:20" ht="13.5" customHeight="1" x14ac:dyDescent="0.2">
      <c r="A2122" s="435"/>
      <c r="B2122" s="808"/>
      <c r="C2122" s="808"/>
      <c r="D2122" s="2734"/>
      <c r="E2122" s="2742"/>
      <c r="F2122" s="357"/>
      <c r="G2122" s="903"/>
      <c r="H2122" s="897"/>
      <c r="I2122" s="893"/>
    </row>
    <row r="2123" spans="1:20" ht="13.5" customHeight="1" x14ac:dyDescent="0.2">
      <c r="A2123" s="435"/>
      <c r="B2123" s="808"/>
      <c r="C2123" s="808"/>
      <c r="D2123" s="2734"/>
      <c r="E2123" s="2742"/>
      <c r="F2123" s="357"/>
      <c r="G2123" s="903"/>
      <c r="H2123" s="897"/>
      <c r="I2123" s="893"/>
    </row>
    <row r="2124" spans="1:20" ht="13.5" customHeight="1" x14ac:dyDescent="0.25">
      <c r="A2124" s="435">
        <v>1223</v>
      </c>
      <c r="B2124" s="808">
        <v>3122</v>
      </c>
      <c r="C2124" s="808">
        <v>5336</v>
      </c>
      <c r="D2124" s="2609"/>
      <c r="E2124" s="1564" t="s">
        <v>1357</v>
      </c>
      <c r="F2124" s="907"/>
      <c r="G2124" s="916">
        <f>G2125+G2126+G2127</f>
        <v>16311</v>
      </c>
      <c r="H2124" s="916">
        <f>H2125+H2126+H2127</f>
        <v>16311</v>
      </c>
      <c r="I2124" s="923">
        <f t="shared" si="97"/>
        <v>100</v>
      </c>
    </row>
    <row r="2125" spans="1:20" ht="13.5" customHeight="1" x14ac:dyDescent="0.2">
      <c r="A2125" s="435"/>
      <c r="B2125" s="808"/>
      <c r="C2125" s="808"/>
      <c r="D2125" s="578" t="s">
        <v>1267</v>
      </c>
      <c r="E2125" s="474" t="s">
        <v>882</v>
      </c>
      <c r="F2125" s="907"/>
      <c r="G2125" s="903">
        <v>14719</v>
      </c>
      <c r="H2125" s="903">
        <v>14719</v>
      </c>
      <c r="I2125" s="893">
        <f t="shared" si="97"/>
        <v>100</v>
      </c>
    </row>
    <row r="2126" spans="1:20" ht="14.25" x14ac:dyDescent="0.2">
      <c r="A2126" s="435"/>
      <c r="B2126" s="808"/>
      <c r="C2126" s="808"/>
      <c r="D2126" s="1569" t="s">
        <v>1771</v>
      </c>
      <c r="E2126" s="1561" t="s">
        <v>1908</v>
      </c>
      <c r="F2126" s="907"/>
      <c r="G2126" s="903">
        <v>239</v>
      </c>
      <c r="H2126" s="903">
        <v>239</v>
      </c>
      <c r="I2126" s="893">
        <f t="shared" si="97"/>
        <v>100</v>
      </c>
    </row>
    <row r="2127" spans="1:20" ht="14.25" x14ac:dyDescent="0.2">
      <c r="A2127" s="435"/>
      <c r="B2127" s="808"/>
      <c r="C2127" s="808"/>
      <c r="D2127" s="1569" t="s">
        <v>1773</v>
      </c>
      <c r="E2127" s="1561" t="s">
        <v>1908</v>
      </c>
      <c r="F2127" s="907"/>
      <c r="G2127" s="903">
        <v>1353</v>
      </c>
      <c r="H2127" s="903">
        <v>1353</v>
      </c>
      <c r="I2127" s="893">
        <f t="shared" si="97"/>
        <v>100</v>
      </c>
    </row>
    <row r="2128" spans="1:20" ht="15" x14ac:dyDescent="0.25">
      <c r="A2128" s="435">
        <v>1223</v>
      </c>
      <c r="B2128" s="808">
        <v>3123</v>
      </c>
      <c r="C2128" s="808">
        <v>5331</v>
      </c>
      <c r="D2128" s="929"/>
      <c r="E2128" s="854" t="s">
        <v>1066</v>
      </c>
      <c r="F2128" s="905">
        <f>SUM(F2129:F2133)</f>
        <v>2407</v>
      </c>
      <c r="G2128" s="905">
        <f>G2129+G2130+G2131</f>
        <v>2567</v>
      </c>
      <c r="H2128" s="905">
        <f>H2129+H2130+H2131</f>
        <v>2567</v>
      </c>
      <c r="I2128" s="906">
        <f t="shared" si="97"/>
        <v>100</v>
      </c>
    </row>
    <row r="2129" spans="1:19" ht="14.25" x14ac:dyDescent="0.2">
      <c r="A2129" s="435"/>
      <c r="B2129" s="808"/>
      <c r="C2129" s="808"/>
      <c r="D2129" s="743" t="s">
        <v>641</v>
      </c>
      <c r="E2129" s="1679" t="s">
        <v>883</v>
      </c>
      <c r="F2129" s="903">
        <v>830</v>
      </c>
      <c r="G2129" s="903">
        <v>916</v>
      </c>
      <c r="H2129" s="903">
        <v>916</v>
      </c>
      <c r="I2129" s="898">
        <f t="shared" si="97"/>
        <v>100</v>
      </c>
    </row>
    <row r="2130" spans="1:19" ht="14.25" x14ac:dyDescent="0.2">
      <c r="A2130" s="435"/>
      <c r="B2130" s="808"/>
      <c r="C2130" s="808"/>
      <c r="D2130" s="578" t="s">
        <v>636</v>
      </c>
      <c r="E2130" s="474" t="s">
        <v>72</v>
      </c>
      <c r="F2130" s="903">
        <v>1577</v>
      </c>
      <c r="G2130" s="903">
        <v>1577</v>
      </c>
      <c r="H2130" s="903">
        <v>1577</v>
      </c>
      <c r="I2130" s="898">
        <f t="shared" si="97"/>
        <v>100</v>
      </c>
    </row>
    <row r="2131" spans="1:19" ht="14.25" x14ac:dyDescent="0.2">
      <c r="A2131" s="435"/>
      <c r="B2131" s="808"/>
      <c r="C2131" s="808"/>
      <c r="D2131" s="1179" t="s">
        <v>1038</v>
      </c>
      <c r="E2131" s="1275" t="s">
        <v>1363</v>
      </c>
      <c r="F2131" s="903"/>
      <c r="G2131" s="903">
        <v>74</v>
      </c>
      <c r="H2131" s="903">
        <v>74</v>
      </c>
      <c r="I2131" s="898">
        <f t="shared" si="97"/>
        <v>100</v>
      </c>
    </row>
    <row r="2132" spans="1:19" ht="15" x14ac:dyDescent="0.25">
      <c r="A2132" s="435">
        <v>1223</v>
      </c>
      <c r="B2132" s="808">
        <v>3123</v>
      </c>
      <c r="C2132" s="808">
        <v>5336</v>
      </c>
      <c r="D2132" s="2537"/>
      <c r="E2132" s="1564" t="s">
        <v>1357</v>
      </c>
      <c r="F2132" s="903"/>
      <c r="G2132" s="916">
        <v>8625</v>
      </c>
      <c r="H2132" s="916">
        <v>8625</v>
      </c>
      <c r="I2132" s="908">
        <f t="shared" si="97"/>
        <v>100</v>
      </c>
    </row>
    <row r="2133" spans="1:19" ht="14.25" x14ac:dyDescent="0.2">
      <c r="A2133" s="435"/>
      <c r="B2133" s="808"/>
      <c r="C2133" s="808"/>
      <c r="D2133" s="578" t="s">
        <v>1267</v>
      </c>
      <c r="E2133" s="474" t="s">
        <v>882</v>
      </c>
      <c r="F2133" s="903"/>
      <c r="G2133" s="903">
        <v>8625</v>
      </c>
      <c r="H2133" s="903">
        <v>8625</v>
      </c>
      <c r="I2133" s="898">
        <f t="shared" si="97"/>
        <v>100</v>
      </c>
      <c r="R2133" s="2753"/>
      <c r="S2133" s="2755"/>
    </row>
    <row r="2134" spans="1:19" ht="15" x14ac:dyDescent="0.25">
      <c r="A2134" s="435">
        <v>1223</v>
      </c>
      <c r="B2134" s="808">
        <v>3124</v>
      </c>
      <c r="C2134" s="808">
        <v>5331</v>
      </c>
      <c r="D2134" s="929"/>
      <c r="E2134" s="854" t="s">
        <v>1066</v>
      </c>
      <c r="F2134" s="905">
        <f>F2135</f>
        <v>1362</v>
      </c>
      <c r="G2134" s="905">
        <f>G2135+G2136</f>
        <v>1387</v>
      </c>
      <c r="H2134" s="905">
        <f>H2135+H2136</f>
        <v>1387</v>
      </c>
      <c r="I2134" s="906">
        <f t="shared" si="97"/>
        <v>100</v>
      </c>
      <c r="R2134" s="2754"/>
      <c r="S2134" s="2756"/>
    </row>
    <row r="2135" spans="1:19" ht="14.25" x14ac:dyDescent="0.2">
      <c r="A2135" s="435"/>
      <c r="B2135" s="808"/>
      <c r="C2135" s="808"/>
      <c r="D2135" s="578" t="s">
        <v>636</v>
      </c>
      <c r="E2135" s="474" t="s">
        <v>72</v>
      </c>
      <c r="F2135" s="903">
        <v>1362</v>
      </c>
      <c r="G2135" s="903">
        <v>1362</v>
      </c>
      <c r="H2135" s="903">
        <v>1362</v>
      </c>
      <c r="I2135" s="898">
        <f t="shared" si="97"/>
        <v>100</v>
      </c>
      <c r="R2135" s="2754"/>
      <c r="S2135" s="2756"/>
    </row>
    <row r="2136" spans="1:19" ht="14.25" x14ac:dyDescent="0.2">
      <c r="A2136" s="435"/>
      <c r="B2136" s="808"/>
      <c r="C2136" s="808"/>
      <c r="D2136" s="1178" t="s">
        <v>1040</v>
      </c>
      <c r="E2136" s="2585" t="s">
        <v>1907</v>
      </c>
      <c r="F2136" s="903"/>
      <c r="G2136" s="903">
        <v>25</v>
      </c>
      <c r="H2136" s="903">
        <v>25</v>
      </c>
      <c r="I2136" s="898">
        <f t="shared" si="97"/>
        <v>100</v>
      </c>
      <c r="R2136" s="2534"/>
      <c r="S2136" s="2535"/>
    </row>
    <row r="2137" spans="1:19" ht="15" x14ac:dyDescent="0.25">
      <c r="A2137" s="435">
        <v>1223</v>
      </c>
      <c r="B2137" s="808">
        <v>3124</v>
      </c>
      <c r="C2137" s="808">
        <v>5336</v>
      </c>
      <c r="D2137" s="578"/>
      <c r="E2137" s="1564" t="s">
        <v>1357</v>
      </c>
      <c r="F2137" s="903"/>
      <c r="G2137" s="916">
        <v>8887</v>
      </c>
      <c r="H2137" s="916">
        <v>8887</v>
      </c>
      <c r="I2137" s="908">
        <f t="shared" si="97"/>
        <v>100</v>
      </c>
      <c r="R2137" s="2534"/>
      <c r="S2137" s="2535"/>
    </row>
    <row r="2138" spans="1:19" ht="14.25" x14ac:dyDescent="0.2">
      <c r="A2138" s="435"/>
      <c r="B2138" s="808"/>
      <c r="C2138" s="1551"/>
      <c r="D2138" s="578" t="s">
        <v>1267</v>
      </c>
      <c r="E2138" s="474" t="s">
        <v>882</v>
      </c>
      <c r="F2138" s="903"/>
      <c r="G2138" s="903">
        <v>8887</v>
      </c>
      <c r="H2138" s="903">
        <v>8887</v>
      </c>
      <c r="I2138" s="898">
        <f t="shared" si="97"/>
        <v>100</v>
      </c>
    </row>
    <row r="2139" spans="1:19" ht="15" x14ac:dyDescent="0.25">
      <c r="A2139" s="435">
        <v>1223</v>
      </c>
      <c r="B2139" s="808">
        <v>3142</v>
      </c>
      <c r="C2139" s="808">
        <v>5331</v>
      </c>
      <c r="D2139" s="929"/>
      <c r="E2139" s="854" t="s">
        <v>1066</v>
      </c>
      <c r="F2139" s="905">
        <v>250</v>
      </c>
      <c r="G2139" s="905">
        <v>250</v>
      </c>
      <c r="H2139" s="905">
        <v>250</v>
      </c>
      <c r="I2139" s="906">
        <f t="shared" si="97"/>
        <v>100</v>
      </c>
    </row>
    <row r="2140" spans="1:19" ht="14.25" x14ac:dyDescent="0.2">
      <c r="A2140" s="435"/>
      <c r="B2140" s="808"/>
      <c r="C2140" s="808"/>
      <c r="D2140" s="578" t="s">
        <v>636</v>
      </c>
      <c r="E2140" s="474" t="s">
        <v>72</v>
      </c>
      <c r="F2140" s="903">
        <v>250</v>
      </c>
      <c r="G2140" s="903">
        <v>250</v>
      </c>
      <c r="H2140" s="903">
        <v>250</v>
      </c>
      <c r="I2140" s="898">
        <f t="shared" si="97"/>
        <v>100</v>
      </c>
    </row>
    <row r="2141" spans="1:19" ht="18" customHeight="1" x14ac:dyDescent="0.25">
      <c r="A2141" s="435">
        <v>1223</v>
      </c>
      <c r="B2141" s="808">
        <v>3142</v>
      </c>
      <c r="C2141" s="808">
        <v>5336</v>
      </c>
      <c r="D2141" s="578"/>
      <c r="E2141" s="1564" t="s">
        <v>1357</v>
      </c>
      <c r="F2141" s="903"/>
      <c r="G2141" s="916">
        <v>599</v>
      </c>
      <c r="H2141" s="916">
        <v>599</v>
      </c>
      <c r="I2141" s="908">
        <f t="shared" si="97"/>
        <v>100</v>
      </c>
    </row>
    <row r="2142" spans="1:19" ht="13.5" customHeight="1" x14ac:dyDescent="0.2">
      <c r="A2142" s="435"/>
      <c r="B2142" s="808"/>
      <c r="C2142" s="1551"/>
      <c r="D2142" s="578" t="s">
        <v>1267</v>
      </c>
      <c r="E2142" s="474" t="s">
        <v>882</v>
      </c>
      <c r="F2142" s="903"/>
      <c r="G2142" s="903">
        <v>599</v>
      </c>
      <c r="H2142" s="903">
        <v>599</v>
      </c>
      <c r="I2142" s="898">
        <f t="shared" si="97"/>
        <v>100</v>
      </c>
    </row>
    <row r="2143" spans="1:19" ht="15" x14ac:dyDescent="0.25">
      <c r="A2143" s="435">
        <v>1223</v>
      </c>
      <c r="B2143" s="808">
        <v>3147</v>
      </c>
      <c r="C2143" s="808">
        <v>5331</v>
      </c>
      <c r="D2143" s="929"/>
      <c r="E2143" s="854" t="s">
        <v>1066</v>
      </c>
      <c r="F2143" s="905">
        <f>SUM(F2144:F2150)</f>
        <v>306</v>
      </c>
      <c r="G2143" s="905">
        <v>300</v>
      </c>
      <c r="H2143" s="905">
        <v>300</v>
      </c>
      <c r="I2143" s="906">
        <f t="shared" si="97"/>
        <v>100</v>
      </c>
    </row>
    <row r="2144" spans="1:19" ht="15" thickBot="1" x14ac:dyDescent="0.25">
      <c r="A2144" s="1552"/>
      <c r="B2144" s="962"/>
      <c r="C2144" s="962"/>
      <c r="D2144" s="757" t="s">
        <v>636</v>
      </c>
      <c r="E2144" s="476" t="s">
        <v>72</v>
      </c>
      <c r="F2144" s="963">
        <v>300</v>
      </c>
      <c r="G2144" s="963">
        <v>300</v>
      </c>
      <c r="H2144" s="963">
        <v>300</v>
      </c>
      <c r="I2144" s="942">
        <f t="shared" si="97"/>
        <v>100</v>
      </c>
    </row>
    <row r="2145" spans="1:20" s="1555" customFormat="1" ht="15" thickTop="1" x14ac:dyDescent="0.2">
      <c r="B2145" s="803"/>
      <c r="C2145" s="803"/>
      <c r="D2145" s="853"/>
      <c r="E2145" s="67"/>
      <c r="F2145" s="911"/>
      <c r="G2145" s="911"/>
      <c r="H2145" s="911"/>
      <c r="I2145" s="964"/>
    </row>
    <row r="2146" spans="1:20" ht="16.5" customHeight="1" thickBot="1" x14ac:dyDescent="0.25">
      <c r="A2146" s="2594"/>
      <c r="B2146" s="807"/>
      <c r="C2146" s="807"/>
      <c r="D2146" s="2599"/>
      <c r="E2146" s="2606"/>
      <c r="F2146" s="2597"/>
      <c r="G2146" s="2597"/>
      <c r="H2146" s="2597"/>
      <c r="I2146" s="2601" t="s">
        <v>1379</v>
      </c>
      <c r="R2146" s="2534"/>
      <c r="S2146" s="2535"/>
    </row>
    <row r="2147" spans="1:20" ht="14.25" thickTop="1" thickBot="1" x14ac:dyDescent="0.25">
      <c r="A2147" s="657" t="s">
        <v>692</v>
      </c>
      <c r="B2147" s="835" t="s">
        <v>180</v>
      </c>
      <c r="C2147" s="658" t="s">
        <v>181</v>
      </c>
      <c r="D2147" s="660" t="s">
        <v>783</v>
      </c>
      <c r="E2147" s="660" t="s">
        <v>182</v>
      </c>
      <c r="F2147" s="660" t="s">
        <v>183</v>
      </c>
      <c r="G2147" s="660" t="s">
        <v>985</v>
      </c>
      <c r="H2147" s="660" t="s">
        <v>986</v>
      </c>
      <c r="I2147" s="888" t="s">
        <v>987</v>
      </c>
    </row>
    <row r="2148" spans="1:20" ht="14.25" thickTop="1" thickBot="1" x14ac:dyDescent="0.25">
      <c r="A2148" s="592">
        <v>1</v>
      </c>
      <c r="B2148" s="593">
        <v>2</v>
      </c>
      <c r="C2148" s="593">
        <v>3</v>
      </c>
      <c r="D2148" s="593">
        <v>4</v>
      </c>
      <c r="E2148" s="593">
        <v>5</v>
      </c>
      <c r="F2148" s="567">
        <v>6</v>
      </c>
      <c r="G2148" s="567">
        <v>7</v>
      </c>
      <c r="H2148" s="568">
        <v>8</v>
      </c>
      <c r="I2148" s="662" t="s">
        <v>848</v>
      </c>
    </row>
    <row r="2149" spans="1:20" ht="15.75" thickTop="1" x14ac:dyDescent="0.25">
      <c r="A2149" s="435">
        <v>1223</v>
      </c>
      <c r="B2149" s="808">
        <v>3147</v>
      </c>
      <c r="C2149" s="808">
        <v>5336</v>
      </c>
      <c r="D2149" s="578"/>
      <c r="E2149" s="1564" t="s">
        <v>1357</v>
      </c>
      <c r="F2149" s="903"/>
      <c r="G2149" s="916">
        <v>2081</v>
      </c>
      <c r="H2149" s="916">
        <v>2081</v>
      </c>
      <c r="I2149" s="908">
        <f t="shared" si="97"/>
        <v>100</v>
      </c>
    </row>
    <row r="2150" spans="1:20" ht="20.25" customHeight="1" x14ac:dyDescent="0.2">
      <c r="A2150" s="435"/>
      <c r="B2150" s="808"/>
      <c r="C2150" s="1551"/>
      <c r="D2150" s="578" t="s">
        <v>1267</v>
      </c>
      <c r="E2150" s="474" t="s">
        <v>882</v>
      </c>
      <c r="F2150" s="903"/>
      <c r="G2150" s="903">
        <v>2081</v>
      </c>
      <c r="H2150" s="903">
        <v>2081</v>
      </c>
      <c r="I2150" s="898">
        <f t="shared" si="97"/>
        <v>100</v>
      </c>
    </row>
    <row r="2151" spans="1:20" ht="15" x14ac:dyDescent="0.25">
      <c r="A2151" s="435">
        <v>1223</v>
      </c>
      <c r="B2151" s="705">
        <v>3293</v>
      </c>
      <c r="C2151" s="1551">
        <v>5331</v>
      </c>
      <c r="D2151" s="899"/>
      <c r="E2151" s="854" t="s">
        <v>1066</v>
      </c>
      <c r="F2151" s="905"/>
      <c r="G2151" s="905">
        <v>9</v>
      </c>
      <c r="H2151" s="905">
        <v>9</v>
      </c>
      <c r="I2151" s="891">
        <f>(H2151/G2151)*100</f>
        <v>100</v>
      </c>
      <c r="R2151" s="385"/>
      <c r="S2151" s="385"/>
      <c r="T2151" s="385"/>
    </row>
    <row r="2152" spans="1:20" ht="15" thickBot="1" x14ac:dyDescent="0.25">
      <c r="A2152" s="435"/>
      <c r="B2152" s="705"/>
      <c r="C2152" s="1550"/>
      <c r="D2152" s="914" t="s">
        <v>1270</v>
      </c>
      <c r="E2152" s="1694" t="s">
        <v>62</v>
      </c>
      <c r="F2152" s="897"/>
      <c r="G2152" s="897">
        <v>9</v>
      </c>
      <c r="H2152" s="897">
        <v>9</v>
      </c>
      <c r="I2152" s="893">
        <v>100</v>
      </c>
      <c r="R2152" s="385"/>
      <c r="S2152" s="385"/>
      <c r="T2152" s="385"/>
    </row>
    <row r="2153" spans="1:20" ht="16.5" thickTop="1" thickBot="1" x14ac:dyDescent="0.3">
      <c r="A2153" s="2739" t="s">
        <v>1246</v>
      </c>
      <c r="B2153" s="2740"/>
      <c r="C2153" s="2740"/>
      <c r="D2153" s="2740"/>
      <c r="E2153" s="2740"/>
      <c r="F2153" s="894">
        <f>F2119+F2128+F2134+F2139+F2143</f>
        <v>5891</v>
      </c>
      <c r="G2153" s="894">
        <f>G2119+G2124+G2128+G2132+G2134+G2137+G2139+G2143+G2151+G2141+G2149</f>
        <v>42649</v>
      </c>
      <c r="H2153" s="894">
        <f>H2119+H2124+H2128+H2132+H2134+H2137+H2139+H2143+H2151+H2141+H2149</f>
        <v>42649</v>
      </c>
      <c r="I2153" s="895">
        <f>(H2153/G2153)*100</f>
        <v>100</v>
      </c>
      <c r="R2153" s="385">
        <f>F2153</f>
        <v>5891</v>
      </c>
      <c r="S2153" s="385">
        <f>G2153</f>
        <v>42649</v>
      </c>
      <c r="T2153" s="385">
        <f>H2153</f>
        <v>42649</v>
      </c>
    </row>
    <row r="2154" spans="1:20" s="107" customFormat="1" ht="13.5" thickTop="1" x14ac:dyDescent="0.2">
      <c r="A2154" s="384"/>
      <c r="B2154" s="669"/>
      <c r="C2154" s="384"/>
      <c r="D2154" s="884"/>
      <c r="E2154" s="384"/>
      <c r="F2154" s="385"/>
      <c r="G2154" s="385"/>
      <c r="H2154" s="385"/>
      <c r="I2154" s="1548"/>
    </row>
    <row r="2155" spans="1:20" ht="13.5" thickBot="1" x14ac:dyDescent="0.25">
      <c r="A2155" s="439" t="s">
        <v>94</v>
      </c>
      <c r="I2155" s="1548" t="s">
        <v>179</v>
      </c>
    </row>
    <row r="2156" spans="1:20" ht="14.25" thickTop="1" thickBot="1" x14ac:dyDescent="0.25">
      <c r="A2156" s="657" t="s">
        <v>692</v>
      </c>
      <c r="B2156" s="835" t="s">
        <v>180</v>
      </c>
      <c r="C2156" s="658" t="s">
        <v>181</v>
      </c>
      <c r="D2156" s="660" t="s">
        <v>783</v>
      </c>
      <c r="E2156" s="660" t="s">
        <v>182</v>
      </c>
      <c r="F2156" s="660" t="s">
        <v>183</v>
      </c>
      <c r="G2156" s="660" t="s">
        <v>985</v>
      </c>
      <c r="H2156" s="660" t="s">
        <v>986</v>
      </c>
      <c r="I2156" s="888" t="s">
        <v>987</v>
      </c>
    </row>
    <row r="2157" spans="1:20" ht="14.25" thickTop="1" thickBot="1" x14ac:dyDescent="0.25">
      <c r="A2157" s="592">
        <v>1</v>
      </c>
      <c r="B2157" s="593">
        <v>2</v>
      </c>
      <c r="C2157" s="593">
        <v>3</v>
      </c>
      <c r="D2157" s="593">
        <v>4</v>
      </c>
      <c r="E2157" s="593">
        <v>5</v>
      </c>
      <c r="F2157" s="567">
        <v>6</v>
      </c>
      <c r="G2157" s="567">
        <v>7</v>
      </c>
      <c r="H2157" s="568">
        <v>8</v>
      </c>
      <c r="I2157" s="662" t="s">
        <v>848</v>
      </c>
    </row>
    <row r="2158" spans="1:20" ht="15.75" thickTop="1" x14ac:dyDescent="0.25">
      <c r="A2158" s="1562">
        <v>1224</v>
      </c>
      <c r="B2158" s="917">
        <v>3122</v>
      </c>
      <c r="C2158" s="917">
        <v>5336</v>
      </c>
      <c r="D2158" s="922"/>
      <c r="E2158" s="1564" t="s">
        <v>1357</v>
      </c>
      <c r="F2158" s="915"/>
      <c r="G2158" s="915">
        <v>1075</v>
      </c>
      <c r="H2158" s="915">
        <v>1075</v>
      </c>
      <c r="I2158" s="919">
        <f>(H2158/G2158)*100</f>
        <v>100</v>
      </c>
    </row>
    <row r="2159" spans="1:20" ht="14.25" x14ac:dyDescent="0.2">
      <c r="A2159" s="435"/>
      <c r="B2159" s="705"/>
      <c r="C2159" s="705"/>
      <c r="D2159" s="578" t="s">
        <v>1267</v>
      </c>
      <c r="E2159" s="474" t="s">
        <v>882</v>
      </c>
      <c r="F2159" s="897"/>
      <c r="G2159" s="897">
        <v>1075</v>
      </c>
      <c r="H2159" s="897">
        <v>1075</v>
      </c>
      <c r="I2159" s="893">
        <f>(H2159/G2159)*100</f>
        <v>100</v>
      </c>
    </row>
    <row r="2160" spans="1:20" ht="15" x14ac:dyDescent="0.25">
      <c r="A2160" s="435">
        <v>1224</v>
      </c>
      <c r="B2160" s="705">
        <v>3123</v>
      </c>
      <c r="C2160" s="705">
        <v>5331</v>
      </c>
      <c r="D2160" s="889"/>
      <c r="E2160" s="854" t="s">
        <v>1066</v>
      </c>
      <c r="F2160" s="890">
        <f>F2161+F2162</f>
        <v>1833</v>
      </c>
      <c r="G2160" s="890">
        <f>G2161+G2162</f>
        <v>1223</v>
      </c>
      <c r="H2160" s="890">
        <f>H2161+H2162</f>
        <v>1223</v>
      </c>
      <c r="I2160" s="891">
        <f t="shared" ref="I2160:I2174" si="98">(H2160/G2160)*100</f>
        <v>100</v>
      </c>
    </row>
    <row r="2161" spans="1:20" ht="14.25" x14ac:dyDescent="0.2">
      <c r="A2161" s="435"/>
      <c r="B2161" s="705"/>
      <c r="C2161" s="705"/>
      <c r="D2161" s="743" t="s">
        <v>641</v>
      </c>
      <c r="E2161" s="1679" t="s">
        <v>883</v>
      </c>
      <c r="F2161" s="897">
        <v>245</v>
      </c>
      <c r="G2161" s="897">
        <v>164</v>
      </c>
      <c r="H2161" s="897">
        <v>164</v>
      </c>
      <c r="I2161" s="893">
        <f t="shared" si="98"/>
        <v>100</v>
      </c>
    </row>
    <row r="2162" spans="1:20" ht="14.25" x14ac:dyDescent="0.2">
      <c r="A2162" s="435"/>
      <c r="B2162" s="705"/>
      <c r="C2162" s="705"/>
      <c r="D2162" s="578" t="s">
        <v>636</v>
      </c>
      <c r="E2162" s="474" t="s">
        <v>72</v>
      </c>
      <c r="F2162" s="897">
        <v>1588</v>
      </c>
      <c r="G2162" s="897">
        <v>1059</v>
      </c>
      <c r="H2162" s="897">
        <v>1059</v>
      </c>
      <c r="I2162" s="893">
        <f t="shared" si="98"/>
        <v>100</v>
      </c>
    </row>
    <row r="2163" spans="1:20" ht="15" x14ac:dyDescent="0.25">
      <c r="A2163" s="435">
        <v>1224</v>
      </c>
      <c r="B2163" s="705">
        <v>3123</v>
      </c>
      <c r="C2163" s="705">
        <v>5336</v>
      </c>
      <c r="D2163" s="1178"/>
      <c r="E2163" s="1564" t="s">
        <v>1357</v>
      </c>
      <c r="F2163" s="897"/>
      <c r="G2163" s="921">
        <f>G2164+G2165+G2166</f>
        <v>4340</v>
      </c>
      <c r="H2163" s="921">
        <f>H2164+H2165+H2166</f>
        <v>4340</v>
      </c>
      <c r="I2163" s="923">
        <f t="shared" si="98"/>
        <v>100</v>
      </c>
    </row>
    <row r="2164" spans="1:20" ht="14.25" x14ac:dyDescent="0.2">
      <c r="A2164" s="435"/>
      <c r="B2164" s="705"/>
      <c r="C2164" s="705"/>
      <c r="D2164" s="578" t="s">
        <v>1267</v>
      </c>
      <c r="E2164" s="474" t="s">
        <v>882</v>
      </c>
      <c r="F2164" s="897"/>
      <c r="G2164" s="897">
        <v>3887</v>
      </c>
      <c r="H2164" s="897">
        <v>3887</v>
      </c>
      <c r="I2164" s="893">
        <f t="shared" si="98"/>
        <v>100</v>
      </c>
    </row>
    <row r="2165" spans="1:20" ht="18" customHeight="1" x14ac:dyDescent="0.2">
      <c r="A2165" s="435"/>
      <c r="B2165" s="808"/>
      <c r="C2165" s="808"/>
      <c r="D2165" s="1569" t="s">
        <v>1771</v>
      </c>
      <c r="E2165" s="1561" t="s">
        <v>1908</v>
      </c>
      <c r="F2165" s="903"/>
      <c r="G2165" s="903">
        <v>68</v>
      </c>
      <c r="H2165" s="903">
        <v>68</v>
      </c>
      <c r="I2165" s="898">
        <f t="shared" si="98"/>
        <v>100</v>
      </c>
    </row>
    <row r="2166" spans="1:20" ht="14.25" x14ac:dyDescent="0.2">
      <c r="A2166" s="435"/>
      <c r="B2166" s="808"/>
      <c r="C2166" s="808"/>
      <c r="D2166" s="1569" t="s">
        <v>1773</v>
      </c>
      <c r="E2166" s="1561" t="s">
        <v>1908</v>
      </c>
      <c r="F2166" s="903"/>
      <c r="G2166" s="903">
        <v>385</v>
      </c>
      <c r="H2166" s="903">
        <v>385</v>
      </c>
      <c r="I2166" s="898">
        <f t="shared" si="98"/>
        <v>100</v>
      </c>
    </row>
    <row r="2167" spans="1:20" ht="15" x14ac:dyDescent="0.25">
      <c r="A2167" s="435">
        <v>1224</v>
      </c>
      <c r="B2167" s="808">
        <v>3142</v>
      </c>
      <c r="C2167" s="808">
        <v>5331</v>
      </c>
      <c r="D2167" s="929"/>
      <c r="E2167" s="704" t="s">
        <v>1066</v>
      </c>
      <c r="F2167" s="905">
        <v>350</v>
      </c>
      <c r="G2167" s="905">
        <v>233</v>
      </c>
      <c r="H2167" s="905">
        <v>233</v>
      </c>
      <c r="I2167" s="906">
        <f t="shared" si="98"/>
        <v>100</v>
      </c>
    </row>
    <row r="2168" spans="1:20" ht="14.25" x14ac:dyDescent="0.2">
      <c r="A2168" s="435"/>
      <c r="B2168" s="808"/>
      <c r="C2168" s="808"/>
      <c r="D2168" s="578" t="s">
        <v>636</v>
      </c>
      <c r="E2168" s="474" t="s">
        <v>72</v>
      </c>
      <c r="F2168" s="903">
        <v>350</v>
      </c>
      <c r="G2168" s="903">
        <v>233</v>
      </c>
      <c r="H2168" s="903">
        <v>233</v>
      </c>
      <c r="I2168" s="898">
        <f t="shared" si="98"/>
        <v>100</v>
      </c>
    </row>
    <row r="2169" spans="1:20" ht="20.25" customHeight="1" x14ac:dyDescent="0.25">
      <c r="A2169" s="435">
        <v>1224</v>
      </c>
      <c r="B2169" s="808">
        <v>3142</v>
      </c>
      <c r="C2169" s="808">
        <v>5336</v>
      </c>
      <c r="D2169" s="578"/>
      <c r="E2169" s="1564" t="s">
        <v>1357</v>
      </c>
      <c r="F2169" s="903"/>
      <c r="G2169" s="916">
        <v>298</v>
      </c>
      <c r="H2169" s="916">
        <v>298</v>
      </c>
      <c r="I2169" s="908">
        <f t="shared" si="98"/>
        <v>100</v>
      </c>
    </row>
    <row r="2170" spans="1:20" ht="14.25" x14ac:dyDescent="0.2">
      <c r="A2170" s="435"/>
      <c r="B2170" s="808"/>
      <c r="C2170" s="1551"/>
      <c r="D2170" s="578" t="s">
        <v>1267</v>
      </c>
      <c r="E2170" s="474" t="s">
        <v>882</v>
      </c>
      <c r="F2170" s="903"/>
      <c r="G2170" s="903">
        <v>298</v>
      </c>
      <c r="H2170" s="903">
        <v>298</v>
      </c>
      <c r="I2170" s="898">
        <f t="shared" si="98"/>
        <v>100</v>
      </c>
    </row>
    <row r="2171" spans="1:20" ht="15" x14ac:dyDescent="0.25">
      <c r="A2171" s="435">
        <v>1224</v>
      </c>
      <c r="B2171" s="808">
        <v>3147</v>
      </c>
      <c r="C2171" s="808">
        <v>5331</v>
      </c>
      <c r="D2171" s="929"/>
      <c r="E2171" s="704" t="s">
        <v>1066</v>
      </c>
      <c r="F2171" s="905">
        <f>SUM(F2172:F2174)</f>
        <v>750</v>
      </c>
      <c r="G2171" s="905">
        <v>500</v>
      </c>
      <c r="H2171" s="905">
        <v>500</v>
      </c>
      <c r="I2171" s="906">
        <f t="shared" si="98"/>
        <v>100</v>
      </c>
    </row>
    <row r="2172" spans="1:20" ht="14.25" x14ac:dyDescent="0.2">
      <c r="A2172" s="435"/>
      <c r="B2172" s="808"/>
      <c r="C2172" s="808"/>
      <c r="D2172" s="578" t="s">
        <v>636</v>
      </c>
      <c r="E2172" s="474" t="s">
        <v>72</v>
      </c>
      <c r="F2172" s="903">
        <v>750</v>
      </c>
      <c r="G2172" s="903">
        <v>500</v>
      </c>
      <c r="H2172" s="903">
        <v>500</v>
      </c>
      <c r="I2172" s="898">
        <f t="shared" si="98"/>
        <v>100</v>
      </c>
    </row>
    <row r="2173" spans="1:20" ht="15" x14ac:dyDescent="0.25">
      <c r="A2173" s="435">
        <v>1224</v>
      </c>
      <c r="B2173" s="808">
        <v>3147</v>
      </c>
      <c r="C2173" s="808">
        <v>5336</v>
      </c>
      <c r="D2173" s="578"/>
      <c r="E2173" s="1564" t="s">
        <v>1357</v>
      </c>
      <c r="F2173" s="903"/>
      <c r="G2173" s="916">
        <v>896</v>
      </c>
      <c r="H2173" s="916">
        <v>896</v>
      </c>
      <c r="I2173" s="908">
        <f t="shared" si="98"/>
        <v>100</v>
      </c>
    </row>
    <row r="2174" spans="1:20" ht="15" thickBot="1" x14ac:dyDescent="0.25">
      <c r="A2174" s="435"/>
      <c r="B2174" s="808"/>
      <c r="C2174" s="1551"/>
      <c r="D2174" s="578" t="s">
        <v>1267</v>
      </c>
      <c r="E2174" s="474" t="s">
        <v>882</v>
      </c>
      <c r="F2174" s="903"/>
      <c r="G2174" s="903">
        <v>896</v>
      </c>
      <c r="H2174" s="903">
        <v>896</v>
      </c>
      <c r="I2174" s="898">
        <f t="shared" si="98"/>
        <v>100</v>
      </c>
    </row>
    <row r="2175" spans="1:20" ht="16.5" thickTop="1" thickBot="1" x14ac:dyDescent="0.3">
      <c r="A2175" s="2739" t="s">
        <v>1246</v>
      </c>
      <c r="B2175" s="2740"/>
      <c r="C2175" s="2740"/>
      <c r="D2175" s="2740"/>
      <c r="E2175" s="2740"/>
      <c r="F2175" s="894">
        <f>F2160+F2167+F2171</f>
        <v>2933</v>
      </c>
      <c r="G2175" s="894">
        <f>G2158+G2160+G2163+G2167+G2169+G2171+G2173</f>
        <v>8565</v>
      </c>
      <c r="H2175" s="894">
        <f>H2158+H2160+H2163+H2167+H2169+H2171+H2173</f>
        <v>8565</v>
      </c>
      <c r="I2175" s="895">
        <f>(H2175/G2175)*100</f>
        <v>100</v>
      </c>
      <c r="R2175" s="385">
        <f>F2175</f>
        <v>2933</v>
      </c>
      <c r="S2175" s="385">
        <f>G2175</f>
        <v>8565</v>
      </c>
      <c r="T2175" s="385">
        <f>H2175</f>
        <v>8565</v>
      </c>
    </row>
    <row r="2176" spans="1:20" s="386" customFormat="1" ht="13.5" thickTop="1" x14ac:dyDescent="0.2">
      <c r="A2176" s="384"/>
      <c r="B2176" s="669"/>
      <c r="C2176" s="384"/>
      <c r="D2176" s="884"/>
      <c r="E2176" s="384"/>
      <c r="F2176" s="385"/>
      <c r="G2176" s="385"/>
      <c r="H2176" s="385"/>
      <c r="I2176" s="1548"/>
    </row>
    <row r="2177" spans="1:9" ht="13.5" thickBot="1" x14ac:dyDescent="0.25">
      <c r="A2177" s="439" t="s">
        <v>155</v>
      </c>
      <c r="I2177" s="1548" t="s">
        <v>179</v>
      </c>
    </row>
    <row r="2178" spans="1:9" ht="14.25" thickTop="1" thickBot="1" x14ac:dyDescent="0.25">
      <c r="A2178" s="657" t="s">
        <v>692</v>
      </c>
      <c r="B2178" s="835" t="s">
        <v>180</v>
      </c>
      <c r="C2178" s="658" t="s">
        <v>181</v>
      </c>
      <c r="D2178" s="660" t="s">
        <v>783</v>
      </c>
      <c r="E2178" s="660" t="s">
        <v>182</v>
      </c>
      <c r="F2178" s="660" t="s">
        <v>183</v>
      </c>
      <c r="G2178" s="660" t="s">
        <v>985</v>
      </c>
      <c r="H2178" s="660" t="s">
        <v>986</v>
      </c>
      <c r="I2178" s="888" t="s">
        <v>987</v>
      </c>
    </row>
    <row r="2179" spans="1:9" ht="14.25" thickTop="1" thickBot="1" x14ac:dyDescent="0.25">
      <c r="A2179" s="592">
        <v>1</v>
      </c>
      <c r="B2179" s="593">
        <v>2</v>
      </c>
      <c r="C2179" s="593">
        <v>3</v>
      </c>
      <c r="D2179" s="593">
        <v>4</v>
      </c>
      <c r="E2179" s="593">
        <v>5</v>
      </c>
      <c r="F2179" s="567">
        <v>6</v>
      </c>
      <c r="G2179" s="567">
        <v>7</v>
      </c>
      <c r="H2179" s="568">
        <v>8</v>
      </c>
      <c r="I2179" s="662" t="s">
        <v>848</v>
      </c>
    </row>
    <row r="2180" spans="1:9" ht="12.75" customHeight="1" thickTop="1" x14ac:dyDescent="0.25">
      <c r="A2180" s="1562">
        <v>1225</v>
      </c>
      <c r="B2180" s="917">
        <v>3124</v>
      </c>
      <c r="C2180" s="917">
        <v>5331</v>
      </c>
      <c r="D2180" s="922"/>
      <c r="E2180" s="956" t="s">
        <v>1066</v>
      </c>
      <c r="F2180" s="915">
        <f>F2181+F2182+F2183+F2184</f>
        <v>3428</v>
      </c>
      <c r="G2180" s="915">
        <f>G2181+G2182+G2183+G2184</f>
        <v>3826</v>
      </c>
      <c r="H2180" s="915">
        <f>H2181+H2182+H2183+H2184</f>
        <v>3826</v>
      </c>
      <c r="I2180" s="919">
        <f t="shared" ref="I2180:I2202" si="99">(H2180/G2180)*100</f>
        <v>100</v>
      </c>
    </row>
    <row r="2181" spans="1:9" ht="14.25" x14ac:dyDescent="0.2">
      <c r="A2181" s="435"/>
      <c r="B2181" s="705"/>
      <c r="C2181" s="705"/>
      <c r="D2181" s="743" t="s">
        <v>641</v>
      </c>
      <c r="E2181" s="1679" t="s">
        <v>883</v>
      </c>
      <c r="F2181" s="357">
        <v>881</v>
      </c>
      <c r="G2181" s="897">
        <v>898</v>
      </c>
      <c r="H2181" s="897">
        <v>898</v>
      </c>
      <c r="I2181" s="893">
        <f t="shared" si="99"/>
        <v>100</v>
      </c>
    </row>
    <row r="2182" spans="1:9" ht="14.25" x14ac:dyDescent="0.2">
      <c r="A2182" s="435"/>
      <c r="B2182" s="705"/>
      <c r="C2182" s="705"/>
      <c r="D2182" s="578" t="s">
        <v>636</v>
      </c>
      <c r="E2182" s="474" t="s">
        <v>72</v>
      </c>
      <c r="F2182" s="357">
        <v>2547</v>
      </c>
      <c r="G2182" s="897">
        <v>2547</v>
      </c>
      <c r="H2182" s="897">
        <v>2547</v>
      </c>
      <c r="I2182" s="893">
        <f t="shared" si="99"/>
        <v>100</v>
      </c>
    </row>
    <row r="2183" spans="1:9" ht="15.75" customHeight="1" x14ac:dyDescent="0.2">
      <c r="A2183" s="435"/>
      <c r="B2183" s="808"/>
      <c r="C2183" s="808"/>
      <c r="D2183" s="1179" t="s">
        <v>1038</v>
      </c>
      <c r="E2183" s="1275" t="s">
        <v>1363</v>
      </c>
      <c r="F2183" s="907"/>
      <c r="G2183" s="903">
        <v>284</v>
      </c>
      <c r="H2183" s="903">
        <v>284</v>
      </c>
      <c r="I2183" s="893">
        <f t="shared" si="99"/>
        <v>100</v>
      </c>
    </row>
    <row r="2184" spans="1:9" ht="18" customHeight="1" x14ac:dyDescent="0.2">
      <c r="A2184" s="435"/>
      <c r="B2184" s="808"/>
      <c r="C2184" s="808"/>
      <c r="D2184" s="1178" t="s">
        <v>1040</v>
      </c>
      <c r="E2184" s="2585" t="s">
        <v>1907</v>
      </c>
      <c r="F2184" s="907"/>
      <c r="G2184" s="903">
        <v>97</v>
      </c>
      <c r="H2184" s="903">
        <v>97</v>
      </c>
      <c r="I2184" s="893">
        <f t="shared" si="99"/>
        <v>100</v>
      </c>
    </row>
    <row r="2185" spans="1:9" ht="13.5" customHeight="1" x14ac:dyDescent="0.25">
      <c r="A2185" s="435">
        <v>1225</v>
      </c>
      <c r="B2185" s="808">
        <v>3124</v>
      </c>
      <c r="C2185" s="808">
        <v>5336</v>
      </c>
      <c r="D2185" s="1178"/>
      <c r="E2185" s="1564" t="s">
        <v>1357</v>
      </c>
      <c r="F2185" s="907"/>
      <c r="G2185" s="916">
        <f>G2186+G2187+G2188</f>
        <v>23124</v>
      </c>
      <c r="H2185" s="916">
        <f>H2186+H2187+H2188</f>
        <v>23124</v>
      </c>
      <c r="I2185" s="923">
        <f t="shared" si="99"/>
        <v>100</v>
      </c>
    </row>
    <row r="2186" spans="1:9" ht="13.5" customHeight="1" x14ac:dyDescent="0.25">
      <c r="A2186" s="435"/>
      <c r="B2186" s="808"/>
      <c r="C2186" s="808"/>
      <c r="D2186" s="578" t="s">
        <v>1267</v>
      </c>
      <c r="E2186" s="474" t="s">
        <v>882</v>
      </c>
      <c r="F2186" s="905"/>
      <c r="G2186" s="903">
        <v>22618</v>
      </c>
      <c r="H2186" s="903">
        <v>22618</v>
      </c>
      <c r="I2186" s="893">
        <f t="shared" si="99"/>
        <v>100</v>
      </c>
    </row>
    <row r="2187" spans="1:9" ht="13.5" customHeight="1" x14ac:dyDescent="0.25">
      <c r="A2187" s="435"/>
      <c r="B2187" s="808"/>
      <c r="C2187" s="808"/>
      <c r="D2187" s="1569" t="s">
        <v>1771</v>
      </c>
      <c r="E2187" s="1561" t="s">
        <v>1908</v>
      </c>
      <c r="F2187" s="905"/>
      <c r="G2187" s="903">
        <v>76</v>
      </c>
      <c r="H2187" s="903">
        <v>76</v>
      </c>
      <c r="I2187" s="898">
        <f t="shared" si="99"/>
        <v>100</v>
      </c>
    </row>
    <row r="2188" spans="1:9" ht="17.25" customHeight="1" x14ac:dyDescent="0.25">
      <c r="A2188" s="435"/>
      <c r="B2188" s="808"/>
      <c r="C2188" s="808"/>
      <c r="D2188" s="1569" t="s">
        <v>1773</v>
      </c>
      <c r="E2188" s="1561" t="s">
        <v>1908</v>
      </c>
      <c r="F2188" s="905"/>
      <c r="G2188" s="903">
        <v>430</v>
      </c>
      <c r="H2188" s="903">
        <v>430</v>
      </c>
      <c r="I2188" s="898">
        <f t="shared" si="99"/>
        <v>100</v>
      </c>
    </row>
    <row r="2189" spans="1:9" ht="15.75" customHeight="1" x14ac:dyDescent="0.25">
      <c r="A2189" s="435">
        <v>1225</v>
      </c>
      <c r="B2189" s="808">
        <v>3142</v>
      </c>
      <c r="C2189" s="808">
        <v>5331</v>
      </c>
      <c r="D2189" s="929"/>
      <c r="E2189" s="704" t="s">
        <v>1066</v>
      </c>
      <c r="F2189" s="905">
        <f>F2190+F2191</f>
        <v>379</v>
      </c>
      <c r="G2189" s="905">
        <f>G2190+G2191</f>
        <v>379</v>
      </c>
      <c r="H2189" s="905">
        <f>H2190+H2191</f>
        <v>379</v>
      </c>
      <c r="I2189" s="906">
        <f t="shared" si="99"/>
        <v>100</v>
      </c>
    </row>
    <row r="2190" spans="1:9" ht="15.75" customHeight="1" x14ac:dyDescent="0.2">
      <c r="A2190" s="435"/>
      <c r="B2190" s="808"/>
      <c r="C2190" s="808"/>
      <c r="D2190" s="578" t="s">
        <v>636</v>
      </c>
      <c r="E2190" s="474" t="s">
        <v>72</v>
      </c>
      <c r="F2190" s="903">
        <v>329</v>
      </c>
      <c r="G2190" s="903">
        <v>329</v>
      </c>
      <c r="H2190" s="903">
        <v>329</v>
      </c>
      <c r="I2190" s="898">
        <f t="shared" si="99"/>
        <v>100</v>
      </c>
    </row>
    <row r="2191" spans="1:9" ht="15.75" customHeight="1" x14ac:dyDescent="0.2">
      <c r="A2191" s="435"/>
      <c r="B2191" s="808"/>
      <c r="C2191" s="808"/>
      <c r="D2191" s="578" t="s">
        <v>735</v>
      </c>
      <c r="E2191" s="474" t="s">
        <v>76</v>
      </c>
      <c r="F2191" s="903">
        <v>50</v>
      </c>
      <c r="G2191" s="903">
        <v>50</v>
      </c>
      <c r="H2191" s="903">
        <v>50</v>
      </c>
      <c r="I2191" s="898">
        <f t="shared" si="99"/>
        <v>100</v>
      </c>
    </row>
    <row r="2192" spans="1:9" ht="15.75" customHeight="1" x14ac:dyDescent="0.25">
      <c r="A2192" s="435">
        <v>1225</v>
      </c>
      <c r="B2192" s="808">
        <v>3142</v>
      </c>
      <c r="C2192" s="808">
        <v>5336</v>
      </c>
      <c r="D2192" s="578"/>
      <c r="E2192" s="1564" t="s">
        <v>1357</v>
      </c>
      <c r="F2192" s="903"/>
      <c r="G2192" s="916">
        <v>755</v>
      </c>
      <c r="H2192" s="916">
        <v>755</v>
      </c>
      <c r="I2192" s="908">
        <f t="shared" si="99"/>
        <v>100</v>
      </c>
    </row>
    <row r="2193" spans="1:20" ht="15.75" customHeight="1" x14ac:dyDescent="0.2">
      <c r="A2193" s="435"/>
      <c r="B2193" s="808"/>
      <c r="C2193" s="808"/>
      <c r="D2193" s="578" t="s">
        <v>1267</v>
      </c>
      <c r="E2193" s="474" t="s">
        <v>882</v>
      </c>
      <c r="F2193" s="903"/>
      <c r="G2193" s="903">
        <v>755</v>
      </c>
      <c r="H2193" s="903">
        <v>755</v>
      </c>
      <c r="I2193" s="898">
        <f t="shared" si="99"/>
        <v>100</v>
      </c>
    </row>
    <row r="2194" spans="1:20" ht="15" x14ac:dyDescent="0.25">
      <c r="A2194" s="435">
        <v>1225</v>
      </c>
      <c r="B2194" s="808">
        <v>3145</v>
      </c>
      <c r="C2194" s="808">
        <v>5331</v>
      </c>
      <c r="D2194" s="929"/>
      <c r="E2194" s="704" t="s">
        <v>1066</v>
      </c>
      <c r="F2194" s="916">
        <v>394</v>
      </c>
      <c r="G2194" s="916">
        <v>394</v>
      </c>
      <c r="H2194" s="916">
        <v>394</v>
      </c>
      <c r="I2194" s="908">
        <f t="shared" si="99"/>
        <v>100</v>
      </c>
    </row>
    <row r="2195" spans="1:20" ht="14.25" x14ac:dyDescent="0.2">
      <c r="A2195" s="435"/>
      <c r="B2195" s="808"/>
      <c r="C2195" s="1551"/>
      <c r="D2195" s="578" t="s">
        <v>636</v>
      </c>
      <c r="E2195" s="474" t="s">
        <v>72</v>
      </c>
      <c r="F2195" s="903">
        <v>394</v>
      </c>
      <c r="G2195" s="903">
        <v>394</v>
      </c>
      <c r="H2195" s="903">
        <v>394</v>
      </c>
      <c r="I2195" s="898">
        <f t="shared" si="99"/>
        <v>100</v>
      </c>
    </row>
    <row r="2196" spans="1:20" ht="15" x14ac:dyDescent="0.25">
      <c r="A2196" s="435">
        <v>1225</v>
      </c>
      <c r="B2196" s="808">
        <v>3145</v>
      </c>
      <c r="C2196" s="1551">
        <v>5336</v>
      </c>
      <c r="D2196" s="578"/>
      <c r="E2196" s="1564" t="s">
        <v>1357</v>
      </c>
      <c r="F2196" s="903"/>
      <c r="G2196" s="916">
        <v>6101</v>
      </c>
      <c r="H2196" s="916">
        <v>6101</v>
      </c>
      <c r="I2196" s="908">
        <f t="shared" si="99"/>
        <v>100</v>
      </c>
    </row>
    <row r="2197" spans="1:20" s="1684" customFormat="1" ht="14.25" x14ac:dyDescent="0.2">
      <c r="A2197" s="1710"/>
      <c r="B2197" s="1729"/>
      <c r="C2197" s="1730"/>
      <c r="D2197" s="805" t="s">
        <v>1267</v>
      </c>
      <c r="E2197" s="1731" t="s">
        <v>882</v>
      </c>
      <c r="F2197" s="1431"/>
      <c r="G2197" s="1431">
        <v>6101</v>
      </c>
      <c r="H2197" s="1431">
        <v>6101</v>
      </c>
      <c r="I2197" s="1435">
        <f t="shared" si="99"/>
        <v>100</v>
      </c>
    </row>
    <row r="2198" spans="1:20" ht="18" customHeight="1" x14ac:dyDescent="0.25">
      <c r="A2198" s="435">
        <v>1225</v>
      </c>
      <c r="B2198" s="705">
        <v>3293</v>
      </c>
      <c r="C2198" s="1551">
        <v>5331</v>
      </c>
      <c r="D2198" s="899"/>
      <c r="E2198" s="704" t="s">
        <v>1066</v>
      </c>
      <c r="F2198" s="916"/>
      <c r="G2198" s="916">
        <v>537</v>
      </c>
      <c r="H2198" s="916">
        <v>537</v>
      </c>
      <c r="I2198" s="908">
        <f t="shared" si="99"/>
        <v>100</v>
      </c>
    </row>
    <row r="2199" spans="1:20" ht="14.25" x14ac:dyDescent="0.2">
      <c r="A2199" s="435"/>
      <c r="B2199" s="808"/>
      <c r="C2199" s="1551"/>
      <c r="D2199" s="805" t="s">
        <v>1270</v>
      </c>
      <c r="E2199" s="1694" t="s">
        <v>62</v>
      </c>
      <c r="F2199" s="903"/>
      <c r="G2199" s="903">
        <v>537</v>
      </c>
      <c r="H2199" s="903">
        <v>537</v>
      </c>
      <c r="I2199" s="898">
        <f t="shared" si="99"/>
        <v>100</v>
      </c>
    </row>
    <row r="2200" spans="1:20" ht="15" x14ac:dyDescent="0.25">
      <c r="A2200" s="435">
        <v>1225</v>
      </c>
      <c r="B2200" s="808">
        <v>3792</v>
      </c>
      <c r="C2200" s="1551">
        <v>5331</v>
      </c>
      <c r="D2200" s="805"/>
      <c r="E2200" s="704" t="s">
        <v>1066</v>
      </c>
      <c r="F2200" s="916"/>
      <c r="G2200" s="916">
        <v>23</v>
      </c>
      <c r="H2200" s="916">
        <v>23</v>
      </c>
      <c r="I2200" s="908">
        <f t="shared" si="99"/>
        <v>100</v>
      </c>
    </row>
    <row r="2201" spans="1:20" ht="15" thickBot="1" x14ac:dyDescent="0.25">
      <c r="A2201" s="435"/>
      <c r="B2201" s="808"/>
      <c r="C2201" s="1551"/>
      <c r="D2201" s="1169" t="s">
        <v>1479</v>
      </c>
      <c r="E2201" s="1275" t="s">
        <v>406</v>
      </c>
      <c r="F2201" s="903"/>
      <c r="G2201" s="903">
        <v>23</v>
      </c>
      <c r="H2201" s="903">
        <v>23</v>
      </c>
      <c r="I2201" s="898">
        <f t="shared" si="99"/>
        <v>100</v>
      </c>
    </row>
    <row r="2202" spans="1:20" ht="16.5" thickTop="1" thickBot="1" x14ac:dyDescent="0.3">
      <c r="A2202" s="2739" t="s">
        <v>1246</v>
      </c>
      <c r="B2202" s="2740"/>
      <c r="C2202" s="2740"/>
      <c r="D2202" s="2740"/>
      <c r="E2202" s="2740"/>
      <c r="F2202" s="894">
        <f>F2180+F2189+F2194</f>
        <v>4201</v>
      </c>
      <c r="G2202" s="894">
        <f>G2180+G2185+G2189+G2192+G2194+G2196+G2198+G2200</f>
        <v>35139</v>
      </c>
      <c r="H2202" s="894">
        <f>H2180+H2185+H2189+H2192+H2194+H2196+H2198+H2200</f>
        <v>35139</v>
      </c>
      <c r="I2202" s="895">
        <f t="shared" si="99"/>
        <v>100</v>
      </c>
      <c r="R2202" s="385">
        <f>F2202</f>
        <v>4201</v>
      </c>
      <c r="S2202" s="385">
        <f>G2202</f>
        <v>35139</v>
      </c>
      <c r="T2202" s="385">
        <f>H2202</f>
        <v>35139</v>
      </c>
    </row>
    <row r="2203" spans="1:20" ht="13.5" thickTop="1" x14ac:dyDescent="0.2"/>
    <row r="2205" spans="1:20" s="1684" customFormat="1" ht="13.5" thickBot="1" x14ac:dyDescent="0.25">
      <c r="A2205" s="1714" t="s">
        <v>1133</v>
      </c>
      <c r="B2205" s="1699"/>
      <c r="D2205" s="1700"/>
      <c r="F2205" s="1698"/>
      <c r="G2205" s="1698"/>
      <c r="H2205" s="1698"/>
      <c r="I2205" s="1701" t="s">
        <v>179</v>
      </c>
    </row>
    <row r="2206" spans="1:20" ht="14.25" thickTop="1" thickBot="1" x14ac:dyDescent="0.25">
      <c r="A2206" s="657" t="s">
        <v>692</v>
      </c>
      <c r="B2206" s="835" t="s">
        <v>180</v>
      </c>
      <c r="C2206" s="658" t="s">
        <v>181</v>
      </c>
      <c r="D2206" s="660" t="s">
        <v>783</v>
      </c>
      <c r="E2206" s="660" t="s">
        <v>182</v>
      </c>
      <c r="F2206" s="660" t="s">
        <v>183</v>
      </c>
      <c r="G2206" s="660" t="s">
        <v>985</v>
      </c>
      <c r="H2206" s="660" t="s">
        <v>986</v>
      </c>
      <c r="I2206" s="888" t="s">
        <v>987</v>
      </c>
    </row>
    <row r="2207" spans="1:20" ht="14.25" thickTop="1" thickBot="1" x14ac:dyDescent="0.25">
      <c r="A2207" s="592">
        <v>1</v>
      </c>
      <c r="B2207" s="593">
        <v>2</v>
      </c>
      <c r="C2207" s="593">
        <v>3</v>
      </c>
      <c r="D2207" s="593">
        <v>4</v>
      </c>
      <c r="E2207" s="593">
        <v>5</v>
      </c>
      <c r="F2207" s="567">
        <v>6</v>
      </c>
      <c r="G2207" s="567">
        <v>7</v>
      </c>
      <c r="H2207" s="568">
        <v>8</v>
      </c>
      <c r="I2207" s="662" t="s">
        <v>848</v>
      </c>
    </row>
    <row r="2208" spans="1:20" ht="15.75" thickTop="1" x14ac:dyDescent="0.25">
      <c r="A2208" s="1562">
        <v>1226</v>
      </c>
      <c r="B2208" s="917">
        <v>3122</v>
      </c>
      <c r="C2208" s="917">
        <v>5336</v>
      </c>
      <c r="D2208" s="922"/>
      <c r="E2208" s="1564" t="s">
        <v>1357</v>
      </c>
      <c r="F2208" s="915"/>
      <c r="G2208" s="915">
        <v>2377</v>
      </c>
      <c r="H2208" s="915">
        <v>2377</v>
      </c>
      <c r="I2208" s="919">
        <f>(H2208/G2208)*100</f>
        <v>100</v>
      </c>
    </row>
    <row r="2209" spans="1:9" ht="18" customHeight="1" x14ac:dyDescent="0.2">
      <c r="A2209" s="435"/>
      <c r="B2209" s="705"/>
      <c r="C2209" s="705"/>
      <c r="D2209" s="578" t="s">
        <v>1267</v>
      </c>
      <c r="E2209" s="474" t="s">
        <v>882</v>
      </c>
      <c r="F2209" s="897"/>
      <c r="G2209" s="897">
        <v>2377</v>
      </c>
      <c r="H2209" s="897">
        <v>2377</v>
      </c>
      <c r="I2209" s="893">
        <v>100</v>
      </c>
    </row>
    <row r="2210" spans="1:9" ht="15" x14ac:dyDescent="0.25">
      <c r="A2210" s="435">
        <v>1226</v>
      </c>
      <c r="B2210" s="705">
        <v>3123</v>
      </c>
      <c r="C2210" s="705">
        <v>5331</v>
      </c>
      <c r="D2210" s="889"/>
      <c r="E2210" s="854" t="s">
        <v>1066</v>
      </c>
      <c r="F2210" s="890">
        <f>F2211+F2212+F2213</f>
        <v>3448</v>
      </c>
      <c r="G2210" s="890">
        <f>G2211+G2212+G2213</f>
        <v>4275</v>
      </c>
      <c r="H2210" s="890">
        <f>H2211+H2212+H2213</f>
        <v>4275</v>
      </c>
      <c r="I2210" s="891">
        <f>(H2210/G2210)*100</f>
        <v>100</v>
      </c>
    </row>
    <row r="2211" spans="1:9" ht="14.25" x14ac:dyDescent="0.2">
      <c r="A2211" s="435"/>
      <c r="B2211" s="705"/>
      <c r="C2211" s="705"/>
      <c r="D2211" s="743" t="s">
        <v>641</v>
      </c>
      <c r="E2211" s="1679" t="s">
        <v>883</v>
      </c>
      <c r="F2211" s="897">
        <v>1387</v>
      </c>
      <c r="G2211" s="897">
        <v>1387</v>
      </c>
      <c r="H2211" s="897">
        <v>1387</v>
      </c>
      <c r="I2211" s="893">
        <f>(H2211/G2211)*100</f>
        <v>100</v>
      </c>
    </row>
    <row r="2212" spans="1:9" ht="14.25" x14ac:dyDescent="0.2">
      <c r="A2212" s="435"/>
      <c r="B2212" s="705"/>
      <c r="C2212" s="705"/>
      <c r="D2212" s="578" t="s">
        <v>636</v>
      </c>
      <c r="E2212" s="474" t="s">
        <v>72</v>
      </c>
      <c r="F2212" s="897">
        <v>2061</v>
      </c>
      <c r="G2212" s="897">
        <v>2661</v>
      </c>
      <c r="H2212" s="897">
        <v>2661</v>
      </c>
      <c r="I2212" s="893">
        <v>100</v>
      </c>
    </row>
    <row r="2213" spans="1:9" ht="15" thickBot="1" x14ac:dyDescent="0.25">
      <c r="A2213" s="1552"/>
      <c r="B2213" s="706"/>
      <c r="C2213" s="706"/>
      <c r="D2213" s="1192" t="s">
        <v>1038</v>
      </c>
      <c r="E2213" s="1571" t="s">
        <v>1363</v>
      </c>
      <c r="F2213" s="941"/>
      <c r="G2213" s="941">
        <v>227</v>
      </c>
      <c r="H2213" s="941">
        <v>227</v>
      </c>
      <c r="I2213" s="925">
        <v>100</v>
      </c>
    </row>
    <row r="2214" spans="1:9" s="1684" customFormat="1" ht="14.25" thickTop="1" thickBot="1" x14ac:dyDescent="0.25">
      <c r="A2214" s="1714"/>
      <c r="B2214" s="1699"/>
      <c r="D2214" s="1700"/>
      <c r="F2214" s="1698"/>
      <c r="G2214" s="1698"/>
      <c r="H2214" s="1698"/>
      <c r="I2214" s="1701" t="s">
        <v>179</v>
      </c>
    </row>
    <row r="2215" spans="1:9" ht="14.25" thickTop="1" thickBot="1" x14ac:dyDescent="0.25">
      <c r="A2215" s="657" t="s">
        <v>692</v>
      </c>
      <c r="B2215" s="835" t="s">
        <v>180</v>
      </c>
      <c r="C2215" s="658" t="s">
        <v>181</v>
      </c>
      <c r="D2215" s="660" t="s">
        <v>783</v>
      </c>
      <c r="E2215" s="660" t="s">
        <v>182</v>
      </c>
      <c r="F2215" s="660" t="s">
        <v>183</v>
      </c>
      <c r="G2215" s="660" t="s">
        <v>985</v>
      </c>
      <c r="H2215" s="660" t="s">
        <v>986</v>
      </c>
      <c r="I2215" s="888" t="s">
        <v>987</v>
      </c>
    </row>
    <row r="2216" spans="1:9" ht="14.25" thickTop="1" thickBot="1" x14ac:dyDescent="0.25">
      <c r="A2216" s="592">
        <v>1</v>
      </c>
      <c r="B2216" s="593">
        <v>2</v>
      </c>
      <c r="C2216" s="593">
        <v>3</v>
      </c>
      <c r="D2216" s="593">
        <v>4</v>
      </c>
      <c r="E2216" s="593">
        <v>5</v>
      </c>
      <c r="F2216" s="567">
        <v>6</v>
      </c>
      <c r="G2216" s="567">
        <v>7</v>
      </c>
      <c r="H2216" s="568">
        <v>8</v>
      </c>
      <c r="I2216" s="662" t="s">
        <v>848</v>
      </c>
    </row>
    <row r="2217" spans="1:9" ht="15.75" thickTop="1" x14ac:dyDescent="0.25">
      <c r="A2217" s="435">
        <v>1226</v>
      </c>
      <c r="B2217" s="705">
        <v>3123</v>
      </c>
      <c r="C2217" s="705">
        <v>5336</v>
      </c>
      <c r="D2217" s="2536"/>
      <c r="E2217" s="1564" t="s">
        <v>1357</v>
      </c>
      <c r="F2217" s="897"/>
      <c r="G2217" s="921">
        <f>G2218+G2219+G2220</f>
        <v>13620</v>
      </c>
      <c r="H2217" s="921">
        <f>H2218+H2219+H2220</f>
        <v>13620</v>
      </c>
      <c r="I2217" s="923">
        <v>100</v>
      </c>
    </row>
    <row r="2218" spans="1:9" ht="14.25" customHeight="1" x14ac:dyDescent="0.2">
      <c r="A2218" s="435"/>
      <c r="B2218" s="705"/>
      <c r="C2218" s="705"/>
      <c r="D2218" s="578" t="s">
        <v>1267</v>
      </c>
      <c r="E2218" s="474" t="s">
        <v>882</v>
      </c>
      <c r="F2218" s="897"/>
      <c r="G2218" s="897">
        <v>12968</v>
      </c>
      <c r="H2218" s="897">
        <v>12968</v>
      </c>
      <c r="I2218" s="893">
        <v>100</v>
      </c>
    </row>
    <row r="2219" spans="1:9" ht="14.25" x14ac:dyDescent="0.2">
      <c r="A2219" s="435"/>
      <c r="B2219" s="808"/>
      <c r="C2219" s="808"/>
      <c r="D2219" s="1569" t="s">
        <v>1771</v>
      </c>
      <c r="E2219" s="1561" t="s">
        <v>1908</v>
      </c>
      <c r="F2219" s="903"/>
      <c r="G2219" s="903">
        <v>98</v>
      </c>
      <c r="H2219" s="903">
        <v>98</v>
      </c>
      <c r="I2219" s="893">
        <v>100</v>
      </c>
    </row>
    <row r="2220" spans="1:9" ht="14.25" x14ac:dyDescent="0.2">
      <c r="A2220" s="435"/>
      <c r="B2220" s="808"/>
      <c r="C2220" s="808"/>
      <c r="D2220" s="1569" t="s">
        <v>1773</v>
      </c>
      <c r="E2220" s="1561" t="s">
        <v>1908</v>
      </c>
      <c r="F2220" s="903"/>
      <c r="G2220" s="903">
        <v>554</v>
      </c>
      <c r="H2220" s="903">
        <v>554</v>
      </c>
      <c r="I2220" s="893">
        <v>100</v>
      </c>
    </row>
    <row r="2221" spans="1:9" ht="15" x14ac:dyDescent="0.25">
      <c r="A2221" s="435">
        <v>1226</v>
      </c>
      <c r="B2221" s="808">
        <v>3142</v>
      </c>
      <c r="C2221" s="808">
        <v>5331</v>
      </c>
      <c r="D2221" s="929"/>
      <c r="E2221" s="704" t="s">
        <v>1066</v>
      </c>
      <c r="F2221" s="905">
        <f>F2222+F2223+F2224</f>
        <v>1574</v>
      </c>
      <c r="G2221" s="905">
        <f>G2222+G2223+G2224</f>
        <v>1574</v>
      </c>
      <c r="H2221" s="905">
        <f>H2222+H2223+H2224</f>
        <v>1574</v>
      </c>
      <c r="I2221" s="906">
        <f>(H2221/G2221)*100</f>
        <v>100</v>
      </c>
    </row>
    <row r="2222" spans="1:9" ht="14.25" x14ac:dyDescent="0.2">
      <c r="A2222" s="435"/>
      <c r="B2222" s="808"/>
      <c r="C2222" s="808"/>
      <c r="D2222" s="743" t="s">
        <v>641</v>
      </c>
      <c r="E2222" s="1679" t="s">
        <v>883</v>
      </c>
      <c r="F2222" s="903">
        <v>280</v>
      </c>
      <c r="G2222" s="903">
        <v>280</v>
      </c>
      <c r="H2222" s="903">
        <v>280</v>
      </c>
      <c r="I2222" s="898">
        <f>(H2222/G2222)*100</f>
        <v>100</v>
      </c>
    </row>
    <row r="2223" spans="1:9" ht="18" customHeight="1" x14ac:dyDescent="0.2">
      <c r="A2223" s="435"/>
      <c r="B2223" s="808"/>
      <c r="C2223" s="808"/>
      <c r="D2223" s="578" t="s">
        <v>636</v>
      </c>
      <c r="E2223" s="474" t="s">
        <v>72</v>
      </c>
      <c r="F2223" s="903">
        <v>1064</v>
      </c>
      <c r="G2223" s="903">
        <v>1064</v>
      </c>
      <c r="H2223" s="903">
        <v>1064</v>
      </c>
      <c r="I2223" s="898">
        <v>100</v>
      </c>
    </row>
    <row r="2224" spans="1:9" ht="14.25" x14ac:dyDescent="0.2">
      <c r="A2224" s="435"/>
      <c r="B2224" s="808"/>
      <c r="C2224" s="808"/>
      <c r="D2224" s="578" t="s">
        <v>735</v>
      </c>
      <c r="E2224" s="474" t="s">
        <v>76</v>
      </c>
      <c r="F2224" s="903">
        <v>230</v>
      </c>
      <c r="G2224" s="903">
        <v>230</v>
      </c>
      <c r="H2224" s="903">
        <v>230</v>
      </c>
      <c r="I2224" s="898">
        <v>100</v>
      </c>
    </row>
    <row r="2225" spans="1:20" ht="15" x14ac:dyDescent="0.25">
      <c r="A2225" s="435">
        <v>1226</v>
      </c>
      <c r="B2225" s="808">
        <v>3142</v>
      </c>
      <c r="C2225" s="808">
        <v>5336</v>
      </c>
      <c r="D2225" s="578"/>
      <c r="E2225" s="1564" t="s">
        <v>1357</v>
      </c>
      <c r="F2225" s="903"/>
      <c r="G2225" s="916">
        <v>1144</v>
      </c>
      <c r="H2225" s="916">
        <v>1144</v>
      </c>
      <c r="I2225" s="908">
        <v>100</v>
      </c>
    </row>
    <row r="2226" spans="1:20" ht="14.25" x14ac:dyDescent="0.2">
      <c r="A2226" s="435"/>
      <c r="B2226" s="808"/>
      <c r="C2226" s="808"/>
      <c r="D2226" s="578" t="s">
        <v>1267</v>
      </c>
      <c r="E2226" s="474" t="s">
        <v>882</v>
      </c>
      <c r="F2226" s="903"/>
      <c r="G2226" s="903">
        <v>1144</v>
      </c>
      <c r="H2226" s="903">
        <v>1144</v>
      </c>
      <c r="I2226" s="898">
        <v>100</v>
      </c>
    </row>
    <row r="2227" spans="1:20" ht="15" x14ac:dyDescent="0.25">
      <c r="A2227" s="435">
        <v>1226</v>
      </c>
      <c r="B2227" s="808">
        <v>3147</v>
      </c>
      <c r="C2227" s="808">
        <v>5331</v>
      </c>
      <c r="D2227" s="929"/>
      <c r="E2227" s="704" t="s">
        <v>1066</v>
      </c>
      <c r="F2227" s="905">
        <f>SUM(F2228:F2230)</f>
        <v>163</v>
      </c>
      <c r="G2227" s="905">
        <f>G2228</f>
        <v>163</v>
      </c>
      <c r="H2227" s="905">
        <f>H2228</f>
        <v>163</v>
      </c>
      <c r="I2227" s="906">
        <f t="shared" ref="I2227:I2233" si="100">(H2227/G2227)*100</f>
        <v>100</v>
      </c>
    </row>
    <row r="2228" spans="1:20" ht="14.25" x14ac:dyDescent="0.2">
      <c r="A2228" s="435"/>
      <c r="B2228" s="808"/>
      <c r="C2228" s="808"/>
      <c r="D2228" s="743" t="s">
        <v>641</v>
      </c>
      <c r="E2228" s="1679" t="s">
        <v>883</v>
      </c>
      <c r="F2228" s="903">
        <v>163</v>
      </c>
      <c r="G2228" s="903">
        <v>163</v>
      </c>
      <c r="H2228" s="903">
        <v>163</v>
      </c>
      <c r="I2228" s="898">
        <f t="shared" si="100"/>
        <v>100</v>
      </c>
    </row>
    <row r="2229" spans="1:20" ht="15" x14ac:dyDescent="0.25">
      <c r="A2229" s="435">
        <v>1226</v>
      </c>
      <c r="B2229" s="808">
        <v>3147</v>
      </c>
      <c r="C2229" s="808">
        <v>5336</v>
      </c>
      <c r="D2229" s="578"/>
      <c r="E2229" s="1564" t="s">
        <v>1357</v>
      </c>
      <c r="F2229" s="903"/>
      <c r="G2229" s="916">
        <v>2422</v>
      </c>
      <c r="H2229" s="916">
        <v>2422</v>
      </c>
      <c r="I2229" s="908">
        <f t="shared" si="100"/>
        <v>100</v>
      </c>
    </row>
    <row r="2230" spans="1:20" ht="14.25" x14ac:dyDescent="0.2">
      <c r="A2230" s="435"/>
      <c r="B2230" s="808"/>
      <c r="C2230" s="1551"/>
      <c r="D2230" s="578" t="s">
        <v>1267</v>
      </c>
      <c r="E2230" s="474" t="s">
        <v>882</v>
      </c>
      <c r="F2230" s="903"/>
      <c r="G2230" s="903">
        <v>2422</v>
      </c>
      <c r="H2230" s="903">
        <v>2422</v>
      </c>
      <c r="I2230" s="898">
        <f t="shared" si="100"/>
        <v>100</v>
      </c>
    </row>
    <row r="2231" spans="1:20" ht="15" x14ac:dyDescent="0.25">
      <c r="A2231" s="435">
        <v>1226</v>
      </c>
      <c r="B2231" s="808">
        <v>3293</v>
      </c>
      <c r="C2231" s="808">
        <v>5331</v>
      </c>
      <c r="D2231" s="929"/>
      <c r="E2231" s="704" t="s">
        <v>1066</v>
      </c>
      <c r="F2231" s="905"/>
      <c r="G2231" s="905">
        <v>6</v>
      </c>
      <c r="H2231" s="905">
        <v>6</v>
      </c>
      <c r="I2231" s="906">
        <f t="shared" si="100"/>
        <v>100</v>
      </c>
    </row>
    <row r="2232" spans="1:20" ht="15" thickBot="1" x14ac:dyDescent="0.25">
      <c r="A2232" s="435"/>
      <c r="B2232" s="808"/>
      <c r="C2232" s="808"/>
      <c r="D2232" s="805" t="s">
        <v>1270</v>
      </c>
      <c r="E2232" s="1694" t="s">
        <v>62</v>
      </c>
      <c r="F2232" s="903"/>
      <c r="G2232" s="903">
        <v>6</v>
      </c>
      <c r="H2232" s="903">
        <v>6</v>
      </c>
      <c r="I2232" s="898">
        <f t="shared" si="100"/>
        <v>100</v>
      </c>
    </row>
    <row r="2233" spans="1:20" ht="16.5" thickTop="1" thickBot="1" x14ac:dyDescent="0.3">
      <c r="A2233" s="2739" t="s">
        <v>1246</v>
      </c>
      <c r="B2233" s="2740"/>
      <c r="C2233" s="2740"/>
      <c r="D2233" s="2740"/>
      <c r="E2233" s="2740"/>
      <c r="F2233" s="894">
        <f>F2210+F2221+F2227</f>
        <v>5185</v>
      </c>
      <c r="G2233" s="894">
        <f>G2208+G2210+G2217+G2221+G2225+G2227+G2229+G2231</f>
        <v>25581</v>
      </c>
      <c r="H2233" s="894">
        <f>H2208+H2210+H2217+H2221+H2225+H2227+H2229+H2231</f>
        <v>25581</v>
      </c>
      <c r="I2233" s="895">
        <f t="shared" si="100"/>
        <v>100</v>
      </c>
      <c r="R2233" s="385">
        <f>F2233</f>
        <v>5185</v>
      </c>
      <c r="S2233" s="385">
        <f>G2233</f>
        <v>25581</v>
      </c>
      <c r="T2233" s="385">
        <f>H2233</f>
        <v>25581</v>
      </c>
    </row>
    <row r="2234" spans="1:20" s="386" customFormat="1" ht="13.5" thickTop="1" x14ac:dyDescent="0.2">
      <c r="A2234" s="384"/>
      <c r="B2234" s="669"/>
      <c r="C2234" s="384"/>
      <c r="D2234" s="884"/>
      <c r="E2234" s="384"/>
      <c r="F2234" s="385"/>
      <c r="G2234" s="385"/>
      <c r="H2234" s="385"/>
      <c r="I2234" s="1548"/>
    </row>
    <row r="2235" spans="1:20" ht="13.5" thickBot="1" x14ac:dyDescent="0.25">
      <c r="A2235" s="439" t="s">
        <v>194</v>
      </c>
      <c r="I2235" s="1548" t="s">
        <v>179</v>
      </c>
    </row>
    <row r="2236" spans="1:20" ht="14.25" thickTop="1" thickBot="1" x14ac:dyDescent="0.25">
      <c r="A2236" s="657" t="s">
        <v>692</v>
      </c>
      <c r="B2236" s="835" t="s">
        <v>180</v>
      </c>
      <c r="C2236" s="658" t="s">
        <v>181</v>
      </c>
      <c r="D2236" s="660" t="s">
        <v>783</v>
      </c>
      <c r="E2236" s="660" t="s">
        <v>182</v>
      </c>
      <c r="F2236" s="660" t="s">
        <v>183</v>
      </c>
      <c r="G2236" s="660" t="s">
        <v>985</v>
      </c>
      <c r="H2236" s="660" t="s">
        <v>986</v>
      </c>
      <c r="I2236" s="888" t="s">
        <v>987</v>
      </c>
    </row>
    <row r="2237" spans="1:20" ht="14.25" thickTop="1" thickBot="1" x14ac:dyDescent="0.25">
      <c r="A2237" s="592">
        <v>1</v>
      </c>
      <c r="B2237" s="593">
        <v>2</v>
      </c>
      <c r="C2237" s="593">
        <v>3</v>
      </c>
      <c r="D2237" s="593">
        <v>4</v>
      </c>
      <c r="E2237" s="593">
        <v>5</v>
      </c>
      <c r="F2237" s="567">
        <v>6</v>
      </c>
      <c r="G2237" s="567">
        <v>7</v>
      </c>
      <c r="H2237" s="568">
        <v>8</v>
      </c>
      <c r="I2237" s="662" t="s">
        <v>848</v>
      </c>
    </row>
    <row r="2238" spans="1:20" ht="15.75" thickTop="1" x14ac:dyDescent="0.25">
      <c r="A2238" s="1562">
        <v>1227</v>
      </c>
      <c r="B2238" s="917">
        <v>3122</v>
      </c>
      <c r="C2238" s="917">
        <v>5336</v>
      </c>
      <c r="D2238" s="922"/>
      <c r="E2238" s="1564" t="s">
        <v>1357</v>
      </c>
      <c r="F2238" s="915"/>
      <c r="G2238" s="915">
        <f>G2239+G2240+G2241</f>
        <v>2786</v>
      </c>
      <c r="H2238" s="915">
        <f>H2239+H2240+H2241</f>
        <v>2786</v>
      </c>
      <c r="I2238" s="919">
        <f>(H2238/G2238)*100</f>
        <v>100</v>
      </c>
    </row>
    <row r="2239" spans="1:20" ht="14.25" x14ac:dyDescent="0.2">
      <c r="A2239" s="435"/>
      <c r="B2239" s="705"/>
      <c r="C2239" s="705"/>
      <c r="D2239" s="578" t="s">
        <v>1267</v>
      </c>
      <c r="E2239" s="474" t="s">
        <v>882</v>
      </c>
      <c r="F2239" s="897"/>
      <c r="G2239" s="897">
        <v>2297</v>
      </c>
      <c r="H2239" s="897">
        <v>2297</v>
      </c>
      <c r="I2239" s="893">
        <v>100</v>
      </c>
    </row>
    <row r="2240" spans="1:20" ht="14.25" x14ac:dyDescent="0.2">
      <c r="A2240" s="435"/>
      <c r="B2240" s="705"/>
      <c r="C2240" s="705"/>
      <c r="D2240" s="1569" t="s">
        <v>1771</v>
      </c>
      <c r="E2240" s="1561" t="s">
        <v>1908</v>
      </c>
      <c r="F2240" s="897"/>
      <c r="G2240" s="897">
        <v>74</v>
      </c>
      <c r="H2240" s="897">
        <v>74</v>
      </c>
      <c r="I2240" s="893">
        <v>100</v>
      </c>
    </row>
    <row r="2241" spans="1:9" ht="14.25" x14ac:dyDescent="0.2">
      <c r="A2241" s="435"/>
      <c r="B2241" s="705"/>
      <c r="C2241" s="705"/>
      <c r="D2241" s="1569" t="s">
        <v>1773</v>
      </c>
      <c r="E2241" s="1561" t="s">
        <v>1908</v>
      </c>
      <c r="F2241" s="897"/>
      <c r="G2241" s="897">
        <v>415</v>
      </c>
      <c r="H2241" s="897">
        <v>415</v>
      </c>
      <c r="I2241" s="893">
        <v>100</v>
      </c>
    </row>
    <row r="2242" spans="1:9" ht="15" x14ac:dyDescent="0.25">
      <c r="A2242" s="435">
        <v>1227</v>
      </c>
      <c r="B2242" s="705">
        <v>3123</v>
      </c>
      <c r="C2242" s="705">
        <v>5331</v>
      </c>
      <c r="D2242" s="889"/>
      <c r="E2242" s="854" t="s">
        <v>1066</v>
      </c>
      <c r="F2242" s="890">
        <f>F2243+F2244+F2245+F2246+F2247</f>
        <v>3604</v>
      </c>
      <c r="G2242" s="890">
        <f>G2243+G2244+G2245+G2246+G2247</f>
        <v>4101</v>
      </c>
      <c r="H2242" s="890">
        <f>H2243+H2244+H2245+H2246+H2247</f>
        <v>4101</v>
      </c>
      <c r="I2242" s="891">
        <f t="shared" ref="I2242:I2255" si="101">(H2242/G2242)*100</f>
        <v>100</v>
      </c>
    </row>
    <row r="2243" spans="1:9" ht="14.25" x14ac:dyDescent="0.2">
      <c r="A2243" s="435"/>
      <c r="B2243" s="705"/>
      <c r="C2243" s="705"/>
      <c r="D2243" s="743" t="s">
        <v>641</v>
      </c>
      <c r="E2243" s="1679" t="s">
        <v>883</v>
      </c>
      <c r="F2243" s="357">
        <v>960</v>
      </c>
      <c r="G2243" s="897">
        <v>930</v>
      </c>
      <c r="H2243" s="897">
        <v>930</v>
      </c>
      <c r="I2243" s="893">
        <f t="shared" si="101"/>
        <v>100</v>
      </c>
    </row>
    <row r="2244" spans="1:9" ht="14.25" x14ac:dyDescent="0.2">
      <c r="A2244" s="435"/>
      <c r="B2244" s="705"/>
      <c r="C2244" s="705"/>
      <c r="D2244" s="578" t="s">
        <v>636</v>
      </c>
      <c r="E2244" s="474" t="s">
        <v>72</v>
      </c>
      <c r="F2244" s="897">
        <v>2394</v>
      </c>
      <c r="G2244" s="897">
        <v>2394</v>
      </c>
      <c r="H2244" s="897">
        <v>2394</v>
      </c>
      <c r="I2244" s="893">
        <f t="shared" si="101"/>
        <v>100</v>
      </c>
    </row>
    <row r="2245" spans="1:9" ht="14.25" x14ac:dyDescent="0.2">
      <c r="A2245" s="435"/>
      <c r="B2245" s="705"/>
      <c r="C2245" s="705"/>
      <c r="D2245" s="1169" t="s">
        <v>1268</v>
      </c>
      <c r="E2245" s="1398" t="s">
        <v>1277</v>
      </c>
      <c r="F2245" s="897"/>
      <c r="G2245" s="897">
        <v>489</v>
      </c>
      <c r="H2245" s="897">
        <v>489</v>
      </c>
      <c r="I2245" s="893">
        <f t="shared" si="101"/>
        <v>100</v>
      </c>
    </row>
    <row r="2246" spans="1:9" ht="14.25" x14ac:dyDescent="0.2">
      <c r="A2246" s="435"/>
      <c r="B2246" s="705"/>
      <c r="C2246" s="705"/>
      <c r="D2246" s="578" t="s">
        <v>735</v>
      </c>
      <c r="E2246" s="474" t="s">
        <v>76</v>
      </c>
      <c r="F2246" s="897">
        <v>250</v>
      </c>
      <c r="G2246" s="897">
        <v>250</v>
      </c>
      <c r="H2246" s="897">
        <v>250</v>
      </c>
      <c r="I2246" s="893">
        <f t="shared" si="101"/>
        <v>100</v>
      </c>
    </row>
    <row r="2247" spans="1:9" ht="14.25" x14ac:dyDescent="0.2">
      <c r="A2247" s="435"/>
      <c r="B2247" s="705"/>
      <c r="C2247" s="705"/>
      <c r="D2247" s="1179" t="s">
        <v>1038</v>
      </c>
      <c r="E2247" s="1275" t="s">
        <v>1363</v>
      </c>
      <c r="F2247" s="897"/>
      <c r="G2247" s="897">
        <v>38</v>
      </c>
      <c r="H2247" s="897">
        <v>38</v>
      </c>
      <c r="I2247" s="893">
        <f t="shared" si="101"/>
        <v>100</v>
      </c>
    </row>
    <row r="2248" spans="1:9" ht="15" x14ac:dyDescent="0.25">
      <c r="A2248" s="435">
        <v>1227</v>
      </c>
      <c r="B2248" s="705">
        <v>3123</v>
      </c>
      <c r="C2248" s="705">
        <v>5336</v>
      </c>
      <c r="D2248" s="1178"/>
      <c r="E2248" s="1564" t="s">
        <v>1357</v>
      </c>
      <c r="F2248" s="897"/>
      <c r="G2248" s="921">
        <v>6034</v>
      </c>
      <c r="H2248" s="921">
        <v>6034</v>
      </c>
      <c r="I2248" s="923">
        <f t="shared" si="101"/>
        <v>100</v>
      </c>
    </row>
    <row r="2249" spans="1:9" ht="14.25" x14ac:dyDescent="0.2">
      <c r="A2249" s="435"/>
      <c r="B2249" s="705"/>
      <c r="C2249" s="705"/>
      <c r="D2249" s="578" t="s">
        <v>1267</v>
      </c>
      <c r="E2249" s="474" t="s">
        <v>882</v>
      </c>
      <c r="F2249" s="897"/>
      <c r="G2249" s="897">
        <v>6034</v>
      </c>
      <c r="H2249" s="897">
        <v>6034</v>
      </c>
      <c r="I2249" s="893">
        <f t="shared" si="101"/>
        <v>100</v>
      </c>
    </row>
    <row r="2250" spans="1:9" ht="15" x14ac:dyDescent="0.25">
      <c r="A2250" s="435">
        <v>1227</v>
      </c>
      <c r="B2250" s="808">
        <v>3142</v>
      </c>
      <c r="C2250" s="808">
        <v>5331</v>
      </c>
      <c r="D2250" s="929"/>
      <c r="E2250" s="704" t="s">
        <v>1066</v>
      </c>
      <c r="F2250" s="905">
        <f>F2251+F2252</f>
        <v>315</v>
      </c>
      <c r="G2250" s="905">
        <f>G2251+G2252</f>
        <v>315</v>
      </c>
      <c r="H2250" s="905">
        <f>H2251+H2252</f>
        <v>315</v>
      </c>
      <c r="I2250" s="906">
        <f t="shared" si="101"/>
        <v>100</v>
      </c>
    </row>
    <row r="2251" spans="1:9" ht="14.25" x14ac:dyDescent="0.2">
      <c r="A2251" s="435"/>
      <c r="B2251" s="808"/>
      <c r="C2251" s="808"/>
      <c r="D2251" s="743" t="s">
        <v>641</v>
      </c>
      <c r="E2251" s="1679" t="s">
        <v>883</v>
      </c>
      <c r="F2251" s="903">
        <v>80</v>
      </c>
      <c r="G2251" s="903">
        <v>80</v>
      </c>
      <c r="H2251" s="903">
        <v>80</v>
      </c>
      <c r="I2251" s="898">
        <f t="shared" si="101"/>
        <v>100</v>
      </c>
    </row>
    <row r="2252" spans="1:9" ht="14.25" x14ac:dyDescent="0.2">
      <c r="A2252" s="435"/>
      <c r="B2252" s="808"/>
      <c r="C2252" s="808"/>
      <c r="D2252" s="578" t="s">
        <v>636</v>
      </c>
      <c r="E2252" s="474" t="s">
        <v>72</v>
      </c>
      <c r="F2252" s="903">
        <v>235</v>
      </c>
      <c r="G2252" s="903">
        <v>235</v>
      </c>
      <c r="H2252" s="903">
        <v>235</v>
      </c>
      <c r="I2252" s="898">
        <f t="shared" si="101"/>
        <v>100</v>
      </c>
    </row>
    <row r="2253" spans="1:9" ht="15" x14ac:dyDescent="0.25">
      <c r="A2253" s="435">
        <v>1227</v>
      </c>
      <c r="B2253" s="808">
        <v>3142</v>
      </c>
      <c r="C2253" s="808">
        <v>5336</v>
      </c>
      <c r="D2253" s="578"/>
      <c r="E2253" s="1564" t="s">
        <v>1357</v>
      </c>
      <c r="F2253" s="903"/>
      <c r="G2253" s="916">
        <v>407</v>
      </c>
      <c r="H2253" s="916">
        <v>407</v>
      </c>
      <c r="I2253" s="908">
        <f t="shared" si="101"/>
        <v>100</v>
      </c>
    </row>
    <row r="2254" spans="1:9" ht="14.25" x14ac:dyDescent="0.2">
      <c r="A2254" s="435"/>
      <c r="B2254" s="808"/>
      <c r="C2254" s="1551"/>
      <c r="D2254" s="578" t="s">
        <v>1267</v>
      </c>
      <c r="E2254" s="474" t="s">
        <v>882</v>
      </c>
      <c r="F2254" s="903"/>
      <c r="G2254" s="903">
        <v>407</v>
      </c>
      <c r="H2254" s="903">
        <v>407</v>
      </c>
      <c r="I2254" s="898">
        <f t="shared" si="101"/>
        <v>100</v>
      </c>
    </row>
    <row r="2255" spans="1:9" ht="15" x14ac:dyDescent="0.25">
      <c r="A2255" s="435">
        <v>1227</v>
      </c>
      <c r="B2255" s="808">
        <v>3147</v>
      </c>
      <c r="C2255" s="808">
        <v>5331</v>
      </c>
      <c r="D2255" s="929"/>
      <c r="E2255" s="704" t="s">
        <v>1066</v>
      </c>
      <c r="F2255" s="905">
        <f>SUM(F2256:F2259)</f>
        <v>243</v>
      </c>
      <c r="G2255" s="905">
        <f>G2256+G2257</f>
        <v>243</v>
      </c>
      <c r="H2255" s="905">
        <f>H2256+H2257</f>
        <v>243</v>
      </c>
      <c r="I2255" s="906">
        <f t="shared" si="101"/>
        <v>100</v>
      </c>
    </row>
    <row r="2256" spans="1:9" ht="14.25" x14ac:dyDescent="0.2">
      <c r="A2256" s="435"/>
      <c r="B2256" s="808"/>
      <c r="C2256" s="808"/>
      <c r="D2256" s="743" t="s">
        <v>641</v>
      </c>
      <c r="E2256" s="1679" t="s">
        <v>883</v>
      </c>
      <c r="F2256" s="903">
        <v>85</v>
      </c>
      <c r="G2256" s="903">
        <v>85</v>
      </c>
      <c r="H2256" s="903">
        <v>85</v>
      </c>
      <c r="I2256" s="898">
        <v>100</v>
      </c>
    </row>
    <row r="2257" spans="1:20" ht="14.25" x14ac:dyDescent="0.2">
      <c r="A2257" s="435"/>
      <c r="B2257" s="808"/>
      <c r="C2257" s="808"/>
      <c r="D2257" s="578" t="s">
        <v>636</v>
      </c>
      <c r="E2257" s="474" t="s">
        <v>72</v>
      </c>
      <c r="F2257" s="903">
        <v>158</v>
      </c>
      <c r="G2257" s="903">
        <v>158</v>
      </c>
      <c r="H2257" s="903">
        <v>158</v>
      </c>
      <c r="I2257" s="898">
        <v>100</v>
      </c>
    </row>
    <row r="2258" spans="1:20" ht="15" x14ac:dyDescent="0.25">
      <c r="A2258" s="435">
        <v>1227</v>
      </c>
      <c r="B2258" s="808">
        <v>3147</v>
      </c>
      <c r="C2258" s="808">
        <v>5336</v>
      </c>
      <c r="D2258" s="578"/>
      <c r="E2258" s="1564" t="s">
        <v>1357</v>
      </c>
      <c r="F2258" s="903"/>
      <c r="G2258" s="916">
        <v>1330</v>
      </c>
      <c r="H2258" s="916">
        <v>1330</v>
      </c>
      <c r="I2258" s="908">
        <v>100</v>
      </c>
    </row>
    <row r="2259" spans="1:20" ht="18" customHeight="1" x14ac:dyDescent="0.2">
      <c r="A2259" s="435"/>
      <c r="B2259" s="808"/>
      <c r="C2259" s="808"/>
      <c r="D2259" s="578" t="s">
        <v>1267</v>
      </c>
      <c r="E2259" s="474" t="s">
        <v>882</v>
      </c>
      <c r="F2259" s="903"/>
      <c r="G2259" s="903">
        <v>1330</v>
      </c>
      <c r="H2259" s="903">
        <v>1330</v>
      </c>
      <c r="I2259" s="898">
        <f>(H2259/G2259)*100</f>
        <v>100</v>
      </c>
    </row>
    <row r="2260" spans="1:20" ht="15" x14ac:dyDescent="0.25">
      <c r="A2260" s="435">
        <v>1227</v>
      </c>
      <c r="B2260" s="808">
        <v>3293</v>
      </c>
      <c r="C2260" s="1551">
        <v>5331</v>
      </c>
      <c r="D2260" s="899"/>
      <c r="E2260" s="704" t="s">
        <v>1066</v>
      </c>
      <c r="F2260" s="890"/>
      <c r="G2260" s="905">
        <v>67</v>
      </c>
      <c r="H2260" s="905">
        <v>67</v>
      </c>
      <c r="I2260" s="891">
        <f>(H2260/G2260)*100</f>
        <v>100</v>
      </c>
    </row>
    <row r="2261" spans="1:20" ht="15.75" thickBot="1" x14ac:dyDescent="0.3">
      <c r="A2261" s="435"/>
      <c r="B2261" s="808"/>
      <c r="C2261" s="1551"/>
      <c r="D2261" s="805" t="s">
        <v>1270</v>
      </c>
      <c r="E2261" s="1694" t="s">
        <v>62</v>
      </c>
      <c r="F2261" s="890"/>
      <c r="G2261" s="907">
        <v>67</v>
      </c>
      <c r="H2261" s="357">
        <v>67</v>
      </c>
      <c r="I2261" s="898">
        <f>(H2261/G2261)*100</f>
        <v>100</v>
      </c>
    </row>
    <row r="2262" spans="1:20" ht="16.5" thickTop="1" thickBot="1" x14ac:dyDescent="0.3">
      <c r="A2262" s="2739" t="s">
        <v>1246</v>
      </c>
      <c r="B2262" s="2740"/>
      <c r="C2262" s="2740"/>
      <c r="D2262" s="2740"/>
      <c r="E2262" s="2740"/>
      <c r="F2262" s="894">
        <f>F2242+F2250+F2255</f>
        <v>4162</v>
      </c>
      <c r="G2262" s="894">
        <f>G2238+G2242+G2248+G2250+G2253+G2255+G2258+G2260</f>
        <v>15283</v>
      </c>
      <c r="H2262" s="894">
        <f>H2238+H2242+H2248+H2250+H2253+H2255+H2258+H2260</f>
        <v>15283</v>
      </c>
      <c r="I2262" s="895">
        <f>(H2262/G2262)*100</f>
        <v>100</v>
      </c>
      <c r="R2262" s="385">
        <f>F2262</f>
        <v>4162</v>
      </c>
      <c r="S2262" s="385">
        <f>G2262</f>
        <v>15283</v>
      </c>
      <c r="T2262" s="385">
        <f>H2262</f>
        <v>15283</v>
      </c>
    </row>
    <row r="2263" spans="1:20" s="386" customFormat="1" ht="13.5" thickTop="1" x14ac:dyDescent="0.2">
      <c r="A2263" s="384"/>
      <c r="B2263" s="669"/>
      <c r="C2263" s="384"/>
      <c r="D2263" s="884"/>
      <c r="E2263" s="384"/>
      <c r="F2263" s="385"/>
      <c r="G2263" s="385"/>
      <c r="H2263" s="385"/>
      <c r="I2263" s="1548"/>
    </row>
    <row r="2264" spans="1:20" ht="13.5" thickBot="1" x14ac:dyDescent="0.25">
      <c r="A2264" s="439" t="s">
        <v>1208</v>
      </c>
      <c r="I2264" s="1548" t="s">
        <v>179</v>
      </c>
    </row>
    <row r="2265" spans="1:20" ht="14.25" thickTop="1" thickBot="1" x14ac:dyDescent="0.25">
      <c r="A2265" s="657" t="s">
        <v>692</v>
      </c>
      <c r="B2265" s="835" t="s">
        <v>180</v>
      </c>
      <c r="C2265" s="658" t="s">
        <v>181</v>
      </c>
      <c r="D2265" s="660" t="s">
        <v>783</v>
      </c>
      <c r="E2265" s="660" t="s">
        <v>182</v>
      </c>
      <c r="F2265" s="660" t="s">
        <v>183</v>
      </c>
      <c r="G2265" s="660" t="s">
        <v>985</v>
      </c>
      <c r="H2265" s="660" t="s">
        <v>986</v>
      </c>
      <c r="I2265" s="888" t="s">
        <v>987</v>
      </c>
    </row>
    <row r="2266" spans="1:20" ht="14.25" thickTop="1" thickBot="1" x14ac:dyDescent="0.25">
      <c r="A2266" s="592">
        <v>1</v>
      </c>
      <c r="B2266" s="593">
        <v>2</v>
      </c>
      <c r="C2266" s="593">
        <v>3</v>
      </c>
      <c r="D2266" s="593">
        <v>4</v>
      </c>
      <c r="E2266" s="593">
        <v>5</v>
      </c>
      <c r="F2266" s="567">
        <v>6</v>
      </c>
      <c r="G2266" s="567">
        <v>7</v>
      </c>
      <c r="H2266" s="568">
        <v>8</v>
      </c>
      <c r="I2266" s="662" t="s">
        <v>848</v>
      </c>
    </row>
    <row r="2267" spans="1:20" ht="18" customHeight="1" thickTop="1" x14ac:dyDescent="0.25">
      <c r="A2267" s="1562">
        <v>1300</v>
      </c>
      <c r="B2267" s="917">
        <v>3231</v>
      </c>
      <c r="C2267" s="917">
        <v>5331</v>
      </c>
      <c r="D2267" s="922"/>
      <c r="E2267" s="956" t="s">
        <v>1066</v>
      </c>
      <c r="F2267" s="915">
        <f>SUM(F2268:F2270)</f>
        <v>298</v>
      </c>
      <c r="G2267" s="915">
        <f>G2268</f>
        <v>298</v>
      </c>
      <c r="H2267" s="915">
        <f>H2268</f>
        <v>298</v>
      </c>
      <c r="I2267" s="919">
        <f>(H2267/G2267)*100</f>
        <v>100</v>
      </c>
    </row>
    <row r="2268" spans="1:20" ht="14.25" x14ac:dyDescent="0.2">
      <c r="A2268" s="435"/>
      <c r="B2268" s="705"/>
      <c r="C2268" s="705"/>
      <c r="D2268" s="743" t="s">
        <v>641</v>
      </c>
      <c r="E2268" s="1679" t="s">
        <v>883</v>
      </c>
      <c r="F2268" s="897">
        <v>298</v>
      </c>
      <c r="G2268" s="897">
        <v>298</v>
      </c>
      <c r="H2268" s="897">
        <v>298</v>
      </c>
      <c r="I2268" s="893">
        <f>(H2268/G2268)*100</f>
        <v>100</v>
      </c>
      <c r="R2268" s="385"/>
      <c r="S2268" s="385"/>
      <c r="T2268" s="385"/>
    </row>
    <row r="2269" spans="1:20" ht="15" x14ac:dyDescent="0.25">
      <c r="A2269" s="435">
        <v>1300</v>
      </c>
      <c r="B2269" s="705">
        <v>3231</v>
      </c>
      <c r="C2269" s="705">
        <v>5336</v>
      </c>
      <c r="D2269" s="1178"/>
      <c r="E2269" s="1564" t="s">
        <v>1357</v>
      </c>
      <c r="F2269" s="897"/>
      <c r="G2269" s="921">
        <v>13388</v>
      </c>
      <c r="H2269" s="921">
        <v>13388</v>
      </c>
      <c r="I2269" s="923">
        <f>(H2269/G2269)*100</f>
        <v>100</v>
      </c>
      <c r="R2269" s="385"/>
      <c r="S2269" s="385"/>
      <c r="T2269" s="385"/>
    </row>
    <row r="2270" spans="1:20" ht="15" thickBot="1" x14ac:dyDescent="0.25">
      <c r="A2270" s="435"/>
      <c r="B2270" s="705"/>
      <c r="C2270" s="1550"/>
      <c r="D2270" s="578" t="s">
        <v>1267</v>
      </c>
      <c r="E2270" s="474" t="s">
        <v>882</v>
      </c>
      <c r="F2270" s="897"/>
      <c r="G2270" s="897">
        <v>13388</v>
      </c>
      <c r="H2270" s="897">
        <v>13388</v>
      </c>
      <c r="I2270" s="893">
        <f>(H2270/G2270)*100</f>
        <v>100</v>
      </c>
    </row>
    <row r="2271" spans="1:20" ht="16.5" thickTop="1" thickBot="1" x14ac:dyDescent="0.3">
      <c r="A2271" s="2739" t="s">
        <v>1246</v>
      </c>
      <c r="B2271" s="2740"/>
      <c r="C2271" s="2740"/>
      <c r="D2271" s="2740"/>
      <c r="E2271" s="2740"/>
      <c r="F2271" s="894">
        <f>SUM(F2267)</f>
        <v>298</v>
      </c>
      <c r="G2271" s="894">
        <f>G2267+G2269</f>
        <v>13686</v>
      </c>
      <c r="H2271" s="894">
        <f>H2267+H2269</f>
        <v>13686</v>
      </c>
      <c r="I2271" s="895">
        <f>(H2271/G2271)*100</f>
        <v>100</v>
      </c>
      <c r="R2271" s="385">
        <f>F2271</f>
        <v>298</v>
      </c>
      <c r="S2271" s="385">
        <f>G2271</f>
        <v>13686</v>
      </c>
      <c r="T2271" s="385">
        <f>H2271</f>
        <v>13686</v>
      </c>
    </row>
    <row r="2272" spans="1:20" s="386" customFormat="1" ht="15" customHeight="1" thickTop="1" x14ac:dyDescent="0.2">
      <c r="A2272" s="384"/>
      <c r="B2272" s="669"/>
      <c r="C2272" s="384"/>
      <c r="D2272" s="884"/>
      <c r="E2272" s="384"/>
      <c r="F2272" s="385"/>
      <c r="G2272" s="385"/>
      <c r="H2272" s="385"/>
      <c r="I2272" s="1548"/>
    </row>
    <row r="2273" spans="1:20" ht="15" customHeight="1" thickBot="1" x14ac:dyDescent="0.25">
      <c r="A2273" s="439" t="s">
        <v>1209</v>
      </c>
      <c r="I2273" s="1548" t="s">
        <v>179</v>
      </c>
    </row>
    <row r="2274" spans="1:20" ht="14.25" thickTop="1" thickBot="1" x14ac:dyDescent="0.25">
      <c r="A2274" s="657" t="s">
        <v>692</v>
      </c>
      <c r="B2274" s="835" t="s">
        <v>180</v>
      </c>
      <c r="C2274" s="658" t="s">
        <v>181</v>
      </c>
      <c r="D2274" s="660" t="s">
        <v>783</v>
      </c>
      <c r="E2274" s="660" t="s">
        <v>182</v>
      </c>
      <c r="F2274" s="660" t="s">
        <v>183</v>
      </c>
      <c r="G2274" s="660" t="s">
        <v>985</v>
      </c>
      <c r="H2274" s="660" t="s">
        <v>986</v>
      </c>
      <c r="I2274" s="888" t="s">
        <v>987</v>
      </c>
    </row>
    <row r="2275" spans="1:20" ht="14.25" thickTop="1" thickBot="1" x14ac:dyDescent="0.25">
      <c r="A2275" s="592">
        <v>1</v>
      </c>
      <c r="B2275" s="593">
        <v>2</v>
      </c>
      <c r="C2275" s="593">
        <v>3</v>
      </c>
      <c r="D2275" s="593">
        <v>4</v>
      </c>
      <c r="E2275" s="593">
        <v>5</v>
      </c>
      <c r="F2275" s="567">
        <v>6</v>
      </c>
      <c r="G2275" s="567">
        <v>7</v>
      </c>
      <c r="H2275" s="568">
        <v>8</v>
      </c>
      <c r="I2275" s="662" t="s">
        <v>848</v>
      </c>
    </row>
    <row r="2276" spans="1:20" ht="15.75" thickTop="1" x14ac:dyDescent="0.25">
      <c r="A2276" s="1562">
        <v>1301</v>
      </c>
      <c r="B2276" s="917">
        <v>3231</v>
      </c>
      <c r="C2276" s="917">
        <v>5331</v>
      </c>
      <c r="D2276" s="922"/>
      <c r="E2276" s="956" t="s">
        <v>1066</v>
      </c>
      <c r="F2276" s="915">
        <f>SUM(F2277:F2280)</f>
        <v>1268</v>
      </c>
      <c r="G2276" s="915">
        <f>G2277+G2278</f>
        <v>1503</v>
      </c>
      <c r="H2276" s="915">
        <f>H2277+H2278</f>
        <v>1503</v>
      </c>
      <c r="I2276" s="919">
        <f t="shared" ref="I2276:I2281" si="102">(H2276/G2276)*100</f>
        <v>100</v>
      </c>
    </row>
    <row r="2277" spans="1:20" ht="14.25" x14ac:dyDescent="0.2">
      <c r="A2277" s="435"/>
      <c r="B2277" s="705"/>
      <c r="C2277" s="705"/>
      <c r="D2277" s="743" t="s">
        <v>641</v>
      </c>
      <c r="E2277" s="1679" t="s">
        <v>883</v>
      </c>
      <c r="F2277" s="897">
        <v>1268</v>
      </c>
      <c r="G2277" s="897">
        <v>1268</v>
      </c>
      <c r="H2277" s="897">
        <v>1268</v>
      </c>
      <c r="I2277" s="893">
        <f t="shared" si="102"/>
        <v>100</v>
      </c>
    </row>
    <row r="2278" spans="1:20" ht="14.25" x14ac:dyDescent="0.2">
      <c r="A2278" s="435"/>
      <c r="B2278" s="705"/>
      <c r="C2278" s="705"/>
      <c r="D2278" s="1463" t="s">
        <v>1271</v>
      </c>
      <c r="E2278" s="1695" t="s">
        <v>462</v>
      </c>
      <c r="F2278" s="897"/>
      <c r="G2278" s="897">
        <v>235</v>
      </c>
      <c r="H2278" s="897">
        <v>235</v>
      </c>
      <c r="I2278" s="893">
        <f t="shared" si="102"/>
        <v>100</v>
      </c>
    </row>
    <row r="2279" spans="1:20" ht="18" customHeight="1" x14ac:dyDescent="0.25">
      <c r="A2279" s="435">
        <v>1301</v>
      </c>
      <c r="B2279" s="705">
        <v>3231</v>
      </c>
      <c r="C2279" s="705">
        <v>5336</v>
      </c>
      <c r="D2279" s="1178"/>
      <c r="E2279" s="1564" t="s">
        <v>1357</v>
      </c>
      <c r="F2279" s="897"/>
      <c r="G2279" s="921">
        <v>26170</v>
      </c>
      <c r="H2279" s="921">
        <v>26170</v>
      </c>
      <c r="I2279" s="923">
        <f t="shared" si="102"/>
        <v>100</v>
      </c>
    </row>
    <row r="2280" spans="1:20" ht="15" thickBot="1" x14ac:dyDescent="0.25">
      <c r="A2280" s="435"/>
      <c r="B2280" s="705"/>
      <c r="C2280" s="705"/>
      <c r="D2280" s="578" t="s">
        <v>1267</v>
      </c>
      <c r="E2280" s="474" t="s">
        <v>882</v>
      </c>
      <c r="F2280" s="897"/>
      <c r="G2280" s="897">
        <v>26170</v>
      </c>
      <c r="H2280" s="897">
        <v>26170</v>
      </c>
      <c r="I2280" s="893">
        <f t="shared" si="102"/>
        <v>100</v>
      </c>
    </row>
    <row r="2281" spans="1:20" ht="16.5" thickTop="1" thickBot="1" x14ac:dyDescent="0.3">
      <c r="A2281" s="2739" t="s">
        <v>1246</v>
      </c>
      <c r="B2281" s="2740"/>
      <c r="C2281" s="2740"/>
      <c r="D2281" s="2740"/>
      <c r="E2281" s="2740"/>
      <c r="F2281" s="894">
        <f>SUM(F2276)</f>
        <v>1268</v>
      </c>
      <c r="G2281" s="894">
        <f>G2276+G2279</f>
        <v>27673</v>
      </c>
      <c r="H2281" s="894">
        <f>H2276+H2279</f>
        <v>27673</v>
      </c>
      <c r="I2281" s="895">
        <f t="shared" si="102"/>
        <v>100</v>
      </c>
      <c r="R2281" s="385">
        <f>F2281</f>
        <v>1268</v>
      </c>
      <c r="S2281" s="385">
        <f>G2281</f>
        <v>27673</v>
      </c>
      <c r="T2281" s="385">
        <f>H2281</f>
        <v>27673</v>
      </c>
    </row>
    <row r="2282" spans="1:20" s="107" customFormat="1" ht="13.5" thickTop="1" x14ac:dyDescent="0.2">
      <c r="A2282" s="384"/>
      <c r="B2282" s="669"/>
      <c r="C2282" s="384"/>
      <c r="D2282" s="884"/>
      <c r="E2282" s="384"/>
      <c r="F2282" s="385"/>
      <c r="G2282" s="385"/>
      <c r="H2282" s="385"/>
      <c r="I2282" s="1548"/>
    </row>
    <row r="2283" spans="1:20" s="107" customFormat="1" x14ac:dyDescent="0.2">
      <c r="A2283" s="384"/>
      <c r="B2283" s="669"/>
      <c r="C2283" s="384"/>
      <c r="D2283" s="884"/>
      <c r="E2283" s="384"/>
      <c r="F2283" s="385"/>
      <c r="G2283" s="385"/>
      <c r="H2283" s="385"/>
      <c r="I2283" s="1548"/>
    </row>
    <row r="2284" spans="1:20" s="386" customFormat="1" x14ac:dyDescent="0.2">
      <c r="A2284" s="384"/>
      <c r="B2284" s="669"/>
      <c r="C2284" s="384"/>
      <c r="D2284" s="884"/>
      <c r="E2284" s="384"/>
      <c r="F2284" s="385"/>
      <c r="G2284" s="385"/>
      <c r="H2284" s="385"/>
      <c r="I2284" s="1548"/>
    </row>
    <row r="2285" spans="1:20" ht="13.5" thickBot="1" x14ac:dyDescent="0.25">
      <c r="A2285" s="439" t="s">
        <v>156</v>
      </c>
      <c r="I2285" s="1548" t="s">
        <v>179</v>
      </c>
    </row>
    <row r="2286" spans="1:20" ht="14.25" thickTop="1" thickBot="1" x14ac:dyDescent="0.25">
      <c r="A2286" s="657" t="s">
        <v>692</v>
      </c>
      <c r="B2286" s="835" t="s">
        <v>180</v>
      </c>
      <c r="C2286" s="658" t="s">
        <v>181</v>
      </c>
      <c r="D2286" s="660" t="s">
        <v>783</v>
      </c>
      <c r="E2286" s="660" t="s">
        <v>182</v>
      </c>
      <c r="F2286" s="660" t="s">
        <v>183</v>
      </c>
      <c r="G2286" s="660" t="s">
        <v>985</v>
      </c>
      <c r="H2286" s="660" t="s">
        <v>986</v>
      </c>
      <c r="I2286" s="888" t="s">
        <v>987</v>
      </c>
    </row>
    <row r="2287" spans="1:20" ht="14.25" thickTop="1" thickBot="1" x14ac:dyDescent="0.25">
      <c r="A2287" s="592">
        <v>1</v>
      </c>
      <c r="B2287" s="593">
        <v>2</v>
      </c>
      <c r="C2287" s="593">
        <v>3</v>
      </c>
      <c r="D2287" s="593">
        <v>4</v>
      </c>
      <c r="E2287" s="593">
        <v>5</v>
      </c>
      <c r="F2287" s="567">
        <v>6</v>
      </c>
      <c r="G2287" s="567">
        <v>7</v>
      </c>
      <c r="H2287" s="568">
        <v>8</v>
      </c>
      <c r="I2287" s="662" t="s">
        <v>848</v>
      </c>
    </row>
    <row r="2288" spans="1:20" ht="15.75" thickTop="1" x14ac:dyDescent="0.25">
      <c r="A2288" s="1562">
        <v>1302</v>
      </c>
      <c r="B2288" s="917">
        <v>3231</v>
      </c>
      <c r="C2288" s="917">
        <v>5331</v>
      </c>
      <c r="D2288" s="922"/>
      <c r="E2288" s="956" t="s">
        <v>1066</v>
      </c>
      <c r="F2288" s="915">
        <f>F2289+F2290</f>
        <v>157</v>
      </c>
      <c r="G2288" s="915">
        <f>G2289+G2290</f>
        <v>408</v>
      </c>
      <c r="H2288" s="915">
        <f>H2289+H2290</f>
        <v>408</v>
      </c>
      <c r="I2288" s="919">
        <f t="shared" ref="I2288:I2293" si="103">(H2288/G2288)*100</f>
        <v>100</v>
      </c>
    </row>
    <row r="2289" spans="1:20" ht="14.25" x14ac:dyDescent="0.2">
      <c r="A2289" s="435"/>
      <c r="B2289" s="705"/>
      <c r="C2289" s="705"/>
      <c r="D2289" s="743" t="s">
        <v>641</v>
      </c>
      <c r="E2289" s="1679" t="s">
        <v>883</v>
      </c>
      <c r="F2289" s="897">
        <v>157</v>
      </c>
      <c r="G2289" s="897">
        <v>108</v>
      </c>
      <c r="H2289" s="897">
        <v>108</v>
      </c>
      <c r="I2289" s="893">
        <f t="shared" si="103"/>
        <v>100</v>
      </c>
    </row>
    <row r="2290" spans="1:20" ht="14.25" x14ac:dyDescent="0.2">
      <c r="A2290" s="435"/>
      <c r="B2290" s="808"/>
      <c r="C2290" s="808"/>
      <c r="D2290" s="1179" t="s">
        <v>1536</v>
      </c>
      <c r="E2290" s="1702" t="s">
        <v>1537</v>
      </c>
      <c r="F2290" s="903"/>
      <c r="G2290" s="903">
        <v>300</v>
      </c>
      <c r="H2290" s="903">
        <v>300</v>
      </c>
      <c r="I2290" s="893">
        <f t="shared" si="103"/>
        <v>100</v>
      </c>
    </row>
    <row r="2291" spans="1:20" ht="15" x14ac:dyDescent="0.25">
      <c r="A2291" s="435">
        <v>1302</v>
      </c>
      <c r="B2291" s="808">
        <v>3231</v>
      </c>
      <c r="C2291" s="808">
        <v>5336</v>
      </c>
      <c r="D2291" s="1179"/>
      <c r="E2291" s="1564" t="s">
        <v>1357</v>
      </c>
      <c r="F2291" s="903"/>
      <c r="G2291" s="916">
        <v>3933</v>
      </c>
      <c r="H2291" s="916">
        <v>3933</v>
      </c>
      <c r="I2291" s="923">
        <f t="shared" si="103"/>
        <v>100</v>
      </c>
    </row>
    <row r="2292" spans="1:20" ht="15" thickBot="1" x14ac:dyDescent="0.25">
      <c r="A2292" s="435"/>
      <c r="B2292" s="808"/>
      <c r="C2292" s="1551"/>
      <c r="D2292" s="578" t="s">
        <v>1267</v>
      </c>
      <c r="E2292" s="474" t="s">
        <v>882</v>
      </c>
      <c r="F2292" s="903"/>
      <c r="G2292" s="903">
        <v>3933</v>
      </c>
      <c r="H2292" s="903">
        <v>3933</v>
      </c>
      <c r="I2292" s="898">
        <f t="shared" si="103"/>
        <v>100</v>
      </c>
    </row>
    <row r="2293" spans="1:20" ht="16.5" thickTop="1" thickBot="1" x14ac:dyDescent="0.3">
      <c r="A2293" s="2739" t="s">
        <v>1246</v>
      </c>
      <c r="B2293" s="2740"/>
      <c r="C2293" s="2740"/>
      <c r="D2293" s="2740"/>
      <c r="E2293" s="2740"/>
      <c r="F2293" s="894">
        <f>F2288</f>
        <v>157</v>
      </c>
      <c r="G2293" s="894">
        <f>G2288+G2291</f>
        <v>4341</v>
      </c>
      <c r="H2293" s="894">
        <f>H2288+H2291</f>
        <v>4341</v>
      </c>
      <c r="I2293" s="895">
        <f t="shared" si="103"/>
        <v>100</v>
      </c>
      <c r="R2293" s="385">
        <f>F2293</f>
        <v>157</v>
      </c>
      <c r="S2293" s="385">
        <f>G2293</f>
        <v>4341</v>
      </c>
      <c r="T2293" s="385">
        <f>H2293</f>
        <v>4341</v>
      </c>
    </row>
    <row r="2294" spans="1:20" s="386" customFormat="1" ht="13.5" thickTop="1" x14ac:dyDescent="0.2">
      <c r="A2294" s="384"/>
      <c r="B2294" s="669"/>
      <c r="C2294" s="384"/>
      <c r="D2294" s="884"/>
      <c r="E2294" s="384"/>
      <c r="F2294" s="385"/>
      <c r="G2294" s="385"/>
      <c r="H2294" s="385"/>
      <c r="I2294" s="1548"/>
    </row>
    <row r="2295" spans="1:20" ht="13.5" customHeight="1" thickBot="1" x14ac:dyDescent="0.25">
      <c r="A2295" s="439" t="s">
        <v>718</v>
      </c>
      <c r="I2295" s="1548" t="s">
        <v>179</v>
      </c>
    </row>
    <row r="2296" spans="1:20" ht="13.5" customHeight="1" thickTop="1" thickBot="1" x14ac:dyDescent="0.25">
      <c r="A2296" s="657" t="s">
        <v>692</v>
      </c>
      <c r="B2296" s="835" t="s">
        <v>180</v>
      </c>
      <c r="C2296" s="658" t="s">
        <v>181</v>
      </c>
      <c r="D2296" s="660" t="s">
        <v>783</v>
      </c>
      <c r="E2296" s="660" t="s">
        <v>182</v>
      </c>
      <c r="F2296" s="660" t="s">
        <v>183</v>
      </c>
      <c r="G2296" s="660" t="s">
        <v>985</v>
      </c>
      <c r="H2296" s="660" t="s">
        <v>986</v>
      </c>
      <c r="I2296" s="888" t="s">
        <v>987</v>
      </c>
    </row>
    <row r="2297" spans="1:20" ht="14.25" thickTop="1" thickBot="1" x14ac:dyDescent="0.25">
      <c r="A2297" s="592">
        <v>1</v>
      </c>
      <c r="B2297" s="593">
        <v>2</v>
      </c>
      <c r="C2297" s="593">
        <v>3</v>
      </c>
      <c r="D2297" s="593">
        <v>4</v>
      </c>
      <c r="E2297" s="593">
        <v>5</v>
      </c>
      <c r="F2297" s="567">
        <v>6</v>
      </c>
      <c r="G2297" s="567">
        <v>7</v>
      </c>
      <c r="H2297" s="568">
        <v>8</v>
      </c>
      <c r="I2297" s="662" t="s">
        <v>848</v>
      </c>
    </row>
    <row r="2298" spans="1:20" ht="15.75" thickTop="1" x14ac:dyDescent="0.25">
      <c r="A2298" s="1562">
        <v>1303</v>
      </c>
      <c r="B2298" s="917">
        <v>3231</v>
      </c>
      <c r="C2298" s="917">
        <v>5331</v>
      </c>
      <c r="D2298" s="922"/>
      <c r="E2298" s="956" t="s">
        <v>1066</v>
      </c>
      <c r="F2298" s="915">
        <f>SUM(F2299:F2301)</f>
        <v>134</v>
      </c>
      <c r="G2298" s="915">
        <v>143</v>
      </c>
      <c r="H2298" s="915">
        <v>143</v>
      </c>
      <c r="I2298" s="919">
        <f>(H2298/G2298)*100</f>
        <v>100</v>
      </c>
    </row>
    <row r="2299" spans="1:20" ht="14.25" x14ac:dyDescent="0.2">
      <c r="A2299" s="435"/>
      <c r="B2299" s="705"/>
      <c r="C2299" s="705"/>
      <c r="D2299" s="743" t="s">
        <v>641</v>
      </c>
      <c r="E2299" s="1679" t="s">
        <v>883</v>
      </c>
      <c r="F2299" s="897">
        <v>134</v>
      </c>
      <c r="G2299" s="897">
        <v>143</v>
      </c>
      <c r="H2299" s="897">
        <v>143</v>
      </c>
      <c r="I2299" s="893">
        <f>(H2299/G2299)*100</f>
        <v>100</v>
      </c>
    </row>
    <row r="2300" spans="1:20" ht="15" x14ac:dyDescent="0.25">
      <c r="A2300" s="435">
        <v>1303</v>
      </c>
      <c r="B2300" s="705">
        <v>3231</v>
      </c>
      <c r="C2300" s="910">
        <v>5336</v>
      </c>
      <c r="D2300" s="1178"/>
      <c r="E2300" s="1564" t="s">
        <v>1357</v>
      </c>
      <c r="F2300" s="897"/>
      <c r="G2300" s="921">
        <v>7281</v>
      </c>
      <c r="H2300" s="921">
        <v>7281</v>
      </c>
      <c r="I2300" s="923">
        <f>(H2300/G2300)*100</f>
        <v>100</v>
      </c>
    </row>
    <row r="2301" spans="1:20" ht="20.25" customHeight="1" thickBot="1" x14ac:dyDescent="0.25">
      <c r="A2301" s="1576"/>
      <c r="B2301" s="900"/>
      <c r="C2301" s="980"/>
      <c r="D2301" s="578" t="s">
        <v>1267</v>
      </c>
      <c r="E2301" s="474" t="s">
        <v>882</v>
      </c>
      <c r="F2301" s="901"/>
      <c r="G2301" s="901">
        <v>7281</v>
      </c>
      <c r="H2301" s="901">
        <v>7281</v>
      </c>
      <c r="I2301" s="902">
        <f>(H2301/G2301)*100</f>
        <v>100</v>
      </c>
    </row>
    <row r="2302" spans="1:20" ht="16.5" thickTop="1" thickBot="1" x14ac:dyDescent="0.3">
      <c r="A2302" s="2739" t="s">
        <v>1246</v>
      </c>
      <c r="B2302" s="2740"/>
      <c r="C2302" s="2740"/>
      <c r="D2302" s="2740"/>
      <c r="E2302" s="2740"/>
      <c r="F2302" s="894">
        <f>F2298+F2300</f>
        <v>134</v>
      </c>
      <c r="G2302" s="894">
        <f>G2298+G2300</f>
        <v>7424</v>
      </c>
      <c r="H2302" s="894">
        <f>H2298+H2300</f>
        <v>7424</v>
      </c>
      <c r="I2302" s="895">
        <f>(H2302/G2302)*100</f>
        <v>100</v>
      </c>
      <c r="R2302" s="385">
        <f>F2302</f>
        <v>134</v>
      </c>
      <c r="S2302" s="385">
        <f>G2302</f>
        <v>7424</v>
      </c>
      <c r="T2302" s="385">
        <f>H2302</f>
        <v>7424</v>
      </c>
    </row>
    <row r="2303" spans="1:20" s="386" customFormat="1" ht="13.5" thickTop="1" x14ac:dyDescent="0.2">
      <c r="A2303" s="384"/>
      <c r="B2303" s="669"/>
      <c r="C2303" s="384"/>
      <c r="D2303" s="884"/>
      <c r="E2303" s="384"/>
      <c r="F2303" s="385"/>
      <c r="G2303" s="385"/>
      <c r="H2303" s="385"/>
      <c r="I2303" s="1548"/>
    </row>
    <row r="2304" spans="1:20" ht="13.5" thickBot="1" x14ac:dyDescent="0.25">
      <c r="A2304" s="439" t="s">
        <v>157</v>
      </c>
      <c r="I2304" s="1548" t="s">
        <v>179</v>
      </c>
    </row>
    <row r="2305" spans="1:20" ht="14.25" thickTop="1" thickBot="1" x14ac:dyDescent="0.25">
      <c r="A2305" s="657" t="s">
        <v>692</v>
      </c>
      <c r="B2305" s="835" t="s">
        <v>180</v>
      </c>
      <c r="C2305" s="658" t="s">
        <v>181</v>
      </c>
      <c r="D2305" s="660" t="s">
        <v>783</v>
      </c>
      <c r="E2305" s="660" t="s">
        <v>182</v>
      </c>
      <c r="F2305" s="660" t="s">
        <v>183</v>
      </c>
      <c r="G2305" s="660" t="s">
        <v>985</v>
      </c>
      <c r="H2305" s="660" t="s">
        <v>986</v>
      </c>
      <c r="I2305" s="888" t="s">
        <v>987</v>
      </c>
    </row>
    <row r="2306" spans="1:20" ht="14.25" thickTop="1" thickBot="1" x14ac:dyDescent="0.25">
      <c r="A2306" s="592">
        <v>1</v>
      </c>
      <c r="B2306" s="593">
        <v>2</v>
      </c>
      <c r="C2306" s="593">
        <v>3</v>
      </c>
      <c r="D2306" s="593">
        <v>4</v>
      </c>
      <c r="E2306" s="593">
        <v>5</v>
      </c>
      <c r="F2306" s="567">
        <v>6</v>
      </c>
      <c r="G2306" s="567">
        <v>7</v>
      </c>
      <c r="H2306" s="568">
        <v>8</v>
      </c>
      <c r="I2306" s="662" t="s">
        <v>848</v>
      </c>
    </row>
    <row r="2307" spans="1:20" ht="18" customHeight="1" thickTop="1" x14ac:dyDescent="0.25">
      <c r="A2307" s="1562">
        <v>1304</v>
      </c>
      <c r="B2307" s="917">
        <v>3231</v>
      </c>
      <c r="C2307" s="917">
        <v>5331</v>
      </c>
      <c r="D2307" s="922"/>
      <c r="E2307" s="956" t="s">
        <v>1066</v>
      </c>
      <c r="F2307" s="915">
        <f>F2308+F2309</f>
        <v>173</v>
      </c>
      <c r="G2307" s="915">
        <f>G2308+G2309</f>
        <v>173</v>
      </c>
      <c r="H2307" s="915">
        <f>H2308+H2309</f>
        <v>173</v>
      </c>
      <c r="I2307" s="919">
        <f t="shared" ref="I2307:I2312" si="104">(H2307/G2307)*100</f>
        <v>100</v>
      </c>
    </row>
    <row r="2308" spans="1:20" ht="14.25" x14ac:dyDescent="0.2">
      <c r="A2308" s="435"/>
      <c r="B2308" s="705"/>
      <c r="C2308" s="705"/>
      <c r="D2308" s="743" t="s">
        <v>641</v>
      </c>
      <c r="E2308" s="1679" t="s">
        <v>883</v>
      </c>
      <c r="F2308" s="897">
        <v>72</v>
      </c>
      <c r="G2308" s="897">
        <v>72</v>
      </c>
      <c r="H2308" s="897">
        <v>72</v>
      </c>
      <c r="I2308" s="893">
        <f t="shared" si="104"/>
        <v>100</v>
      </c>
    </row>
    <row r="2309" spans="1:20" ht="14.25" x14ac:dyDescent="0.2">
      <c r="A2309" s="435"/>
      <c r="B2309" s="705"/>
      <c r="C2309" s="705"/>
      <c r="D2309" s="578" t="s">
        <v>636</v>
      </c>
      <c r="E2309" s="474" t="s">
        <v>72</v>
      </c>
      <c r="F2309" s="897">
        <v>101</v>
      </c>
      <c r="G2309" s="897">
        <v>101</v>
      </c>
      <c r="H2309" s="897">
        <v>101</v>
      </c>
      <c r="I2309" s="893">
        <f t="shared" si="104"/>
        <v>100</v>
      </c>
    </row>
    <row r="2310" spans="1:20" ht="15" x14ac:dyDescent="0.25">
      <c r="A2310" s="435">
        <v>1304</v>
      </c>
      <c r="B2310" s="705">
        <v>3231</v>
      </c>
      <c r="C2310" s="705">
        <v>5336</v>
      </c>
      <c r="D2310" s="578"/>
      <c r="E2310" s="1564" t="s">
        <v>1357</v>
      </c>
      <c r="F2310" s="897"/>
      <c r="G2310" s="921">
        <v>10782</v>
      </c>
      <c r="H2310" s="921">
        <v>10782</v>
      </c>
      <c r="I2310" s="923">
        <f t="shared" si="104"/>
        <v>100</v>
      </c>
    </row>
    <row r="2311" spans="1:20" ht="20.25" customHeight="1" thickBot="1" x14ac:dyDescent="0.25">
      <c r="A2311" s="435"/>
      <c r="B2311" s="705"/>
      <c r="C2311" s="1550"/>
      <c r="D2311" s="578" t="s">
        <v>1267</v>
      </c>
      <c r="E2311" s="474" t="s">
        <v>882</v>
      </c>
      <c r="F2311" s="897"/>
      <c r="G2311" s="897">
        <v>10782</v>
      </c>
      <c r="H2311" s="897">
        <v>10782</v>
      </c>
      <c r="I2311" s="893">
        <f t="shared" si="104"/>
        <v>100</v>
      </c>
    </row>
    <row r="2312" spans="1:20" ht="16.5" thickTop="1" thickBot="1" x14ac:dyDescent="0.3">
      <c r="A2312" s="2739" t="s">
        <v>1246</v>
      </c>
      <c r="B2312" s="2740"/>
      <c r="C2312" s="2740"/>
      <c r="D2312" s="2740"/>
      <c r="E2312" s="2740"/>
      <c r="F2312" s="894">
        <f>F2307+F2310</f>
        <v>173</v>
      </c>
      <c r="G2312" s="894">
        <f>G2307+G2310</f>
        <v>10955</v>
      </c>
      <c r="H2312" s="894">
        <f>H2307+H2310</f>
        <v>10955</v>
      </c>
      <c r="I2312" s="895">
        <f t="shared" si="104"/>
        <v>100</v>
      </c>
      <c r="R2312" s="385">
        <f>F2312</f>
        <v>173</v>
      </c>
      <c r="S2312" s="385">
        <f>G2312</f>
        <v>10955</v>
      </c>
      <c r="T2312" s="385">
        <f>H2312</f>
        <v>10955</v>
      </c>
    </row>
    <row r="2313" spans="1:20" s="386" customFormat="1" ht="13.5" thickTop="1" x14ac:dyDescent="0.2">
      <c r="A2313" s="384"/>
      <c r="B2313" s="669"/>
      <c r="C2313" s="384"/>
      <c r="D2313" s="884"/>
      <c r="E2313" s="384"/>
      <c r="F2313" s="385"/>
      <c r="G2313" s="385"/>
      <c r="H2313" s="385"/>
      <c r="I2313" s="1548"/>
    </row>
    <row r="2314" spans="1:20" ht="13.5" thickBot="1" x14ac:dyDescent="0.25">
      <c r="A2314" s="439" t="s">
        <v>158</v>
      </c>
      <c r="I2314" s="1548" t="s">
        <v>179</v>
      </c>
    </row>
    <row r="2315" spans="1:20" ht="14.25" thickTop="1" thickBot="1" x14ac:dyDescent="0.25">
      <c r="A2315" s="657" t="s">
        <v>692</v>
      </c>
      <c r="B2315" s="835" t="s">
        <v>180</v>
      </c>
      <c r="C2315" s="658" t="s">
        <v>181</v>
      </c>
      <c r="D2315" s="660" t="s">
        <v>783</v>
      </c>
      <c r="E2315" s="660" t="s">
        <v>182</v>
      </c>
      <c r="F2315" s="660" t="s">
        <v>183</v>
      </c>
      <c r="G2315" s="660" t="s">
        <v>985</v>
      </c>
      <c r="H2315" s="660" t="s">
        <v>986</v>
      </c>
      <c r="I2315" s="888" t="s">
        <v>987</v>
      </c>
    </row>
    <row r="2316" spans="1:20" ht="14.25" thickTop="1" thickBot="1" x14ac:dyDescent="0.25">
      <c r="A2316" s="592">
        <v>1</v>
      </c>
      <c r="B2316" s="593">
        <v>2</v>
      </c>
      <c r="C2316" s="593">
        <v>3</v>
      </c>
      <c r="D2316" s="593">
        <v>4</v>
      </c>
      <c r="E2316" s="593">
        <v>5</v>
      </c>
      <c r="F2316" s="567">
        <v>6</v>
      </c>
      <c r="G2316" s="567">
        <v>7</v>
      </c>
      <c r="H2316" s="568">
        <v>8</v>
      </c>
      <c r="I2316" s="662" t="s">
        <v>848</v>
      </c>
    </row>
    <row r="2317" spans="1:20" ht="15.75" thickTop="1" x14ac:dyDescent="0.25">
      <c r="A2317" s="1562">
        <v>1305</v>
      </c>
      <c r="B2317" s="917">
        <v>3231</v>
      </c>
      <c r="C2317" s="917">
        <v>5331</v>
      </c>
      <c r="D2317" s="922"/>
      <c r="E2317" s="956" t="s">
        <v>1066</v>
      </c>
      <c r="F2317" s="915">
        <f>SUM(F2318:F2321)</f>
        <v>54</v>
      </c>
      <c r="G2317" s="915">
        <f>G2318+G2319</f>
        <v>54</v>
      </c>
      <c r="H2317" s="915">
        <f>H2318+H2319</f>
        <v>54</v>
      </c>
      <c r="I2317" s="919">
        <f t="shared" ref="I2317:I2322" si="105">(H2317/G2317)*100</f>
        <v>100</v>
      </c>
    </row>
    <row r="2318" spans="1:20" ht="14.25" x14ac:dyDescent="0.2">
      <c r="A2318" s="435"/>
      <c r="B2318" s="705"/>
      <c r="C2318" s="705"/>
      <c r="D2318" s="743" t="s">
        <v>641</v>
      </c>
      <c r="E2318" s="1679" t="s">
        <v>883</v>
      </c>
      <c r="F2318" s="897">
        <v>5</v>
      </c>
      <c r="G2318" s="897">
        <v>5</v>
      </c>
      <c r="H2318" s="897">
        <v>5</v>
      </c>
      <c r="I2318" s="893">
        <f t="shared" si="105"/>
        <v>100</v>
      </c>
    </row>
    <row r="2319" spans="1:20" ht="12.75" customHeight="1" x14ac:dyDescent="0.2">
      <c r="A2319" s="435"/>
      <c r="B2319" s="705"/>
      <c r="C2319" s="705"/>
      <c r="D2319" s="578" t="s">
        <v>636</v>
      </c>
      <c r="E2319" s="474" t="s">
        <v>72</v>
      </c>
      <c r="F2319" s="897">
        <v>49</v>
      </c>
      <c r="G2319" s="897">
        <v>49</v>
      </c>
      <c r="H2319" s="897">
        <v>49</v>
      </c>
      <c r="I2319" s="893">
        <f t="shared" si="105"/>
        <v>100</v>
      </c>
    </row>
    <row r="2320" spans="1:20" ht="15" customHeight="1" x14ac:dyDescent="0.25">
      <c r="A2320" s="435">
        <v>1305</v>
      </c>
      <c r="B2320" s="705">
        <v>3231</v>
      </c>
      <c r="C2320" s="705">
        <v>5336</v>
      </c>
      <c r="D2320" s="1178"/>
      <c r="E2320" s="1564" t="s">
        <v>1357</v>
      </c>
      <c r="F2320" s="897"/>
      <c r="G2320" s="921">
        <v>4965</v>
      </c>
      <c r="H2320" s="921">
        <v>4965</v>
      </c>
      <c r="I2320" s="923">
        <f t="shared" si="105"/>
        <v>100</v>
      </c>
    </row>
    <row r="2321" spans="1:20" ht="15" customHeight="1" thickBot="1" x14ac:dyDescent="0.25">
      <c r="A2321" s="435"/>
      <c r="B2321" s="705"/>
      <c r="C2321" s="1550"/>
      <c r="D2321" s="578" t="s">
        <v>1267</v>
      </c>
      <c r="E2321" s="474" t="s">
        <v>882</v>
      </c>
      <c r="F2321" s="897"/>
      <c r="G2321" s="897">
        <v>4965</v>
      </c>
      <c r="H2321" s="897">
        <v>4965</v>
      </c>
      <c r="I2321" s="893">
        <f t="shared" si="105"/>
        <v>100</v>
      </c>
    </row>
    <row r="2322" spans="1:20" ht="16.5" thickTop="1" thickBot="1" x14ac:dyDescent="0.3">
      <c r="A2322" s="2739" t="s">
        <v>1246</v>
      </c>
      <c r="B2322" s="2740"/>
      <c r="C2322" s="2740"/>
      <c r="D2322" s="2740"/>
      <c r="E2322" s="2740"/>
      <c r="F2322" s="894">
        <f>F2317</f>
        <v>54</v>
      </c>
      <c r="G2322" s="894">
        <f>G2317+G2320</f>
        <v>5019</v>
      </c>
      <c r="H2322" s="894">
        <f>H2317+H2320</f>
        <v>5019</v>
      </c>
      <c r="I2322" s="895">
        <f t="shared" si="105"/>
        <v>100</v>
      </c>
      <c r="R2322" s="385">
        <f>F2322</f>
        <v>54</v>
      </c>
      <c r="S2322" s="385">
        <f>G2322</f>
        <v>5019</v>
      </c>
      <c r="T2322" s="385">
        <f>H2322</f>
        <v>5019</v>
      </c>
    </row>
    <row r="2323" spans="1:20" s="386" customFormat="1" ht="13.5" thickTop="1" x14ac:dyDescent="0.2">
      <c r="A2323" s="384"/>
      <c r="B2323" s="669"/>
      <c r="C2323" s="384"/>
      <c r="D2323" s="884"/>
      <c r="E2323" s="384"/>
      <c r="F2323" s="385"/>
      <c r="G2323" s="385"/>
      <c r="H2323" s="385"/>
      <c r="I2323" s="1548"/>
    </row>
    <row r="2324" spans="1:20" ht="13.5" thickBot="1" x14ac:dyDescent="0.25">
      <c r="A2324" s="439" t="s">
        <v>1210</v>
      </c>
      <c r="I2324" s="1548" t="s">
        <v>179</v>
      </c>
    </row>
    <row r="2325" spans="1:20" ht="14.25" thickTop="1" thickBot="1" x14ac:dyDescent="0.25">
      <c r="A2325" s="657" t="s">
        <v>692</v>
      </c>
      <c r="B2325" s="835" t="s">
        <v>180</v>
      </c>
      <c r="C2325" s="658" t="s">
        <v>181</v>
      </c>
      <c r="D2325" s="660" t="s">
        <v>783</v>
      </c>
      <c r="E2325" s="660" t="s">
        <v>182</v>
      </c>
      <c r="F2325" s="660" t="s">
        <v>183</v>
      </c>
      <c r="G2325" s="660" t="s">
        <v>985</v>
      </c>
      <c r="H2325" s="660" t="s">
        <v>986</v>
      </c>
      <c r="I2325" s="888" t="s">
        <v>987</v>
      </c>
    </row>
    <row r="2326" spans="1:20" ht="14.25" thickTop="1" thickBot="1" x14ac:dyDescent="0.25">
      <c r="A2326" s="592">
        <v>1</v>
      </c>
      <c r="B2326" s="593">
        <v>2</v>
      </c>
      <c r="C2326" s="593">
        <v>3</v>
      </c>
      <c r="D2326" s="593">
        <v>4</v>
      </c>
      <c r="E2326" s="593">
        <v>5</v>
      </c>
      <c r="F2326" s="567">
        <v>6</v>
      </c>
      <c r="G2326" s="567">
        <v>7</v>
      </c>
      <c r="H2326" s="568">
        <v>8</v>
      </c>
      <c r="I2326" s="662" t="s">
        <v>848</v>
      </c>
    </row>
    <row r="2327" spans="1:20" ht="15.75" thickTop="1" x14ac:dyDescent="0.25">
      <c r="A2327" s="1562">
        <v>1306</v>
      </c>
      <c r="B2327" s="917">
        <v>3231</v>
      </c>
      <c r="C2327" s="917">
        <v>5331</v>
      </c>
      <c r="D2327" s="922"/>
      <c r="E2327" s="956" t="s">
        <v>1066</v>
      </c>
      <c r="F2327" s="915">
        <f>SUM(F2328:F2330)</f>
        <v>82</v>
      </c>
      <c r="G2327" s="915">
        <v>82</v>
      </c>
      <c r="H2327" s="915">
        <v>82</v>
      </c>
      <c r="I2327" s="919">
        <f t="shared" ref="I2327:I2331" si="106">(H2327/G2327)*100</f>
        <v>100</v>
      </c>
    </row>
    <row r="2328" spans="1:20" ht="14.25" x14ac:dyDescent="0.2">
      <c r="A2328" s="435"/>
      <c r="B2328" s="705"/>
      <c r="C2328" s="705"/>
      <c r="D2328" s="578" t="s">
        <v>636</v>
      </c>
      <c r="E2328" s="474" t="s">
        <v>72</v>
      </c>
      <c r="F2328" s="897">
        <v>82</v>
      </c>
      <c r="G2328" s="897">
        <v>82</v>
      </c>
      <c r="H2328" s="897">
        <v>82</v>
      </c>
      <c r="I2328" s="893">
        <f t="shared" si="106"/>
        <v>100</v>
      </c>
    </row>
    <row r="2329" spans="1:20" ht="15" x14ac:dyDescent="0.25">
      <c r="A2329" s="435">
        <v>1306</v>
      </c>
      <c r="B2329" s="808">
        <v>3231</v>
      </c>
      <c r="C2329" s="808">
        <v>5336</v>
      </c>
      <c r="D2329" s="1178"/>
      <c r="E2329" s="1564" t="s">
        <v>1357</v>
      </c>
      <c r="F2329" s="903"/>
      <c r="G2329" s="916">
        <v>3233</v>
      </c>
      <c r="H2329" s="916">
        <v>3233</v>
      </c>
      <c r="I2329" s="923">
        <f t="shared" si="106"/>
        <v>100</v>
      </c>
    </row>
    <row r="2330" spans="1:20" ht="15" thickBot="1" x14ac:dyDescent="0.25">
      <c r="A2330" s="435"/>
      <c r="B2330" s="808"/>
      <c r="C2330" s="1551"/>
      <c r="D2330" s="578" t="s">
        <v>1267</v>
      </c>
      <c r="E2330" s="474" t="s">
        <v>882</v>
      </c>
      <c r="F2330" s="903"/>
      <c r="G2330" s="903">
        <v>3233</v>
      </c>
      <c r="H2330" s="903">
        <v>3233</v>
      </c>
      <c r="I2330" s="898">
        <f t="shared" si="106"/>
        <v>100</v>
      </c>
    </row>
    <row r="2331" spans="1:20" ht="16.5" thickTop="1" thickBot="1" x14ac:dyDescent="0.3">
      <c r="A2331" s="2739" t="s">
        <v>1246</v>
      </c>
      <c r="B2331" s="2740"/>
      <c r="C2331" s="2740"/>
      <c r="D2331" s="2740"/>
      <c r="E2331" s="2740"/>
      <c r="F2331" s="894">
        <f>F2327+F2329</f>
        <v>82</v>
      </c>
      <c r="G2331" s="894">
        <f>G2327+G2329</f>
        <v>3315</v>
      </c>
      <c r="H2331" s="894">
        <f>H2327+H2329</f>
        <v>3315</v>
      </c>
      <c r="I2331" s="895">
        <f t="shared" si="106"/>
        <v>100</v>
      </c>
      <c r="R2331" s="385">
        <f>F2331</f>
        <v>82</v>
      </c>
      <c r="S2331" s="385">
        <f>G2331</f>
        <v>3315</v>
      </c>
      <c r="T2331" s="385">
        <f>H2331</f>
        <v>3315</v>
      </c>
    </row>
    <row r="2332" spans="1:20" s="386" customFormat="1" ht="13.5" thickTop="1" x14ac:dyDescent="0.2">
      <c r="A2332" s="384"/>
      <c r="B2332" s="669"/>
      <c r="C2332" s="384"/>
      <c r="D2332" s="884"/>
      <c r="E2332" s="384"/>
      <c r="F2332" s="385"/>
      <c r="G2332" s="385"/>
      <c r="H2332" s="385"/>
      <c r="I2332" s="1548"/>
    </row>
    <row r="2333" spans="1:20" ht="13.5" thickBot="1" x14ac:dyDescent="0.25">
      <c r="A2333" s="439" t="s">
        <v>1211</v>
      </c>
      <c r="I2333" s="1548" t="s">
        <v>179</v>
      </c>
    </row>
    <row r="2334" spans="1:20" ht="14.25" thickTop="1" thickBot="1" x14ac:dyDescent="0.25">
      <c r="A2334" s="657" t="s">
        <v>692</v>
      </c>
      <c r="B2334" s="835" t="s">
        <v>180</v>
      </c>
      <c r="C2334" s="658" t="s">
        <v>181</v>
      </c>
      <c r="D2334" s="660" t="s">
        <v>783</v>
      </c>
      <c r="E2334" s="660" t="s">
        <v>182</v>
      </c>
      <c r="F2334" s="660" t="s">
        <v>183</v>
      </c>
      <c r="G2334" s="660" t="s">
        <v>985</v>
      </c>
      <c r="H2334" s="660" t="s">
        <v>986</v>
      </c>
      <c r="I2334" s="888" t="s">
        <v>987</v>
      </c>
    </row>
    <row r="2335" spans="1:20" ht="14.25" thickTop="1" thickBot="1" x14ac:dyDescent="0.25">
      <c r="A2335" s="592">
        <v>1</v>
      </c>
      <c r="B2335" s="593">
        <v>2</v>
      </c>
      <c r="C2335" s="593">
        <v>3</v>
      </c>
      <c r="D2335" s="593">
        <v>4</v>
      </c>
      <c r="E2335" s="593">
        <v>5</v>
      </c>
      <c r="F2335" s="567">
        <v>6</v>
      </c>
      <c r="G2335" s="567">
        <v>7</v>
      </c>
      <c r="H2335" s="568">
        <v>8</v>
      </c>
      <c r="I2335" s="662" t="s">
        <v>848</v>
      </c>
    </row>
    <row r="2336" spans="1:20" ht="15.75" thickTop="1" x14ac:dyDescent="0.25">
      <c r="A2336" s="1562">
        <v>1307</v>
      </c>
      <c r="B2336" s="917">
        <v>3231</v>
      </c>
      <c r="C2336" s="917">
        <v>5331</v>
      </c>
      <c r="D2336" s="922"/>
      <c r="E2336" s="956" t="s">
        <v>1066</v>
      </c>
      <c r="F2336" s="915">
        <f>SUM(F2337:F2341)</f>
        <v>251</v>
      </c>
      <c r="G2336" s="915">
        <f>SUM(G2337:G2341)</f>
        <v>13707</v>
      </c>
      <c r="H2336" s="915">
        <f>SUM(H2337:H2341)</f>
        <v>13707</v>
      </c>
      <c r="I2336" s="919">
        <f t="shared" ref="I2336:I2342" si="107">(H2336/G2336)*100</f>
        <v>100</v>
      </c>
    </row>
    <row r="2337" spans="1:20" ht="14.25" x14ac:dyDescent="0.2">
      <c r="A2337" s="435"/>
      <c r="B2337" s="705"/>
      <c r="C2337" s="705"/>
      <c r="D2337" s="743" t="s">
        <v>641</v>
      </c>
      <c r="E2337" s="1679" t="s">
        <v>883</v>
      </c>
      <c r="F2337" s="897">
        <v>63</v>
      </c>
      <c r="G2337" s="897">
        <v>63</v>
      </c>
      <c r="H2337" s="897">
        <v>63</v>
      </c>
      <c r="I2337" s="893">
        <f t="shared" si="107"/>
        <v>100</v>
      </c>
    </row>
    <row r="2338" spans="1:20" ht="14.25" x14ac:dyDescent="0.2">
      <c r="A2338" s="435"/>
      <c r="B2338" s="705"/>
      <c r="C2338" s="705"/>
      <c r="D2338" s="1179" t="s">
        <v>385</v>
      </c>
      <c r="E2338" s="2610" t="s">
        <v>996</v>
      </c>
      <c r="F2338" s="897"/>
      <c r="G2338" s="897">
        <v>11</v>
      </c>
      <c r="H2338" s="897">
        <v>11</v>
      </c>
      <c r="I2338" s="893">
        <f t="shared" si="107"/>
        <v>100</v>
      </c>
    </row>
    <row r="2339" spans="1:20" ht="14.25" x14ac:dyDescent="0.2">
      <c r="A2339" s="435"/>
      <c r="B2339" s="705"/>
      <c r="C2339" s="705"/>
      <c r="D2339" s="578" t="s">
        <v>636</v>
      </c>
      <c r="E2339" s="474" t="s">
        <v>72</v>
      </c>
      <c r="F2339" s="897">
        <v>188</v>
      </c>
      <c r="G2339" s="897">
        <v>188</v>
      </c>
      <c r="H2339" s="897">
        <v>188</v>
      </c>
      <c r="I2339" s="893">
        <f t="shared" si="107"/>
        <v>100</v>
      </c>
    </row>
    <row r="2340" spans="1:20" ht="14.25" x14ac:dyDescent="0.2">
      <c r="A2340" s="435"/>
      <c r="B2340" s="705"/>
      <c r="C2340" s="705"/>
      <c r="D2340" s="805" t="s">
        <v>1271</v>
      </c>
      <c r="E2340" s="1732" t="s">
        <v>462</v>
      </c>
      <c r="F2340" s="897"/>
      <c r="G2340" s="897">
        <v>201</v>
      </c>
      <c r="H2340" s="897">
        <v>201</v>
      </c>
      <c r="I2340" s="893">
        <f t="shared" si="107"/>
        <v>100</v>
      </c>
    </row>
    <row r="2341" spans="1:20" ht="18" customHeight="1" thickBot="1" x14ac:dyDescent="0.25">
      <c r="A2341" s="435"/>
      <c r="B2341" s="705"/>
      <c r="C2341" s="1550"/>
      <c r="D2341" s="578" t="s">
        <v>1267</v>
      </c>
      <c r="E2341" s="474" t="s">
        <v>882</v>
      </c>
      <c r="F2341" s="897"/>
      <c r="G2341" s="897">
        <v>13244</v>
      </c>
      <c r="H2341" s="897">
        <v>13244</v>
      </c>
      <c r="I2341" s="893">
        <f t="shared" si="107"/>
        <v>100</v>
      </c>
    </row>
    <row r="2342" spans="1:20" ht="16.5" thickTop="1" thickBot="1" x14ac:dyDescent="0.3">
      <c r="A2342" s="2739" t="s">
        <v>1246</v>
      </c>
      <c r="B2342" s="2740"/>
      <c r="C2342" s="2740"/>
      <c r="D2342" s="2740"/>
      <c r="E2342" s="2740"/>
      <c r="F2342" s="894">
        <f>F2336</f>
        <v>251</v>
      </c>
      <c r="G2342" s="894">
        <f>G2336</f>
        <v>13707</v>
      </c>
      <c r="H2342" s="894">
        <f>H2336</f>
        <v>13707</v>
      </c>
      <c r="I2342" s="895">
        <f t="shared" si="107"/>
        <v>100</v>
      </c>
      <c r="R2342" s="385">
        <f>F2342</f>
        <v>251</v>
      </c>
      <c r="S2342" s="385">
        <f>G2342</f>
        <v>13707</v>
      </c>
      <c r="T2342" s="385">
        <f>H2342</f>
        <v>13707</v>
      </c>
    </row>
    <row r="2343" spans="1:20" s="386" customFormat="1" ht="13.5" thickTop="1" x14ac:dyDescent="0.2">
      <c r="A2343" s="384"/>
      <c r="B2343" s="669"/>
      <c r="C2343" s="384"/>
      <c r="D2343" s="884"/>
      <c r="E2343" s="384"/>
      <c r="F2343" s="385"/>
      <c r="G2343" s="385"/>
      <c r="H2343" s="385"/>
      <c r="I2343" s="1548"/>
    </row>
    <row r="2344" spans="1:20" ht="13.5" thickBot="1" x14ac:dyDescent="0.25">
      <c r="A2344" s="439" t="s">
        <v>1212</v>
      </c>
      <c r="I2344" s="1548" t="s">
        <v>179</v>
      </c>
    </row>
    <row r="2345" spans="1:20" ht="14.25" thickTop="1" thickBot="1" x14ac:dyDescent="0.25">
      <c r="A2345" s="657" t="s">
        <v>692</v>
      </c>
      <c r="B2345" s="835" t="s">
        <v>180</v>
      </c>
      <c r="C2345" s="658" t="s">
        <v>181</v>
      </c>
      <c r="D2345" s="660" t="s">
        <v>783</v>
      </c>
      <c r="E2345" s="660" t="s">
        <v>182</v>
      </c>
      <c r="F2345" s="660" t="s">
        <v>183</v>
      </c>
      <c r="G2345" s="660" t="s">
        <v>985</v>
      </c>
      <c r="H2345" s="660" t="s">
        <v>986</v>
      </c>
      <c r="I2345" s="888" t="s">
        <v>987</v>
      </c>
    </row>
    <row r="2346" spans="1:20" ht="14.25" thickTop="1" thickBot="1" x14ac:dyDescent="0.25">
      <c r="A2346" s="592">
        <v>1</v>
      </c>
      <c r="B2346" s="593">
        <v>2</v>
      </c>
      <c r="C2346" s="593">
        <v>3</v>
      </c>
      <c r="D2346" s="593">
        <v>4</v>
      </c>
      <c r="E2346" s="593">
        <v>5</v>
      </c>
      <c r="F2346" s="567">
        <v>6</v>
      </c>
      <c r="G2346" s="567">
        <v>7</v>
      </c>
      <c r="H2346" s="568">
        <v>8</v>
      </c>
      <c r="I2346" s="662" t="s">
        <v>848</v>
      </c>
    </row>
    <row r="2347" spans="1:20" ht="15.75" thickTop="1" x14ac:dyDescent="0.25">
      <c r="A2347" s="1562">
        <v>1308</v>
      </c>
      <c r="B2347" s="917">
        <v>3231</v>
      </c>
      <c r="C2347" s="917">
        <v>5331</v>
      </c>
      <c r="D2347" s="922"/>
      <c r="E2347" s="956" t="s">
        <v>1066</v>
      </c>
      <c r="F2347" s="915">
        <f>SUM(F2348:F2350)</f>
        <v>25</v>
      </c>
      <c r="G2347" s="915">
        <v>25</v>
      </c>
      <c r="H2347" s="915">
        <v>25</v>
      </c>
      <c r="I2347" s="919">
        <f>(H2347/G2347)*100</f>
        <v>100</v>
      </c>
    </row>
    <row r="2348" spans="1:20" ht="14.25" x14ac:dyDescent="0.2">
      <c r="A2348" s="435"/>
      <c r="B2348" s="705"/>
      <c r="C2348" s="705"/>
      <c r="D2348" s="578" t="s">
        <v>636</v>
      </c>
      <c r="E2348" s="474" t="s">
        <v>72</v>
      </c>
      <c r="F2348" s="897">
        <v>25</v>
      </c>
      <c r="G2348" s="897">
        <v>25</v>
      </c>
      <c r="H2348" s="897">
        <v>25</v>
      </c>
      <c r="I2348" s="893">
        <v>100</v>
      </c>
    </row>
    <row r="2349" spans="1:20" ht="15" x14ac:dyDescent="0.25">
      <c r="A2349" s="435">
        <v>1308</v>
      </c>
      <c r="B2349" s="705">
        <v>3231</v>
      </c>
      <c r="C2349" s="705">
        <v>5336</v>
      </c>
      <c r="D2349" s="578"/>
      <c r="E2349" s="1564" t="s">
        <v>1357</v>
      </c>
      <c r="F2349" s="897"/>
      <c r="G2349" s="921">
        <v>4892</v>
      </c>
      <c r="H2349" s="921">
        <v>4892</v>
      </c>
      <c r="I2349" s="923">
        <v>100</v>
      </c>
    </row>
    <row r="2350" spans="1:20" ht="15" thickBot="1" x14ac:dyDescent="0.25">
      <c r="A2350" s="435"/>
      <c r="B2350" s="705"/>
      <c r="C2350" s="705"/>
      <c r="D2350" s="578" t="s">
        <v>1267</v>
      </c>
      <c r="E2350" s="474" t="s">
        <v>882</v>
      </c>
      <c r="F2350" s="897"/>
      <c r="G2350" s="897">
        <v>4892</v>
      </c>
      <c r="H2350" s="897">
        <v>4892</v>
      </c>
      <c r="I2350" s="893">
        <f>(H2350/G2350)*100</f>
        <v>100</v>
      </c>
    </row>
    <row r="2351" spans="1:20" ht="16.5" thickTop="1" thickBot="1" x14ac:dyDescent="0.3">
      <c r="A2351" s="2739" t="s">
        <v>1246</v>
      </c>
      <c r="B2351" s="2740"/>
      <c r="C2351" s="2740"/>
      <c r="D2351" s="2740"/>
      <c r="E2351" s="2740"/>
      <c r="F2351" s="894">
        <f>SUM(F2347)</f>
        <v>25</v>
      </c>
      <c r="G2351" s="894">
        <f>G2347+G2349</f>
        <v>4917</v>
      </c>
      <c r="H2351" s="894">
        <f>H2347+H2349</f>
        <v>4917</v>
      </c>
      <c r="I2351" s="895">
        <f>(H2351/G2351)*100</f>
        <v>100</v>
      </c>
      <c r="R2351" s="385">
        <f>F2351</f>
        <v>25</v>
      </c>
      <c r="S2351" s="385">
        <f>G2351</f>
        <v>4917</v>
      </c>
      <c r="T2351" s="385">
        <f>H2351</f>
        <v>4917</v>
      </c>
    </row>
    <row r="2352" spans="1:20" ht="18" customHeight="1" thickTop="1" x14ac:dyDescent="0.25">
      <c r="A2352" s="370"/>
      <c r="B2352" s="370"/>
      <c r="C2352" s="370"/>
      <c r="D2352" s="370"/>
      <c r="E2352" s="370"/>
      <c r="F2352" s="181"/>
      <c r="G2352" s="181"/>
      <c r="H2352" s="181"/>
      <c r="I2352" s="210"/>
      <c r="R2352" s="385"/>
      <c r="S2352" s="385"/>
      <c r="T2352" s="385"/>
    </row>
    <row r="2353" spans="1:20" ht="15" x14ac:dyDescent="0.25">
      <c r="A2353" s="370"/>
      <c r="B2353" s="370"/>
      <c r="C2353" s="370"/>
      <c r="D2353" s="370"/>
      <c r="E2353" s="370"/>
      <c r="F2353" s="181"/>
      <c r="G2353" s="181"/>
      <c r="H2353" s="181"/>
      <c r="I2353" s="210"/>
      <c r="R2353" s="385"/>
      <c r="S2353" s="385"/>
      <c r="T2353" s="385"/>
    </row>
    <row r="2354" spans="1:20" s="386" customFormat="1" x14ac:dyDescent="0.2">
      <c r="A2354" s="384"/>
      <c r="B2354" s="669"/>
      <c r="C2354" s="384"/>
      <c r="D2354" s="884"/>
      <c r="E2354" s="384"/>
      <c r="F2354" s="385"/>
      <c r="G2354" s="385"/>
      <c r="H2354" s="385"/>
      <c r="I2354" s="1548"/>
    </row>
    <row r="2355" spans="1:20" ht="13.5" thickBot="1" x14ac:dyDescent="0.25">
      <c r="A2355" s="439" t="s">
        <v>159</v>
      </c>
      <c r="I2355" s="1548" t="s">
        <v>179</v>
      </c>
    </row>
    <row r="2356" spans="1:20" ht="14.25" thickTop="1" thickBot="1" x14ac:dyDescent="0.25">
      <c r="A2356" s="657" t="s">
        <v>692</v>
      </c>
      <c r="B2356" s="835" t="s">
        <v>180</v>
      </c>
      <c r="C2356" s="658" t="s">
        <v>181</v>
      </c>
      <c r="D2356" s="660" t="s">
        <v>783</v>
      </c>
      <c r="E2356" s="660" t="s">
        <v>182</v>
      </c>
      <c r="F2356" s="660" t="s">
        <v>183</v>
      </c>
      <c r="G2356" s="660" t="s">
        <v>985</v>
      </c>
      <c r="H2356" s="660" t="s">
        <v>986</v>
      </c>
      <c r="I2356" s="888" t="s">
        <v>987</v>
      </c>
    </row>
    <row r="2357" spans="1:20" ht="14.25" thickTop="1" thickBot="1" x14ac:dyDescent="0.25">
      <c r="A2357" s="592">
        <v>1</v>
      </c>
      <c r="B2357" s="593">
        <v>2</v>
      </c>
      <c r="C2357" s="593">
        <v>3</v>
      </c>
      <c r="D2357" s="593">
        <v>4</v>
      </c>
      <c r="E2357" s="593">
        <v>5</v>
      </c>
      <c r="F2357" s="567">
        <v>6</v>
      </c>
      <c r="G2357" s="567">
        <v>7</v>
      </c>
      <c r="H2357" s="568">
        <v>8</v>
      </c>
      <c r="I2357" s="662" t="s">
        <v>848</v>
      </c>
    </row>
    <row r="2358" spans="1:20" ht="15.75" thickTop="1" x14ac:dyDescent="0.25">
      <c r="A2358" s="1562">
        <v>1309</v>
      </c>
      <c r="B2358" s="917">
        <v>3231</v>
      </c>
      <c r="C2358" s="917">
        <v>5331</v>
      </c>
      <c r="D2358" s="922"/>
      <c r="E2358" s="956" t="s">
        <v>1066</v>
      </c>
      <c r="F2358" s="915">
        <f>SUM(F2359:F2362)</f>
        <v>358</v>
      </c>
      <c r="G2358" s="915">
        <f>G2359+G2360</f>
        <v>358</v>
      </c>
      <c r="H2358" s="915">
        <f>H2359+H2360</f>
        <v>358</v>
      </c>
      <c r="I2358" s="919">
        <f t="shared" ref="I2358:I2363" si="108">(H2358/G2358)*100</f>
        <v>100</v>
      </c>
    </row>
    <row r="2359" spans="1:20" ht="14.25" x14ac:dyDescent="0.2">
      <c r="A2359" s="435"/>
      <c r="B2359" s="705"/>
      <c r="C2359" s="705"/>
      <c r="D2359" s="743" t="s">
        <v>641</v>
      </c>
      <c r="E2359" s="1679" t="s">
        <v>883</v>
      </c>
      <c r="F2359" s="897">
        <v>297</v>
      </c>
      <c r="G2359" s="897">
        <v>297</v>
      </c>
      <c r="H2359" s="897">
        <v>297</v>
      </c>
      <c r="I2359" s="893">
        <f t="shared" si="108"/>
        <v>100</v>
      </c>
      <c r="Q2359" s="385"/>
    </row>
    <row r="2360" spans="1:20" ht="14.25" x14ac:dyDescent="0.2">
      <c r="A2360" s="435"/>
      <c r="B2360" s="705"/>
      <c r="C2360" s="705"/>
      <c r="D2360" s="578" t="s">
        <v>636</v>
      </c>
      <c r="E2360" s="474" t="s">
        <v>72</v>
      </c>
      <c r="F2360" s="897">
        <v>61</v>
      </c>
      <c r="G2360" s="897">
        <v>61</v>
      </c>
      <c r="H2360" s="897">
        <v>61</v>
      </c>
      <c r="I2360" s="893">
        <f t="shared" si="108"/>
        <v>100</v>
      </c>
    </row>
    <row r="2361" spans="1:20" ht="15" x14ac:dyDescent="0.25">
      <c r="A2361" s="435">
        <v>1309</v>
      </c>
      <c r="B2361" s="705">
        <v>3231</v>
      </c>
      <c r="C2361" s="705">
        <v>5336</v>
      </c>
      <c r="D2361" s="1178"/>
      <c r="E2361" s="1564" t="s">
        <v>1357</v>
      </c>
      <c r="F2361" s="897"/>
      <c r="G2361" s="921">
        <v>17768</v>
      </c>
      <c r="H2361" s="921">
        <v>17768</v>
      </c>
      <c r="I2361" s="923">
        <f t="shared" si="108"/>
        <v>100</v>
      </c>
    </row>
    <row r="2362" spans="1:20" ht="15" thickBot="1" x14ac:dyDescent="0.25">
      <c r="A2362" s="435"/>
      <c r="B2362" s="705"/>
      <c r="C2362" s="1550"/>
      <c r="D2362" s="578" t="s">
        <v>1267</v>
      </c>
      <c r="E2362" s="474" t="s">
        <v>882</v>
      </c>
      <c r="F2362" s="897"/>
      <c r="G2362" s="897">
        <v>17768</v>
      </c>
      <c r="H2362" s="897">
        <v>17768</v>
      </c>
      <c r="I2362" s="893">
        <f t="shared" si="108"/>
        <v>100</v>
      </c>
    </row>
    <row r="2363" spans="1:20" s="107" customFormat="1" ht="16.5" thickTop="1" thickBot="1" x14ac:dyDescent="0.3">
      <c r="A2363" s="2739" t="s">
        <v>1246</v>
      </c>
      <c r="B2363" s="2740"/>
      <c r="C2363" s="2740"/>
      <c r="D2363" s="2740"/>
      <c r="E2363" s="2740"/>
      <c r="F2363" s="894">
        <f>F2358+F2361</f>
        <v>358</v>
      </c>
      <c r="G2363" s="894">
        <f>G2358+G2361</f>
        <v>18126</v>
      </c>
      <c r="H2363" s="894">
        <f>H2358+H2361</f>
        <v>18126</v>
      </c>
      <c r="I2363" s="895">
        <f t="shared" si="108"/>
        <v>100</v>
      </c>
      <c r="R2363" s="385">
        <f>F2363</f>
        <v>358</v>
      </c>
      <c r="S2363" s="385">
        <f>G2363</f>
        <v>18126</v>
      </c>
      <c r="T2363" s="385">
        <f>H2363</f>
        <v>18126</v>
      </c>
    </row>
    <row r="2364" spans="1:20" s="386" customFormat="1" ht="13.5" thickTop="1" x14ac:dyDescent="0.2">
      <c r="A2364" s="384"/>
      <c r="B2364" s="669"/>
      <c r="C2364" s="384"/>
      <c r="D2364" s="884"/>
      <c r="E2364" s="384"/>
      <c r="F2364" s="385"/>
      <c r="G2364" s="385"/>
      <c r="H2364" s="385"/>
      <c r="I2364" s="1548"/>
    </row>
    <row r="2365" spans="1:20" ht="13.5" thickBot="1" x14ac:dyDescent="0.25">
      <c r="A2365" s="439" t="s">
        <v>218</v>
      </c>
      <c r="I2365" s="1548" t="s">
        <v>179</v>
      </c>
    </row>
    <row r="2366" spans="1:20" ht="14.25" thickTop="1" thickBot="1" x14ac:dyDescent="0.25">
      <c r="A2366" s="657" t="s">
        <v>692</v>
      </c>
      <c r="B2366" s="835" t="s">
        <v>180</v>
      </c>
      <c r="C2366" s="658" t="s">
        <v>181</v>
      </c>
      <c r="D2366" s="660" t="s">
        <v>783</v>
      </c>
      <c r="E2366" s="660" t="s">
        <v>182</v>
      </c>
      <c r="F2366" s="660" t="s">
        <v>183</v>
      </c>
      <c r="G2366" s="660" t="s">
        <v>985</v>
      </c>
      <c r="H2366" s="660" t="s">
        <v>986</v>
      </c>
      <c r="I2366" s="888" t="s">
        <v>987</v>
      </c>
    </row>
    <row r="2367" spans="1:20" ht="14.25" thickTop="1" thickBot="1" x14ac:dyDescent="0.25">
      <c r="A2367" s="592">
        <v>1</v>
      </c>
      <c r="B2367" s="593">
        <v>2</v>
      </c>
      <c r="C2367" s="593">
        <v>3</v>
      </c>
      <c r="D2367" s="593">
        <v>4</v>
      </c>
      <c r="E2367" s="593">
        <v>5</v>
      </c>
      <c r="F2367" s="567">
        <v>6</v>
      </c>
      <c r="G2367" s="567">
        <v>7</v>
      </c>
      <c r="H2367" s="568">
        <v>8</v>
      </c>
      <c r="I2367" s="662" t="s">
        <v>848</v>
      </c>
    </row>
    <row r="2368" spans="1:20" ht="15.75" thickTop="1" x14ac:dyDescent="0.25">
      <c r="A2368" s="1562">
        <v>1310</v>
      </c>
      <c r="B2368" s="917">
        <v>3231</v>
      </c>
      <c r="C2368" s="917">
        <v>5331</v>
      </c>
      <c r="D2368" s="922"/>
      <c r="E2368" s="956" t="s">
        <v>1066</v>
      </c>
      <c r="F2368" s="915">
        <f>SUM(F2369:F2372)</f>
        <v>69</v>
      </c>
      <c r="G2368" s="915">
        <f>G2369+G2370</f>
        <v>68</v>
      </c>
      <c r="H2368" s="915">
        <f>H2369+H2370</f>
        <v>68</v>
      </c>
      <c r="I2368" s="919">
        <f t="shared" ref="I2368:I2373" si="109">(H2368/G2368)*100</f>
        <v>100</v>
      </c>
    </row>
    <row r="2369" spans="1:20" ht="14.25" x14ac:dyDescent="0.2">
      <c r="A2369" s="435"/>
      <c r="B2369" s="705"/>
      <c r="C2369" s="705"/>
      <c r="D2369" s="743" t="s">
        <v>641</v>
      </c>
      <c r="E2369" s="1679" t="s">
        <v>883</v>
      </c>
      <c r="F2369" s="897">
        <v>18</v>
      </c>
      <c r="G2369" s="897">
        <v>17</v>
      </c>
      <c r="H2369" s="897">
        <v>17</v>
      </c>
      <c r="I2369" s="893">
        <f t="shared" si="109"/>
        <v>100</v>
      </c>
    </row>
    <row r="2370" spans="1:20" ht="14.25" x14ac:dyDescent="0.2">
      <c r="A2370" s="435"/>
      <c r="B2370" s="705"/>
      <c r="C2370" s="705"/>
      <c r="D2370" s="578" t="s">
        <v>636</v>
      </c>
      <c r="E2370" s="474" t="s">
        <v>72</v>
      </c>
      <c r="F2370" s="897">
        <v>51</v>
      </c>
      <c r="G2370" s="897">
        <v>51</v>
      </c>
      <c r="H2370" s="897">
        <v>51</v>
      </c>
      <c r="I2370" s="893">
        <f t="shared" si="109"/>
        <v>100</v>
      </c>
    </row>
    <row r="2371" spans="1:20" ht="15" x14ac:dyDescent="0.25">
      <c r="A2371" s="435">
        <v>1310</v>
      </c>
      <c r="B2371" s="705">
        <v>3231</v>
      </c>
      <c r="C2371" s="705">
        <v>5336</v>
      </c>
      <c r="D2371" s="1178"/>
      <c r="E2371" s="1564" t="s">
        <v>1357</v>
      </c>
      <c r="F2371" s="897"/>
      <c r="G2371" s="921">
        <v>5881</v>
      </c>
      <c r="H2371" s="921">
        <v>5881</v>
      </c>
      <c r="I2371" s="923">
        <f t="shared" si="109"/>
        <v>100</v>
      </c>
    </row>
    <row r="2372" spans="1:20" ht="15" thickBot="1" x14ac:dyDescent="0.25">
      <c r="A2372" s="1576"/>
      <c r="B2372" s="900"/>
      <c r="C2372" s="1577"/>
      <c r="D2372" s="578" t="s">
        <v>1267</v>
      </c>
      <c r="E2372" s="474" t="s">
        <v>882</v>
      </c>
      <c r="F2372" s="901"/>
      <c r="G2372" s="901">
        <v>5881</v>
      </c>
      <c r="H2372" s="901">
        <v>5881</v>
      </c>
      <c r="I2372" s="902">
        <f t="shared" si="109"/>
        <v>100</v>
      </c>
    </row>
    <row r="2373" spans="1:20" ht="16.5" thickTop="1" thickBot="1" x14ac:dyDescent="0.3">
      <c r="A2373" s="2739" t="s">
        <v>1246</v>
      </c>
      <c r="B2373" s="2740"/>
      <c r="C2373" s="2740"/>
      <c r="D2373" s="2740"/>
      <c r="E2373" s="2740"/>
      <c r="F2373" s="894">
        <f>SUM(F2368)</f>
        <v>69</v>
      </c>
      <c r="G2373" s="894">
        <f>G2368+G2371</f>
        <v>5949</v>
      </c>
      <c r="H2373" s="894">
        <f>H2368+H2371</f>
        <v>5949</v>
      </c>
      <c r="I2373" s="895">
        <f t="shared" si="109"/>
        <v>100</v>
      </c>
      <c r="R2373" s="385">
        <f>F2373</f>
        <v>69</v>
      </c>
      <c r="S2373" s="385">
        <f>G2373</f>
        <v>5949</v>
      </c>
      <c r="T2373" s="385">
        <f>H2373</f>
        <v>5949</v>
      </c>
    </row>
    <row r="2374" spans="1:20" s="107" customFormat="1" ht="18" customHeight="1" thickTop="1" x14ac:dyDescent="0.2">
      <c r="A2374" s="384"/>
      <c r="B2374" s="669"/>
      <c r="C2374" s="384"/>
      <c r="D2374" s="884"/>
      <c r="E2374" s="384"/>
      <c r="F2374" s="385"/>
      <c r="G2374" s="385"/>
      <c r="H2374" s="385"/>
      <c r="I2374" s="1548"/>
    </row>
    <row r="2375" spans="1:20" ht="13.5" thickBot="1" x14ac:dyDescent="0.25">
      <c r="A2375" s="439" t="s">
        <v>1213</v>
      </c>
      <c r="I2375" s="1548" t="s">
        <v>179</v>
      </c>
    </row>
    <row r="2376" spans="1:20" ht="14.25" thickTop="1" thickBot="1" x14ac:dyDescent="0.25">
      <c r="A2376" s="657" t="s">
        <v>692</v>
      </c>
      <c r="B2376" s="835" t="s">
        <v>180</v>
      </c>
      <c r="C2376" s="658" t="s">
        <v>181</v>
      </c>
      <c r="D2376" s="660" t="s">
        <v>783</v>
      </c>
      <c r="E2376" s="660" t="s">
        <v>182</v>
      </c>
      <c r="F2376" s="660" t="s">
        <v>183</v>
      </c>
      <c r="G2376" s="660" t="s">
        <v>985</v>
      </c>
      <c r="H2376" s="660" t="s">
        <v>986</v>
      </c>
      <c r="I2376" s="888" t="s">
        <v>987</v>
      </c>
    </row>
    <row r="2377" spans="1:20" s="1684" customFormat="1" ht="14.25" thickTop="1" thickBot="1" x14ac:dyDescent="0.25">
      <c r="A2377" s="592">
        <v>1</v>
      </c>
      <c r="B2377" s="593">
        <v>2</v>
      </c>
      <c r="C2377" s="593">
        <v>3</v>
      </c>
      <c r="D2377" s="593">
        <v>4</v>
      </c>
      <c r="E2377" s="593">
        <v>5</v>
      </c>
      <c r="F2377" s="567">
        <v>6</v>
      </c>
      <c r="G2377" s="567">
        <v>7</v>
      </c>
      <c r="H2377" s="568">
        <v>8</v>
      </c>
      <c r="I2377" s="662" t="s">
        <v>848</v>
      </c>
    </row>
    <row r="2378" spans="1:20" ht="15.75" thickTop="1" x14ac:dyDescent="0.25">
      <c r="A2378" s="1562">
        <v>1311</v>
      </c>
      <c r="B2378" s="917">
        <v>3231</v>
      </c>
      <c r="C2378" s="917">
        <v>5331</v>
      </c>
      <c r="D2378" s="922"/>
      <c r="E2378" s="956" t="s">
        <v>1066</v>
      </c>
      <c r="F2378" s="915">
        <f>SUM(F2379:F2381)</f>
        <v>131</v>
      </c>
      <c r="G2378" s="915">
        <v>140</v>
      </c>
      <c r="H2378" s="915">
        <v>140</v>
      </c>
      <c r="I2378" s="919">
        <f>(H2378/G2378)*100</f>
        <v>100</v>
      </c>
    </row>
    <row r="2379" spans="1:20" ht="14.25" x14ac:dyDescent="0.2">
      <c r="A2379" s="435"/>
      <c r="B2379" s="705"/>
      <c r="C2379" s="705"/>
      <c r="D2379" s="743" t="s">
        <v>641</v>
      </c>
      <c r="E2379" s="1679" t="s">
        <v>883</v>
      </c>
      <c r="F2379" s="897">
        <v>131</v>
      </c>
      <c r="G2379" s="897">
        <v>140</v>
      </c>
      <c r="H2379" s="897">
        <v>140</v>
      </c>
      <c r="I2379" s="893">
        <f>(H2379/G2379)*100</f>
        <v>100</v>
      </c>
    </row>
    <row r="2380" spans="1:20" ht="15" x14ac:dyDescent="0.25">
      <c r="A2380" s="435">
        <v>1311</v>
      </c>
      <c r="B2380" s="705">
        <v>3231</v>
      </c>
      <c r="C2380" s="705">
        <v>5336</v>
      </c>
      <c r="D2380" s="1178"/>
      <c r="E2380" s="1564" t="s">
        <v>1357</v>
      </c>
      <c r="F2380" s="897"/>
      <c r="G2380" s="921">
        <v>6769</v>
      </c>
      <c r="H2380" s="921">
        <v>6769</v>
      </c>
      <c r="I2380" s="923">
        <f>(H2380/G2380)*100</f>
        <v>100</v>
      </c>
    </row>
    <row r="2381" spans="1:20" ht="15" thickBot="1" x14ac:dyDescent="0.25">
      <c r="A2381" s="435"/>
      <c r="B2381" s="705"/>
      <c r="C2381" s="1550"/>
      <c r="D2381" s="578" t="s">
        <v>1267</v>
      </c>
      <c r="E2381" s="474" t="s">
        <v>882</v>
      </c>
      <c r="F2381" s="897"/>
      <c r="G2381" s="897">
        <v>6769</v>
      </c>
      <c r="H2381" s="897">
        <v>6769</v>
      </c>
      <c r="I2381" s="893">
        <f>(H2381/G2381)*100</f>
        <v>100</v>
      </c>
    </row>
    <row r="2382" spans="1:20" ht="16.5" thickTop="1" thickBot="1" x14ac:dyDescent="0.3">
      <c r="A2382" s="2739" t="s">
        <v>1246</v>
      </c>
      <c r="B2382" s="2740"/>
      <c r="C2382" s="2740"/>
      <c r="D2382" s="2740"/>
      <c r="E2382" s="2740"/>
      <c r="F2382" s="894">
        <f>SUM(F2378)</f>
        <v>131</v>
      </c>
      <c r="G2382" s="894">
        <f>G2378+G2380</f>
        <v>6909</v>
      </c>
      <c r="H2382" s="894">
        <f>H2378+H2380</f>
        <v>6909</v>
      </c>
      <c r="I2382" s="895">
        <f>(H2382/G2382)*100</f>
        <v>100</v>
      </c>
      <c r="R2382" s="385">
        <f>F2382</f>
        <v>131</v>
      </c>
      <c r="S2382" s="385">
        <f>G2382</f>
        <v>6909</v>
      </c>
      <c r="T2382" s="385">
        <f>H2382</f>
        <v>6909</v>
      </c>
    </row>
    <row r="2383" spans="1:20" s="107" customFormat="1" ht="13.5" thickTop="1" x14ac:dyDescent="0.2">
      <c r="A2383" s="384"/>
      <c r="B2383" s="669"/>
      <c r="C2383" s="384"/>
      <c r="D2383" s="884"/>
      <c r="E2383" s="384"/>
      <c r="F2383" s="385"/>
      <c r="G2383" s="385"/>
      <c r="H2383" s="385"/>
      <c r="I2383" s="1548"/>
    </row>
    <row r="2384" spans="1:20" ht="13.5" thickBot="1" x14ac:dyDescent="0.25">
      <c r="A2384" s="439" t="s">
        <v>1214</v>
      </c>
      <c r="I2384" s="1548" t="s">
        <v>179</v>
      </c>
    </row>
    <row r="2385" spans="1:20" ht="14.25" thickTop="1" thickBot="1" x14ac:dyDescent="0.25">
      <c r="A2385" s="657" t="s">
        <v>692</v>
      </c>
      <c r="B2385" s="835" t="s">
        <v>180</v>
      </c>
      <c r="C2385" s="658" t="s">
        <v>181</v>
      </c>
      <c r="D2385" s="660" t="s">
        <v>783</v>
      </c>
      <c r="E2385" s="660" t="s">
        <v>182</v>
      </c>
      <c r="F2385" s="660" t="s">
        <v>183</v>
      </c>
      <c r="G2385" s="660" t="s">
        <v>985</v>
      </c>
      <c r="H2385" s="660" t="s">
        <v>986</v>
      </c>
      <c r="I2385" s="888" t="s">
        <v>987</v>
      </c>
    </row>
    <row r="2386" spans="1:20" ht="14.25" thickTop="1" thickBot="1" x14ac:dyDescent="0.25">
      <c r="A2386" s="592">
        <v>1</v>
      </c>
      <c r="B2386" s="593">
        <v>2</v>
      </c>
      <c r="C2386" s="593">
        <v>3</v>
      </c>
      <c r="D2386" s="593">
        <v>4</v>
      </c>
      <c r="E2386" s="593">
        <v>5</v>
      </c>
      <c r="F2386" s="567">
        <v>6</v>
      </c>
      <c r="G2386" s="567">
        <v>7</v>
      </c>
      <c r="H2386" s="568">
        <v>8</v>
      </c>
      <c r="I2386" s="662" t="s">
        <v>848</v>
      </c>
    </row>
    <row r="2387" spans="1:20" ht="15.75" thickTop="1" x14ac:dyDescent="0.25">
      <c r="A2387" s="1562">
        <v>1312</v>
      </c>
      <c r="B2387" s="917">
        <v>3231</v>
      </c>
      <c r="C2387" s="917">
        <v>5331</v>
      </c>
      <c r="D2387" s="922"/>
      <c r="E2387" s="956" t="s">
        <v>1066</v>
      </c>
      <c r="F2387" s="981">
        <f>F2388+F2389</f>
        <v>156</v>
      </c>
      <c r="G2387" s="981">
        <f>G2388+G2389</f>
        <v>156</v>
      </c>
      <c r="H2387" s="981">
        <f>H2388+H2389</f>
        <v>156</v>
      </c>
      <c r="I2387" s="982">
        <f t="shared" ref="I2387:I2392" si="110">(H2387/G2387)*100</f>
        <v>100</v>
      </c>
    </row>
    <row r="2388" spans="1:20" ht="14.25" x14ac:dyDescent="0.2">
      <c r="A2388" s="435"/>
      <c r="B2388" s="705"/>
      <c r="C2388" s="705"/>
      <c r="D2388" s="743" t="s">
        <v>641</v>
      </c>
      <c r="E2388" s="1679" t="s">
        <v>883</v>
      </c>
      <c r="F2388" s="357">
        <v>30</v>
      </c>
      <c r="G2388" s="357">
        <v>30</v>
      </c>
      <c r="H2388" s="357">
        <v>30</v>
      </c>
      <c r="I2388" s="924">
        <f t="shared" si="110"/>
        <v>100</v>
      </c>
    </row>
    <row r="2389" spans="1:20" ht="14.25" x14ac:dyDescent="0.2">
      <c r="A2389" s="435"/>
      <c r="B2389" s="705"/>
      <c r="C2389" s="705"/>
      <c r="D2389" s="578" t="s">
        <v>636</v>
      </c>
      <c r="E2389" s="474" t="s">
        <v>72</v>
      </c>
      <c r="F2389" s="357">
        <v>126</v>
      </c>
      <c r="G2389" s="357">
        <v>126</v>
      </c>
      <c r="H2389" s="357">
        <v>126</v>
      </c>
      <c r="I2389" s="924">
        <f t="shared" si="110"/>
        <v>100</v>
      </c>
    </row>
    <row r="2390" spans="1:20" ht="15" x14ac:dyDescent="0.25">
      <c r="A2390" s="435">
        <v>1312</v>
      </c>
      <c r="B2390" s="808">
        <v>3231</v>
      </c>
      <c r="C2390" s="808">
        <v>5336</v>
      </c>
      <c r="D2390" s="1178"/>
      <c r="E2390" s="1564" t="s">
        <v>1357</v>
      </c>
      <c r="F2390" s="907"/>
      <c r="G2390" s="916">
        <v>11410</v>
      </c>
      <c r="H2390" s="916">
        <v>11410</v>
      </c>
      <c r="I2390" s="923">
        <f t="shared" si="110"/>
        <v>100</v>
      </c>
    </row>
    <row r="2391" spans="1:20" ht="18" customHeight="1" thickBot="1" x14ac:dyDescent="0.3">
      <c r="A2391" s="435"/>
      <c r="B2391" s="808"/>
      <c r="C2391" s="808"/>
      <c r="D2391" s="578" t="s">
        <v>1267</v>
      </c>
      <c r="E2391" s="474" t="s">
        <v>882</v>
      </c>
      <c r="F2391" s="916"/>
      <c r="G2391" s="907">
        <v>11410</v>
      </c>
      <c r="H2391" s="907">
        <v>11410</v>
      </c>
      <c r="I2391" s="378">
        <f t="shared" si="110"/>
        <v>100</v>
      </c>
    </row>
    <row r="2392" spans="1:20" ht="16.5" thickTop="1" thickBot="1" x14ac:dyDescent="0.3">
      <c r="A2392" s="2739" t="s">
        <v>1246</v>
      </c>
      <c r="B2392" s="2740"/>
      <c r="C2392" s="2740"/>
      <c r="D2392" s="2740"/>
      <c r="E2392" s="2740"/>
      <c r="F2392" s="960">
        <f>SUM(F2387)</f>
        <v>156</v>
      </c>
      <c r="G2392" s="960">
        <f>G2387+G2390</f>
        <v>11566</v>
      </c>
      <c r="H2392" s="960">
        <f>H2387+H2390</f>
        <v>11566</v>
      </c>
      <c r="I2392" s="961">
        <f t="shared" si="110"/>
        <v>100</v>
      </c>
      <c r="R2392" s="385">
        <f>F2392</f>
        <v>156</v>
      </c>
      <c r="S2392" s="385">
        <f>G2392</f>
        <v>11566</v>
      </c>
      <c r="T2392" s="385">
        <f>H2392</f>
        <v>11566</v>
      </c>
    </row>
    <row r="2393" spans="1:20" s="386" customFormat="1" ht="13.5" thickTop="1" x14ac:dyDescent="0.2">
      <c r="A2393" s="384"/>
      <c r="B2393" s="669"/>
      <c r="C2393" s="384"/>
      <c r="D2393" s="884"/>
      <c r="E2393" s="384"/>
      <c r="F2393" s="385"/>
      <c r="G2393" s="385"/>
      <c r="H2393" s="385"/>
      <c r="I2393" s="1548"/>
    </row>
    <row r="2394" spans="1:20" ht="13.5" thickBot="1" x14ac:dyDescent="0.25">
      <c r="A2394" s="439" t="s">
        <v>1215</v>
      </c>
      <c r="I2394" s="1548" t="s">
        <v>179</v>
      </c>
    </row>
    <row r="2395" spans="1:20" ht="14.25" thickTop="1" thickBot="1" x14ac:dyDescent="0.25">
      <c r="A2395" s="657" t="s">
        <v>692</v>
      </c>
      <c r="B2395" s="835" t="s">
        <v>180</v>
      </c>
      <c r="C2395" s="658" t="s">
        <v>181</v>
      </c>
      <c r="D2395" s="660" t="s">
        <v>783</v>
      </c>
      <c r="E2395" s="660" t="s">
        <v>182</v>
      </c>
      <c r="F2395" s="660" t="s">
        <v>183</v>
      </c>
      <c r="G2395" s="660" t="s">
        <v>985</v>
      </c>
      <c r="H2395" s="660" t="s">
        <v>986</v>
      </c>
      <c r="I2395" s="888" t="s">
        <v>987</v>
      </c>
    </row>
    <row r="2396" spans="1:20" ht="14.25" thickTop="1" thickBot="1" x14ac:dyDescent="0.25">
      <c r="A2396" s="592">
        <v>1</v>
      </c>
      <c r="B2396" s="593">
        <v>2</v>
      </c>
      <c r="C2396" s="593">
        <v>3</v>
      </c>
      <c r="D2396" s="593">
        <v>4</v>
      </c>
      <c r="E2396" s="593">
        <v>5</v>
      </c>
      <c r="F2396" s="567">
        <v>6</v>
      </c>
      <c r="G2396" s="567">
        <v>7</v>
      </c>
      <c r="H2396" s="568">
        <v>8</v>
      </c>
      <c r="I2396" s="662" t="s">
        <v>848</v>
      </c>
    </row>
    <row r="2397" spans="1:20" ht="15.75" thickTop="1" x14ac:dyDescent="0.25">
      <c r="A2397" s="1562">
        <v>1313</v>
      </c>
      <c r="B2397" s="917">
        <v>3231</v>
      </c>
      <c r="C2397" s="917">
        <v>5331</v>
      </c>
      <c r="D2397" s="922"/>
      <c r="E2397" s="956" t="s">
        <v>1066</v>
      </c>
      <c r="F2397" s="915">
        <f>SUM(F2398:F2401)</f>
        <v>202</v>
      </c>
      <c r="G2397" s="915">
        <f>G2398+G2399</f>
        <v>202</v>
      </c>
      <c r="H2397" s="915">
        <f>H2398+H2399</f>
        <v>202</v>
      </c>
      <c r="I2397" s="919">
        <f t="shared" ref="I2397:I2402" si="111">(H2397/G2397)*100</f>
        <v>100</v>
      </c>
    </row>
    <row r="2398" spans="1:20" ht="14.25" x14ac:dyDescent="0.2">
      <c r="A2398" s="435"/>
      <c r="B2398" s="705"/>
      <c r="C2398" s="705"/>
      <c r="D2398" s="743" t="s">
        <v>641</v>
      </c>
      <c r="E2398" s="1679" t="s">
        <v>883</v>
      </c>
      <c r="F2398" s="897">
        <v>49</v>
      </c>
      <c r="G2398" s="897">
        <v>49</v>
      </c>
      <c r="H2398" s="897">
        <v>49</v>
      </c>
      <c r="I2398" s="893">
        <f t="shared" si="111"/>
        <v>100</v>
      </c>
    </row>
    <row r="2399" spans="1:20" ht="14.25" x14ac:dyDescent="0.2">
      <c r="A2399" s="435"/>
      <c r="B2399" s="705"/>
      <c r="C2399" s="705"/>
      <c r="D2399" s="578" t="s">
        <v>636</v>
      </c>
      <c r="E2399" s="474" t="s">
        <v>72</v>
      </c>
      <c r="F2399" s="897">
        <v>153</v>
      </c>
      <c r="G2399" s="897">
        <v>153</v>
      </c>
      <c r="H2399" s="897">
        <v>153</v>
      </c>
      <c r="I2399" s="893">
        <f t="shared" si="111"/>
        <v>100</v>
      </c>
    </row>
    <row r="2400" spans="1:20" ht="18" customHeight="1" x14ac:dyDescent="0.25">
      <c r="A2400" s="435">
        <v>1313</v>
      </c>
      <c r="B2400" s="705">
        <v>3231</v>
      </c>
      <c r="C2400" s="705">
        <v>5336</v>
      </c>
      <c r="D2400" s="1178"/>
      <c r="E2400" s="1564" t="s">
        <v>1357</v>
      </c>
      <c r="F2400" s="897"/>
      <c r="G2400" s="921">
        <v>14135</v>
      </c>
      <c r="H2400" s="921">
        <v>14135</v>
      </c>
      <c r="I2400" s="923">
        <f t="shared" si="111"/>
        <v>100</v>
      </c>
    </row>
    <row r="2401" spans="1:20" ht="18" customHeight="1" thickBot="1" x14ac:dyDescent="0.25">
      <c r="A2401" s="435"/>
      <c r="B2401" s="705"/>
      <c r="C2401" s="1550"/>
      <c r="D2401" s="578" t="s">
        <v>1267</v>
      </c>
      <c r="E2401" s="474" t="s">
        <v>882</v>
      </c>
      <c r="F2401" s="897"/>
      <c r="G2401" s="897">
        <v>14135</v>
      </c>
      <c r="H2401" s="897">
        <v>14135</v>
      </c>
      <c r="I2401" s="893">
        <f t="shared" si="111"/>
        <v>100</v>
      </c>
    </row>
    <row r="2402" spans="1:20" ht="16.5" thickTop="1" thickBot="1" x14ac:dyDescent="0.3">
      <c r="A2402" s="2739" t="s">
        <v>1246</v>
      </c>
      <c r="B2402" s="2740"/>
      <c r="C2402" s="2740"/>
      <c r="D2402" s="2740"/>
      <c r="E2402" s="2740"/>
      <c r="F2402" s="894">
        <f>SUM(F2397)</f>
        <v>202</v>
      </c>
      <c r="G2402" s="894">
        <f>G2397+G2400</f>
        <v>14337</v>
      </c>
      <c r="H2402" s="894">
        <f>H2397+H2400</f>
        <v>14337</v>
      </c>
      <c r="I2402" s="895">
        <f t="shared" si="111"/>
        <v>100</v>
      </c>
      <c r="R2402" s="385">
        <f>F2402</f>
        <v>202</v>
      </c>
      <c r="S2402" s="385">
        <f>G2402</f>
        <v>14337</v>
      </c>
      <c r="T2402" s="385">
        <f>H2402</f>
        <v>14337</v>
      </c>
    </row>
    <row r="2403" spans="1:20" s="107" customFormat="1" ht="13.5" thickTop="1" x14ac:dyDescent="0.2">
      <c r="A2403" s="384"/>
      <c r="B2403" s="669"/>
      <c r="C2403" s="384"/>
      <c r="D2403" s="884"/>
      <c r="E2403" s="384"/>
      <c r="F2403" s="385"/>
      <c r="G2403" s="385"/>
      <c r="H2403" s="385"/>
      <c r="I2403" s="1548"/>
    </row>
    <row r="2404" spans="1:20" ht="13.5" thickBot="1" x14ac:dyDescent="0.25">
      <c r="A2404" s="439" t="s">
        <v>160</v>
      </c>
      <c r="I2404" s="1548" t="s">
        <v>179</v>
      </c>
    </row>
    <row r="2405" spans="1:20" ht="14.25" thickTop="1" thickBot="1" x14ac:dyDescent="0.25">
      <c r="A2405" s="657" t="s">
        <v>692</v>
      </c>
      <c r="B2405" s="835" t="s">
        <v>180</v>
      </c>
      <c r="C2405" s="658" t="s">
        <v>181</v>
      </c>
      <c r="D2405" s="660" t="s">
        <v>783</v>
      </c>
      <c r="E2405" s="660" t="s">
        <v>182</v>
      </c>
      <c r="F2405" s="660" t="s">
        <v>183</v>
      </c>
      <c r="G2405" s="660" t="s">
        <v>985</v>
      </c>
      <c r="H2405" s="660" t="s">
        <v>986</v>
      </c>
      <c r="I2405" s="888" t="s">
        <v>987</v>
      </c>
    </row>
    <row r="2406" spans="1:20" ht="14.25" thickTop="1" thickBot="1" x14ac:dyDescent="0.25">
      <c r="A2406" s="592">
        <v>1</v>
      </c>
      <c r="B2406" s="593">
        <v>2</v>
      </c>
      <c r="C2406" s="593">
        <v>3</v>
      </c>
      <c r="D2406" s="593">
        <v>4</v>
      </c>
      <c r="E2406" s="593">
        <v>5</v>
      </c>
      <c r="F2406" s="567">
        <v>6</v>
      </c>
      <c r="G2406" s="567">
        <v>7</v>
      </c>
      <c r="H2406" s="568">
        <v>8</v>
      </c>
      <c r="I2406" s="662" t="s">
        <v>848</v>
      </c>
    </row>
    <row r="2407" spans="1:20" ht="15.75" thickTop="1" x14ac:dyDescent="0.25">
      <c r="A2407" s="1562">
        <v>1314</v>
      </c>
      <c r="B2407" s="917">
        <v>3231</v>
      </c>
      <c r="C2407" s="917">
        <v>5331</v>
      </c>
      <c r="D2407" s="922"/>
      <c r="E2407" s="956" t="s">
        <v>1066</v>
      </c>
      <c r="F2407" s="915">
        <f>SUM(F2408:F2411)</f>
        <v>190</v>
      </c>
      <c r="G2407" s="915">
        <f>G2408+G2409</f>
        <v>190</v>
      </c>
      <c r="H2407" s="915">
        <f>H2408+H2409</f>
        <v>190</v>
      </c>
      <c r="I2407" s="919">
        <f t="shared" ref="I2407:I2412" si="112">(H2407/G2407)*100</f>
        <v>100</v>
      </c>
    </row>
    <row r="2408" spans="1:20" ht="14.25" x14ac:dyDescent="0.2">
      <c r="A2408" s="435"/>
      <c r="B2408" s="705"/>
      <c r="C2408" s="705"/>
      <c r="D2408" s="743" t="s">
        <v>641</v>
      </c>
      <c r="E2408" s="1679" t="s">
        <v>883</v>
      </c>
      <c r="F2408" s="897">
        <v>39</v>
      </c>
      <c r="G2408" s="897">
        <v>39</v>
      </c>
      <c r="H2408" s="897">
        <v>39</v>
      </c>
      <c r="I2408" s="893">
        <f t="shared" si="112"/>
        <v>100</v>
      </c>
    </row>
    <row r="2409" spans="1:20" ht="14.25" x14ac:dyDescent="0.2">
      <c r="A2409" s="435"/>
      <c r="B2409" s="705"/>
      <c r="C2409" s="705"/>
      <c r="D2409" s="578" t="s">
        <v>636</v>
      </c>
      <c r="E2409" s="474" t="s">
        <v>72</v>
      </c>
      <c r="F2409" s="897">
        <v>151</v>
      </c>
      <c r="G2409" s="897">
        <v>151</v>
      </c>
      <c r="H2409" s="897">
        <v>151</v>
      </c>
      <c r="I2409" s="893">
        <f t="shared" si="112"/>
        <v>100</v>
      </c>
    </row>
    <row r="2410" spans="1:20" ht="15" x14ac:dyDescent="0.25">
      <c r="A2410" s="435">
        <v>1314</v>
      </c>
      <c r="B2410" s="705">
        <v>3231</v>
      </c>
      <c r="C2410" s="705">
        <v>5336</v>
      </c>
      <c r="D2410" s="1178"/>
      <c r="E2410" s="1564" t="s">
        <v>1357</v>
      </c>
      <c r="F2410" s="897"/>
      <c r="G2410" s="921">
        <v>4329</v>
      </c>
      <c r="H2410" s="921">
        <v>4329</v>
      </c>
      <c r="I2410" s="923">
        <f t="shared" si="112"/>
        <v>100</v>
      </c>
    </row>
    <row r="2411" spans="1:20" ht="15" thickBot="1" x14ac:dyDescent="0.25">
      <c r="A2411" s="435"/>
      <c r="B2411" s="705"/>
      <c r="C2411" s="1550"/>
      <c r="D2411" s="578" t="s">
        <v>1267</v>
      </c>
      <c r="E2411" s="474" t="s">
        <v>882</v>
      </c>
      <c r="F2411" s="897"/>
      <c r="G2411" s="897">
        <v>4329</v>
      </c>
      <c r="H2411" s="897">
        <v>4329</v>
      </c>
      <c r="I2411" s="893">
        <f t="shared" si="112"/>
        <v>100</v>
      </c>
    </row>
    <row r="2412" spans="1:20" ht="16.5" thickTop="1" thickBot="1" x14ac:dyDescent="0.3">
      <c r="A2412" s="2739" t="s">
        <v>1246</v>
      </c>
      <c r="B2412" s="2740"/>
      <c r="C2412" s="2740"/>
      <c r="D2412" s="2740"/>
      <c r="E2412" s="2740"/>
      <c r="F2412" s="894">
        <f>SUM(F2407)</f>
        <v>190</v>
      </c>
      <c r="G2412" s="894">
        <f>G2407+G2410</f>
        <v>4519</v>
      </c>
      <c r="H2412" s="894">
        <f>H2407+H2410</f>
        <v>4519</v>
      </c>
      <c r="I2412" s="895">
        <f t="shared" si="112"/>
        <v>100</v>
      </c>
      <c r="R2412" s="385">
        <f>F2412</f>
        <v>190</v>
      </c>
      <c r="S2412" s="385">
        <f>G2412</f>
        <v>4519</v>
      </c>
      <c r="T2412" s="385">
        <f>H2412</f>
        <v>4519</v>
      </c>
    </row>
    <row r="2413" spans="1:20" ht="13.5" thickTop="1" x14ac:dyDescent="0.2"/>
    <row r="2414" spans="1:20" ht="13.5" thickBot="1" x14ac:dyDescent="0.25">
      <c r="A2414" s="439" t="s">
        <v>1310</v>
      </c>
      <c r="I2414" s="1548" t="s">
        <v>179</v>
      </c>
    </row>
    <row r="2415" spans="1:20" ht="14.25" thickTop="1" thickBot="1" x14ac:dyDescent="0.25">
      <c r="A2415" s="657" t="s">
        <v>692</v>
      </c>
      <c r="B2415" s="835" t="s">
        <v>180</v>
      </c>
      <c r="C2415" s="658" t="s">
        <v>181</v>
      </c>
      <c r="D2415" s="660" t="s">
        <v>783</v>
      </c>
      <c r="E2415" s="660" t="s">
        <v>182</v>
      </c>
      <c r="F2415" s="660" t="s">
        <v>183</v>
      </c>
      <c r="G2415" s="660" t="s">
        <v>985</v>
      </c>
      <c r="H2415" s="660" t="s">
        <v>986</v>
      </c>
      <c r="I2415" s="888" t="s">
        <v>987</v>
      </c>
    </row>
    <row r="2416" spans="1:20" ht="14.25" thickTop="1" thickBot="1" x14ac:dyDescent="0.25">
      <c r="A2416" s="592">
        <v>1</v>
      </c>
      <c r="B2416" s="593">
        <v>2</v>
      </c>
      <c r="C2416" s="593">
        <v>3</v>
      </c>
      <c r="D2416" s="593">
        <v>4</v>
      </c>
      <c r="E2416" s="593">
        <v>5</v>
      </c>
      <c r="F2416" s="567">
        <v>6</v>
      </c>
      <c r="G2416" s="567">
        <v>7</v>
      </c>
      <c r="H2416" s="568">
        <v>8</v>
      </c>
      <c r="I2416" s="662" t="s">
        <v>848</v>
      </c>
    </row>
    <row r="2417" spans="1:20" ht="15.75" thickTop="1" x14ac:dyDescent="0.25">
      <c r="A2417" s="1562">
        <v>1315</v>
      </c>
      <c r="B2417" s="917">
        <v>3231</v>
      </c>
      <c r="C2417" s="917">
        <v>5331</v>
      </c>
      <c r="D2417" s="922"/>
      <c r="E2417" s="956" t="s">
        <v>1066</v>
      </c>
      <c r="F2417" s="915">
        <f>SUM(F2418:F2421)</f>
        <v>140</v>
      </c>
      <c r="G2417" s="915">
        <f>G2418+G2419</f>
        <v>141</v>
      </c>
      <c r="H2417" s="915">
        <f>H2418+H2419</f>
        <v>141</v>
      </c>
      <c r="I2417" s="919">
        <f t="shared" ref="I2417:I2422" si="113">(H2417/G2417)*100</f>
        <v>100</v>
      </c>
    </row>
    <row r="2418" spans="1:20" ht="14.25" x14ac:dyDescent="0.2">
      <c r="A2418" s="435"/>
      <c r="B2418" s="705"/>
      <c r="C2418" s="705"/>
      <c r="D2418" s="743" t="s">
        <v>641</v>
      </c>
      <c r="E2418" s="1679" t="s">
        <v>883</v>
      </c>
      <c r="F2418" s="897">
        <v>41</v>
      </c>
      <c r="G2418" s="897">
        <v>42</v>
      </c>
      <c r="H2418" s="897">
        <v>42</v>
      </c>
      <c r="I2418" s="893">
        <f t="shared" si="113"/>
        <v>100</v>
      </c>
    </row>
    <row r="2419" spans="1:20" ht="14.25" x14ac:dyDescent="0.2">
      <c r="A2419" s="435"/>
      <c r="B2419" s="705"/>
      <c r="C2419" s="705"/>
      <c r="D2419" s="578" t="s">
        <v>636</v>
      </c>
      <c r="E2419" s="474" t="s">
        <v>72</v>
      </c>
      <c r="F2419" s="897">
        <v>99</v>
      </c>
      <c r="G2419" s="897">
        <v>99</v>
      </c>
      <c r="H2419" s="897">
        <v>99</v>
      </c>
      <c r="I2419" s="893">
        <f t="shared" si="113"/>
        <v>100</v>
      </c>
    </row>
    <row r="2420" spans="1:20" ht="15" x14ac:dyDescent="0.25">
      <c r="A2420" s="435">
        <v>1315</v>
      </c>
      <c r="B2420" s="705">
        <v>3231</v>
      </c>
      <c r="C2420" s="705">
        <v>5336</v>
      </c>
      <c r="D2420" s="1178"/>
      <c r="E2420" s="1564" t="s">
        <v>1357</v>
      </c>
      <c r="F2420" s="897"/>
      <c r="G2420" s="921">
        <v>1990</v>
      </c>
      <c r="H2420" s="921">
        <v>1990</v>
      </c>
      <c r="I2420" s="923">
        <f t="shared" si="113"/>
        <v>100</v>
      </c>
    </row>
    <row r="2421" spans="1:20" ht="15" thickBot="1" x14ac:dyDescent="0.25">
      <c r="A2421" s="435"/>
      <c r="B2421" s="705"/>
      <c r="C2421" s="1550"/>
      <c r="D2421" s="578" t="s">
        <v>1267</v>
      </c>
      <c r="E2421" s="474" t="s">
        <v>882</v>
      </c>
      <c r="F2421" s="897"/>
      <c r="G2421" s="897">
        <v>1990</v>
      </c>
      <c r="H2421" s="897">
        <v>1990</v>
      </c>
      <c r="I2421" s="893">
        <f t="shared" si="113"/>
        <v>100</v>
      </c>
    </row>
    <row r="2422" spans="1:20" ht="16.5" thickTop="1" thickBot="1" x14ac:dyDescent="0.3">
      <c r="A2422" s="2739" t="s">
        <v>1246</v>
      </c>
      <c r="B2422" s="2740"/>
      <c r="C2422" s="2740"/>
      <c r="D2422" s="2740"/>
      <c r="E2422" s="2740"/>
      <c r="F2422" s="894">
        <f>SUM(F2417)</f>
        <v>140</v>
      </c>
      <c r="G2422" s="894">
        <f>G2417+G2420</f>
        <v>2131</v>
      </c>
      <c r="H2422" s="894">
        <f>H2417+H2420</f>
        <v>2131</v>
      </c>
      <c r="I2422" s="895">
        <f t="shared" si="113"/>
        <v>100</v>
      </c>
      <c r="R2422" s="385">
        <f>F2422</f>
        <v>140</v>
      </c>
      <c r="S2422" s="385">
        <f>G2422</f>
        <v>2131</v>
      </c>
      <c r="T2422" s="385">
        <f>H2422</f>
        <v>2131</v>
      </c>
    </row>
    <row r="2423" spans="1:20" s="1684" customFormat="1" ht="13.5" thickTop="1" x14ac:dyDescent="0.2">
      <c r="B2423" s="1699"/>
      <c r="D2423" s="1700"/>
      <c r="F2423" s="1698"/>
      <c r="G2423" s="1698"/>
      <c r="H2423" s="1698"/>
      <c r="I2423" s="1701"/>
    </row>
    <row r="2426" spans="1:20" ht="13.5" thickBot="1" x14ac:dyDescent="0.25">
      <c r="A2426" s="439" t="s">
        <v>1311</v>
      </c>
      <c r="I2426" s="1548" t="s">
        <v>179</v>
      </c>
    </row>
    <row r="2427" spans="1:20" ht="14.25" thickTop="1" thickBot="1" x14ac:dyDescent="0.25">
      <c r="A2427" s="657" t="s">
        <v>692</v>
      </c>
      <c r="B2427" s="835" t="s">
        <v>180</v>
      </c>
      <c r="C2427" s="658" t="s">
        <v>181</v>
      </c>
      <c r="D2427" s="660" t="s">
        <v>783</v>
      </c>
      <c r="E2427" s="660" t="s">
        <v>182</v>
      </c>
      <c r="F2427" s="660" t="s">
        <v>183</v>
      </c>
      <c r="G2427" s="660" t="s">
        <v>985</v>
      </c>
      <c r="H2427" s="660" t="s">
        <v>986</v>
      </c>
      <c r="I2427" s="888" t="s">
        <v>987</v>
      </c>
    </row>
    <row r="2428" spans="1:20" ht="14.25" thickTop="1" thickBot="1" x14ac:dyDescent="0.25">
      <c r="A2428" s="592">
        <v>1</v>
      </c>
      <c r="B2428" s="593">
        <v>2</v>
      </c>
      <c r="C2428" s="593">
        <v>3</v>
      </c>
      <c r="D2428" s="593">
        <v>4</v>
      </c>
      <c r="E2428" s="593">
        <v>5</v>
      </c>
      <c r="F2428" s="567">
        <v>6</v>
      </c>
      <c r="G2428" s="567">
        <v>7</v>
      </c>
      <c r="H2428" s="568">
        <v>8</v>
      </c>
      <c r="I2428" s="662" t="s">
        <v>848</v>
      </c>
    </row>
    <row r="2429" spans="1:20" ht="13.5" customHeight="1" thickTop="1" x14ac:dyDescent="0.25">
      <c r="A2429" s="1562">
        <v>1316</v>
      </c>
      <c r="B2429" s="917">
        <v>3231</v>
      </c>
      <c r="C2429" s="917">
        <v>5331</v>
      </c>
      <c r="D2429" s="922"/>
      <c r="E2429" s="956" t="s">
        <v>1066</v>
      </c>
      <c r="F2429" s="915">
        <f>F2430+F2431</f>
        <v>89</v>
      </c>
      <c r="G2429" s="915">
        <f>G2430+G2431</f>
        <v>240</v>
      </c>
      <c r="H2429" s="915">
        <f>H2430+H2431</f>
        <v>240</v>
      </c>
      <c r="I2429" s="919">
        <f>(H2429/G2429)*100</f>
        <v>100</v>
      </c>
    </row>
    <row r="2430" spans="1:20" ht="14.25" x14ac:dyDescent="0.2">
      <c r="A2430" s="435"/>
      <c r="B2430" s="705"/>
      <c r="C2430" s="705"/>
      <c r="D2430" s="743" t="s">
        <v>641</v>
      </c>
      <c r="E2430" s="1679" t="s">
        <v>883</v>
      </c>
      <c r="F2430" s="357">
        <v>35</v>
      </c>
      <c r="G2430" s="357">
        <v>0</v>
      </c>
      <c r="H2430" s="357">
        <v>0</v>
      </c>
      <c r="I2430" s="924">
        <v>0</v>
      </c>
    </row>
    <row r="2431" spans="1:20" ht="14.25" x14ac:dyDescent="0.2">
      <c r="A2431" s="435"/>
      <c r="B2431" s="705"/>
      <c r="C2431" s="705"/>
      <c r="D2431" s="578" t="s">
        <v>636</v>
      </c>
      <c r="E2431" s="474" t="s">
        <v>72</v>
      </c>
      <c r="F2431" s="897">
        <v>54</v>
      </c>
      <c r="G2431" s="897">
        <v>240</v>
      </c>
      <c r="H2431" s="897">
        <v>240</v>
      </c>
      <c r="I2431" s="893">
        <f>(H2431/G2431)*100</f>
        <v>100</v>
      </c>
    </row>
    <row r="2432" spans="1:20" ht="15" x14ac:dyDescent="0.25">
      <c r="A2432" s="435">
        <v>1316</v>
      </c>
      <c r="B2432" s="705">
        <v>3231</v>
      </c>
      <c r="C2432" s="705">
        <v>5336</v>
      </c>
      <c r="D2432" s="1178"/>
      <c r="E2432" s="1564" t="s">
        <v>1357</v>
      </c>
      <c r="F2432" s="897"/>
      <c r="G2432" s="921">
        <v>2156</v>
      </c>
      <c r="H2432" s="921">
        <v>2156</v>
      </c>
      <c r="I2432" s="923">
        <f>(H2432/G2432)*100</f>
        <v>100</v>
      </c>
    </row>
    <row r="2433" spans="1:20" ht="15" thickBot="1" x14ac:dyDescent="0.25">
      <c r="A2433" s="435"/>
      <c r="B2433" s="705"/>
      <c r="C2433" s="1550"/>
      <c r="D2433" s="578" t="s">
        <v>1267</v>
      </c>
      <c r="E2433" s="474" t="s">
        <v>882</v>
      </c>
      <c r="F2433" s="897"/>
      <c r="G2433" s="897">
        <v>2156</v>
      </c>
      <c r="H2433" s="897">
        <v>2156</v>
      </c>
      <c r="I2433" s="893">
        <v>100</v>
      </c>
    </row>
    <row r="2434" spans="1:20" ht="16.5" thickTop="1" thickBot="1" x14ac:dyDescent="0.3">
      <c r="A2434" s="2739" t="s">
        <v>1246</v>
      </c>
      <c r="B2434" s="2740"/>
      <c r="C2434" s="2740"/>
      <c r="D2434" s="2740"/>
      <c r="E2434" s="2740"/>
      <c r="F2434" s="894">
        <f>SUM(F2429)</f>
        <v>89</v>
      </c>
      <c r="G2434" s="894">
        <f>G2429+G2432</f>
        <v>2396</v>
      </c>
      <c r="H2434" s="894">
        <f>H2429+H2432</f>
        <v>2396</v>
      </c>
      <c r="I2434" s="895">
        <f>(H2434/G2434)*100</f>
        <v>100</v>
      </c>
      <c r="R2434" s="385">
        <f>F2434</f>
        <v>89</v>
      </c>
      <c r="S2434" s="385">
        <f>G2434</f>
        <v>2396</v>
      </c>
      <c r="T2434" s="385">
        <f>H2434</f>
        <v>2396</v>
      </c>
    </row>
    <row r="2435" spans="1:20" s="1684" customFormat="1" ht="13.5" thickTop="1" x14ac:dyDescent="0.2">
      <c r="B2435" s="1699"/>
      <c r="D2435" s="1700"/>
      <c r="F2435" s="1698"/>
      <c r="G2435" s="1698"/>
      <c r="H2435" s="1698"/>
      <c r="I2435" s="1701"/>
    </row>
    <row r="2436" spans="1:20" ht="13.5" thickBot="1" x14ac:dyDescent="0.25">
      <c r="A2436" s="439" t="s">
        <v>223</v>
      </c>
      <c r="I2436" s="1548" t="s">
        <v>179</v>
      </c>
    </row>
    <row r="2437" spans="1:20" ht="14.25" thickTop="1" thickBot="1" x14ac:dyDescent="0.25">
      <c r="A2437" s="657" t="s">
        <v>692</v>
      </c>
      <c r="B2437" s="835" t="s">
        <v>180</v>
      </c>
      <c r="C2437" s="658" t="s">
        <v>181</v>
      </c>
      <c r="D2437" s="660" t="s">
        <v>783</v>
      </c>
      <c r="E2437" s="660" t="s">
        <v>182</v>
      </c>
      <c r="F2437" s="660" t="s">
        <v>183</v>
      </c>
      <c r="G2437" s="660" t="s">
        <v>985</v>
      </c>
      <c r="H2437" s="660" t="s">
        <v>986</v>
      </c>
      <c r="I2437" s="888" t="s">
        <v>987</v>
      </c>
    </row>
    <row r="2438" spans="1:20" ht="14.25" thickTop="1" thickBot="1" x14ac:dyDescent="0.25">
      <c r="A2438" s="592">
        <v>1</v>
      </c>
      <c r="B2438" s="593">
        <v>2</v>
      </c>
      <c r="C2438" s="593">
        <v>3</v>
      </c>
      <c r="D2438" s="593">
        <v>4</v>
      </c>
      <c r="E2438" s="593">
        <v>5</v>
      </c>
      <c r="F2438" s="567">
        <v>6</v>
      </c>
      <c r="G2438" s="567">
        <v>7</v>
      </c>
      <c r="H2438" s="568">
        <v>8</v>
      </c>
      <c r="I2438" s="662" t="s">
        <v>848</v>
      </c>
    </row>
    <row r="2439" spans="1:20" ht="15.75" thickTop="1" x14ac:dyDescent="0.25">
      <c r="A2439" s="435">
        <v>1350</v>
      </c>
      <c r="B2439" s="808">
        <v>3421</v>
      </c>
      <c r="C2439" s="1551">
        <v>5331</v>
      </c>
      <c r="D2439" s="912"/>
      <c r="E2439" s="704" t="s">
        <v>1066</v>
      </c>
      <c r="F2439" s="921">
        <f>F2440+F2441+F2442+F2443+F2444</f>
        <v>1556</v>
      </c>
      <c r="G2439" s="921">
        <f>G2440+G2441+G2442+G2443+G2444</f>
        <v>2066</v>
      </c>
      <c r="H2439" s="921">
        <f>H2440+H2441+H2442+H2443+H2444</f>
        <v>2066</v>
      </c>
      <c r="I2439" s="923">
        <v>100</v>
      </c>
    </row>
    <row r="2440" spans="1:20" ht="18" customHeight="1" x14ac:dyDescent="0.2">
      <c r="A2440" s="435"/>
      <c r="B2440" s="705"/>
      <c r="C2440" s="705"/>
      <c r="D2440" s="743" t="s">
        <v>641</v>
      </c>
      <c r="E2440" s="1679" t="s">
        <v>883</v>
      </c>
      <c r="F2440" s="897">
        <v>324</v>
      </c>
      <c r="G2440" s="897">
        <v>433</v>
      </c>
      <c r="H2440" s="897">
        <v>433</v>
      </c>
      <c r="I2440" s="893">
        <f t="shared" ref="I2440:I2445" si="114">(H2440/G2440)*100</f>
        <v>100</v>
      </c>
    </row>
    <row r="2441" spans="1:20" ht="14.25" x14ac:dyDescent="0.2">
      <c r="A2441" s="435"/>
      <c r="B2441" s="705"/>
      <c r="C2441" s="705"/>
      <c r="D2441" s="743" t="s">
        <v>385</v>
      </c>
      <c r="E2441" s="1679" t="s">
        <v>930</v>
      </c>
      <c r="F2441" s="897"/>
      <c r="G2441" s="897">
        <v>35</v>
      </c>
      <c r="H2441" s="897">
        <v>35</v>
      </c>
      <c r="I2441" s="893">
        <f t="shared" si="114"/>
        <v>100</v>
      </c>
    </row>
    <row r="2442" spans="1:20" ht="14.25" x14ac:dyDescent="0.2">
      <c r="A2442" s="435"/>
      <c r="B2442" s="705"/>
      <c r="C2442" s="910"/>
      <c r="D2442" s="578" t="s">
        <v>636</v>
      </c>
      <c r="E2442" s="474" t="s">
        <v>72</v>
      </c>
      <c r="F2442" s="897">
        <v>1096</v>
      </c>
      <c r="G2442" s="897">
        <v>1096</v>
      </c>
      <c r="H2442" s="897">
        <v>1096</v>
      </c>
      <c r="I2442" s="893">
        <f t="shared" si="114"/>
        <v>100</v>
      </c>
    </row>
    <row r="2443" spans="1:20" ht="14.25" x14ac:dyDescent="0.2">
      <c r="A2443" s="435"/>
      <c r="B2443" s="705"/>
      <c r="C2443" s="910"/>
      <c r="D2443" s="578" t="s">
        <v>1266</v>
      </c>
      <c r="E2443" s="474" t="s">
        <v>25</v>
      </c>
      <c r="F2443" s="897">
        <v>136</v>
      </c>
      <c r="G2443" s="897">
        <v>127</v>
      </c>
      <c r="H2443" s="897">
        <v>127</v>
      </c>
      <c r="I2443" s="893">
        <f t="shared" si="114"/>
        <v>100</v>
      </c>
    </row>
    <row r="2444" spans="1:20" ht="14.25" x14ac:dyDescent="0.2">
      <c r="A2444" s="435"/>
      <c r="B2444" s="705"/>
      <c r="C2444" s="910"/>
      <c r="D2444" s="805" t="s">
        <v>1271</v>
      </c>
      <c r="E2444" s="1733" t="s">
        <v>462</v>
      </c>
      <c r="F2444" s="897"/>
      <c r="G2444" s="897">
        <v>375</v>
      </c>
      <c r="H2444" s="897">
        <v>375</v>
      </c>
      <c r="I2444" s="893">
        <f t="shared" si="114"/>
        <v>100</v>
      </c>
    </row>
    <row r="2445" spans="1:20" ht="15" x14ac:dyDescent="0.25">
      <c r="A2445" s="435">
        <v>1350</v>
      </c>
      <c r="B2445" s="705">
        <v>3421</v>
      </c>
      <c r="C2445" s="910">
        <v>5336</v>
      </c>
      <c r="D2445" s="805"/>
      <c r="E2445" s="1564" t="s">
        <v>1357</v>
      </c>
      <c r="F2445" s="897"/>
      <c r="G2445" s="921">
        <v>11735</v>
      </c>
      <c r="H2445" s="921">
        <v>11735</v>
      </c>
      <c r="I2445" s="923">
        <f t="shared" si="114"/>
        <v>100</v>
      </c>
    </row>
    <row r="2446" spans="1:20" ht="14.25" x14ac:dyDescent="0.2">
      <c r="A2446" s="435"/>
      <c r="B2446" s="705"/>
      <c r="C2446" s="910"/>
      <c r="D2446" s="578" t="s">
        <v>1267</v>
      </c>
      <c r="E2446" s="474" t="s">
        <v>882</v>
      </c>
      <c r="F2446" s="897"/>
      <c r="G2446" s="897">
        <v>11735</v>
      </c>
      <c r="H2446" s="897">
        <v>11735</v>
      </c>
      <c r="I2446" s="893">
        <v>100</v>
      </c>
    </row>
    <row r="2447" spans="1:20" ht="15" x14ac:dyDescent="0.25">
      <c r="A2447" s="435">
        <v>1350</v>
      </c>
      <c r="B2447" s="808">
        <v>3429</v>
      </c>
      <c r="C2447" s="1551">
        <v>5331</v>
      </c>
      <c r="D2447" s="912"/>
      <c r="E2447" s="704" t="s">
        <v>1066</v>
      </c>
      <c r="F2447" s="905"/>
      <c r="G2447" s="905">
        <v>200</v>
      </c>
      <c r="H2447" s="905">
        <v>194</v>
      </c>
      <c r="I2447" s="906">
        <v>194</v>
      </c>
    </row>
    <row r="2448" spans="1:20" ht="14.25" x14ac:dyDescent="0.2">
      <c r="A2448" s="435"/>
      <c r="B2448" s="705"/>
      <c r="C2448" s="1550"/>
      <c r="D2448" s="743" t="s">
        <v>272</v>
      </c>
      <c r="E2448" s="913" t="s">
        <v>219</v>
      </c>
      <c r="F2448" s="897"/>
      <c r="G2448" s="897">
        <v>200</v>
      </c>
      <c r="H2448" s="897">
        <v>193</v>
      </c>
      <c r="I2448" s="893">
        <v>100</v>
      </c>
    </row>
    <row r="2449" spans="1:20" ht="15" x14ac:dyDescent="0.25">
      <c r="A2449" s="435">
        <v>1350</v>
      </c>
      <c r="B2449" s="705">
        <v>3792</v>
      </c>
      <c r="C2449" s="1550">
        <v>5331</v>
      </c>
      <c r="D2449" s="578"/>
      <c r="E2449" s="704" t="s">
        <v>1066</v>
      </c>
      <c r="F2449" s="897"/>
      <c r="G2449" s="921">
        <v>15</v>
      </c>
      <c r="H2449" s="921">
        <v>15</v>
      </c>
      <c r="I2449" s="906">
        <v>100</v>
      </c>
    </row>
    <row r="2450" spans="1:20" ht="15" thickBot="1" x14ac:dyDescent="0.25">
      <c r="A2450" s="435"/>
      <c r="B2450" s="705"/>
      <c r="C2450" s="1550"/>
      <c r="D2450" s="1169" t="s">
        <v>1479</v>
      </c>
      <c r="E2450" s="1275" t="s">
        <v>406</v>
      </c>
      <c r="F2450" s="897"/>
      <c r="G2450" s="897">
        <v>15</v>
      </c>
      <c r="H2450" s="897">
        <v>15</v>
      </c>
      <c r="I2450" s="893">
        <v>100</v>
      </c>
    </row>
    <row r="2451" spans="1:20" ht="16.5" thickTop="1" thickBot="1" x14ac:dyDescent="0.3">
      <c r="A2451" s="2739" t="s">
        <v>1246</v>
      </c>
      <c r="B2451" s="2740"/>
      <c r="C2451" s="2740"/>
      <c r="D2451" s="2740"/>
      <c r="E2451" s="2740"/>
      <c r="F2451" s="894">
        <f>F2439+F2447</f>
        <v>1556</v>
      </c>
      <c r="G2451" s="894">
        <f>G2439+G2445+G2447+G2449</f>
        <v>14016</v>
      </c>
      <c r="H2451" s="894">
        <f>H2439+H2445+H2447+H2449</f>
        <v>14010</v>
      </c>
      <c r="I2451" s="895">
        <f>(H2451/G2451)*100</f>
        <v>99.957191780821915</v>
      </c>
      <c r="R2451" s="385">
        <f>F2451</f>
        <v>1556</v>
      </c>
      <c r="S2451" s="385">
        <f>G2451</f>
        <v>14016</v>
      </c>
      <c r="T2451" s="385">
        <f>H2451</f>
        <v>14010</v>
      </c>
    </row>
    <row r="2452" spans="1:20" s="386" customFormat="1" ht="13.5" thickTop="1" x14ac:dyDescent="0.2">
      <c r="A2452" s="384"/>
      <c r="B2452" s="669"/>
      <c r="C2452" s="384"/>
      <c r="D2452" s="884"/>
      <c r="E2452" s="384"/>
      <c r="F2452" s="385"/>
      <c r="G2452" s="385"/>
      <c r="H2452" s="385"/>
      <c r="I2452" s="1548"/>
    </row>
    <row r="2453" spans="1:20" ht="13.5" thickBot="1" x14ac:dyDescent="0.25">
      <c r="A2453" s="439" t="s">
        <v>396</v>
      </c>
      <c r="I2453" s="1548" t="s">
        <v>179</v>
      </c>
    </row>
    <row r="2454" spans="1:20" ht="14.25" thickTop="1" thickBot="1" x14ac:dyDescent="0.25">
      <c r="A2454" s="657" t="s">
        <v>692</v>
      </c>
      <c r="B2454" s="835" t="s">
        <v>180</v>
      </c>
      <c r="C2454" s="658" t="s">
        <v>181</v>
      </c>
      <c r="D2454" s="660" t="s">
        <v>783</v>
      </c>
      <c r="E2454" s="660" t="s">
        <v>182</v>
      </c>
      <c r="F2454" s="660" t="s">
        <v>183</v>
      </c>
      <c r="G2454" s="660" t="s">
        <v>985</v>
      </c>
      <c r="H2454" s="660" t="s">
        <v>986</v>
      </c>
      <c r="I2454" s="888" t="s">
        <v>987</v>
      </c>
    </row>
    <row r="2455" spans="1:20" ht="18" customHeight="1" thickTop="1" thickBot="1" x14ac:dyDescent="0.25">
      <c r="A2455" s="592">
        <v>1</v>
      </c>
      <c r="B2455" s="593">
        <v>2</v>
      </c>
      <c r="C2455" s="593">
        <v>3</v>
      </c>
      <c r="D2455" s="593">
        <v>4</v>
      </c>
      <c r="E2455" s="593">
        <v>5</v>
      </c>
      <c r="F2455" s="567">
        <v>6</v>
      </c>
      <c r="G2455" s="567">
        <v>7</v>
      </c>
      <c r="H2455" s="568">
        <v>8</v>
      </c>
      <c r="I2455" s="662" t="s">
        <v>848</v>
      </c>
    </row>
    <row r="2456" spans="1:20" ht="18" customHeight="1" thickTop="1" x14ac:dyDescent="0.25">
      <c r="A2456" s="435">
        <v>1351</v>
      </c>
      <c r="B2456" s="705">
        <v>3421</v>
      </c>
      <c r="C2456" s="705">
        <v>5331</v>
      </c>
      <c r="D2456" s="889"/>
      <c r="E2456" s="854" t="s">
        <v>1066</v>
      </c>
      <c r="F2456" s="890">
        <f>F2457+F2458</f>
        <v>281</v>
      </c>
      <c r="G2456" s="890">
        <f>G2457+G2458</f>
        <v>278</v>
      </c>
      <c r="H2456" s="890">
        <f>H2457+H2458</f>
        <v>278</v>
      </c>
      <c r="I2456" s="891">
        <v>100</v>
      </c>
    </row>
    <row r="2457" spans="1:20" ht="14.25" x14ac:dyDescent="0.2">
      <c r="A2457" s="435"/>
      <c r="B2457" s="705"/>
      <c r="C2457" s="705"/>
      <c r="D2457" s="743" t="s">
        <v>641</v>
      </c>
      <c r="E2457" s="1679" t="s">
        <v>883</v>
      </c>
      <c r="F2457" s="897">
        <v>6</v>
      </c>
      <c r="G2457" s="897">
        <v>3</v>
      </c>
      <c r="H2457" s="897">
        <v>3</v>
      </c>
      <c r="I2457" s="893">
        <f t="shared" ref="I2457:I2461" si="115">(H2457/G2457)*100</f>
        <v>100</v>
      </c>
    </row>
    <row r="2458" spans="1:20" ht="14.25" x14ac:dyDescent="0.2">
      <c r="A2458" s="435"/>
      <c r="B2458" s="705"/>
      <c r="C2458" s="705"/>
      <c r="D2458" s="578" t="s">
        <v>636</v>
      </c>
      <c r="E2458" s="474" t="s">
        <v>72</v>
      </c>
      <c r="F2458" s="897">
        <v>275</v>
      </c>
      <c r="G2458" s="897">
        <v>275</v>
      </c>
      <c r="H2458" s="897">
        <v>275</v>
      </c>
      <c r="I2458" s="893">
        <f t="shared" si="115"/>
        <v>100</v>
      </c>
    </row>
    <row r="2459" spans="1:20" ht="15" x14ac:dyDescent="0.25">
      <c r="A2459" s="435">
        <v>1351</v>
      </c>
      <c r="B2459" s="705">
        <v>3421</v>
      </c>
      <c r="C2459" s="705">
        <v>5336</v>
      </c>
      <c r="D2459" s="1178"/>
      <c r="E2459" s="1564" t="s">
        <v>1357</v>
      </c>
      <c r="F2459" s="897"/>
      <c r="G2459" s="921">
        <v>4391</v>
      </c>
      <c r="H2459" s="921">
        <v>4391</v>
      </c>
      <c r="I2459" s="923">
        <f t="shared" si="115"/>
        <v>100</v>
      </c>
    </row>
    <row r="2460" spans="1:20" ht="15" thickBot="1" x14ac:dyDescent="0.25">
      <c r="A2460" s="435"/>
      <c r="B2460" s="705"/>
      <c r="C2460" s="1550"/>
      <c r="D2460" s="578" t="s">
        <v>1267</v>
      </c>
      <c r="E2460" s="474" t="s">
        <v>882</v>
      </c>
      <c r="F2460" s="897"/>
      <c r="G2460" s="897">
        <v>4391</v>
      </c>
      <c r="H2460" s="897">
        <v>4391</v>
      </c>
      <c r="I2460" s="893">
        <f t="shared" si="115"/>
        <v>100</v>
      </c>
    </row>
    <row r="2461" spans="1:20" ht="16.5" thickTop="1" thickBot="1" x14ac:dyDescent="0.3">
      <c r="A2461" s="2739" t="s">
        <v>1246</v>
      </c>
      <c r="B2461" s="2740"/>
      <c r="C2461" s="2740"/>
      <c r="D2461" s="2740"/>
      <c r="E2461" s="2740"/>
      <c r="F2461" s="894">
        <f>F2456</f>
        <v>281</v>
      </c>
      <c r="G2461" s="894">
        <f>G2456+G2459</f>
        <v>4669</v>
      </c>
      <c r="H2461" s="894">
        <f>H2456+H2459</f>
        <v>4669</v>
      </c>
      <c r="I2461" s="895">
        <f t="shared" si="115"/>
        <v>100</v>
      </c>
      <c r="R2461" s="385">
        <f>F2461</f>
        <v>281</v>
      </c>
      <c r="S2461" s="385">
        <f>G2461</f>
        <v>4669</v>
      </c>
      <c r="T2461" s="385">
        <f>H2461</f>
        <v>4669</v>
      </c>
    </row>
    <row r="2462" spans="1:20" s="107" customFormat="1" ht="13.5" thickTop="1" x14ac:dyDescent="0.2">
      <c r="A2462" s="384"/>
      <c r="B2462" s="669"/>
      <c r="C2462" s="384"/>
      <c r="D2462" s="884"/>
      <c r="E2462" s="384"/>
      <c r="F2462" s="385"/>
      <c r="G2462" s="385"/>
      <c r="H2462" s="385"/>
      <c r="I2462" s="1548"/>
    </row>
    <row r="2463" spans="1:20" ht="13.5" thickBot="1" x14ac:dyDescent="0.25">
      <c r="A2463" s="439" t="s">
        <v>136</v>
      </c>
      <c r="I2463" s="1548" t="s">
        <v>179</v>
      </c>
    </row>
    <row r="2464" spans="1:20" ht="14.25" thickTop="1" thickBot="1" x14ac:dyDescent="0.25">
      <c r="A2464" s="657" t="s">
        <v>692</v>
      </c>
      <c r="B2464" s="835" t="s">
        <v>180</v>
      </c>
      <c r="C2464" s="658" t="s">
        <v>181</v>
      </c>
      <c r="D2464" s="660" t="s">
        <v>783</v>
      </c>
      <c r="E2464" s="660" t="s">
        <v>182</v>
      </c>
      <c r="F2464" s="660" t="s">
        <v>183</v>
      </c>
      <c r="G2464" s="660" t="s">
        <v>985</v>
      </c>
      <c r="H2464" s="660" t="s">
        <v>986</v>
      </c>
      <c r="I2464" s="888" t="s">
        <v>987</v>
      </c>
    </row>
    <row r="2465" spans="1:20" ht="14.25" thickTop="1" thickBot="1" x14ac:dyDescent="0.25">
      <c r="A2465" s="592">
        <v>1</v>
      </c>
      <c r="B2465" s="593">
        <v>2</v>
      </c>
      <c r="C2465" s="593">
        <v>3</v>
      </c>
      <c r="D2465" s="593">
        <v>4</v>
      </c>
      <c r="E2465" s="593">
        <v>5</v>
      </c>
      <c r="F2465" s="567">
        <v>6</v>
      </c>
      <c r="G2465" s="567">
        <v>7</v>
      </c>
      <c r="H2465" s="568">
        <v>8</v>
      </c>
      <c r="I2465" s="662" t="s">
        <v>848</v>
      </c>
    </row>
    <row r="2466" spans="1:20" ht="15.75" thickTop="1" x14ac:dyDescent="0.25">
      <c r="A2466" s="435">
        <v>1352</v>
      </c>
      <c r="B2466" s="705">
        <v>3421</v>
      </c>
      <c r="C2466" s="705">
        <v>5331</v>
      </c>
      <c r="D2466" s="889"/>
      <c r="E2466" s="854" t="s">
        <v>1066</v>
      </c>
      <c r="F2466" s="890">
        <f>SUM(F2467:F2470)</f>
        <v>466</v>
      </c>
      <c r="G2466" s="890">
        <f>G2467+G2468</f>
        <v>473</v>
      </c>
      <c r="H2466" s="890">
        <f>H2467+H2468</f>
        <v>473</v>
      </c>
      <c r="I2466" s="891">
        <v>100</v>
      </c>
    </row>
    <row r="2467" spans="1:20" ht="14.25" x14ac:dyDescent="0.2">
      <c r="A2467" s="435"/>
      <c r="B2467" s="705"/>
      <c r="C2467" s="705"/>
      <c r="D2467" s="743" t="s">
        <v>641</v>
      </c>
      <c r="E2467" s="1679" t="s">
        <v>883</v>
      </c>
      <c r="F2467" s="357">
        <v>42</v>
      </c>
      <c r="G2467" s="897">
        <v>49</v>
      </c>
      <c r="H2467" s="897">
        <v>49</v>
      </c>
      <c r="I2467" s="893">
        <f t="shared" ref="I2467:I2473" si="116">(H2467/G2467)*100</f>
        <v>100</v>
      </c>
    </row>
    <row r="2468" spans="1:20" ht="14.25" x14ac:dyDescent="0.2">
      <c r="A2468" s="435"/>
      <c r="B2468" s="705"/>
      <c r="C2468" s="705"/>
      <c r="D2468" s="578" t="s">
        <v>636</v>
      </c>
      <c r="E2468" s="474" t="s">
        <v>72</v>
      </c>
      <c r="F2468" s="897">
        <v>424</v>
      </c>
      <c r="G2468" s="897">
        <v>424</v>
      </c>
      <c r="H2468" s="897">
        <v>424</v>
      </c>
      <c r="I2468" s="893">
        <f t="shared" si="116"/>
        <v>100</v>
      </c>
    </row>
    <row r="2469" spans="1:20" ht="15" x14ac:dyDescent="0.25">
      <c r="A2469" s="435">
        <v>1352</v>
      </c>
      <c r="B2469" s="705">
        <v>3421</v>
      </c>
      <c r="C2469" s="705">
        <v>5336</v>
      </c>
      <c r="D2469" s="1178"/>
      <c r="E2469" s="1564" t="s">
        <v>1357</v>
      </c>
      <c r="F2469" s="897"/>
      <c r="G2469" s="921">
        <v>3033</v>
      </c>
      <c r="H2469" s="921">
        <v>3033</v>
      </c>
      <c r="I2469" s="923">
        <f t="shared" si="116"/>
        <v>100</v>
      </c>
    </row>
    <row r="2470" spans="1:20" ht="14.25" x14ac:dyDescent="0.2">
      <c r="A2470" s="435"/>
      <c r="B2470" s="705"/>
      <c r="C2470" s="705"/>
      <c r="D2470" s="578" t="s">
        <v>1267</v>
      </c>
      <c r="E2470" s="474" t="s">
        <v>882</v>
      </c>
      <c r="F2470" s="897"/>
      <c r="G2470" s="897">
        <v>3033</v>
      </c>
      <c r="H2470" s="897">
        <v>3033</v>
      </c>
      <c r="I2470" s="893">
        <f t="shared" si="116"/>
        <v>100</v>
      </c>
    </row>
    <row r="2471" spans="1:20" ht="15" x14ac:dyDescent="0.25">
      <c r="A2471" s="435">
        <v>1352</v>
      </c>
      <c r="B2471" s="705">
        <v>3792</v>
      </c>
      <c r="C2471" s="705">
        <v>5331</v>
      </c>
      <c r="D2471" s="578"/>
      <c r="E2471" s="854" t="s">
        <v>1066</v>
      </c>
      <c r="F2471" s="921"/>
      <c r="G2471" s="921">
        <v>8</v>
      </c>
      <c r="H2471" s="921">
        <v>8</v>
      </c>
      <c r="I2471" s="923">
        <f t="shared" si="116"/>
        <v>100</v>
      </c>
    </row>
    <row r="2472" spans="1:20" ht="15" thickBot="1" x14ac:dyDescent="0.25">
      <c r="A2472" s="435"/>
      <c r="B2472" s="705"/>
      <c r="C2472" s="705"/>
      <c r="D2472" s="578" t="s">
        <v>1479</v>
      </c>
      <c r="E2472" s="477" t="s">
        <v>1259</v>
      </c>
      <c r="F2472" s="897"/>
      <c r="G2472" s="897">
        <v>8</v>
      </c>
      <c r="H2472" s="897">
        <v>8</v>
      </c>
      <c r="I2472" s="893">
        <f t="shared" si="116"/>
        <v>100</v>
      </c>
    </row>
    <row r="2473" spans="1:20" ht="16.5" thickTop="1" thickBot="1" x14ac:dyDescent="0.3">
      <c r="A2473" s="2739" t="s">
        <v>1246</v>
      </c>
      <c r="B2473" s="2740"/>
      <c r="C2473" s="2740"/>
      <c r="D2473" s="2740"/>
      <c r="E2473" s="2740"/>
      <c r="F2473" s="894">
        <f>F2466+F2471</f>
        <v>466</v>
      </c>
      <c r="G2473" s="894">
        <f>G2466+G2469+G2471</f>
        <v>3514</v>
      </c>
      <c r="H2473" s="894">
        <f>H2466+H2469+H2471</f>
        <v>3514</v>
      </c>
      <c r="I2473" s="895">
        <f t="shared" si="116"/>
        <v>100</v>
      </c>
      <c r="R2473" s="385">
        <f>F2473</f>
        <v>466</v>
      </c>
      <c r="S2473" s="385">
        <f>G2473</f>
        <v>3514</v>
      </c>
      <c r="T2473" s="385">
        <f>H2473</f>
        <v>3514</v>
      </c>
    </row>
    <row r="2474" spans="1:20" s="386" customFormat="1" ht="13.5" thickTop="1" x14ac:dyDescent="0.2">
      <c r="A2474" s="384"/>
      <c r="B2474" s="669"/>
      <c r="C2474" s="384"/>
      <c r="D2474" s="884"/>
      <c r="E2474" s="384"/>
      <c r="F2474" s="385"/>
      <c r="G2474" s="385"/>
      <c r="H2474" s="385"/>
      <c r="I2474" s="1548"/>
    </row>
    <row r="2475" spans="1:20" ht="13.5" thickBot="1" x14ac:dyDescent="0.25">
      <c r="A2475" s="439" t="s">
        <v>736</v>
      </c>
      <c r="I2475" s="1548" t="s">
        <v>179</v>
      </c>
    </row>
    <row r="2476" spans="1:20" ht="14.25" thickTop="1" thickBot="1" x14ac:dyDescent="0.25">
      <c r="A2476" s="657" t="s">
        <v>692</v>
      </c>
      <c r="B2476" s="835" t="s">
        <v>180</v>
      </c>
      <c r="C2476" s="658" t="s">
        <v>181</v>
      </c>
      <c r="D2476" s="660" t="s">
        <v>783</v>
      </c>
      <c r="E2476" s="660" t="s">
        <v>182</v>
      </c>
      <c r="F2476" s="660" t="s">
        <v>183</v>
      </c>
      <c r="G2476" s="660" t="s">
        <v>985</v>
      </c>
      <c r="H2476" s="660" t="s">
        <v>986</v>
      </c>
      <c r="I2476" s="888" t="s">
        <v>987</v>
      </c>
    </row>
    <row r="2477" spans="1:20" ht="14.25" thickTop="1" thickBot="1" x14ac:dyDescent="0.25">
      <c r="A2477" s="592">
        <v>1</v>
      </c>
      <c r="B2477" s="593">
        <v>2</v>
      </c>
      <c r="C2477" s="593">
        <v>3</v>
      </c>
      <c r="D2477" s="593">
        <v>4</v>
      </c>
      <c r="E2477" s="593">
        <v>5</v>
      </c>
      <c r="F2477" s="567">
        <v>6</v>
      </c>
      <c r="G2477" s="567">
        <v>7</v>
      </c>
      <c r="H2477" s="568">
        <v>8</v>
      </c>
      <c r="I2477" s="662" t="s">
        <v>848</v>
      </c>
    </row>
    <row r="2478" spans="1:20" ht="15.75" thickTop="1" x14ac:dyDescent="0.25">
      <c r="A2478" s="435">
        <v>1353</v>
      </c>
      <c r="B2478" s="705">
        <v>3421</v>
      </c>
      <c r="C2478" s="705">
        <v>5331</v>
      </c>
      <c r="D2478" s="889"/>
      <c r="E2478" s="854" t="s">
        <v>1066</v>
      </c>
      <c r="F2478" s="890">
        <f>F2479+F2480+F2481+F2482</f>
        <v>840</v>
      </c>
      <c r="G2478" s="890">
        <f>G2479+G2480+G2481+G2482</f>
        <v>1095</v>
      </c>
      <c r="H2478" s="890">
        <f>H2479+H2480+H2481+H2482</f>
        <v>1095</v>
      </c>
      <c r="I2478" s="891">
        <v>100</v>
      </c>
    </row>
    <row r="2479" spans="1:20" ht="14.25" x14ac:dyDescent="0.2">
      <c r="A2479" s="435"/>
      <c r="B2479" s="705"/>
      <c r="C2479" s="705"/>
      <c r="D2479" s="743" t="s">
        <v>641</v>
      </c>
      <c r="E2479" s="1679" t="s">
        <v>883</v>
      </c>
      <c r="F2479" s="897">
        <v>88</v>
      </c>
      <c r="G2479" s="897">
        <v>95</v>
      </c>
      <c r="H2479" s="897">
        <v>95</v>
      </c>
      <c r="I2479" s="893">
        <f t="shared" ref="I2479:I2485" si="117">(H2479/G2479)*100</f>
        <v>100</v>
      </c>
    </row>
    <row r="2480" spans="1:20" ht="14.25" x14ac:dyDescent="0.2">
      <c r="A2480" s="435"/>
      <c r="B2480" s="705"/>
      <c r="C2480" s="705"/>
      <c r="D2480" s="743" t="s">
        <v>385</v>
      </c>
      <c r="E2480" s="1679" t="s">
        <v>930</v>
      </c>
      <c r="F2480" s="897"/>
      <c r="G2480" s="897">
        <v>20</v>
      </c>
      <c r="H2480" s="897">
        <v>20</v>
      </c>
      <c r="I2480" s="893">
        <f t="shared" si="117"/>
        <v>100</v>
      </c>
    </row>
    <row r="2481" spans="1:20" ht="14.25" x14ac:dyDescent="0.2">
      <c r="A2481" s="435"/>
      <c r="B2481" s="705"/>
      <c r="C2481" s="705"/>
      <c r="D2481" s="578" t="s">
        <v>636</v>
      </c>
      <c r="E2481" s="474" t="s">
        <v>72</v>
      </c>
      <c r="F2481" s="897">
        <v>752</v>
      </c>
      <c r="G2481" s="897">
        <v>752</v>
      </c>
      <c r="H2481" s="897">
        <v>752</v>
      </c>
      <c r="I2481" s="893">
        <f t="shared" si="117"/>
        <v>100</v>
      </c>
    </row>
    <row r="2482" spans="1:20" ht="14.25" x14ac:dyDescent="0.2">
      <c r="A2482" s="435"/>
      <c r="B2482" s="705"/>
      <c r="C2482" s="705"/>
      <c r="D2482" s="805" t="s">
        <v>1271</v>
      </c>
      <c r="E2482" s="1733" t="s">
        <v>462</v>
      </c>
      <c r="F2482" s="897"/>
      <c r="G2482" s="897">
        <v>228</v>
      </c>
      <c r="H2482" s="897">
        <v>228</v>
      </c>
      <c r="I2482" s="893">
        <f t="shared" si="117"/>
        <v>100</v>
      </c>
    </row>
    <row r="2483" spans="1:20" ht="15" x14ac:dyDescent="0.25">
      <c r="A2483" s="435">
        <v>1353</v>
      </c>
      <c r="B2483" s="705">
        <v>3421</v>
      </c>
      <c r="C2483" s="705">
        <v>5336</v>
      </c>
      <c r="D2483" s="805"/>
      <c r="E2483" s="1564" t="s">
        <v>1357</v>
      </c>
      <c r="F2483" s="897"/>
      <c r="G2483" s="921">
        <v>6668</v>
      </c>
      <c r="H2483" s="921">
        <v>6668</v>
      </c>
      <c r="I2483" s="923">
        <f t="shared" si="117"/>
        <v>100</v>
      </c>
    </row>
    <row r="2484" spans="1:20" ht="15" thickBot="1" x14ac:dyDescent="0.25">
      <c r="A2484" s="435"/>
      <c r="B2484" s="705"/>
      <c r="C2484" s="705"/>
      <c r="D2484" s="578" t="s">
        <v>1267</v>
      </c>
      <c r="E2484" s="474" t="s">
        <v>882</v>
      </c>
      <c r="F2484" s="897"/>
      <c r="G2484" s="897">
        <v>6668</v>
      </c>
      <c r="H2484" s="897">
        <v>6668</v>
      </c>
      <c r="I2484" s="893">
        <f t="shared" si="117"/>
        <v>100</v>
      </c>
    </row>
    <row r="2485" spans="1:20" s="107" customFormat="1" ht="16.5" thickTop="1" thickBot="1" x14ac:dyDescent="0.3">
      <c r="A2485" s="2739" t="s">
        <v>1246</v>
      </c>
      <c r="B2485" s="2740"/>
      <c r="C2485" s="2740"/>
      <c r="D2485" s="2740"/>
      <c r="E2485" s="2740"/>
      <c r="F2485" s="894">
        <f>F2478+F2483</f>
        <v>840</v>
      </c>
      <c r="G2485" s="894">
        <f>G2478+G2483</f>
        <v>7763</v>
      </c>
      <c r="H2485" s="894">
        <f>H2478+H2483</f>
        <v>7763</v>
      </c>
      <c r="I2485" s="895">
        <f t="shared" si="117"/>
        <v>100</v>
      </c>
      <c r="R2485" s="385">
        <f>F2485</f>
        <v>840</v>
      </c>
      <c r="S2485" s="385">
        <f>G2485</f>
        <v>7763</v>
      </c>
      <c r="T2485" s="385">
        <f>H2485</f>
        <v>7763</v>
      </c>
    </row>
    <row r="2486" spans="1:20" s="386" customFormat="1" ht="13.5" thickTop="1" x14ac:dyDescent="0.2">
      <c r="A2486" s="384"/>
      <c r="B2486" s="669"/>
      <c r="C2486" s="384"/>
      <c r="D2486" s="884"/>
      <c r="E2486" s="384"/>
      <c r="F2486" s="385"/>
      <c r="G2486" s="385"/>
      <c r="H2486" s="385"/>
      <c r="I2486" s="1548"/>
    </row>
    <row r="2487" spans="1:20" ht="13.5" thickBot="1" x14ac:dyDescent="0.25">
      <c r="A2487" s="439" t="s">
        <v>137</v>
      </c>
      <c r="I2487" s="1548" t="s">
        <v>179</v>
      </c>
    </row>
    <row r="2488" spans="1:20" ht="14.25" thickTop="1" thickBot="1" x14ac:dyDescent="0.25">
      <c r="A2488" s="657" t="s">
        <v>692</v>
      </c>
      <c r="B2488" s="835" t="s">
        <v>180</v>
      </c>
      <c r="C2488" s="658" t="s">
        <v>181</v>
      </c>
      <c r="D2488" s="660" t="s">
        <v>783</v>
      </c>
      <c r="E2488" s="660" t="s">
        <v>182</v>
      </c>
      <c r="F2488" s="660" t="s">
        <v>183</v>
      </c>
      <c r="G2488" s="660" t="s">
        <v>985</v>
      </c>
      <c r="H2488" s="660" t="s">
        <v>986</v>
      </c>
      <c r="I2488" s="888" t="s">
        <v>987</v>
      </c>
    </row>
    <row r="2489" spans="1:20" ht="14.25" thickTop="1" thickBot="1" x14ac:dyDescent="0.25">
      <c r="A2489" s="592">
        <v>1</v>
      </c>
      <c r="B2489" s="593">
        <v>2</v>
      </c>
      <c r="C2489" s="593">
        <v>3</v>
      </c>
      <c r="D2489" s="593">
        <v>4</v>
      </c>
      <c r="E2489" s="593">
        <v>5</v>
      </c>
      <c r="F2489" s="567">
        <v>6</v>
      </c>
      <c r="G2489" s="567">
        <v>7</v>
      </c>
      <c r="H2489" s="568">
        <v>8</v>
      </c>
      <c r="I2489" s="662" t="s">
        <v>848</v>
      </c>
    </row>
    <row r="2490" spans="1:20" ht="15.75" thickTop="1" x14ac:dyDescent="0.25">
      <c r="A2490" s="435">
        <v>1354</v>
      </c>
      <c r="B2490" s="705">
        <v>3421</v>
      </c>
      <c r="C2490" s="705">
        <v>5331</v>
      </c>
      <c r="D2490" s="889"/>
      <c r="E2490" s="854" t="s">
        <v>1066</v>
      </c>
      <c r="F2490" s="890">
        <f>F2491+F2492</f>
        <v>545</v>
      </c>
      <c r="G2490" s="890">
        <f>G2491+G2492</f>
        <v>544</v>
      </c>
      <c r="H2490" s="890">
        <f>H2491+H2492</f>
        <v>544</v>
      </c>
      <c r="I2490" s="891">
        <v>100</v>
      </c>
    </row>
    <row r="2491" spans="1:20" ht="14.25" x14ac:dyDescent="0.2">
      <c r="A2491" s="435"/>
      <c r="B2491" s="705"/>
      <c r="C2491" s="705"/>
      <c r="D2491" s="743" t="s">
        <v>641</v>
      </c>
      <c r="E2491" s="1679" t="s">
        <v>883</v>
      </c>
      <c r="F2491" s="897">
        <v>10</v>
      </c>
      <c r="G2491" s="897">
        <v>9</v>
      </c>
      <c r="H2491" s="897">
        <v>9</v>
      </c>
      <c r="I2491" s="893">
        <f>(H2491/G2491)*100</f>
        <v>100</v>
      </c>
    </row>
    <row r="2492" spans="1:20" ht="14.25" x14ac:dyDescent="0.2">
      <c r="A2492" s="435"/>
      <c r="B2492" s="705"/>
      <c r="C2492" s="705"/>
      <c r="D2492" s="578" t="s">
        <v>636</v>
      </c>
      <c r="E2492" s="474" t="s">
        <v>72</v>
      </c>
      <c r="F2492" s="897">
        <v>535</v>
      </c>
      <c r="G2492" s="897">
        <v>535</v>
      </c>
      <c r="H2492" s="897">
        <v>535</v>
      </c>
      <c r="I2492" s="893">
        <f>(H2492/G2492)*100</f>
        <v>100</v>
      </c>
    </row>
    <row r="2493" spans="1:20" ht="15" x14ac:dyDescent="0.25">
      <c r="A2493" s="435">
        <v>1354</v>
      </c>
      <c r="B2493" s="705">
        <v>3421</v>
      </c>
      <c r="C2493" s="705">
        <v>5336</v>
      </c>
      <c r="D2493" s="1178"/>
      <c r="E2493" s="1564" t="s">
        <v>1357</v>
      </c>
      <c r="F2493" s="897"/>
      <c r="G2493" s="921">
        <v>3587</v>
      </c>
      <c r="H2493" s="921">
        <v>3587</v>
      </c>
      <c r="I2493" s="923">
        <f>(H2493/G2493)*100</f>
        <v>100</v>
      </c>
    </row>
    <row r="2494" spans="1:20" ht="15" thickBot="1" x14ac:dyDescent="0.25">
      <c r="A2494" s="435"/>
      <c r="B2494" s="705"/>
      <c r="C2494" s="1550"/>
      <c r="D2494" s="578" t="s">
        <v>1267</v>
      </c>
      <c r="E2494" s="474" t="s">
        <v>882</v>
      </c>
      <c r="F2494" s="897"/>
      <c r="G2494" s="897">
        <v>3587</v>
      </c>
      <c r="H2494" s="897">
        <v>3587</v>
      </c>
      <c r="I2494" s="893">
        <f>(H2494/G2494)*100</f>
        <v>100</v>
      </c>
    </row>
    <row r="2495" spans="1:20" s="107" customFormat="1" ht="16.5" thickTop="1" thickBot="1" x14ac:dyDescent="0.3">
      <c r="A2495" s="2739" t="s">
        <v>1246</v>
      </c>
      <c r="B2495" s="2740"/>
      <c r="C2495" s="2740"/>
      <c r="D2495" s="2740"/>
      <c r="E2495" s="2740"/>
      <c r="F2495" s="894">
        <f>F2490</f>
        <v>545</v>
      </c>
      <c r="G2495" s="894">
        <f>G2490+G2493</f>
        <v>4131</v>
      </c>
      <c r="H2495" s="894">
        <f>H2490+H2493</f>
        <v>4131</v>
      </c>
      <c r="I2495" s="895">
        <f>(H2495/G2495)*100</f>
        <v>100</v>
      </c>
      <c r="R2495" s="385">
        <f>F2495</f>
        <v>545</v>
      </c>
      <c r="S2495" s="385">
        <f>G2495</f>
        <v>4131</v>
      </c>
      <c r="T2495" s="385">
        <f>H2495</f>
        <v>4131</v>
      </c>
    </row>
    <row r="2496" spans="1:20" s="386" customFormat="1" ht="13.5" thickTop="1" x14ac:dyDescent="0.2">
      <c r="A2496" s="384"/>
      <c r="B2496" s="669"/>
      <c r="C2496" s="384"/>
      <c r="D2496" s="884"/>
      <c r="E2496" s="384"/>
      <c r="F2496" s="385"/>
      <c r="G2496" s="385"/>
      <c r="H2496" s="385"/>
      <c r="I2496" s="1548"/>
    </row>
    <row r="2497" spans="1:20" s="386" customFormat="1" x14ac:dyDescent="0.2">
      <c r="A2497" s="384"/>
      <c r="B2497" s="669"/>
      <c r="C2497" s="384"/>
      <c r="D2497" s="884"/>
      <c r="E2497" s="384"/>
      <c r="F2497" s="385"/>
      <c r="G2497" s="385"/>
      <c r="H2497" s="385"/>
      <c r="I2497" s="1548"/>
    </row>
    <row r="2498" spans="1:20" ht="13.5" thickBot="1" x14ac:dyDescent="0.25">
      <c r="A2498" s="439" t="s">
        <v>841</v>
      </c>
      <c r="I2498" s="1548" t="s">
        <v>179</v>
      </c>
    </row>
    <row r="2499" spans="1:20" ht="14.25" thickTop="1" thickBot="1" x14ac:dyDescent="0.25">
      <c r="A2499" s="657" t="s">
        <v>692</v>
      </c>
      <c r="B2499" s="835" t="s">
        <v>180</v>
      </c>
      <c r="C2499" s="658" t="s">
        <v>181</v>
      </c>
      <c r="D2499" s="660" t="s">
        <v>783</v>
      </c>
      <c r="E2499" s="660" t="s">
        <v>182</v>
      </c>
      <c r="F2499" s="660" t="s">
        <v>183</v>
      </c>
      <c r="G2499" s="660" t="s">
        <v>985</v>
      </c>
      <c r="H2499" s="660" t="s">
        <v>986</v>
      </c>
      <c r="I2499" s="888" t="s">
        <v>987</v>
      </c>
    </row>
    <row r="2500" spans="1:20" ht="14.25" thickTop="1" thickBot="1" x14ac:dyDescent="0.25">
      <c r="A2500" s="592">
        <v>1</v>
      </c>
      <c r="B2500" s="593">
        <v>2</v>
      </c>
      <c r="C2500" s="593">
        <v>3</v>
      </c>
      <c r="D2500" s="593">
        <v>4</v>
      </c>
      <c r="E2500" s="593">
        <v>5</v>
      </c>
      <c r="F2500" s="567">
        <v>6</v>
      </c>
      <c r="G2500" s="567">
        <v>7</v>
      </c>
      <c r="H2500" s="568">
        <v>8</v>
      </c>
      <c r="I2500" s="662" t="s">
        <v>848</v>
      </c>
    </row>
    <row r="2501" spans="1:20" ht="15.75" thickTop="1" x14ac:dyDescent="0.25">
      <c r="A2501" s="435">
        <v>1355</v>
      </c>
      <c r="B2501" s="808">
        <v>3421</v>
      </c>
      <c r="C2501" s="808">
        <v>5331</v>
      </c>
      <c r="D2501" s="929"/>
      <c r="E2501" s="704" t="s">
        <v>1066</v>
      </c>
      <c r="F2501" s="905">
        <f>F2502+F2503+F2504+F2505</f>
        <v>969</v>
      </c>
      <c r="G2501" s="905">
        <f>G2502+G2503+G2504+G2505</f>
        <v>1399</v>
      </c>
      <c r="H2501" s="905">
        <f>H2502+H2503+H2504+H2505</f>
        <v>1399</v>
      </c>
      <c r="I2501" s="906">
        <f t="shared" ref="I2501:I2508" si="118">(H2501/G2501)*100</f>
        <v>100</v>
      </c>
    </row>
    <row r="2502" spans="1:20" ht="14.25" x14ac:dyDescent="0.2">
      <c r="A2502" s="435"/>
      <c r="B2502" s="705"/>
      <c r="C2502" s="705"/>
      <c r="D2502" s="743" t="s">
        <v>641</v>
      </c>
      <c r="E2502" s="1679" t="s">
        <v>883</v>
      </c>
      <c r="F2502" s="897">
        <v>48</v>
      </c>
      <c r="G2502" s="897">
        <v>48</v>
      </c>
      <c r="H2502" s="897">
        <v>48</v>
      </c>
      <c r="I2502" s="893">
        <f t="shared" si="118"/>
        <v>100</v>
      </c>
    </row>
    <row r="2503" spans="1:20" ht="14.25" x14ac:dyDescent="0.2">
      <c r="A2503" s="435"/>
      <c r="B2503" s="705"/>
      <c r="C2503" s="705"/>
      <c r="D2503" s="743" t="s">
        <v>385</v>
      </c>
      <c r="E2503" s="1679" t="s">
        <v>930</v>
      </c>
      <c r="F2503" s="897"/>
      <c r="G2503" s="897">
        <v>29</v>
      </c>
      <c r="H2503" s="897">
        <v>29</v>
      </c>
      <c r="I2503" s="893">
        <f t="shared" si="118"/>
        <v>100</v>
      </c>
    </row>
    <row r="2504" spans="1:20" ht="14.25" x14ac:dyDescent="0.2">
      <c r="A2504" s="435"/>
      <c r="B2504" s="705"/>
      <c r="C2504" s="705"/>
      <c r="D2504" s="578" t="s">
        <v>636</v>
      </c>
      <c r="E2504" s="474" t="s">
        <v>72</v>
      </c>
      <c r="F2504" s="897">
        <v>921</v>
      </c>
      <c r="G2504" s="897">
        <v>1106</v>
      </c>
      <c r="H2504" s="897">
        <v>1106</v>
      </c>
      <c r="I2504" s="893">
        <f t="shared" si="118"/>
        <v>100</v>
      </c>
    </row>
    <row r="2505" spans="1:20" ht="14.25" x14ac:dyDescent="0.2">
      <c r="A2505" s="435"/>
      <c r="B2505" s="705"/>
      <c r="C2505" s="705"/>
      <c r="D2505" s="805" t="s">
        <v>1271</v>
      </c>
      <c r="E2505" s="1733" t="s">
        <v>462</v>
      </c>
      <c r="F2505" s="897"/>
      <c r="G2505" s="897">
        <v>216</v>
      </c>
      <c r="H2505" s="897">
        <v>216</v>
      </c>
      <c r="I2505" s="893">
        <f t="shared" si="118"/>
        <v>100</v>
      </c>
    </row>
    <row r="2506" spans="1:20" ht="15" x14ac:dyDescent="0.25">
      <c r="A2506" s="435">
        <v>1355</v>
      </c>
      <c r="B2506" s="705">
        <v>3421</v>
      </c>
      <c r="C2506" s="705">
        <v>5336</v>
      </c>
      <c r="D2506" s="805"/>
      <c r="E2506" s="1564" t="s">
        <v>1357</v>
      </c>
      <c r="F2506" s="897"/>
      <c r="G2506" s="921">
        <v>6829</v>
      </c>
      <c r="H2506" s="921">
        <v>6829</v>
      </c>
      <c r="I2506" s="923">
        <f t="shared" si="118"/>
        <v>100</v>
      </c>
    </row>
    <row r="2507" spans="1:20" ht="15" thickBot="1" x14ac:dyDescent="0.25">
      <c r="A2507" s="435"/>
      <c r="B2507" s="705"/>
      <c r="C2507" s="1550"/>
      <c r="D2507" s="578" t="s">
        <v>1267</v>
      </c>
      <c r="E2507" s="474" t="s">
        <v>882</v>
      </c>
      <c r="F2507" s="897"/>
      <c r="G2507" s="897">
        <v>6829</v>
      </c>
      <c r="H2507" s="897">
        <v>6829</v>
      </c>
      <c r="I2507" s="893">
        <f t="shared" si="118"/>
        <v>100</v>
      </c>
    </row>
    <row r="2508" spans="1:20" s="107" customFormat="1" ht="16.5" thickTop="1" thickBot="1" x14ac:dyDescent="0.3">
      <c r="A2508" s="2739" t="s">
        <v>1246</v>
      </c>
      <c r="B2508" s="2740"/>
      <c r="C2508" s="2740"/>
      <c r="D2508" s="2740"/>
      <c r="E2508" s="2740"/>
      <c r="F2508" s="894">
        <f>F2501+F2506</f>
        <v>969</v>
      </c>
      <c r="G2508" s="894">
        <f>G2501+G2506</f>
        <v>8228</v>
      </c>
      <c r="H2508" s="894">
        <f>H2501+H2506</f>
        <v>8228</v>
      </c>
      <c r="I2508" s="895">
        <f t="shared" si="118"/>
        <v>100</v>
      </c>
      <c r="R2508" s="385">
        <f>F2508</f>
        <v>969</v>
      </c>
      <c r="S2508" s="385">
        <f>G2508</f>
        <v>8228</v>
      </c>
      <c r="T2508" s="385">
        <f>H2508</f>
        <v>8228</v>
      </c>
    </row>
    <row r="2509" spans="1:20" s="386" customFormat="1" ht="13.5" thickTop="1" x14ac:dyDescent="0.2">
      <c r="A2509" s="384"/>
      <c r="B2509" s="669"/>
      <c r="C2509" s="384"/>
      <c r="D2509" s="884"/>
      <c r="E2509" s="384"/>
      <c r="F2509" s="385"/>
      <c r="G2509" s="385"/>
      <c r="H2509" s="385"/>
      <c r="I2509" s="1548"/>
    </row>
    <row r="2510" spans="1:20" ht="13.5" thickBot="1" x14ac:dyDescent="0.25">
      <c r="A2510" s="439" t="s">
        <v>753</v>
      </c>
      <c r="I2510" s="1548" t="s">
        <v>179</v>
      </c>
    </row>
    <row r="2511" spans="1:20" ht="14.25" thickTop="1" thickBot="1" x14ac:dyDescent="0.25">
      <c r="A2511" s="657" t="s">
        <v>692</v>
      </c>
      <c r="B2511" s="835" t="s">
        <v>180</v>
      </c>
      <c r="C2511" s="658" t="s">
        <v>181</v>
      </c>
      <c r="D2511" s="660" t="s">
        <v>783</v>
      </c>
      <c r="E2511" s="660" t="s">
        <v>182</v>
      </c>
      <c r="F2511" s="660" t="s">
        <v>183</v>
      </c>
      <c r="G2511" s="660" t="s">
        <v>985</v>
      </c>
      <c r="H2511" s="660" t="s">
        <v>986</v>
      </c>
      <c r="I2511" s="888" t="s">
        <v>987</v>
      </c>
    </row>
    <row r="2512" spans="1:20" ht="14.25" thickTop="1" thickBot="1" x14ac:dyDescent="0.25">
      <c r="A2512" s="592">
        <v>1</v>
      </c>
      <c r="B2512" s="593">
        <v>2</v>
      </c>
      <c r="C2512" s="593">
        <v>3</v>
      </c>
      <c r="D2512" s="593">
        <v>4</v>
      </c>
      <c r="E2512" s="593">
        <v>5</v>
      </c>
      <c r="F2512" s="567">
        <v>6</v>
      </c>
      <c r="G2512" s="567">
        <v>7</v>
      </c>
      <c r="H2512" s="568">
        <v>8</v>
      </c>
      <c r="I2512" s="662" t="s">
        <v>848</v>
      </c>
    </row>
    <row r="2513" spans="1:20" ht="15.75" thickTop="1" x14ac:dyDescent="0.25">
      <c r="A2513" s="1562">
        <v>1400</v>
      </c>
      <c r="B2513" s="917">
        <v>3299</v>
      </c>
      <c r="C2513" s="917">
        <v>5331</v>
      </c>
      <c r="D2513" s="922"/>
      <c r="E2513" s="956" t="s">
        <v>1066</v>
      </c>
      <c r="F2513" s="915"/>
      <c r="G2513" s="915">
        <v>7</v>
      </c>
      <c r="H2513" s="915">
        <v>7</v>
      </c>
      <c r="I2513" s="919">
        <f>(H2513/G2513)*100</f>
        <v>100</v>
      </c>
    </row>
    <row r="2514" spans="1:20" ht="14.25" x14ac:dyDescent="0.2">
      <c r="A2514" s="435"/>
      <c r="B2514" s="705"/>
      <c r="C2514" s="705"/>
      <c r="D2514" s="1179" t="s">
        <v>1265</v>
      </c>
      <c r="E2514" s="1427" t="s">
        <v>441</v>
      </c>
      <c r="F2514" s="897"/>
      <c r="G2514" s="897">
        <v>7</v>
      </c>
      <c r="H2514" s="897">
        <v>7</v>
      </c>
      <c r="I2514" s="893">
        <v>7</v>
      </c>
    </row>
    <row r="2515" spans="1:20" ht="15" x14ac:dyDescent="0.25">
      <c r="A2515" s="435">
        <v>1400</v>
      </c>
      <c r="B2515" s="705">
        <v>4322</v>
      </c>
      <c r="C2515" s="705">
        <v>5331</v>
      </c>
      <c r="D2515" s="889"/>
      <c r="E2515" s="854" t="s">
        <v>1066</v>
      </c>
      <c r="F2515" s="890">
        <f>SUM(F2516:F2519)</f>
        <v>4183</v>
      </c>
      <c r="G2515" s="890">
        <f>G2516+G2517</f>
        <v>4215</v>
      </c>
      <c r="H2515" s="890">
        <f>H2516+H2517</f>
        <v>4215</v>
      </c>
      <c r="I2515" s="891">
        <v>100</v>
      </c>
    </row>
    <row r="2516" spans="1:20" ht="14.25" x14ac:dyDescent="0.2">
      <c r="A2516" s="435"/>
      <c r="B2516" s="705"/>
      <c r="C2516" s="705"/>
      <c r="D2516" s="743" t="s">
        <v>641</v>
      </c>
      <c r="E2516" s="1679" t="s">
        <v>883</v>
      </c>
      <c r="F2516" s="897">
        <v>576</v>
      </c>
      <c r="G2516" s="897">
        <v>608</v>
      </c>
      <c r="H2516" s="897">
        <v>608</v>
      </c>
      <c r="I2516" s="893">
        <f>(H2516/G2516)*100</f>
        <v>100</v>
      </c>
    </row>
    <row r="2517" spans="1:20" ht="14.25" x14ac:dyDescent="0.2">
      <c r="A2517" s="435"/>
      <c r="B2517" s="705"/>
      <c r="C2517" s="705"/>
      <c r="D2517" s="578" t="s">
        <v>636</v>
      </c>
      <c r="E2517" s="474" t="s">
        <v>72</v>
      </c>
      <c r="F2517" s="897">
        <v>3607</v>
      </c>
      <c r="G2517" s="897">
        <v>3607</v>
      </c>
      <c r="H2517" s="897">
        <v>3607</v>
      </c>
      <c r="I2517" s="893">
        <f>(H2517/G2517)*100</f>
        <v>100</v>
      </c>
    </row>
    <row r="2518" spans="1:20" ht="15" x14ac:dyDescent="0.25">
      <c r="A2518" s="435">
        <v>1400</v>
      </c>
      <c r="B2518" s="705">
        <v>4322</v>
      </c>
      <c r="C2518" s="705">
        <v>5336</v>
      </c>
      <c r="D2518" s="1178"/>
      <c r="E2518" s="1564" t="s">
        <v>1357</v>
      </c>
      <c r="F2518" s="897"/>
      <c r="G2518" s="921">
        <v>12743</v>
      </c>
      <c r="H2518" s="921">
        <v>12743</v>
      </c>
      <c r="I2518" s="923">
        <f>(H2518/G2518)*100</f>
        <v>100</v>
      </c>
    </row>
    <row r="2519" spans="1:20" ht="15" thickBot="1" x14ac:dyDescent="0.25">
      <c r="A2519" s="435"/>
      <c r="B2519" s="705"/>
      <c r="C2519" s="705"/>
      <c r="D2519" s="578" t="s">
        <v>1267</v>
      </c>
      <c r="E2519" s="474" t="s">
        <v>882</v>
      </c>
      <c r="F2519" s="897"/>
      <c r="G2519" s="897">
        <v>12743</v>
      </c>
      <c r="H2519" s="897">
        <v>12743</v>
      </c>
      <c r="I2519" s="893">
        <f>(H2519/G2519)*100</f>
        <v>100</v>
      </c>
    </row>
    <row r="2520" spans="1:20" ht="16.5" thickTop="1" thickBot="1" x14ac:dyDescent="0.3">
      <c r="A2520" s="2739" t="s">
        <v>1246</v>
      </c>
      <c r="B2520" s="2740"/>
      <c r="C2520" s="2740"/>
      <c r="D2520" s="2740"/>
      <c r="E2520" s="2740"/>
      <c r="F2520" s="894">
        <f>F2515+F2513</f>
        <v>4183</v>
      </c>
      <c r="G2520" s="894">
        <f>G2513+G2515+G2518</f>
        <v>16965</v>
      </c>
      <c r="H2520" s="894">
        <f>H2513+H2515+H2518</f>
        <v>16965</v>
      </c>
      <c r="I2520" s="895">
        <f>(H2520/G2520)*100</f>
        <v>100</v>
      </c>
      <c r="R2520" s="385">
        <f>F2520</f>
        <v>4183</v>
      </c>
      <c r="S2520" s="385">
        <f>G2520</f>
        <v>16965</v>
      </c>
      <c r="T2520" s="385">
        <f>H2520</f>
        <v>16965</v>
      </c>
    </row>
    <row r="2521" spans="1:20" ht="13.5" thickTop="1" x14ac:dyDescent="0.2"/>
    <row r="2522" spans="1:20" ht="13.5" thickBot="1" x14ac:dyDescent="0.25">
      <c r="A2522" s="439" t="s">
        <v>754</v>
      </c>
      <c r="B2522" s="983"/>
      <c r="C2522" s="439"/>
      <c r="D2522" s="1734"/>
      <c r="E2522" s="439"/>
      <c r="I2522" s="1548" t="s">
        <v>179</v>
      </c>
    </row>
    <row r="2523" spans="1:20" ht="14.25" thickTop="1" thickBot="1" x14ac:dyDescent="0.25">
      <c r="A2523" s="657" t="s">
        <v>692</v>
      </c>
      <c r="B2523" s="835" t="s">
        <v>180</v>
      </c>
      <c r="C2523" s="658" t="s">
        <v>181</v>
      </c>
      <c r="D2523" s="660" t="s">
        <v>783</v>
      </c>
      <c r="E2523" s="660" t="s">
        <v>182</v>
      </c>
      <c r="F2523" s="660" t="s">
        <v>183</v>
      </c>
      <c r="G2523" s="660" t="s">
        <v>985</v>
      </c>
      <c r="H2523" s="660" t="s">
        <v>986</v>
      </c>
      <c r="I2523" s="888" t="s">
        <v>987</v>
      </c>
    </row>
    <row r="2524" spans="1:20" ht="14.25" thickTop="1" thickBot="1" x14ac:dyDescent="0.25">
      <c r="A2524" s="592">
        <v>1</v>
      </c>
      <c r="B2524" s="593">
        <v>2</v>
      </c>
      <c r="C2524" s="593">
        <v>3</v>
      </c>
      <c r="D2524" s="593">
        <v>4</v>
      </c>
      <c r="E2524" s="593">
        <v>5</v>
      </c>
      <c r="F2524" s="567">
        <v>6</v>
      </c>
      <c r="G2524" s="567">
        <v>7</v>
      </c>
      <c r="H2524" s="568">
        <v>8</v>
      </c>
      <c r="I2524" s="662" t="s">
        <v>848</v>
      </c>
    </row>
    <row r="2525" spans="1:20" ht="15.75" thickTop="1" x14ac:dyDescent="0.25">
      <c r="A2525" s="435">
        <v>1401</v>
      </c>
      <c r="B2525" s="705">
        <v>4322</v>
      </c>
      <c r="C2525" s="705">
        <v>5331</v>
      </c>
      <c r="D2525" s="889"/>
      <c r="E2525" s="854" t="s">
        <v>1066</v>
      </c>
      <c r="F2525" s="890">
        <f>SUM(F2526:F2529)</f>
        <v>1601</v>
      </c>
      <c r="G2525" s="890">
        <f>G2526+G2527</f>
        <v>1601</v>
      </c>
      <c r="H2525" s="890">
        <f>H2526+H2527</f>
        <v>1601</v>
      </c>
      <c r="I2525" s="891">
        <v>100</v>
      </c>
    </row>
    <row r="2526" spans="1:20" ht="14.25" x14ac:dyDescent="0.2">
      <c r="A2526" s="435"/>
      <c r="B2526" s="705"/>
      <c r="C2526" s="705"/>
      <c r="D2526" s="743" t="s">
        <v>641</v>
      </c>
      <c r="E2526" s="1679" t="s">
        <v>883</v>
      </c>
      <c r="F2526" s="897">
        <v>280</v>
      </c>
      <c r="G2526" s="897">
        <v>280</v>
      </c>
      <c r="H2526" s="897">
        <v>280</v>
      </c>
      <c r="I2526" s="893">
        <f>(H2526/G2526)*100</f>
        <v>100</v>
      </c>
    </row>
    <row r="2527" spans="1:20" ht="14.25" x14ac:dyDescent="0.2">
      <c r="A2527" s="435"/>
      <c r="B2527" s="705"/>
      <c r="C2527" s="705"/>
      <c r="D2527" s="578" t="s">
        <v>636</v>
      </c>
      <c r="E2527" s="474" t="s">
        <v>72</v>
      </c>
      <c r="F2527" s="897">
        <v>1321</v>
      </c>
      <c r="G2527" s="897">
        <v>1321</v>
      </c>
      <c r="H2527" s="897">
        <v>1321</v>
      </c>
      <c r="I2527" s="893">
        <f>(H2527/G2527)*100</f>
        <v>100</v>
      </c>
    </row>
    <row r="2528" spans="1:20" ht="15" x14ac:dyDescent="0.25">
      <c r="A2528" s="435">
        <v>1401</v>
      </c>
      <c r="B2528" s="705">
        <v>4322</v>
      </c>
      <c r="C2528" s="705">
        <v>5336</v>
      </c>
      <c r="D2528" s="1178"/>
      <c r="E2528" s="1564" t="s">
        <v>1357</v>
      </c>
      <c r="F2528" s="897"/>
      <c r="G2528" s="921">
        <v>4353</v>
      </c>
      <c r="H2528" s="921">
        <v>4353</v>
      </c>
      <c r="I2528" s="923">
        <f>(H2528/G2528)*100</f>
        <v>100</v>
      </c>
    </row>
    <row r="2529" spans="1:20" ht="15" thickBot="1" x14ac:dyDescent="0.25">
      <c r="A2529" s="435"/>
      <c r="B2529" s="705"/>
      <c r="C2529" s="1550"/>
      <c r="D2529" s="578" t="s">
        <v>1267</v>
      </c>
      <c r="E2529" s="474" t="s">
        <v>882</v>
      </c>
      <c r="F2529" s="897"/>
      <c r="G2529" s="897">
        <v>4353</v>
      </c>
      <c r="H2529" s="897">
        <v>4353</v>
      </c>
      <c r="I2529" s="893">
        <f>(H2529/G2529)*100</f>
        <v>100</v>
      </c>
    </row>
    <row r="2530" spans="1:20" ht="16.5" thickTop="1" thickBot="1" x14ac:dyDescent="0.3">
      <c r="A2530" s="2739" t="s">
        <v>1246</v>
      </c>
      <c r="B2530" s="2740"/>
      <c r="C2530" s="2740"/>
      <c r="D2530" s="2740"/>
      <c r="E2530" s="2740"/>
      <c r="F2530" s="894">
        <f>F2525</f>
        <v>1601</v>
      </c>
      <c r="G2530" s="894">
        <f>G2525+G2528</f>
        <v>5954</v>
      </c>
      <c r="H2530" s="894">
        <f>H2525+H2528</f>
        <v>5954</v>
      </c>
      <c r="I2530" s="895">
        <f>(H2530/G2530)*100</f>
        <v>100</v>
      </c>
      <c r="R2530" s="385">
        <f>F2530</f>
        <v>1601</v>
      </c>
      <c r="S2530" s="385">
        <f>G2530</f>
        <v>5954</v>
      </c>
      <c r="T2530" s="385">
        <f>H2530</f>
        <v>5954</v>
      </c>
    </row>
    <row r="2531" spans="1:20" ht="13.5" thickTop="1" x14ac:dyDescent="0.2"/>
    <row r="2532" spans="1:20" ht="13.5" thickBot="1" x14ac:dyDescent="0.25">
      <c r="A2532" s="439" t="s">
        <v>755</v>
      </c>
      <c r="I2532" s="1548" t="s">
        <v>179</v>
      </c>
    </row>
    <row r="2533" spans="1:20" ht="14.25" thickTop="1" thickBot="1" x14ac:dyDescent="0.25">
      <c r="A2533" s="657" t="s">
        <v>692</v>
      </c>
      <c r="B2533" s="835" t="s">
        <v>180</v>
      </c>
      <c r="C2533" s="658" t="s">
        <v>181</v>
      </c>
      <c r="D2533" s="660" t="s">
        <v>783</v>
      </c>
      <c r="E2533" s="660" t="s">
        <v>182</v>
      </c>
      <c r="F2533" s="660" t="s">
        <v>183</v>
      </c>
      <c r="G2533" s="660" t="s">
        <v>985</v>
      </c>
      <c r="H2533" s="660" t="s">
        <v>986</v>
      </c>
      <c r="I2533" s="888" t="s">
        <v>987</v>
      </c>
    </row>
    <row r="2534" spans="1:20" ht="14.25" thickTop="1" thickBot="1" x14ac:dyDescent="0.25">
      <c r="A2534" s="592">
        <v>1</v>
      </c>
      <c r="B2534" s="593">
        <v>2</v>
      </c>
      <c r="C2534" s="593">
        <v>3</v>
      </c>
      <c r="D2534" s="593">
        <v>4</v>
      </c>
      <c r="E2534" s="593">
        <v>5</v>
      </c>
      <c r="F2534" s="567">
        <v>6</v>
      </c>
      <c r="G2534" s="567">
        <v>7</v>
      </c>
      <c r="H2534" s="568">
        <v>8</v>
      </c>
      <c r="I2534" s="662" t="s">
        <v>848</v>
      </c>
    </row>
    <row r="2535" spans="1:20" ht="15.75" thickTop="1" x14ac:dyDescent="0.25">
      <c r="A2535" s="435">
        <v>1402</v>
      </c>
      <c r="B2535" s="705">
        <v>4322</v>
      </c>
      <c r="C2535" s="705">
        <v>5331</v>
      </c>
      <c r="D2535" s="889"/>
      <c r="E2535" s="854" t="s">
        <v>1066</v>
      </c>
      <c r="F2535" s="890">
        <f>F2536+F2537+F2538</f>
        <v>1791</v>
      </c>
      <c r="G2535" s="890">
        <f>G2536+G2537+G2538</f>
        <v>1976</v>
      </c>
      <c r="H2535" s="890">
        <f>H2536+H2537+H2538</f>
        <v>1976</v>
      </c>
      <c r="I2535" s="891">
        <v>100</v>
      </c>
    </row>
    <row r="2536" spans="1:20" ht="14.25" x14ac:dyDescent="0.2">
      <c r="A2536" s="435"/>
      <c r="B2536" s="705"/>
      <c r="C2536" s="705"/>
      <c r="D2536" s="743" t="s">
        <v>641</v>
      </c>
      <c r="E2536" s="1679" t="s">
        <v>883</v>
      </c>
      <c r="F2536" s="897">
        <v>65</v>
      </c>
      <c r="G2536" s="897">
        <v>50</v>
      </c>
      <c r="H2536" s="897">
        <v>50</v>
      </c>
      <c r="I2536" s="893">
        <f t="shared" ref="I2536:I2541" si="119">(H2536/G2536)*100</f>
        <v>100</v>
      </c>
    </row>
    <row r="2537" spans="1:20" ht="14.25" x14ac:dyDescent="0.2">
      <c r="A2537" s="435"/>
      <c r="B2537" s="705"/>
      <c r="C2537" s="705"/>
      <c r="D2537" s="578" t="s">
        <v>636</v>
      </c>
      <c r="E2537" s="474" t="s">
        <v>72</v>
      </c>
      <c r="F2537" s="897">
        <v>1726</v>
      </c>
      <c r="G2537" s="897">
        <v>1726</v>
      </c>
      <c r="H2537" s="897">
        <v>1726</v>
      </c>
      <c r="I2537" s="893">
        <f t="shared" si="119"/>
        <v>100</v>
      </c>
    </row>
    <row r="2538" spans="1:20" ht="14.25" x14ac:dyDescent="0.2">
      <c r="A2538" s="435"/>
      <c r="B2538" s="705"/>
      <c r="C2538" s="910"/>
      <c r="D2538" s="1179" t="s">
        <v>1536</v>
      </c>
      <c r="E2538" s="1702" t="s">
        <v>1537</v>
      </c>
      <c r="F2538" s="897"/>
      <c r="G2538" s="897">
        <v>200</v>
      </c>
      <c r="H2538" s="897">
        <v>200</v>
      </c>
      <c r="I2538" s="893">
        <f t="shared" si="119"/>
        <v>100</v>
      </c>
    </row>
    <row r="2539" spans="1:20" ht="15" x14ac:dyDescent="0.25">
      <c r="A2539" s="435">
        <v>1402</v>
      </c>
      <c r="B2539" s="705">
        <v>4322</v>
      </c>
      <c r="C2539" s="910">
        <v>5336</v>
      </c>
      <c r="D2539" s="1179"/>
      <c r="E2539" s="1564" t="s">
        <v>1357</v>
      </c>
      <c r="F2539" s="897"/>
      <c r="G2539" s="921">
        <v>6377</v>
      </c>
      <c r="H2539" s="921">
        <v>6377</v>
      </c>
      <c r="I2539" s="923">
        <f t="shared" si="119"/>
        <v>100</v>
      </c>
    </row>
    <row r="2540" spans="1:20" ht="15" thickBot="1" x14ac:dyDescent="0.25">
      <c r="A2540" s="435"/>
      <c r="B2540" s="705"/>
      <c r="C2540" s="910"/>
      <c r="D2540" s="578" t="s">
        <v>1267</v>
      </c>
      <c r="E2540" s="474" t="s">
        <v>882</v>
      </c>
      <c r="F2540" s="897"/>
      <c r="G2540" s="897">
        <v>6377</v>
      </c>
      <c r="H2540" s="897">
        <v>6377</v>
      </c>
      <c r="I2540" s="893">
        <f t="shared" si="119"/>
        <v>100</v>
      </c>
    </row>
    <row r="2541" spans="1:20" ht="16.5" thickTop="1" thickBot="1" x14ac:dyDescent="0.3">
      <c r="A2541" s="2739" t="s">
        <v>1246</v>
      </c>
      <c r="B2541" s="2740"/>
      <c r="C2541" s="2740"/>
      <c r="D2541" s="2740"/>
      <c r="E2541" s="2740"/>
      <c r="F2541" s="894">
        <f>F2535</f>
        <v>1791</v>
      </c>
      <c r="G2541" s="894">
        <f>G2535+G2539</f>
        <v>8353</v>
      </c>
      <c r="H2541" s="894">
        <f>H2535+H2539</f>
        <v>8353</v>
      </c>
      <c r="I2541" s="895">
        <f t="shared" si="119"/>
        <v>100</v>
      </c>
      <c r="R2541" s="385">
        <f>F2541</f>
        <v>1791</v>
      </c>
      <c r="S2541" s="385">
        <f>G2541</f>
        <v>8353</v>
      </c>
      <c r="T2541" s="385">
        <f>H2541</f>
        <v>8353</v>
      </c>
    </row>
    <row r="2542" spans="1:20" ht="13.5" thickTop="1" x14ac:dyDescent="0.2"/>
    <row r="2543" spans="1:20" ht="13.5" thickBot="1" x14ac:dyDescent="0.25">
      <c r="A2543" s="439" t="s">
        <v>756</v>
      </c>
      <c r="I2543" s="1548" t="s">
        <v>179</v>
      </c>
    </row>
    <row r="2544" spans="1:20" ht="14.25" thickTop="1" thickBot="1" x14ac:dyDescent="0.25">
      <c r="A2544" s="657" t="s">
        <v>692</v>
      </c>
      <c r="B2544" s="835" t="s">
        <v>180</v>
      </c>
      <c r="C2544" s="658" t="s">
        <v>181</v>
      </c>
      <c r="D2544" s="660" t="s">
        <v>783</v>
      </c>
      <c r="E2544" s="660" t="s">
        <v>182</v>
      </c>
      <c r="F2544" s="660" t="s">
        <v>183</v>
      </c>
      <c r="G2544" s="660" t="s">
        <v>985</v>
      </c>
      <c r="H2544" s="660" t="s">
        <v>986</v>
      </c>
      <c r="I2544" s="888" t="s">
        <v>987</v>
      </c>
    </row>
    <row r="2545" spans="1:20" ht="14.25" thickTop="1" thickBot="1" x14ac:dyDescent="0.25">
      <c r="A2545" s="592">
        <v>1</v>
      </c>
      <c r="B2545" s="593">
        <v>2</v>
      </c>
      <c r="C2545" s="593">
        <v>3</v>
      </c>
      <c r="D2545" s="593">
        <v>4</v>
      </c>
      <c r="E2545" s="593">
        <v>5</v>
      </c>
      <c r="F2545" s="567">
        <v>6</v>
      </c>
      <c r="G2545" s="567">
        <v>7</v>
      </c>
      <c r="H2545" s="568">
        <v>8</v>
      </c>
      <c r="I2545" s="662" t="s">
        <v>848</v>
      </c>
    </row>
    <row r="2546" spans="1:20" ht="15.75" thickTop="1" x14ac:dyDescent="0.25">
      <c r="A2546" s="435">
        <v>1403</v>
      </c>
      <c r="B2546" s="705">
        <v>4322</v>
      </c>
      <c r="C2546" s="705">
        <v>5331</v>
      </c>
      <c r="D2546" s="889"/>
      <c r="E2546" s="854" t="s">
        <v>1066</v>
      </c>
      <c r="F2546" s="890">
        <f>F2547+F2548</f>
        <v>2110</v>
      </c>
      <c r="G2546" s="890">
        <f>G2547+G2548</f>
        <v>2110</v>
      </c>
      <c r="H2546" s="890">
        <f>H2547+H2548</f>
        <v>2110</v>
      </c>
      <c r="I2546" s="891">
        <v>100</v>
      </c>
    </row>
    <row r="2547" spans="1:20" ht="14.25" x14ac:dyDescent="0.2">
      <c r="A2547" s="435"/>
      <c r="B2547" s="705"/>
      <c r="C2547" s="705"/>
      <c r="D2547" s="743" t="s">
        <v>641</v>
      </c>
      <c r="E2547" s="1679" t="s">
        <v>883</v>
      </c>
      <c r="F2547" s="897">
        <v>239</v>
      </c>
      <c r="G2547" s="897">
        <v>239</v>
      </c>
      <c r="H2547" s="897">
        <v>239</v>
      </c>
      <c r="I2547" s="893">
        <f>(H2547/G2547)*100</f>
        <v>100</v>
      </c>
    </row>
    <row r="2548" spans="1:20" ht="14.25" x14ac:dyDescent="0.2">
      <c r="A2548" s="435"/>
      <c r="B2548" s="705"/>
      <c r="C2548" s="705"/>
      <c r="D2548" s="578" t="s">
        <v>636</v>
      </c>
      <c r="E2548" s="474" t="s">
        <v>72</v>
      </c>
      <c r="F2548" s="897">
        <v>1871</v>
      </c>
      <c r="G2548" s="897">
        <v>1871</v>
      </c>
      <c r="H2548" s="897">
        <v>1871</v>
      </c>
      <c r="I2548" s="893">
        <f>(H2548/G2548)*100</f>
        <v>100</v>
      </c>
    </row>
    <row r="2549" spans="1:20" ht="15" x14ac:dyDescent="0.25">
      <c r="A2549" s="435">
        <v>1403</v>
      </c>
      <c r="B2549" s="705">
        <v>4322</v>
      </c>
      <c r="C2549" s="705">
        <v>5336</v>
      </c>
      <c r="D2549" s="1178"/>
      <c r="E2549" s="1564" t="s">
        <v>1357</v>
      </c>
      <c r="F2549" s="897"/>
      <c r="G2549" s="921">
        <v>8498</v>
      </c>
      <c r="H2549" s="921">
        <v>8498</v>
      </c>
      <c r="I2549" s="923">
        <f>(H2549/G2549)*100</f>
        <v>100</v>
      </c>
    </row>
    <row r="2550" spans="1:20" ht="15" thickBot="1" x14ac:dyDescent="0.25">
      <c r="A2550" s="435"/>
      <c r="B2550" s="705"/>
      <c r="C2550" s="1550"/>
      <c r="D2550" s="578" t="s">
        <v>1267</v>
      </c>
      <c r="E2550" s="474" t="s">
        <v>882</v>
      </c>
      <c r="F2550" s="897"/>
      <c r="G2550" s="897">
        <v>8498</v>
      </c>
      <c r="H2550" s="897">
        <v>8498</v>
      </c>
      <c r="I2550" s="893">
        <f>(H2550/G2550)*100</f>
        <v>100</v>
      </c>
    </row>
    <row r="2551" spans="1:20" ht="16.5" thickTop="1" thickBot="1" x14ac:dyDescent="0.3">
      <c r="A2551" s="2739" t="s">
        <v>1246</v>
      </c>
      <c r="B2551" s="2740"/>
      <c r="C2551" s="2740"/>
      <c r="D2551" s="2740"/>
      <c r="E2551" s="2740"/>
      <c r="F2551" s="894">
        <f>F2546</f>
        <v>2110</v>
      </c>
      <c r="G2551" s="894">
        <f>G2546+G2549</f>
        <v>10608</v>
      </c>
      <c r="H2551" s="894">
        <f>H2546+H2549</f>
        <v>10608</v>
      </c>
      <c r="I2551" s="895">
        <f>(H2551/G2551)*100</f>
        <v>100</v>
      </c>
      <c r="R2551" s="385">
        <f>F2551</f>
        <v>2110</v>
      </c>
      <c r="S2551" s="385">
        <f>G2551</f>
        <v>10608</v>
      </c>
      <c r="T2551" s="385">
        <f>H2551</f>
        <v>10608</v>
      </c>
    </row>
    <row r="2552" spans="1:20" ht="13.5" thickTop="1" x14ac:dyDescent="0.2"/>
    <row r="2553" spans="1:20" ht="13.5" thickBot="1" x14ac:dyDescent="0.25">
      <c r="A2553" s="439" t="s">
        <v>845</v>
      </c>
      <c r="I2553" s="1548" t="s">
        <v>179</v>
      </c>
    </row>
    <row r="2554" spans="1:20" ht="14.25" thickTop="1" thickBot="1" x14ac:dyDescent="0.25">
      <c r="A2554" s="657" t="s">
        <v>692</v>
      </c>
      <c r="B2554" s="835" t="s">
        <v>180</v>
      </c>
      <c r="C2554" s="658" t="s">
        <v>181</v>
      </c>
      <c r="D2554" s="660" t="s">
        <v>783</v>
      </c>
      <c r="E2554" s="660" t="s">
        <v>182</v>
      </c>
      <c r="F2554" s="660" t="s">
        <v>183</v>
      </c>
      <c r="G2554" s="660" t="s">
        <v>985</v>
      </c>
      <c r="H2554" s="660" t="s">
        <v>986</v>
      </c>
      <c r="I2554" s="888" t="s">
        <v>987</v>
      </c>
    </row>
    <row r="2555" spans="1:20" ht="14.25" thickTop="1" thickBot="1" x14ac:dyDescent="0.25">
      <c r="A2555" s="592">
        <v>1</v>
      </c>
      <c r="B2555" s="593">
        <v>2</v>
      </c>
      <c r="C2555" s="593">
        <v>3</v>
      </c>
      <c r="D2555" s="593">
        <v>4</v>
      </c>
      <c r="E2555" s="593">
        <v>5</v>
      </c>
      <c r="F2555" s="567">
        <v>6</v>
      </c>
      <c r="G2555" s="567">
        <v>7</v>
      </c>
      <c r="H2555" s="568">
        <v>8</v>
      </c>
      <c r="I2555" s="662" t="s">
        <v>848</v>
      </c>
    </row>
    <row r="2556" spans="1:20" ht="15.75" thickTop="1" x14ac:dyDescent="0.25">
      <c r="A2556" s="435">
        <v>1404</v>
      </c>
      <c r="B2556" s="705">
        <v>4322</v>
      </c>
      <c r="C2556" s="705">
        <v>5331</v>
      </c>
      <c r="D2556" s="889"/>
      <c r="E2556" s="854" t="s">
        <v>1066</v>
      </c>
      <c r="F2556" s="890">
        <f>F2557+F2558</f>
        <v>1695</v>
      </c>
      <c r="G2556" s="890">
        <f>G2557+G2558</f>
        <v>1695</v>
      </c>
      <c r="H2556" s="890">
        <f>H2557+H2558</f>
        <v>1695</v>
      </c>
      <c r="I2556" s="891">
        <v>100</v>
      </c>
    </row>
    <row r="2557" spans="1:20" ht="14.25" x14ac:dyDescent="0.2">
      <c r="A2557" s="435"/>
      <c r="B2557" s="705"/>
      <c r="C2557" s="705"/>
      <c r="D2557" s="743" t="s">
        <v>641</v>
      </c>
      <c r="E2557" s="1679" t="s">
        <v>883</v>
      </c>
      <c r="F2557" s="897">
        <v>302</v>
      </c>
      <c r="G2557" s="897">
        <v>302</v>
      </c>
      <c r="H2557" s="897">
        <v>302</v>
      </c>
      <c r="I2557" s="893">
        <f>(H2557/G2557)*100</f>
        <v>100</v>
      </c>
    </row>
    <row r="2558" spans="1:20" ht="14.25" x14ac:dyDescent="0.2">
      <c r="A2558" s="435"/>
      <c r="B2558" s="705"/>
      <c r="C2558" s="705"/>
      <c r="D2558" s="578" t="s">
        <v>636</v>
      </c>
      <c r="E2558" s="474" t="s">
        <v>72</v>
      </c>
      <c r="F2558" s="897">
        <v>1393</v>
      </c>
      <c r="G2558" s="897">
        <v>1393</v>
      </c>
      <c r="H2558" s="897">
        <v>1393</v>
      </c>
      <c r="I2558" s="893">
        <f>(H2558/G2558)*100</f>
        <v>100</v>
      </c>
    </row>
    <row r="2559" spans="1:20" ht="15" x14ac:dyDescent="0.25">
      <c r="A2559" s="435">
        <v>1404</v>
      </c>
      <c r="B2559" s="705">
        <v>4322</v>
      </c>
      <c r="C2559" s="705">
        <v>5336</v>
      </c>
      <c r="D2559" s="1178"/>
      <c r="E2559" s="1564" t="s">
        <v>1357</v>
      </c>
      <c r="F2559" s="897"/>
      <c r="G2559" s="921">
        <v>6377</v>
      </c>
      <c r="H2559" s="921">
        <v>6377</v>
      </c>
      <c r="I2559" s="923">
        <f>(H2559/G2559)*100</f>
        <v>100</v>
      </c>
    </row>
    <row r="2560" spans="1:20" ht="15" thickBot="1" x14ac:dyDescent="0.25">
      <c r="A2560" s="435"/>
      <c r="B2560" s="705"/>
      <c r="C2560" s="1550"/>
      <c r="D2560" s="578" t="s">
        <v>1267</v>
      </c>
      <c r="E2560" s="474" t="s">
        <v>882</v>
      </c>
      <c r="F2560" s="897"/>
      <c r="G2560" s="897">
        <v>6377</v>
      </c>
      <c r="H2560" s="897">
        <v>6377</v>
      </c>
      <c r="I2560" s="893">
        <f>(H2560/G2560)*100</f>
        <v>100</v>
      </c>
    </row>
    <row r="2561" spans="1:20" ht="16.5" thickTop="1" thickBot="1" x14ac:dyDescent="0.3">
      <c r="A2561" s="2739" t="s">
        <v>1246</v>
      </c>
      <c r="B2561" s="2740"/>
      <c r="C2561" s="2740"/>
      <c r="D2561" s="2740"/>
      <c r="E2561" s="2740"/>
      <c r="F2561" s="894">
        <f>F2556</f>
        <v>1695</v>
      </c>
      <c r="G2561" s="894">
        <f>G2556+G2559</f>
        <v>8072</v>
      </c>
      <c r="H2561" s="894">
        <f>H2556+H2559</f>
        <v>8072</v>
      </c>
      <c r="I2561" s="895">
        <f>(H2561/G2561)*100</f>
        <v>100</v>
      </c>
      <c r="R2561" s="385">
        <f>F2561</f>
        <v>1695</v>
      </c>
      <c r="S2561" s="385">
        <f>G2561</f>
        <v>8072</v>
      </c>
      <c r="T2561" s="385">
        <f>H2561</f>
        <v>8072</v>
      </c>
    </row>
    <row r="2562" spans="1:20" ht="13.5" thickTop="1" x14ac:dyDescent="0.2"/>
    <row r="2569" spans="1:20" ht="13.5" thickBot="1" x14ac:dyDescent="0.25">
      <c r="A2569" s="439" t="s">
        <v>1006</v>
      </c>
      <c r="I2569" s="1548" t="s">
        <v>179</v>
      </c>
    </row>
    <row r="2570" spans="1:20" ht="14.25" thickTop="1" thickBot="1" x14ac:dyDescent="0.25">
      <c r="A2570" s="657" t="s">
        <v>692</v>
      </c>
      <c r="B2570" s="835" t="s">
        <v>180</v>
      </c>
      <c r="C2570" s="658" t="s">
        <v>181</v>
      </c>
      <c r="D2570" s="660" t="s">
        <v>783</v>
      </c>
      <c r="E2570" s="660" t="s">
        <v>182</v>
      </c>
      <c r="F2570" s="660" t="s">
        <v>183</v>
      </c>
      <c r="G2570" s="660" t="s">
        <v>985</v>
      </c>
      <c r="H2570" s="660" t="s">
        <v>986</v>
      </c>
      <c r="I2570" s="888" t="s">
        <v>987</v>
      </c>
    </row>
    <row r="2571" spans="1:20" ht="14.25" thickTop="1" thickBot="1" x14ac:dyDescent="0.25">
      <c r="A2571" s="592">
        <v>1</v>
      </c>
      <c r="B2571" s="593">
        <v>2</v>
      </c>
      <c r="C2571" s="593">
        <v>3</v>
      </c>
      <c r="D2571" s="593">
        <v>4</v>
      </c>
      <c r="E2571" s="593">
        <v>5</v>
      </c>
      <c r="F2571" s="567">
        <v>6</v>
      </c>
      <c r="G2571" s="567">
        <v>7</v>
      </c>
      <c r="H2571" s="568">
        <v>8</v>
      </c>
      <c r="I2571" s="662" t="s">
        <v>848</v>
      </c>
    </row>
    <row r="2572" spans="1:20" ht="15.75" thickTop="1" x14ac:dyDescent="0.25">
      <c r="A2572" s="435">
        <v>1405</v>
      </c>
      <c r="B2572" s="705">
        <v>4322</v>
      </c>
      <c r="C2572" s="705">
        <v>5331</v>
      </c>
      <c r="D2572" s="889"/>
      <c r="E2572" s="956" t="s">
        <v>1066</v>
      </c>
      <c r="F2572" s="890">
        <f>F2573+F2574</f>
        <v>1789</v>
      </c>
      <c r="G2572" s="890">
        <f>G2573+G2574</f>
        <v>1789</v>
      </c>
      <c r="H2572" s="890">
        <f>H2573+H2574</f>
        <v>1789</v>
      </c>
      <c r="I2572" s="891">
        <f t="shared" ref="I2572:I2577" si="120">(H2572/G2572)*100</f>
        <v>100</v>
      </c>
    </row>
    <row r="2573" spans="1:20" ht="14.25" x14ac:dyDescent="0.2">
      <c r="A2573" s="435"/>
      <c r="B2573" s="705"/>
      <c r="C2573" s="705"/>
      <c r="D2573" s="743" t="s">
        <v>641</v>
      </c>
      <c r="E2573" s="1679" t="s">
        <v>883</v>
      </c>
      <c r="F2573" s="897">
        <v>37</v>
      </c>
      <c r="G2573" s="897">
        <v>37</v>
      </c>
      <c r="H2573" s="897">
        <v>37</v>
      </c>
      <c r="I2573" s="893">
        <f t="shared" si="120"/>
        <v>100</v>
      </c>
    </row>
    <row r="2574" spans="1:20" ht="14.25" x14ac:dyDescent="0.2">
      <c r="A2574" s="435"/>
      <c r="B2574" s="705"/>
      <c r="C2574" s="705"/>
      <c r="D2574" s="578" t="s">
        <v>636</v>
      </c>
      <c r="E2574" s="474" t="s">
        <v>72</v>
      </c>
      <c r="F2574" s="897">
        <v>1752</v>
      </c>
      <c r="G2574" s="897">
        <v>1752</v>
      </c>
      <c r="H2574" s="897">
        <v>1752</v>
      </c>
      <c r="I2574" s="893">
        <f t="shared" si="120"/>
        <v>100</v>
      </c>
    </row>
    <row r="2575" spans="1:20" ht="15" x14ac:dyDescent="0.25">
      <c r="A2575" s="435">
        <v>1405</v>
      </c>
      <c r="B2575" s="705">
        <v>4322</v>
      </c>
      <c r="C2575" s="705">
        <v>5336</v>
      </c>
      <c r="D2575" s="1178"/>
      <c r="E2575" s="1564" t="s">
        <v>1357</v>
      </c>
      <c r="F2575" s="897"/>
      <c r="G2575" s="921">
        <v>6535</v>
      </c>
      <c r="H2575" s="921">
        <v>6535</v>
      </c>
      <c r="I2575" s="923">
        <f t="shared" si="120"/>
        <v>100</v>
      </c>
    </row>
    <row r="2576" spans="1:20" ht="15" thickBot="1" x14ac:dyDescent="0.25">
      <c r="A2576" s="435"/>
      <c r="B2576" s="705"/>
      <c r="C2576" s="1550"/>
      <c r="D2576" s="578" t="s">
        <v>1267</v>
      </c>
      <c r="E2576" s="474" t="s">
        <v>882</v>
      </c>
      <c r="F2576" s="897"/>
      <c r="G2576" s="897">
        <v>6535</v>
      </c>
      <c r="H2576" s="897">
        <v>6535</v>
      </c>
      <c r="I2576" s="893">
        <f t="shared" si="120"/>
        <v>100</v>
      </c>
    </row>
    <row r="2577" spans="1:20" ht="16.5" thickTop="1" thickBot="1" x14ac:dyDescent="0.3">
      <c r="A2577" s="2739" t="s">
        <v>1246</v>
      </c>
      <c r="B2577" s="2740"/>
      <c r="C2577" s="2740"/>
      <c r="D2577" s="2740"/>
      <c r="E2577" s="2740"/>
      <c r="F2577" s="894">
        <f>F2572</f>
        <v>1789</v>
      </c>
      <c r="G2577" s="894">
        <f>G2572+G2575</f>
        <v>8324</v>
      </c>
      <c r="H2577" s="894">
        <f>H2572+H2575</f>
        <v>8324</v>
      </c>
      <c r="I2577" s="895">
        <f t="shared" si="120"/>
        <v>100</v>
      </c>
      <c r="R2577" s="385">
        <f>F2577</f>
        <v>1789</v>
      </c>
      <c r="S2577" s="385">
        <f>G2577</f>
        <v>8324</v>
      </c>
      <c r="T2577" s="385">
        <f>H2577</f>
        <v>8324</v>
      </c>
    </row>
    <row r="2578" spans="1:20" ht="15.75" thickTop="1" x14ac:dyDescent="0.25">
      <c r="A2578" s="370"/>
      <c r="B2578" s="370"/>
      <c r="C2578" s="370"/>
      <c r="D2578" s="370"/>
      <c r="E2578" s="370"/>
      <c r="F2578" s="181"/>
      <c r="G2578" s="181"/>
      <c r="H2578" s="181"/>
      <c r="I2578" s="210"/>
      <c r="R2578" s="385"/>
      <c r="S2578" s="385"/>
      <c r="T2578" s="385"/>
    </row>
    <row r="2579" spans="1:20" ht="13.5" thickBot="1" x14ac:dyDescent="0.25">
      <c r="A2579" s="439" t="s">
        <v>1007</v>
      </c>
      <c r="I2579" s="1548" t="s">
        <v>179</v>
      </c>
    </row>
    <row r="2580" spans="1:20" ht="14.25" thickTop="1" thickBot="1" x14ac:dyDescent="0.25">
      <c r="A2580" s="657" t="s">
        <v>692</v>
      </c>
      <c r="B2580" s="835" t="s">
        <v>180</v>
      </c>
      <c r="C2580" s="658" t="s">
        <v>181</v>
      </c>
      <c r="D2580" s="660" t="s">
        <v>783</v>
      </c>
      <c r="E2580" s="660" t="s">
        <v>182</v>
      </c>
      <c r="F2580" s="660" t="s">
        <v>183</v>
      </c>
      <c r="G2580" s="660" t="s">
        <v>985</v>
      </c>
      <c r="H2580" s="660" t="s">
        <v>986</v>
      </c>
      <c r="I2580" s="888" t="s">
        <v>987</v>
      </c>
    </row>
    <row r="2581" spans="1:20" ht="14.25" thickTop="1" thickBot="1" x14ac:dyDescent="0.25">
      <c r="A2581" s="592">
        <v>1</v>
      </c>
      <c r="B2581" s="593">
        <v>2</v>
      </c>
      <c r="C2581" s="593">
        <v>3</v>
      </c>
      <c r="D2581" s="593">
        <v>4</v>
      </c>
      <c r="E2581" s="593">
        <v>5</v>
      </c>
      <c r="F2581" s="567">
        <v>6</v>
      </c>
      <c r="G2581" s="567">
        <v>7</v>
      </c>
      <c r="H2581" s="568">
        <v>8</v>
      </c>
      <c r="I2581" s="662" t="s">
        <v>848</v>
      </c>
    </row>
    <row r="2582" spans="1:20" ht="15.75" thickTop="1" x14ac:dyDescent="0.25">
      <c r="A2582" s="435">
        <v>1407</v>
      </c>
      <c r="B2582" s="705">
        <v>4322</v>
      </c>
      <c r="C2582" s="705">
        <v>5331</v>
      </c>
      <c r="D2582" s="889"/>
      <c r="E2582" s="956" t="s">
        <v>1066</v>
      </c>
      <c r="F2582" s="890">
        <f>F2583+F2584</f>
        <v>1655</v>
      </c>
      <c r="G2582" s="890">
        <f>G2583+G2584</f>
        <v>1706</v>
      </c>
      <c r="H2582" s="890">
        <f>H2583+H2584</f>
        <v>1706</v>
      </c>
      <c r="I2582" s="891">
        <f t="shared" ref="I2582:I2587" si="121">(H2582/G2582)*100</f>
        <v>100</v>
      </c>
    </row>
    <row r="2583" spans="1:20" ht="14.25" x14ac:dyDescent="0.2">
      <c r="A2583" s="435"/>
      <c r="B2583" s="705"/>
      <c r="C2583" s="705"/>
      <c r="D2583" s="743" t="s">
        <v>641</v>
      </c>
      <c r="E2583" s="1679" t="s">
        <v>883</v>
      </c>
      <c r="F2583" s="897">
        <v>102</v>
      </c>
      <c r="G2583" s="897">
        <v>153</v>
      </c>
      <c r="H2583" s="897">
        <v>153</v>
      </c>
      <c r="I2583" s="893">
        <f t="shared" si="121"/>
        <v>100</v>
      </c>
    </row>
    <row r="2584" spans="1:20" ht="14.25" x14ac:dyDescent="0.2">
      <c r="A2584" s="435"/>
      <c r="B2584" s="705"/>
      <c r="C2584" s="705"/>
      <c r="D2584" s="578" t="s">
        <v>636</v>
      </c>
      <c r="E2584" s="474" t="s">
        <v>72</v>
      </c>
      <c r="F2584" s="897">
        <v>1553</v>
      </c>
      <c r="G2584" s="897">
        <v>1553</v>
      </c>
      <c r="H2584" s="897">
        <v>1553</v>
      </c>
      <c r="I2584" s="893">
        <f t="shared" si="121"/>
        <v>100</v>
      </c>
    </row>
    <row r="2585" spans="1:20" ht="15" x14ac:dyDescent="0.25">
      <c r="A2585" s="435">
        <v>1407</v>
      </c>
      <c r="B2585" s="705">
        <v>4322</v>
      </c>
      <c r="C2585" s="705">
        <v>5336</v>
      </c>
      <c r="D2585" s="1178"/>
      <c r="E2585" s="1564" t="s">
        <v>1357</v>
      </c>
      <c r="F2585" s="897"/>
      <c r="G2585" s="921">
        <v>6378</v>
      </c>
      <c r="H2585" s="921">
        <v>6378</v>
      </c>
      <c r="I2585" s="923">
        <f t="shared" si="121"/>
        <v>100</v>
      </c>
    </row>
    <row r="2586" spans="1:20" ht="15" thickBot="1" x14ac:dyDescent="0.25">
      <c r="A2586" s="435"/>
      <c r="B2586" s="705"/>
      <c r="C2586" s="705"/>
      <c r="D2586" s="578" t="s">
        <v>1267</v>
      </c>
      <c r="E2586" s="474" t="s">
        <v>882</v>
      </c>
      <c r="F2586" s="897"/>
      <c r="G2586" s="897">
        <v>6378</v>
      </c>
      <c r="H2586" s="897">
        <v>6378</v>
      </c>
      <c r="I2586" s="893">
        <f t="shared" si="121"/>
        <v>100</v>
      </c>
    </row>
    <row r="2587" spans="1:20" ht="16.5" thickTop="1" thickBot="1" x14ac:dyDescent="0.3">
      <c r="A2587" s="2739" t="s">
        <v>1246</v>
      </c>
      <c r="B2587" s="2740"/>
      <c r="C2587" s="2740"/>
      <c r="D2587" s="2740"/>
      <c r="E2587" s="2740"/>
      <c r="F2587" s="894">
        <f>SUM(F2582)</f>
        <v>1655</v>
      </c>
      <c r="G2587" s="894">
        <f>G2582+G2585</f>
        <v>8084</v>
      </c>
      <c r="H2587" s="894">
        <f>H2582+H2585</f>
        <v>8084</v>
      </c>
      <c r="I2587" s="895">
        <f t="shared" si="121"/>
        <v>100</v>
      </c>
      <c r="R2587" s="385">
        <f>F2587</f>
        <v>1655</v>
      </c>
      <c r="S2587" s="385">
        <f>G2587</f>
        <v>8084</v>
      </c>
      <c r="T2587" s="385">
        <f>H2587</f>
        <v>8084</v>
      </c>
    </row>
    <row r="2588" spans="1:20" ht="13.5" thickTop="1" x14ac:dyDescent="0.2"/>
    <row r="2589" spans="1:20" ht="13.5" thickBot="1" x14ac:dyDescent="0.25">
      <c r="A2589" s="439" t="s">
        <v>1008</v>
      </c>
      <c r="I2589" s="1548" t="s">
        <v>179</v>
      </c>
    </row>
    <row r="2590" spans="1:20" ht="14.25" thickTop="1" thickBot="1" x14ac:dyDescent="0.25">
      <c r="A2590" s="657" t="s">
        <v>692</v>
      </c>
      <c r="B2590" s="835" t="s">
        <v>180</v>
      </c>
      <c r="C2590" s="658" t="s">
        <v>181</v>
      </c>
      <c r="D2590" s="660" t="s">
        <v>783</v>
      </c>
      <c r="E2590" s="660" t="s">
        <v>182</v>
      </c>
      <c r="F2590" s="660" t="s">
        <v>183</v>
      </c>
      <c r="G2590" s="660" t="s">
        <v>985</v>
      </c>
      <c r="H2590" s="660" t="s">
        <v>986</v>
      </c>
      <c r="I2590" s="888" t="s">
        <v>987</v>
      </c>
    </row>
    <row r="2591" spans="1:20" ht="14.25" thickTop="1" thickBot="1" x14ac:dyDescent="0.25">
      <c r="A2591" s="592">
        <v>1</v>
      </c>
      <c r="B2591" s="593">
        <v>2</v>
      </c>
      <c r="C2591" s="593">
        <v>3</v>
      </c>
      <c r="D2591" s="593">
        <v>4</v>
      </c>
      <c r="E2591" s="593">
        <v>5</v>
      </c>
      <c r="F2591" s="567">
        <v>6</v>
      </c>
      <c r="G2591" s="567">
        <v>7</v>
      </c>
      <c r="H2591" s="568">
        <v>8</v>
      </c>
      <c r="I2591" s="662" t="s">
        <v>848</v>
      </c>
    </row>
    <row r="2592" spans="1:20" ht="15.75" thickTop="1" x14ac:dyDescent="0.25">
      <c r="A2592" s="435">
        <v>1408</v>
      </c>
      <c r="B2592" s="705">
        <v>4322</v>
      </c>
      <c r="C2592" s="705">
        <v>5331</v>
      </c>
      <c r="D2592" s="889"/>
      <c r="E2592" s="854" t="s">
        <v>1066</v>
      </c>
      <c r="F2592" s="890">
        <v>1920</v>
      </c>
      <c r="G2592" s="890">
        <v>1920</v>
      </c>
      <c r="H2592" s="890">
        <v>1920</v>
      </c>
      <c r="I2592" s="891">
        <v>100</v>
      </c>
    </row>
    <row r="2593" spans="1:20" ht="14.25" x14ac:dyDescent="0.2">
      <c r="A2593" s="435"/>
      <c r="B2593" s="705"/>
      <c r="C2593" s="705"/>
      <c r="D2593" s="578" t="s">
        <v>636</v>
      </c>
      <c r="E2593" s="474" t="s">
        <v>72</v>
      </c>
      <c r="F2593" s="897">
        <v>1920</v>
      </c>
      <c r="G2593" s="897">
        <v>1920</v>
      </c>
      <c r="H2593" s="897">
        <v>1920</v>
      </c>
      <c r="I2593" s="893">
        <f>(H2593/G2593)*100</f>
        <v>100</v>
      </c>
    </row>
    <row r="2594" spans="1:20" ht="15" x14ac:dyDescent="0.25">
      <c r="A2594" s="435">
        <v>1408</v>
      </c>
      <c r="B2594" s="705">
        <v>4322</v>
      </c>
      <c r="C2594" s="705">
        <v>5336</v>
      </c>
      <c r="D2594" s="1178"/>
      <c r="E2594" s="1564" t="s">
        <v>1357</v>
      </c>
      <c r="F2594" s="897"/>
      <c r="G2594" s="921">
        <v>8498</v>
      </c>
      <c r="H2594" s="921">
        <v>8498</v>
      </c>
      <c r="I2594" s="923">
        <f>(H2594/G2594)*100</f>
        <v>100</v>
      </c>
    </row>
    <row r="2595" spans="1:20" ht="15" thickBot="1" x14ac:dyDescent="0.25">
      <c r="A2595" s="435"/>
      <c r="B2595" s="705"/>
      <c r="C2595" s="705"/>
      <c r="D2595" s="578" t="s">
        <v>1267</v>
      </c>
      <c r="E2595" s="474" t="s">
        <v>882</v>
      </c>
      <c r="F2595" s="897"/>
      <c r="G2595" s="897">
        <v>8498</v>
      </c>
      <c r="H2595" s="897">
        <v>8498</v>
      </c>
      <c r="I2595" s="893">
        <f>(H2595/G2595)*100</f>
        <v>100</v>
      </c>
    </row>
    <row r="2596" spans="1:20" ht="16.5" thickTop="1" thickBot="1" x14ac:dyDescent="0.3">
      <c r="A2596" s="2739" t="s">
        <v>1246</v>
      </c>
      <c r="B2596" s="2740"/>
      <c r="C2596" s="2740"/>
      <c r="D2596" s="2740"/>
      <c r="E2596" s="2740"/>
      <c r="F2596" s="894">
        <f>F2592</f>
        <v>1920</v>
      </c>
      <c r="G2596" s="894">
        <f>G2592+G2594</f>
        <v>10418</v>
      </c>
      <c r="H2596" s="894">
        <f>H2592+H2594</f>
        <v>10418</v>
      </c>
      <c r="I2596" s="895">
        <f>(H2596/G2596)*100</f>
        <v>100</v>
      </c>
      <c r="R2596" s="385">
        <f>F2596</f>
        <v>1920</v>
      </c>
      <c r="S2596" s="385">
        <f>G2596</f>
        <v>10418</v>
      </c>
      <c r="T2596" s="385">
        <f>H2596</f>
        <v>10418</v>
      </c>
    </row>
    <row r="2597" spans="1:20" ht="13.5" thickTop="1" x14ac:dyDescent="0.2"/>
    <row r="2598" spans="1:20" ht="13.5" thickBot="1" x14ac:dyDescent="0.25">
      <c r="A2598" s="439" t="s">
        <v>1672</v>
      </c>
      <c r="I2598" s="1548" t="s">
        <v>179</v>
      </c>
    </row>
    <row r="2599" spans="1:20" ht="14.25" thickTop="1" thickBot="1" x14ac:dyDescent="0.25">
      <c r="A2599" s="657" t="s">
        <v>692</v>
      </c>
      <c r="B2599" s="835" t="s">
        <v>180</v>
      </c>
      <c r="C2599" s="658" t="s">
        <v>181</v>
      </c>
      <c r="D2599" s="660" t="s">
        <v>783</v>
      </c>
      <c r="E2599" s="660" t="s">
        <v>182</v>
      </c>
      <c r="F2599" s="660" t="s">
        <v>183</v>
      </c>
      <c r="G2599" s="660" t="s">
        <v>985</v>
      </c>
      <c r="H2599" s="660" t="s">
        <v>986</v>
      </c>
      <c r="I2599" s="888" t="s">
        <v>987</v>
      </c>
    </row>
    <row r="2600" spans="1:20" ht="14.25" thickTop="1" thickBot="1" x14ac:dyDescent="0.25">
      <c r="A2600" s="592">
        <v>1</v>
      </c>
      <c r="B2600" s="593">
        <v>2</v>
      </c>
      <c r="C2600" s="593">
        <v>3</v>
      </c>
      <c r="D2600" s="593">
        <v>4</v>
      </c>
      <c r="E2600" s="593">
        <v>5</v>
      </c>
      <c r="F2600" s="567">
        <v>6</v>
      </c>
      <c r="G2600" s="567">
        <v>7</v>
      </c>
      <c r="H2600" s="568">
        <v>8</v>
      </c>
      <c r="I2600" s="662" t="s">
        <v>848</v>
      </c>
    </row>
    <row r="2601" spans="1:20" ht="15.75" thickTop="1" x14ac:dyDescent="0.25">
      <c r="A2601" s="435">
        <v>1420</v>
      </c>
      <c r="B2601" s="705">
        <v>3141</v>
      </c>
      <c r="C2601" s="705">
        <v>5331</v>
      </c>
      <c r="D2601" s="889"/>
      <c r="E2601" s="956" t="s">
        <v>1066</v>
      </c>
      <c r="F2601" s="890"/>
      <c r="G2601" s="890">
        <v>935</v>
      </c>
      <c r="H2601" s="890">
        <v>935</v>
      </c>
      <c r="I2601" s="891">
        <f t="shared" ref="I2601:I2608" si="122">(H2601/G2601)*100</f>
        <v>100</v>
      </c>
    </row>
    <row r="2602" spans="1:20" ht="14.25" x14ac:dyDescent="0.2">
      <c r="A2602" s="435"/>
      <c r="B2602" s="705"/>
      <c r="C2602" s="705"/>
      <c r="D2602" s="578" t="s">
        <v>1267</v>
      </c>
      <c r="E2602" s="474" t="s">
        <v>882</v>
      </c>
      <c r="F2602" s="357"/>
      <c r="G2602" s="357">
        <v>935</v>
      </c>
      <c r="H2602" s="357">
        <v>935</v>
      </c>
      <c r="I2602" s="893">
        <f t="shared" si="122"/>
        <v>100</v>
      </c>
    </row>
    <row r="2603" spans="1:20" ht="15" x14ac:dyDescent="0.25">
      <c r="A2603" s="435">
        <v>1420</v>
      </c>
      <c r="B2603" s="705">
        <v>3142</v>
      </c>
      <c r="C2603" s="705">
        <v>5331</v>
      </c>
      <c r="D2603" s="1113"/>
      <c r="E2603" s="854" t="s">
        <v>1066</v>
      </c>
      <c r="F2603" s="890">
        <f>F2604+F2605</f>
        <v>5838</v>
      </c>
      <c r="G2603" s="890">
        <f>G2604+G2605</f>
        <v>5838</v>
      </c>
      <c r="H2603" s="890">
        <f>H2604+H2605</f>
        <v>5838</v>
      </c>
      <c r="I2603" s="923">
        <f t="shared" si="122"/>
        <v>100</v>
      </c>
    </row>
    <row r="2604" spans="1:20" ht="14.25" x14ac:dyDescent="0.2">
      <c r="A2604" s="435"/>
      <c r="B2604" s="705"/>
      <c r="C2604" s="705"/>
      <c r="D2604" s="743" t="s">
        <v>641</v>
      </c>
      <c r="E2604" s="1679" t="s">
        <v>883</v>
      </c>
      <c r="F2604" s="897">
        <v>3947</v>
      </c>
      <c r="G2604" s="897">
        <v>3947</v>
      </c>
      <c r="H2604" s="897">
        <v>3947</v>
      </c>
      <c r="I2604" s="893">
        <f t="shared" si="122"/>
        <v>100</v>
      </c>
    </row>
    <row r="2605" spans="1:20" ht="14.25" x14ac:dyDescent="0.2">
      <c r="A2605" s="435"/>
      <c r="B2605" s="705"/>
      <c r="C2605" s="705"/>
      <c r="D2605" s="578" t="s">
        <v>636</v>
      </c>
      <c r="E2605" s="474" t="s">
        <v>72</v>
      </c>
      <c r="F2605" s="897">
        <v>1891</v>
      </c>
      <c r="G2605" s="897">
        <v>1891</v>
      </c>
      <c r="H2605" s="897">
        <v>1891</v>
      </c>
      <c r="I2605" s="893">
        <f t="shared" si="122"/>
        <v>100</v>
      </c>
    </row>
    <row r="2606" spans="1:20" ht="15" x14ac:dyDescent="0.25">
      <c r="A2606" s="435">
        <v>1420</v>
      </c>
      <c r="B2606" s="705">
        <v>3142</v>
      </c>
      <c r="C2606" s="705">
        <v>5336</v>
      </c>
      <c r="D2606" s="578"/>
      <c r="E2606" s="1564" t="s">
        <v>1357</v>
      </c>
      <c r="F2606" s="897"/>
      <c r="G2606" s="921">
        <v>2537</v>
      </c>
      <c r="H2606" s="921">
        <v>2537</v>
      </c>
      <c r="I2606" s="923">
        <f t="shared" si="122"/>
        <v>100</v>
      </c>
    </row>
    <row r="2607" spans="1:20" ht="15" thickBot="1" x14ac:dyDescent="0.25">
      <c r="A2607" s="435"/>
      <c r="B2607" s="705"/>
      <c r="C2607" s="705"/>
      <c r="D2607" s="578" t="s">
        <v>1267</v>
      </c>
      <c r="E2607" s="474" t="s">
        <v>882</v>
      </c>
      <c r="F2607" s="897"/>
      <c r="G2607" s="897">
        <v>2537</v>
      </c>
      <c r="H2607" s="897">
        <v>2537</v>
      </c>
      <c r="I2607" s="893">
        <f t="shared" si="122"/>
        <v>100</v>
      </c>
    </row>
    <row r="2608" spans="1:20" ht="16.5" thickTop="1" thickBot="1" x14ac:dyDescent="0.3">
      <c r="A2608" s="2739" t="s">
        <v>1246</v>
      </c>
      <c r="B2608" s="2740"/>
      <c r="C2608" s="2740"/>
      <c r="D2608" s="2740"/>
      <c r="E2608" s="2740"/>
      <c r="F2608" s="894">
        <f>F2603</f>
        <v>5838</v>
      </c>
      <c r="G2608" s="894">
        <f>G2601+G2603+G2606</f>
        <v>9310</v>
      </c>
      <c r="H2608" s="894">
        <f>H2601+H2603+H2606</f>
        <v>9310</v>
      </c>
      <c r="I2608" s="895">
        <f t="shared" si="122"/>
        <v>100</v>
      </c>
      <c r="R2608" s="385">
        <f>F2608</f>
        <v>5838</v>
      </c>
      <c r="S2608" s="385">
        <f>G2608</f>
        <v>9310</v>
      </c>
      <c r="T2608" s="385">
        <f>H2608</f>
        <v>9310</v>
      </c>
    </row>
    <row r="2609" spans="1:20" ht="13.5" thickTop="1" x14ac:dyDescent="0.2"/>
    <row r="2610" spans="1:20" ht="13.5" thickBot="1" x14ac:dyDescent="0.25">
      <c r="A2610" s="439" t="s">
        <v>1262</v>
      </c>
      <c r="I2610" s="1548" t="s">
        <v>179</v>
      </c>
    </row>
    <row r="2611" spans="1:20" ht="14.25" thickTop="1" thickBot="1" x14ac:dyDescent="0.25">
      <c r="A2611" s="657" t="s">
        <v>692</v>
      </c>
      <c r="B2611" s="835" t="s">
        <v>180</v>
      </c>
      <c r="C2611" s="658" t="s">
        <v>181</v>
      </c>
      <c r="D2611" s="660" t="s">
        <v>783</v>
      </c>
      <c r="E2611" s="660" t="s">
        <v>182</v>
      </c>
      <c r="F2611" s="660" t="s">
        <v>183</v>
      </c>
      <c r="G2611" s="660" t="s">
        <v>985</v>
      </c>
      <c r="H2611" s="660" t="s">
        <v>986</v>
      </c>
      <c r="I2611" s="888" t="s">
        <v>987</v>
      </c>
    </row>
    <row r="2612" spans="1:20" ht="14.25" thickTop="1" thickBot="1" x14ac:dyDescent="0.25">
      <c r="A2612" s="592">
        <v>1</v>
      </c>
      <c r="B2612" s="593">
        <v>2</v>
      </c>
      <c r="C2612" s="593">
        <v>3</v>
      </c>
      <c r="D2612" s="593">
        <v>4</v>
      </c>
      <c r="E2612" s="593">
        <v>5</v>
      </c>
      <c r="F2612" s="567">
        <v>6</v>
      </c>
      <c r="G2612" s="567">
        <v>7</v>
      </c>
      <c r="H2612" s="568">
        <v>8</v>
      </c>
      <c r="I2612" s="662" t="s">
        <v>848</v>
      </c>
    </row>
    <row r="2613" spans="1:20" ht="15.75" thickTop="1" x14ac:dyDescent="0.25">
      <c r="A2613" s="1562">
        <v>1450</v>
      </c>
      <c r="B2613" s="917">
        <v>3146</v>
      </c>
      <c r="C2613" s="917">
        <v>5331</v>
      </c>
      <c r="D2613" s="922"/>
      <c r="E2613" s="956" t="s">
        <v>1066</v>
      </c>
      <c r="F2613" s="915">
        <f>F2614+F2615</f>
        <v>3002</v>
      </c>
      <c r="G2613" s="915">
        <f>G2614+G2615</f>
        <v>3002</v>
      </c>
      <c r="H2613" s="915">
        <f>H2614+H2615</f>
        <v>3002</v>
      </c>
      <c r="I2613" s="919">
        <f t="shared" ref="I2613:I2621" si="123">(H2613/G2613)*100</f>
        <v>100</v>
      </c>
    </row>
    <row r="2614" spans="1:20" ht="14.25" x14ac:dyDescent="0.2">
      <c r="A2614" s="435"/>
      <c r="B2614" s="705"/>
      <c r="C2614" s="705"/>
      <c r="D2614" s="743" t="s">
        <v>641</v>
      </c>
      <c r="E2614" s="1679" t="s">
        <v>883</v>
      </c>
      <c r="F2614" s="897">
        <v>74</v>
      </c>
      <c r="G2614" s="897">
        <v>74</v>
      </c>
      <c r="H2614" s="897">
        <v>74</v>
      </c>
      <c r="I2614" s="893">
        <f t="shared" si="123"/>
        <v>100</v>
      </c>
    </row>
    <row r="2615" spans="1:20" ht="14.25" x14ac:dyDescent="0.2">
      <c r="A2615" s="435"/>
      <c r="B2615" s="808"/>
      <c r="C2615" s="1551"/>
      <c r="D2615" s="578" t="s">
        <v>636</v>
      </c>
      <c r="E2615" s="474" t="s">
        <v>72</v>
      </c>
      <c r="F2615" s="903">
        <v>2928</v>
      </c>
      <c r="G2615" s="903">
        <v>2928</v>
      </c>
      <c r="H2615" s="903">
        <v>2928</v>
      </c>
      <c r="I2615" s="898">
        <f t="shared" si="123"/>
        <v>100</v>
      </c>
    </row>
    <row r="2616" spans="1:20" ht="15" x14ac:dyDescent="0.25">
      <c r="A2616" s="435">
        <v>1450</v>
      </c>
      <c r="B2616" s="808">
        <v>3146</v>
      </c>
      <c r="C2616" s="1551">
        <v>5336</v>
      </c>
      <c r="D2616" s="1178"/>
      <c r="E2616" s="1564" t="s">
        <v>1357</v>
      </c>
      <c r="F2616" s="903"/>
      <c r="G2616" s="916">
        <v>23741</v>
      </c>
      <c r="H2616" s="916">
        <v>23741</v>
      </c>
      <c r="I2616" s="908">
        <f t="shared" si="123"/>
        <v>100</v>
      </c>
    </row>
    <row r="2617" spans="1:20" ht="14.25" x14ac:dyDescent="0.2">
      <c r="A2617" s="435"/>
      <c r="B2617" s="808"/>
      <c r="C2617" s="1551"/>
      <c r="D2617" s="578" t="s">
        <v>1267</v>
      </c>
      <c r="E2617" s="474" t="s">
        <v>882</v>
      </c>
      <c r="F2617" s="903"/>
      <c r="G2617" s="903">
        <v>23741</v>
      </c>
      <c r="H2617" s="903">
        <v>23741</v>
      </c>
      <c r="I2617" s="898">
        <f t="shared" si="123"/>
        <v>100</v>
      </c>
    </row>
    <row r="2618" spans="1:20" ht="15" x14ac:dyDescent="0.25">
      <c r="A2618" s="435">
        <v>1450</v>
      </c>
      <c r="B2618" s="808">
        <v>3541</v>
      </c>
      <c r="C2618" s="1551">
        <v>5331</v>
      </c>
      <c r="D2618" s="578"/>
      <c r="E2618" s="854" t="s">
        <v>1066</v>
      </c>
      <c r="F2618" s="903"/>
      <c r="G2618" s="916">
        <v>180</v>
      </c>
      <c r="H2618" s="916">
        <v>180</v>
      </c>
      <c r="I2618" s="908">
        <f t="shared" si="123"/>
        <v>100</v>
      </c>
    </row>
    <row r="2619" spans="1:20" ht="14.25" x14ac:dyDescent="0.2">
      <c r="A2619" s="435"/>
      <c r="B2619" s="808"/>
      <c r="C2619" s="1551"/>
      <c r="D2619" s="1169" t="s">
        <v>385</v>
      </c>
      <c r="E2619" s="1275" t="s">
        <v>996</v>
      </c>
      <c r="F2619" s="903"/>
      <c r="G2619" s="903">
        <v>180</v>
      </c>
      <c r="H2619" s="903">
        <v>180</v>
      </c>
      <c r="I2619" s="898">
        <f t="shared" si="123"/>
        <v>100</v>
      </c>
    </row>
    <row r="2620" spans="1:20" ht="15" x14ac:dyDescent="0.25">
      <c r="A2620" s="435">
        <v>1450</v>
      </c>
      <c r="B2620" s="705">
        <v>5399</v>
      </c>
      <c r="C2620" s="1550">
        <v>5331</v>
      </c>
      <c r="D2620" s="578"/>
      <c r="E2620" s="854" t="s">
        <v>1066</v>
      </c>
      <c r="F2620" s="905"/>
      <c r="G2620" s="916">
        <v>71</v>
      </c>
      <c r="H2620" s="921">
        <v>71</v>
      </c>
      <c r="I2620" s="923">
        <f t="shared" si="123"/>
        <v>100</v>
      </c>
    </row>
    <row r="2621" spans="1:20" ht="15" thickBot="1" x14ac:dyDescent="0.25">
      <c r="A2621" s="435"/>
      <c r="B2621" s="705"/>
      <c r="C2621" s="1550"/>
      <c r="D2621" s="1442" t="s">
        <v>973</v>
      </c>
      <c r="E2621" s="1443" t="s">
        <v>237</v>
      </c>
      <c r="F2621" s="897"/>
      <c r="G2621" s="897">
        <v>71</v>
      </c>
      <c r="H2621" s="897">
        <v>71</v>
      </c>
      <c r="I2621" s="902">
        <f t="shared" si="123"/>
        <v>100</v>
      </c>
    </row>
    <row r="2622" spans="1:20" ht="16.5" thickTop="1" thickBot="1" x14ac:dyDescent="0.3">
      <c r="A2622" s="2739" t="s">
        <v>1246</v>
      </c>
      <c r="B2622" s="2740"/>
      <c r="C2622" s="2740"/>
      <c r="D2622" s="2740"/>
      <c r="E2622" s="2740"/>
      <c r="F2622" s="894">
        <f>F2613</f>
        <v>3002</v>
      </c>
      <c r="G2622" s="894">
        <f>G2613+G2616+G2618+G2620</f>
        <v>26994</v>
      </c>
      <c r="H2622" s="894">
        <f>H2613+H2616+H2618+H2620</f>
        <v>26994</v>
      </c>
      <c r="I2622" s="895">
        <f>(H2622/G2622)*100</f>
        <v>100</v>
      </c>
      <c r="R2622" s="385">
        <f>F2622</f>
        <v>3002</v>
      </c>
      <c r="S2622" s="385">
        <f>G2622</f>
        <v>26994</v>
      </c>
      <c r="T2622" s="385">
        <f>H2622</f>
        <v>26994</v>
      </c>
    </row>
    <row r="2623" spans="1:20" ht="15.75" thickTop="1" x14ac:dyDescent="0.25">
      <c r="A2623" s="370"/>
      <c r="B2623" s="370"/>
      <c r="C2623" s="370"/>
      <c r="D2623" s="370"/>
      <c r="E2623" s="370"/>
      <c r="F2623" s="181"/>
      <c r="G2623" s="181"/>
      <c r="H2623" s="181"/>
      <c r="I2623" s="210"/>
      <c r="R2623" s="385"/>
      <c r="S2623" s="385"/>
      <c r="T2623" s="385"/>
    </row>
    <row r="2624" spans="1:20" ht="13.5" thickBot="1" x14ac:dyDescent="0.25">
      <c r="A2624" s="439" t="s">
        <v>1673</v>
      </c>
      <c r="I2624" s="1548" t="s">
        <v>179</v>
      </c>
    </row>
    <row r="2625" spans="1:23" ht="14.25" thickTop="1" thickBot="1" x14ac:dyDescent="0.25">
      <c r="A2625" s="657" t="s">
        <v>692</v>
      </c>
      <c r="B2625" s="835" t="s">
        <v>180</v>
      </c>
      <c r="C2625" s="658" t="s">
        <v>181</v>
      </c>
      <c r="D2625" s="660" t="s">
        <v>783</v>
      </c>
      <c r="E2625" s="660" t="s">
        <v>182</v>
      </c>
      <c r="F2625" s="660" t="s">
        <v>183</v>
      </c>
      <c r="G2625" s="660" t="s">
        <v>985</v>
      </c>
      <c r="H2625" s="660" t="s">
        <v>986</v>
      </c>
      <c r="I2625" s="888" t="s">
        <v>987</v>
      </c>
    </row>
    <row r="2626" spans="1:23" ht="14.25" thickTop="1" thickBot="1" x14ac:dyDescent="0.25">
      <c r="A2626" s="592">
        <v>1</v>
      </c>
      <c r="B2626" s="593">
        <v>2</v>
      </c>
      <c r="C2626" s="593">
        <v>3</v>
      </c>
      <c r="D2626" s="593">
        <v>4</v>
      </c>
      <c r="E2626" s="593">
        <v>5</v>
      </c>
      <c r="F2626" s="567">
        <v>6</v>
      </c>
      <c r="G2626" s="567">
        <v>7</v>
      </c>
      <c r="H2626" s="568">
        <v>8</v>
      </c>
      <c r="I2626" s="662" t="s">
        <v>848</v>
      </c>
    </row>
    <row r="2627" spans="1:23" ht="15.75" thickTop="1" x14ac:dyDescent="0.25">
      <c r="A2627" s="1562">
        <v>1465</v>
      </c>
      <c r="B2627" s="917">
        <v>3149</v>
      </c>
      <c r="C2627" s="917">
        <v>5331</v>
      </c>
      <c r="D2627" s="922"/>
      <c r="E2627" s="956" t="s">
        <v>1066</v>
      </c>
      <c r="F2627" s="915">
        <f>F2628+F2629+F2630</f>
        <v>1713</v>
      </c>
      <c r="G2627" s="915">
        <f>G2628+G2629+G2630</f>
        <v>2343</v>
      </c>
      <c r="H2627" s="915">
        <f>H2628+H2629+H2630</f>
        <v>2343</v>
      </c>
      <c r="I2627" s="919">
        <f t="shared" ref="I2627:I2633" si="124">(H2627/G2627)*100</f>
        <v>100</v>
      </c>
    </row>
    <row r="2628" spans="1:23" ht="14.25" x14ac:dyDescent="0.2">
      <c r="A2628" s="435"/>
      <c r="B2628" s="705"/>
      <c r="C2628" s="705"/>
      <c r="D2628" s="743" t="s">
        <v>641</v>
      </c>
      <c r="E2628" s="1679" t="s">
        <v>883</v>
      </c>
      <c r="F2628" s="357">
        <v>768</v>
      </c>
      <c r="G2628" s="357">
        <v>758</v>
      </c>
      <c r="H2628" s="357">
        <v>758</v>
      </c>
      <c r="I2628" s="893">
        <f t="shared" si="124"/>
        <v>100</v>
      </c>
    </row>
    <row r="2629" spans="1:23" ht="14.25" x14ac:dyDescent="0.2">
      <c r="A2629" s="435"/>
      <c r="B2629" s="705"/>
      <c r="C2629" s="705"/>
      <c r="D2629" s="578" t="s">
        <v>636</v>
      </c>
      <c r="E2629" s="474" t="s">
        <v>72</v>
      </c>
      <c r="F2629" s="897">
        <v>945</v>
      </c>
      <c r="G2629" s="897">
        <v>945</v>
      </c>
      <c r="H2629" s="897">
        <v>945</v>
      </c>
      <c r="I2629" s="893">
        <f t="shared" si="124"/>
        <v>100</v>
      </c>
    </row>
    <row r="2630" spans="1:23" ht="14.25" x14ac:dyDescent="0.2">
      <c r="A2630" s="435"/>
      <c r="B2630" s="705"/>
      <c r="C2630" s="705"/>
      <c r="D2630" s="1179" t="s">
        <v>1536</v>
      </c>
      <c r="E2630" s="1702" t="s">
        <v>1537</v>
      </c>
      <c r="F2630" s="897"/>
      <c r="G2630" s="897">
        <v>640</v>
      </c>
      <c r="H2630" s="897">
        <v>640</v>
      </c>
      <c r="I2630" s="893">
        <f t="shared" si="124"/>
        <v>100</v>
      </c>
    </row>
    <row r="2631" spans="1:23" ht="15" x14ac:dyDescent="0.25">
      <c r="A2631" s="435">
        <v>1465</v>
      </c>
      <c r="B2631" s="705">
        <v>3149</v>
      </c>
      <c r="C2631" s="705">
        <v>5336</v>
      </c>
      <c r="D2631" s="578"/>
      <c r="E2631" s="1578" t="s">
        <v>1357</v>
      </c>
      <c r="F2631" s="921"/>
      <c r="G2631" s="921">
        <f>G2632+G2633</f>
        <v>2618</v>
      </c>
      <c r="H2631" s="921">
        <f>H2632+H2633</f>
        <v>2618</v>
      </c>
      <c r="I2631" s="923">
        <f t="shared" si="124"/>
        <v>100</v>
      </c>
    </row>
    <row r="2632" spans="1:23" ht="14.25" x14ac:dyDescent="0.2">
      <c r="A2632" s="435"/>
      <c r="B2632" s="705"/>
      <c r="C2632" s="705"/>
      <c r="D2632" s="1569" t="s">
        <v>772</v>
      </c>
      <c r="E2632" s="1579" t="s">
        <v>1362</v>
      </c>
      <c r="F2632" s="897"/>
      <c r="G2632" s="897">
        <v>393</v>
      </c>
      <c r="H2632" s="897">
        <v>393</v>
      </c>
      <c r="I2632" s="893">
        <f t="shared" si="124"/>
        <v>100</v>
      </c>
    </row>
    <row r="2633" spans="1:23" ht="15" thickBot="1" x14ac:dyDescent="0.25">
      <c r="A2633" s="435"/>
      <c r="B2633" s="705"/>
      <c r="C2633" s="705"/>
      <c r="D2633" s="1569" t="s">
        <v>773</v>
      </c>
      <c r="E2633" s="1579" t="s">
        <v>1362</v>
      </c>
      <c r="F2633" s="897"/>
      <c r="G2633" s="897">
        <v>2225</v>
      </c>
      <c r="H2633" s="897">
        <v>2225</v>
      </c>
      <c r="I2633" s="893">
        <f t="shared" si="124"/>
        <v>100</v>
      </c>
    </row>
    <row r="2634" spans="1:23" ht="16.5" thickTop="1" thickBot="1" x14ac:dyDescent="0.3">
      <c r="A2634" s="2739" t="s">
        <v>1246</v>
      </c>
      <c r="B2634" s="2740"/>
      <c r="C2634" s="2740"/>
      <c r="D2634" s="2740"/>
      <c r="E2634" s="2740"/>
      <c r="F2634" s="894">
        <f>F2627+F2631</f>
        <v>1713</v>
      </c>
      <c r="G2634" s="894">
        <f>G2627+G2631</f>
        <v>4961</v>
      </c>
      <c r="H2634" s="894">
        <f>H2627+H2631</f>
        <v>4961</v>
      </c>
      <c r="I2634" s="895">
        <f>(H2634/G2634)*100</f>
        <v>100</v>
      </c>
      <c r="J2634" s="385">
        <f>F2634</f>
        <v>1713</v>
      </c>
      <c r="K2634" s="385" t="e">
        <f>G2634+#REF!</f>
        <v>#REF!</v>
      </c>
      <c r="L2634" s="385" t="e">
        <f>H2634+#REF!</f>
        <v>#REF!</v>
      </c>
      <c r="R2634" s="385">
        <f>F2634</f>
        <v>1713</v>
      </c>
      <c r="S2634" s="385">
        <f>G2634</f>
        <v>4961</v>
      </c>
      <c r="T2634" s="385">
        <f>H2634</f>
        <v>4961</v>
      </c>
      <c r="U2634" s="385"/>
      <c r="V2634" s="385"/>
      <c r="W2634" s="385"/>
    </row>
    <row r="2635" spans="1:23" ht="13.5" thickTop="1" x14ac:dyDescent="0.2">
      <c r="R2635" s="984">
        <f>SUM(R26:R2634)</f>
        <v>406081</v>
      </c>
      <c r="S2635" s="984">
        <f t="shared" ref="S2635:W2635" si="125">SUM(S26:S2634)</f>
        <v>2496168</v>
      </c>
      <c r="T2635" s="984">
        <f t="shared" si="125"/>
        <v>2496051</v>
      </c>
      <c r="U2635" s="984">
        <f t="shared" si="125"/>
        <v>0</v>
      </c>
      <c r="V2635" s="984">
        <f t="shared" si="125"/>
        <v>10251</v>
      </c>
      <c r="W2635" s="984">
        <f t="shared" si="125"/>
        <v>10251</v>
      </c>
    </row>
    <row r="2636" spans="1:23" x14ac:dyDescent="0.2">
      <c r="R2636" s="984"/>
      <c r="S2636" s="984"/>
      <c r="T2636" s="984"/>
      <c r="U2636" s="984"/>
      <c r="V2636" s="984"/>
      <c r="W2636" s="984"/>
    </row>
    <row r="2637" spans="1:23" x14ac:dyDescent="0.2">
      <c r="R2637" s="984"/>
      <c r="S2637" s="984"/>
      <c r="T2637" s="984"/>
      <c r="U2637" s="984"/>
      <c r="V2637" s="984"/>
      <c r="W2637" s="984"/>
    </row>
    <row r="2638" spans="1:23" x14ac:dyDescent="0.2">
      <c r="R2638" s="984"/>
      <c r="S2638" s="984"/>
      <c r="T2638" s="984"/>
      <c r="U2638" s="984"/>
      <c r="V2638" s="984"/>
      <c r="W2638" s="984"/>
    </row>
    <row r="2639" spans="1:23" x14ac:dyDescent="0.2">
      <c r="R2639" s="984"/>
      <c r="S2639" s="984"/>
      <c r="T2639" s="984"/>
      <c r="U2639" s="984"/>
      <c r="V2639" s="984"/>
      <c r="W2639" s="984"/>
    </row>
    <row r="2640" spans="1:23" x14ac:dyDescent="0.2">
      <c r="R2640" s="984"/>
      <c r="S2640" s="984"/>
      <c r="T2640" s="984"/>
      <c r="U2640" s="984"/>
      <c r="V2640" s="984"/>
      <c r="W2640" s="984"/>
    </row>
    <row r="2641" spans="1:23" ht="13.5" thickBot="1" x14ac:dyDescent="0.25">
      <c r="A2641" s="439" t="s">
        <v>1145</v>
      </c>
      <c r="I2641" s="1548" t="s">
        <v>179</v>
      </c>
      <c r="R2641" s="984"/>
      <c r="S2641" s="984"/>
      <c r="T2641" s="984"/>
      <c r="U2641" s="984"/>
      <c r="V2641" s="984"/>
      <c r="W2641" s="984"/>
    </row>
    <row r="2642" spans="1:23" ht="14.25" thickTop="1" thickBot="1" x14ac:dyDescent="0.25">
      <c r="A2642" s="657" t="s">
        <v>692</v>
      </c>
      <c r="B2642" s="835" t="s">
        <v>180</v>
      </c>
      <c r="C2642" s="658" t="s">
        <v>181</v>
      </c>
      <c r="D2642" s="660" t="s">
        <v>783</v>
      </c>
      <c r="E2642" s="660" t="s">
        <v>182</v>
      </c>
      <c r="F2642" s="660" t="s">
        <v>183</v>
      </c>
      <c r="G2642" s="660" t="s">
        <v>985</v>
      </c>
      <c r="H2642" s="660" t="s">
        <v>986</v>
      </c>
      <c r="I2642" s="888" t="s">
        <v>987</v>
      </c>
      <c r="R2642" s="984">
        <f>R2635+U2635</f>
        <v>406081</v>
      </c>
      <c r="S2642" s="984">
        <f>S2635+V2635</f>
        <v>2506419</v>
      </c>
      <c r="T2642" s="984">
        <f>T2635+W2635</f>
        <v>2506302</v>
      </c>
      <c r="U2642" s="984"/>
      <c r="V2642" s="984" t="s">
        <v>1674</v>
      </c>
      <c r="W2642" s="984"/>
    </row>
    <row r="2643" spans="1:23" ht="14.25" thickTop="1" thickBot="1" x14ac:dyDescent="0.25">
      <c r="A2643" s="592">
        <v>1</v>
      </c>
      <c r="B2643" s="593">
        <v>2</v>
      </c>
      <c r="C2643" s="593">
        <v>3</v>
      </c>
      <c r="D2643" s="593">
        <v>4</v>
      </c>
      <c r="E2643" s="593">
        <v>5</v>
      </c>
      <c r="F2643" s="567">
        <v>6</v>
      </c>
      <c r="G2643" s="567">
        <v>7</v>
      </c>
      <c r="H2643" s="568">
        <v>8</v>
      </c>
      <c r="I2643" s="662" t="s">
        <v>848</v>
      </c>
      <c r="R2643" s="984"/>
      <c r="S2643" s="984"/>
      <c r="T2643" s="984"/>
      <c r="U2643" s="984"/>
      <c r="V2643" s="984"/>
      <c r="W2643" s="984"/>
    </row>
    <row r="2644" spans="1:23" ht="15.75" thickTop="1" x14ac:dyDescent="0.25">
      <c r="A2644" s="1549"/>
      <c r="B2644" s="154">
        <v>3299</v>
      </c>
      <c r="C2644" s="85">
        <v>5331</v>
      </c>
      <c r="D2644" s="1179"/>
      <c r="E2644" s="1167" t="s">
        <v>1144</v>
      </c>
      <c r="F2644" s="71">
        <f>F2646+F2647+F2648+F2649+F2645</f>
        <v>9117</v>
      </c>
      <c r="G2644" s="94">
        <f>G2647+G2649</f>
        <v>0</v>
      </c>
      <c r="H2644" s="890">
        <v>0</v>
      </c>
      <c r="I2644" s="891">
        <v>0</v>
      </c>
      <c r="R2644" s="984"/>
      <c r="S2644" s="984"/>
      <c r="T2644" s="984"/>
      <c r="U2644" s="984"/>
      <c r="V2644" s="984"/>
      <c r="W2644" s="984"/>
    </row>
    <row r="2645" spans="1:23" ht="14.25" x14ac:dyDescent="0.2">
      <c r="A2645" s="435"/>
      <c r="B2645" s="154"/>
      <c r="C2645" s="31"/>
      <c r="D2645" s="743" t="s">
        <v>641</v>
      </c>
      <c r="E2645" s="1679" t="s">
        <v>883</v>
      </c>
      <c r="F2645" s="55">
        <v>931</v>
      </c>
      <c r="G2645" s="1401">
        <v>0</v>
      </c>
      <c r="H2645" s="357">
        <v>0</v>
      </c>
      <c r="I2645" s="924">
        <v>0</v>
      </c>
      <c r="R2645" s="984"/>
      <c r="S2645" s="984"/>
      <c r="T2645" s="984"/>
      <c r="U2645" s="984"/>
      <c r="V2645" s="984"/>
      <c r="W2645" s="984"/>
    </row>
    <row r="2646" spans="1:23" ht="15" x14ac:dyDescent="0.25">
      <c r="A2646" s="435"/>
      <c r="B2646" s="154"/>
      <c r="C2646" s="1191"/>
      <c r="D2646" s="1179" t="s">
        <v>636</v>
      </c>
      <c r="E2646" s="85" t="s">
        <v>23</v>
      </c>
      <c r="F2646" s="1232">
        <v>886</v>
      </c>
      <c r="G2646" s="464">
        <v>0</v>
      </c>
      <c r="H2646" s="897">
        <v>0</v>
      </c>
      <c r="I2646" s="893">
        <v>0</v>
      </c>
      <c r="R2646" s="984"/>
      <c r="S2646" s="984"/>
      <c r="T2646" s="984"/>
      <c r="U2646" s="984"/>
      <c r="V2646" s="984"/>
      <c r="W2646" s="984"/>
    </row>
    <row r="2647" spans="1:23" ht="14.25" x14ac:dyDescent="0.2">
      <c r="A2647" s="435"/>
      <c r="B2647" s="154"/>
      <c r="C2647" s="1199"/>
      <c r="D2647" s="1179" t="s">
        <v>1265</v>
      </c>
      <c r="E2647" s="1173" t="s">
        <v>24</v>
      </c>
      <c r="F2647" s="1232">
        <v>150</v>
      </c>
      <c r="G2647" s="464">
        <v>0</v>
      </c>
      <c r="H2647" s="897">
        <v>0</v>
      </c>
      <c r="I2647" s="893">
        <v>0</v>
      </c>
      <c r="R2647" s="984"/>
      <c r="S2647" s="984"/>
      <c r="T2647" s="984"/>
      <c r="U2647" s="984"/>
      <c r="V2647" s="984"/>
      <c r="W2647" s="984"/>
    </row>
    <row r="2648" spans="1:23" ht="14.25" x14ac:dyDescent="0.2">
      <c r="A2648" s="435"/>
      <c r="B2648" s="154"/>
      <c r="C2648" s="1199"/>
      <c r="D2648" s="1179" t="s">
        <v>535</v>
      </c>
      <c r="E2648" s="1173" t="s">
        <v>1396</v>
      </c>
      <c r="F2648" s="1232">
        <v>50</v>
      </c>
      <c r="G2648" s="464">
        <v>0</v>
      </c>
      <c r="H2648" s="897">
        <v>0</v>
      </c>
      <c r="I2648" s="893">
        <v>0</v>
      </c>
      <c r="R2648" s="984"/>
      <c r="S2648" s="984"/>
      <c r="T2648" s="984"/>
      <c r="U2648" s="984"/>
      <c r="V2648" s="984"/>
      <c r="W2648" s="984"/>
    </row>
    <row r="2649" spans="1:23" ht="14.25" x14ac:dyDescent="0.2">
      <c r="A2649" s="435"/>
      <c r="B2649" s="154"/>
      <c r="C2649" s="1199"/>
      <c r="D2649" s="1179" t="s">
        <v>1038</v>
      </c>
      <c r="E2649" s="1166" t="s">
        <v>1039</v>
      </c>
      <c r="F2649" s="1232">
        <v>7100</v>
      </c>
      <c r="G2649" s="464">
        <v>0</v>
      </c>
      <c r="H2649" s="897">
        <v>0</v>
      </c>
      <c r="I2649" s="893">
        <v>0</v>
      </c>
      <c r="R2649" s="984"/>
      <c r="S2649" s="984"/>
      <c r="T2649" s="984"/>
      <c r="U2649" s="984"/>
      <c r="V2649" s="984"/>
      <c r="W2649" s="984"/>
    </row>
    <row r="2650" spans="1:23" ht="15" x14ac:dyDescent="0.25">
      <c r="A2650" s="435"/>
      <c r="B2650" s="19">
        <v>3792</v>
      </c>
      <c r="C2650" s="19">
        <v>5331</v>
      </c>
      <c r="D2650" s="1179"/>
      <c r="E2650" s="1167" t="s">
        <v>1144</v>
      </c>
      <c r="F2650" s="71">
        <v>490</v>
      </c>
      <c r="G2650" s="313">
        <v>0</v>
      </c>
      <c r="H2650" s="921">
        <v>0</v>
      </c>
      <c r="I2650" s="923">
        <v>0</v>
      </c>
      <c r="R2650" s="984"/>
      <c r="S2650" s="984"/>
      <c r="T2650" s="984"/>
      <c r="U2650" s="984"/>
      <c r="V2650" s="984"/>
      <c r="W2650" s="984"/>
    </row>
    <row r="2651" spans="1:23" ht="15" thickBot="1" x14ac:dyDescent="0.25">
      <c r="A2651" s="1552"/>
      <c r="B2651" s="1193"/>
      <c r="C2651" s="1199"/>
      <c r="D2651" s="578" t="s">
        <v>1479</v>
      </c>
      <c r="E2651" s="477" t="s">
        <v>1259</v>
      </c>
      <c r="F2651" s="1232">
        <v>490</v>
      </c>
      <c r="G2651" s="464">
        <v>0</v>
      </c>
      <c r="H2651" s="897">
        <v>0</v>
      </c>
      <c r="I2651" s="893">
        <v>0</v>
      </c>
      <c r="R2651" s="984"/>
      <c r="S2651" s="984"/>
      <c r="T2651" s="984"/>
      <c r="U2651" s="984"/>
      <c r="V2651" s="984"/>
      <c r="W2651" s="984"/>
    </row>
    <row r="2652" spans="1:23" ht="16.5" thickTop="1" thickBot="1" x14ac:dyDescent="0.3">
      <c r="A2652" s="2538" t="s">
        <v>1246</v>
      </c>
      <c r="B2652" s="1580"/>
      <c r="C2652" s="1580"/>
      <c r="D2652" s="1580"/>
      <c r="E2652" s="1581"/>
      <c r="F2652" s="894">
        <f>F2644+F2650</f>
        <v>9607</v>
      </c>
      <c r="G2652" s="894">
        <f>G2644</f>
        <v>0</v>
      </c>
      <c r="H2652" s="894">
        <f>H2644</f>
        <v>0</v>
      </c>
      <c r="I2652" s="895">
        <v>0</v>
      </c>
      <c r="R2652" s="984">
        <f>F2652</f>
        <v>9607</v>
      </c>
      <c r="S2652" s="984">
        <f>G2652</f>
        <v>0</v>
      </c>
      <c r="T2652" s="984">
        <f>H2652</f>
        <v>0</v>
      </c>
      <c r="U2652" s="984"/>
      <c r="V2652" s="984" t="s">
        <v>1365</v>
      </c>
      <c r="W2652" s="984"/>
    </row>
    <row r="2653" spans="1:23" ht="13.5" thickTop="1" x14ac:dyDescent="0.2">
      <c r="A2653" s="1121"/>
      <c r="B2653" s="1121"/>
      <c r="C2653" s="1121"/>
      <c r="D2653" s="1121"/>
      <c r="E2653" s="1121"/>
      <c r="F2653" s="1462"/>
      <c r="G2653" s="1462"/>
      <c r="H2653" s="1462"/>
      <c r="I2653" s="1462"/>
      <c r="R2653" s="984">
        <f>R2642+R2652</f>
        <v>415688</v>
      </c>
      <c r="S2653" s="984">
        <f>S2642+S2652</f>
        <v>2506419</v>
      </c>
      <c r="T2653" s="984">
        <f>T2642+T2652</f>
        <v>2506302</v>
      </c>
      <c r="V2653" s="439" t="s">
        <v>1675</v>
      </c>
    </row>
    <row r="2654" spans="1:23" ht="15" x14ac:dyDescent="0.25">
      <c r="A2654" s="1555"/>
      <c r="B2654" s="1199"/>
      <c r="C2654" s="85"/>
      <c r="D2654" s="1169"/>
      <c r="E2654" s="1167"/>
      <c r="F2654" s="94"/>
      <c r="G2654" s="94"/>
      <c r="H2654" s="181"/>
      <c r="I2654" s="210"/>
    </row>
    <row r="2655" spans="1:23" ht="14.25" x14ac:dyDescent="0.2">
      <c r="A2655" s="1555"/>
      <c r="B2655" s="1199"/>
      <c r="C2655" s="85"/>
      <c r="D2655" s="1169"/>
      <c r="E2655" s="85"/>
      <c r="F2655" s="1448"/>
      <c r="G2655" s="464"/>
      <c r="H2655" s="911"/>
      <c r="I2655" s="964"/>
      <c r="R2655" s="385"/>
      <c r="S2655" s="385"/>
      <c r="T2655" s="385"/>
    </row>
    <row r="2656" spans="1:23" ht="14.25" x14ac:dyDescent="0.2">
      <c r="A2656" s="1555"/>
      <c r="B2656" s="1199"/>
      <c r="C2656" s="85"/>
      <c r="D2656" s="1169"/>
      <c r="E2656" s="1174"/>
      <c r="F2656" s="1448"/>
      <c r="G2656" s="464"/>
      <c r="H2656" s="911"/>
      <c r="I2656" s="964"/>
    </row>
    <row r="2657" spans="1:20" ht="15" x14ac:dyDescent="0.25">
      <c r="A2657" s="1555"/>
      <c r="B2657" s="1199"/>
      <c r="C2657" s="1191"/>
      <c r="D2657" s="1169"/>
      <c r="E2657" s="85"/>
      <c r="F2657" s="1448"/>
      <c r="G2657" s="464"/>
      <c r="H2657" s="911"/>
      <c r="I2657" s="964"/>
    </row>
    <row r="2658" spans="1:20" ht="15" x14ac:dyDescent="0.25">
      <c r="A2658" s="1555"/>
      <c r="B2658" s="1199"/>
      <c r="C2658" s="1191"/>
      <c r="D2658" s="1169"/>
      <c r="E2658" s="85"/>
      <c r="F2658" s="1448"/>
      <c r="G2658" s="464"/>
      <c r="H2658" s="911"/>
      <c r="I2658" s="964"/>
    </row>
    <row r="2659" spans="1:20" ht="14.25" x14ac:dyDescent="0.2">
      <c r="A2659" s="1555"/>
      <c r="B2659" s="1199"/>
      <c r="C2659" s="1199"/>
      <c r="D2659" s="1169"/>
      <c r="E2659" s="1173"/>
      <c r="F2659" s="1448"/>
      <c r="G2659" s="464"/>
      <c r="H2659" s="911"/>
      <c r="I2659" s="964"/>
    </row>
    <row r="2660" spans="1:20" ht="14.25" x14ac:dyDescent="0.2">
      <c r="A2660" s="1555"/>
      <c r="B2660" s="1199"/>
      <c r="C2660" s="1199"/>
      <c r="D2660" s="1169"/>
      <c r="E2660" s="1173"/>
      <c r="F2660" s="1448"/>
      <c r="G2660" s="464"/>
      <c r="H2660" s="911"/>
      <c r="I2660" s="964"/>
    </row>
    <row r="2661" spans="1:20" ht="14.25" x14ac:dyDescent="0.2">
      <c r="A2661" s="1555"/>
      <c r="B2661" s="1199"/>
      <c r="C2661" s="1199"/>
      <c r="D2661" s="1169"/>
      <c r="E2661" s="1173"/>
      <c r="F2661" s="1448"/>
      <c r="G2661" s="464"/>
      <c r="H2661" s="911"/>
      <c r="I2661" s="964"/>
    </row>
    <row r="2662" spans="1:20" ht="14.25" x14ac:dyDescent="0.2">
      <c r="A2662" s="1555"/>
      <c r="B2662" s="1199"/>
      <c r="C2662" s="1199"/>
      <c r="D2662" s="1463"/>
      <c r="E2662" s="1315"/>
      <c r="F2662" s="1448"/>
      <c r="G2662" s="464"/>
      <c r="H2662" s="911"/>
      <c r="I2662" s="964"/>
    </row>
    <row r="2663" spans="1:20" ht="14.25" x14ac:dyDescent="0.2">
      <c r="A2663" s="1555"/>
      <c r="B2663" s="1199"/>
      <c r="C2663" s="1199"/>
      <c r="D2663" s="1463"/>
      <c r="E2663" s="1393"/>
      <c r="F2663" s="1448"/>
      <c r="G2663" s="464"/>
      <c r="H2663" s="911"/>
      <c r="I2663" s="964"/>
    </row>
    <row r="2664" spans="1:20" ht="15" x14ac:dyDescent="0.25">
      <c r="A2664" s="370"/>
      <c r="B2664" s="1582"/>
      <c r="C2664" s="1582"/>
      <c r="D2664" s="1582"/>
      <c r="E2664" s="1582"/>
      <c r="F2664" s="181"/>
      <c r="G2664" s="181"/>
      <c r="H2664" s="181"/>
      <c r="I2664" s="210"/>
      <c r="R2664" s="385"/>
      <c r="S2664" s="385"/>
      <c r="T2664" s="385"/>
    </row>
    <row r="2675" spans="2:20" x14ac:dyDescent="0.2">
      <c r="B2675" s="384"/>
      <c r="D2675" s="384"/>
      <c r="F2675" s="384"/>
      <c r="G2675" s="384"/>
      <c r="H2675" s="384"/>
      <c r="I2675" s="384"/>
      <c r="R2675" s="984"/>
      <c r="S2675" s="984"/>
      <c r="T2675" s="984"/>
    </row>
  </sheetData>
  <mergeCells count="158">
    <mergeCell ref="A2541:E2541"/>
    <mergeCell ref="A2551:E2551"/>
    <mergeCell ref="A2561:E2561"/>
    <mergeCell ref="A2577:E2577"/>
    <mergeCell ref="A2587:E2587"/>
    <mergeCell ref="A2596:E2596"/>
    <mergeCell ref="A2608:E2608"/>
    <mergeCell ref="A2622:E2622"/>
    <mergeCell ref="A2634:E2634"/>
    <mergeCell ref="A2434:E2434"/>
    <mergeCell ref="A2451:E2451"/>
    <mergeCell ref="A2461:E2461"/>
    <mergeCell ref="A2473:E2473"/>
    <mergeCell ref="A2485:E2485"/>
    <mergeCell ref="A2495:E2495"/>
    <mergeCell ref="A2508:E2508"/>
    <mergeCell ref="A2520:E2520"/>
    <mergeCell ref="A2530:E2530"/>
    <mergeCell ref="A1965:E1965"/>
    <mergeCell ref="A1768:E1768"/>
    <mergeCell ref="A1790:E1790"/>
    <mergeCell ref="D1799:D1801"/>
    <mergeCell ref="E1799:E1801"/>
    <mergeCell ref="A1849:E1849"/>
    <mergeCell ref="A1873:E1873"/>
    <mergeCell ref="A1896:E1896"/>
    <mergeCell ref="D1902:D1904"/>
    <mergeCell ref="E1902:E1904"/>
    <mergeCell ref="A1927:E1927"/>
    <mergeCell ref="R2133:R2135"/>
    <mergeCell ref="S2133:S2135"/>
    <mergeCell ref="A2153:E2153"/>
    <mergeCell ref="A2175:E2175"/>
    <mergeCell ref="A1984:E1984"/>
    <mergeCell ref="A2039:E2039"/>
    <mergeCell ref="A1987:E1987"/>
    <mergeCell ref="A2015:E2015"/>
    <mergeCell ref="A2067:E2067"/>
    <mergeCell ref="A1602:E1602"/>
    <mergeCell ref="R1610:R1611"/>
    <mergeCell ref="S1610:S1611"/>
    <mergeCell ref="A1626:E1626"/>
    <mergeCell ref="A1660:E1660"/>
    <mergeCell ref="A1417:E1417"/>
    <mergeCell ref="A1500:E1500"/>
    <mergeCell ref="A1503:E1503"/>
    <mergeCell ref="A1521:E1521"/>
    <mergeCell ref="A1547:E1547"/>
    <mergeCell ref="A1560:E1560"/>
    <mergeCell ref="A1573:E1573"/>
    <mergeCell ref="A1438:E1438"/>
    <mergeCell ref="A1460:E1460"/>
    <mergeCell ref="A1446:E1446"/>
    <mergeCell ref="A1476:E1476"/>
    <mergeCell ref="A1227:E1227"/>
    <mergeCell ref="A1253:E1253"/>
    <mergeCell ref="D1261:D1263"/>
    <mergeCell ref="E1261:E1263"/>
    <mergeCell ref="A1283:E1283"/>
    <mergeCell ref="A1317:E1317"/>
    <mergeCell ref="A1330:E1330"/>
    <mergeCell ref="A1357:E1357"/>
    <mergeCell ref="A1414:E1414"/>
    <mergeCell ref="A1382:E1382"/>
    <mergeCell ref="A1124:E1124"/>
    <mergeCell ref="A1140:E1140"/>
    <mergeCell ref="A1157:E1157"/>
    <mergeCell ref="A1160:E1160"/>
    <mergeCell ref="D1168:D1170"/>
    <mergeCell ref="E1168:E1170"/>
    <mergeCell ref="D1208:D1210"/>
    <mergeCell ref="E1208:E1210"/>
    <mergeCell ref="A1192:E1192"/>
    <mergeCell ref="S664:S665"/>
    <mergeCell ref="S667:S668"/>
    <mergeCell ref="A672:E672"/>
    <mergeCell ref="A695:E695"/>
    <mergeCell ref="A708:E708"/>
    <mergeCell ref="A723:E723"/>
    <mergeCell ref="A739:E739"/>
    <mergeCell ref="A742:E742"/>
    <mergeCell ref="A763:E763"/>
    <mergeCell ref="A270:E270"/>
    <mergeCell ref="A285:E285"/>
    <mergeCell ref="E297:E298"/>
    <mergeCell ref="A315:E315"/>
    <mergeCell ref="A329:E329"/>
    <mergeCell ref="A364:E364"/>
    <mergeCell ref="A380:E380"/>
    <mergeCell ref="A399:E399"/>
    <mergeCell ref="A440:E440"/>
    <mergeCell ref="A347:E347"/>
    <mergeCell ref="A26:E26"/>
    <mergeCell ref="A38:E38"/>
    <mergeCell ref="A54:E54"/>
    <mergeCell ref="A89:E89"/>
    <mergeCell ref="A121:E121"/>
    <mergeCell ref="A159:E159"/>
    <mergeCell ref="A184:E184"/>
    <mergeCell ref="A227:E227"/>
    <mergeCell ref="A257:E257"/>
    <mergeCell ref="A2402:E2402"/>
    <mergeCell ref="A2412:E2412"/>
    <mergeCell ref="A2422:E2422"/>
    <mergeCell ref="A2262:E2262"/>
    <mergeCell ref="A2202:E2202"/>
    <mergeCell ref="A2098:E2098"/>
    <mergeCell ref="A2101:E2101"/>
    <mergeCell ref="A2114:E2114"/>
    <mergeCell ref="D2121:D2123"/>
    <mergeCell ref="E2121:E2123"/>
    <mergeCell ref="A2312:E2312"/>
    <mergeCell ref="A2322:E2322"/>
    <mergeCell ref="A2331:E2331"/>
    <mergeCell ref="A2342:E2342"/>
    <mergeCell ref="A2351:E2351"/>
    <mergeCell ref="A2363:E2363"/>
    <mergeCell ref="A2373:E2373"/>
    <mergeCell ref="A2382:E2382"/>
    <mergeCell ref="A2392:E2392"/>
    <mergeCell ref="A2233:E2233"/>
    <mergeCell ref="A2271:E2271"/>
    <mergeCell ref="A2281:E2281"/>
    <mergeCell ref="A2293:E2293"/>
    <mergeCell ref="A2302:E2302"/>
    <mergeCell ref="A1718:E1718"/>
    <mergeCell ref="D1731:D1733"/>
    <mergeCell ref="E1731:E1733"/>
    <mergeCell ref="A1745:E1745"/>
    <mergeCell ref="A1694:E1694"/>
    <mergeCell ref="A1816:E1816"/>
    <mergeCell ref="A646:E646"/>
    <mergeCell ref="A780:E780"/>
    <mergeCell ref="A795:E795"/>
    <mergeCell ref="A823:E823"/>
    <mergeCell ref="A935:E935"/>
    <mergeCell ref="A863:E863"/>
    <mergeCell ref="A1035:E1035"/>
    <mergeCell ref="A1109:E1109"/>
    <mergeCell ref="A890:E890"/>
    <mergeCell ref="A903:E903"/>
    <mergeCell ref="D944:D946"/>
    <mergeCell ref="E944:E946"/>
    <mergeCell ref="A980:E980"/>
    <mergeCell ref="A988:E988"/>
    <mergeCell ref="A1007:E1007"/>
    <mergeCell ref="D1016:D1018"/>
    <mergeCell ref="E1016:E1018"/>
    <mergeCell ref="A1075:E1075"/>
    <mergeCell ref="A459:E459"/>
    <mergeCell ref="A490:E490"/>
    <mergeCell ref="A530:E530"/>
    <mergeCell ref="E562:E563"/>
    <mergeCell ref="A567:E567"/>
    <mergeCell ref="A586:E586"/>
    <mergeCell ref="A604:E604"/>
    <mergeCell ref="A621:E621"/>
    <mergeCell ref="A844:E844"/>
  </mergeCells>
  <phoneticPr fontId="0" type="noConversion"/>
  <pageMargins left="0.98425196850393704" right="0.98425196850393704" top="0.98425196850393704" bottom="0.98425196850393704" header="0.51181102362204722" footer="0.51181102362204722"/>
  <pageSetup paperSize="9" scale="69" firstPageNumber="49" orientation="portrait" useFirstPageNumber="1" r:id="rId1"/>
  <headerFooter alignWithMargins="0">
    <oddFooter xml:space="preserve">&amp;L&amp;"Arial,Kurzíva"Zastupitelstvo Olomouckého kraje 28. 6. 2013
6.- Závěrečný  účet Olomuckého kraje za rok 2012
Příloha č. 3: Plnění rozpočtu výdajů Olomouckého kraje k 31.12.2012&amp;R&amp;"Arial,Kurzíva"Strana &amp;P (Celkem 484)
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 enableFormatConditionsCalculation="0">
    <tabColor rgb="FF92D050"/>
  </sheetPr>
  <dimension ref="A1:IV445"/>
  <sheetViews>
    <sheetView showGridLines="0" view="pageBreakPreview" zoomScaleNormal="100" zoomScaleSheetLayoutView="100" workbookViewId="0">
      <selection activeCell="A12" sqref="A12:E12"/>
    </sheetView>
  </sheetViews>
  <sheetFormatPr defaultRowHeight="14.25" x14ac:dyDescent="0.2"/>
  <cols>
    <col min="1" max="1" width="4.7109375" style="384" customWidth="1"/>
    <col min="2" max="2" width="4.7109375" style="669" customWidth="1"/>
    <col min="3" max="3" width="4.7109375" style="384" customWidth="1"/>
    <col min="4" max="4" width="8.85546875" style="884" customWidth="1"/>
    <col min="5" max="5" width="48.85546875" style="384" customWidth="1"/>
    <col min="6" max="6" width="11.42578125" style="548" customWidth="1"/>
    <col min="7" max="7" width="12.42578125" style="548" customWidth="1"/>
    <col min="8" max="8" width="10.85546875" style="548" customWidth="1"/>
    <col min="9" max="9" width="6.7109375" style="1735" customWidth="1"/>
    <col min="10" max="256" width="9.140625" style="384"/>
    <col min="257" max="259" width="4.7109375" style="384" customWidth="1"/>
    <col min="260" max="260" width="8.85546875" style="384" customWidth="1"/>
    <col min="261" max="261" width="48.85546875" style="384" customWidth="1"/>
    <col min="262" max="262" width="11.42578125" style="384" customWidth="1"/>
    <col min="263" max="263" width="12.42578125" style="384" customWidth="1"/>
    <col min="264" max="264" width="10.85546875" style="384" customWidth="1"/>
    <col min="265" max="265" width="6.7109375" style="384" customWidth="1"/>
    <col min="266" max="512" width="9.140625" style="384"/>
    <col min="513" max="515" width="4.7109375" style="384" customWidth="1"/>
    <col min="516" max="516" width="8.85546875" style="384" customWidth="1"/>
    <col min="517" max="517" width="48.85546875" style="384" customWidth="1"/>
    <col min="518" max="518" width="11.42578125" style="384" customWidth="1"/>
    <col min="519" max="519" width="12.42578125" style="384" customWidth="1"/>
    <col min="520" max="520" width="10.85546875" style="384" customWidth="1"/>
    <col min="521" max="521" width="6.7109375" style="384" customWidth="1"/>
    <col min="522" max="768" width="9.140625" style="384"/>
    <col min="769" max="771" width="4.7109375" style="384" customWidth="1"/>
    <col min="772" max="772" width="8.85546875" style="384" customWidth="1"/>
    <col min="773" max="773" width="48.85546875" style="384" customWidth="1"/>
    <col min="774" max="774" width="11.42578125" style="384" customWidth="1"/>
    <col min="775" max="775" width="12.42578125" style="384" customWidth="1"/>
    <col min="776" max="776" width="10.85546875" style="384" customWidth="1"/>
    <col min="777" max="777" width="6.7109375" style="384" customWidth="1"/>
    <col min="778" max="1024" width="9.140625" style="384"/>
    <col min="1025" max="1027" width="4.7109375" style="384" customWidth="1"/>
    <col min="1028" max="1028" width="8.85546875" style="384" customWidth="1"/>
    <col min="1029" max="1029" width="48.85546875" style="384" customWidth="1"/>
    <col min="1030" max="1030" width="11.42578125" style="384" customWidth="1"/>
    <col min="1031" max="1031" width="12.42578125" style="384" customWidth="1"/>
    <col min="1032" max="1032" width="10.85546875" style="384" customWidth="1"/>
    <col min="1033" max="1033" width="6.7109375" style="384" customWidth="1"/>
    <col min="1034" max="1280" width="9.140625" style="384"/>
    <col min="1281" max="1283" width="4.7109375" style="384" customWidth="1"/>
    <col min="1284" max="1284" width="8.85546875" style="384" customWidth="1"/>
    <col min="1285" max="1285" width="48.85546875" style="384" customWidth="1"/>
    <col min="1286" max="1286" width="11.42578125" style="384" customWidth="1"/>
    <col min="1287" max="1287" width="12.42578125" style="384" customWidth="1"/>
    <col min="1288" max="1288" width="10.85546875" style="384" customWidth="1"/>
    <col min="1289" max="1289" width="6.7109375" style="384" customWidth="1"/>
    <col min="1290" max="1536" width="9.140625" style="384"/>
    <col min="1537" max="1539" width="4.7109375" style="384" customWidth="1"/>
    <col min="1540" max="1540" width="8.85546875" style="384" customWidth="1"/>
    <col min="1541" max="1541" width="48.85546875" style="384" customWidth="1"/>
    <col min="1542" max="1542" width="11.42578125" style="384" customWidth="1"/>
    <col min="1543" max="1543" width="12.42578125" style="384" customWidth="1"/>
    <col min="1544" max="1544" width="10.85546875" style="384" customWidth="1"/>
    <col min="1545" max="1545" width="6.7109375" style="384" customWidth="1"/>
    <col min="1546" max="1792" width="9.140625" style="384"/>
    <col min="1793" max="1795" width="4.7109375" style="384" customWidth="1"/>
    <col min="1796" max="1796" width="8.85546875" style="384" customWidth="1"/>
    <col min="1797" max="1797" width="48.85546875" style="384" customWidth="1"/>
    <col min="1798" max="1798" width="11.42578125" style="384" customWidth="1"/>
    <col min="1799" max="1799" width="12.42578125" style="384" customWidth="1"/>
    <col min="1800" max="1800" width="10.85546875" style="384" customWidth="1"/>
    <col min="1801" max="1801" width="6.7109375" style="384" customWidth="1"/>
    <col min="1802" max="2048" width="9.140625" style="384"/>
    <col min="2049" max="2051" width="4.7109375" style="384" customWidth="1"/>
    <col min="2052" max="2052" width="8.85546875" style="384" customWidth="1"/>
    <col min="2053" max="2053" width="48.85546875" style="384" customWidth="1"/>
    <col min="2054" max="2054" width="11.42578125" style="384" customWidth="1"/>
    <col min="2055" max="2055" width="12.42578125" style="384" customWidth="1"/>
    <col min="2056" max="2056" width="10.85546875" style="384" customWidth="1"/>
    <col min="2057" max="2057" width="6.7109375" style="384" customWidth="1"/>
    <col min="2058" max="2304" width="9.140625" style="384"/>
    <col min="2305" max="2307" width="4.7109375" style="384" customWidth="1"/>
    <col min="2308" max="2308" width="8.85546875" style="384" customWidth="1"/>
    <col min="2309" max="2309" width="48.85546875" style="384" customWidth="1"/>
    <col min="2310" max="2310" width="11.42578125" style="384" customWidth="1"/>
    <col min="2311" max="2311" width="12.42578125" style="384" customWidth="1"/>
    <col min="2312" max="2312" width="10.85546875" style="384" customWidth="1"/>
    <col min="2313" max="2313" width="6.7109375" style="384" customWidth="1"/>
    <col min="2314" max="2560" width="9.140625" style="384"/>
    <col min="2561" max="2563" width="4.7109375" style="384" customWidth="1"/>
    <col min="2564" max="2564" width="8.85546875" style="384" customWidth="1"/>
    <col min="2565" max="2565" width="48.85546875" style="384" customWidth="1"/>
    <col min="2566" max="2566" width="11.42578125" style="384" customWidth="1"/>
    <col min="2567" max="2567" width="12.42578125" style="384" customWidth="1"/>
    <col min="2568" max="2568" width="10.85546875" style="384" customWidth="1"/>
    <col min="2569" max="2569" width="6.7109375" style="384" customWidth="1"/>
    <col min="2570" max="2816" width="9.140625" style="384"/>
    <col min="2817" max="2819" width="4.7109375" style="384" customWidth="1"/>
    <col min="2820" max="2820" width="8.85546875" style="384" customWidth="1"/>
    <col min="2821" max="2821" width="48.85546875" style="384" customWidth="1"/>
    <col min="2822" max="2822" width="11.42578125" style="384" customWidth="1"/>
    <col min="2823" max="2823" width="12.42578125" style="384" customWidth="1"/>
    <col min="2824" max="2824" width="10.85546875" style="384" customWidth="1"/>
    <col min="2825" max="2825" width="6.7109375" style="384" customWidth="1"/>
    <col min="2826" max="3072" width="9.140625" style="384"/>
    <col min="3073" max="3075" width="4.7109375" style="384" customWidth="1"/>
    <col min="3076" max="3076" width="8.85546875" style="384" customWidth="1"/>
    <col min="3077" max="3077" width="48.85546875" style="384" customWidth="1"/>
    <col min="3078" max="3078" width="11.42578125" style="384" customWidth="1"/>
    <col min="3079" max="3079" width="12.42578125" style="384" customWidth="1"/>
    <col min="3080" max="3080" width="10.85546875" style="384" customWidth="1"/>
    <col min="3081" max="3081" width="6.7109375" style="384" customWidth="1"/>
    <col min="3082" max="3328" width="9.140625" style="384"/>
    <col min="3329" max="3331" width="4.7109375" style="384" customWidth="1"/>
    <col min="3332" max="3332" width="8.85546875" style="384" customWidth="1"/>
    <col min="3333" max="3333" width="48.85546875" style="384" customWidth="1"/>
    <col min="3334" max="3334" width="11.42578125" style="384" customWidth="1"/>
    <col min="3335" max="3335" width="12.42578125" style="384" customWidth="1"/>
    <col min="3336" max="3336" width="10.85546875" style="384" customWidth="1"/>
    <col min="3337" max="3337" width="6.7109375" style="384" customWidth="1"/>
    <col min="3338" max="3584" width="9.140625" style="384"/>
    <col min="3585" max="3587" width="4.7109375" style="384" customWidth="1"/>
    <col min="3588" max="3588" width="8.85546875" style="384" customWidth="1"/>
    <col min="3589" max="3589" width="48.85546875" style="384" customWidth="1"/>
    <col min="3590" max="3590" width="11.42578125" style="384" customWidth="1"/>
    <col min="3591" max="3591" width="12.42578125" style="384" customWidth="1"/>
    <col min="3592" max="3592" width="10.85546875" style="384" customWidth="1"/>
    <col min="3593" max="3593" width="6.7109375" style="384" customWidth="1"/>
    <col min="3594" max="3840" width="9.140625" style="384"/>
    <col min="3841" max="3843" width="4.7109375" style="384" customWidth="1"/>
    <col min="3844" max="3844" width="8.85546875" style="384" customWidth="1"/>
    <col min="3845" max="3845" width="48.85546875" style="384" customWidth="1"/>
    <col min="3846" max="3846" width="11.42578125" style="384" customWidth="1"/>
    <col min="3847" max="3847" width="12.42578125" style="384" customWidth="1"/>
    <col min="3848" max="3848" width="10.85546875" style="384" customWidth="1"/>
    <col min="3849" max="3849" width="6.7109375" style="384" customWidth="1"/>
    <col min="3850" max="4096" width="9.140625" style="384"/>
    <col min="4097" max="4099" width="4.7109375" style="384" customWidth="1"/>
    <col min="4100" max="4100" width="8.85546875" style="384" customWidth="1"/>
    <col min="4101" max="4101" width="48.85546875" style="384" customWidth="1"/>
    <col min="4102" max="4102" width="11.42578125" style="384" customWidth="1"/>
    <col min="4103" max="4103" width="12.42578125" style="384" customWidth="1"/>
    <col min="4104" max="4104" width="10.85546875" style="384" customWidth="1"/>
    <col min="4105" max="4105" width="6.7109375" style="384" customWidth="1"/>
    <col min="4106" max="4352" width="9.140625" style="384"/>
    <col min="4353" max="4355" width="4.7109375" style="384" customWidth="1"/>
    <col min="4356" max="4356" width="8.85546875" style="384" customWidth="1"/>
    <col min="4357" max="4357" width="48.85546875" style="384" customWidth="1"/>
    <col min="4358" max="4358" width="11.42578125" style="384" customWidth="1"/>
    <col min="4359" max="4359" width="12.42578125" style="384" customWidth="1"/>
    <col min="4360" max="4360" width="10.85546875" style="384" customWidth="1"/>
    <col min="4361" max="4361" width="6.7109375" style="384" customWidth="1"/>
    <col min="4362" max="4608" width="9.140625" style="384"/>
    <col min="4609" max="4611" width="4.7109375" style="384" customWidth="1"/>
    <col min="4612" max="4612" width="8.85546875" style="384" customWidth="1"/>
    <col min="4613" max="4613" width="48.85546875" style="384" customWidth="1"/>
    <col min="4614" max="4614" width="11.42578125" style="384" customWidth="1"/>
    <col min="4615" max="4615" width="12.42578125" style="384" customWidth="1"/>
    <col min="4616" max="4616" width="10.85546875" style="384" customWidth="1"/>
    <col min="4617" max="4617" width="6.7109375" style="384" customWidth="1"/>
    <col min="4618" max="4864" width="9.140625" style="384"/>
    <col min="4865" max="4867" width="4.7109375" style="384" customWidth="1"/>
    <col min="4868" max="4868" width="8.85546875" style="384" customWidth="1"/>
    <col min="4869" max="4869" width="48.85546875" style="384" customWidth="1"/>
    <col min="4870" max="4870" width="11.42578125" style="384" customWidth="1"/>
    <col min="4871" max="4871" width="12.42578125" style="384" customWidth="1"/>
    <col min="4872" max="4872" width="10.85546875" style="384" customWidth="1"/>
    <col min="4873" max="4873" width="6.7109375" style="384" customWidth="1"/>
    <col min="4874" max="5120" width="9.140625" style="384"/>
    <col min="5121" max="5123" width="4.7109375" style="384" customWidth="1"/>
    <col min="5124" max="5124" width="8.85546875" style="384" customWidth="1"/>
    <col min="5125" max="5125" width="48.85546875" style="384" customWidth="1"/>
    <col min="5126" max="5126" width="11.42578125" style="384" customWidth="1"/>
    <col min="5127" max="5127" width="12.42578125" style="384" customWidth="1"/>
    <col min="5128" max="5128" width="10.85546875" style="384" customWidth="1"/>
    <col min="5129" max="5129" width="6.7109375" style="384" customWidth="1"/>
    <col min="5130" max="5376" width="9.140625" style="384"/>
    <col min="5377" max="5379" width="4.7109375" style="384" customWidth="1"/>
    <col min="5380" max="5380" width="8.85546875" style="384" customWidth="1"/>
    <col min="5381" max="5381" width="48.85546875" style="384" customWidth="1"/>
    <col min="5382" max="5382" width="11.42578125" style="384" customWidth="1"/>
    <col min="5383" max="5383" width="12.42578125" style="384" customWidth="1"/>
    <col min="5384" max="5384" width="10.85546875" style="384" customWidth="1"/>
    <col min="5385" max="5385" width="6.7109375" style="384" customWidth="1"/>
    <col min="5386" max="5632" width="9.140625" style="384"/>
    <col min="5633" max="5635" width="4.7109375" style="384" customWidth="1"/>
    <col min="5636" max="5636" width="8.85546875" style="384" customWidth="1"/>
    <col min="5637" max="5637" width="48.85546875" style="384" customWidth="1"/>
    <col min="5638" max="5638" width="11.42578125" style="384" customWidth="1"/>
    <col min="5639" max="5639" width="12.42578125" style="384" customWidth="1"/>
    <col min="5640" max="5640" width="10.85546875" style="384" customWidth="1"/>
    <col min="5641" max="5641" width="6.7109375" style="384" customWidth="1"/>
    <col min="5642" max="5888" width="9.140625" style="384"/>
    <col min="5889" max="5891" width="4.7109375" style="384" customWidth="1"/>
    <col min="5892" max="5892" width="8.85546875" style="384" customWidth="1"/>
    <col min="5893" max="5893" width="48.85546875" style="384" customWidth="1"/>
    <col min="5894" max="5894" width="11.42578125" style="384" customWidth="1"/>
    <col min="5895" max="5895" width="12.42578125" style="384" customWidth="1"/>
    <col min="5896" max="5896" width="10.85546875" style="384" customWidth="1"/>
    <col min="5897" max="5897" width="6.7109375" style="384" customWidth="1"/>
    <col min="5898" max="6144" width="9.140625" style="384"/>
    <col min="6145" max="6147" width="4.7109375" style="384" customWidth="1"/>
    <col min="6148" max="6148" width="8.85546875" style="384" customWidth="1"/>
    <col min="6149" max="6149" width="48.85546875" style="384" customWidth="1"/>
    <col min="6150" max="6150" width="11.42578125" style="384" customWidth="1"/>
    <col min="6151" max="6151" width="12.42578125" style="384" customWidth="1"/>
    <col min="6152" max="6152" width="10.85546875" style="384" customWidth="1"/>
    <col min="6153" max="6153" width="6.7109375" style="384" customWidth="1"/>
    <col min="6154" max="6400" width="9.140625" style="384"/>
    <col min="6401" max="6403" width="4.7109375" style="384" customWidth="1"/>
    <col min="6404" max="6404" width="8.85546875" style="384" customWidth="1"/>
    <col min="6405" max="6405" width="48.85546875" style="384" customWidth="1"/>
    <col min="6406" max="6406" width="11.42578125" style="384" customWidth="1"/>
    <col min="6407" max="6407" width="12.42578125" style="384" customWidth="1"/>
    <col min="6408" max="6408" width="10.85546875" style="384" customWidth="1"/>
    <col min="6409" max="6409" width="6.7109375" style="384" customWidth="1"/>
    <col min="6410" max="6656" width="9.140625" style="384"/>
    <col min="6657" max="6659" width="4.7109375" style="384" customWidth="1"/>
    <col min="6660" max="6660" width="8.85546875" style="384" customWidth="1"/>
    <col min="6661" max="6661" width="48.85546875" style="384" customWidth="1"/>
    <col min="6662" max="6662" width="11.42578125" style="384" customWidth="1"/>
    <col min="6663" max="6663" width="12.42578125" style="384" customWidth="1"/>
    <col min="6664" max="6664" width="10.85546875" style="384" customWidth="1"/>
    <col min="6665" max="6665" width="6.7109375" style="384" customWidth="1"/>
    <col min="6666" max="6912" width="9.140625" style="384"/>
    <col min="6913" max="6915" width="4.7109375" style="384" customWidth="1"/>
    <col min="6916" max="6916" width="8.85546875" style="384" customWidth="1"/>
    <col min="6917" max="6917" width="48.85546875" style="384" customWidth="1"/>
    <col min="6918" max="6918" width="11.42578125" style="384" customWidth="1"/>
    <col min="6919" max="6919" width="12.42578125" style="384" customWidth="1"/>
    <col min="6920" max="6920" width="10.85546875" style="384" customWidth="1"/>
    <col min="6921" max="6921" width="6.7109375" style="384" customWidth="1"/>
    <col min="6922" max="7168" width="9.140625" style="384"/>
    <col min="7169" max="7171" width="4.7109375" style="384" customWidth="1"/>
    <col min="7172" max="7172" width="8.85546875" style="384" customWidth="1"/>
    <col min="7173" max="7173" width="48.85546875" style="384" customWidth="1"/>
    <col min="7174" max="7174" width="11.42578125" style="384" customWidth="1"/>
    <col min="7175" max="7175" width="12.42578125" style="384" customWidth="1"/>
    <col min="7176" max="7176" width="10.85546875" style="384" customWidth="1"/>
    <col min="7177" max="7177" width="6.7109375" style="384" customWidth="1"/>
    <col min="7178" max="7424" width="9.140625" style="384"/>
    <col min="7425" max="7427" width="4.7109375" style="384" customWidth="1"/>
    <col min="7428" max="7428" width="8.85546875" style="384" customWidth="1"/>
    <col min="7429" max="7429" width="48.85546875" style="384" customWidth="1"/>
    <col min="7430" max="7430" width="11.42578125" style="384" customWidth="1"/>
    <col min="7431" max="7431" width="12.42578125" style="384" customWidth="1"/>
    <col min="7432" max="7432" width="10.85546875" style="384" customWidth="1"/>
    <col min="7433" max="7433" width="6.7109375" style="384" customWidth="1"/>
    <col min="7434" max="7680" width="9.140625" style="384"/>
    <col min="7681" max="7683" width="4.7109375" style="384" customWidth="1"/>
    <col min="7684" max="7684" width="8.85546875" style="384" customWidth="1"/>
    <col min="7685" max="7685" width="48.85546875" style="384" customWidth="1"/>
    <col min="7686" max="7686" width="11.42578125" style="384" customWidth="1"/>
    <col min="7687" max="7687" width="12.42578125" style="384" customWidth="1"/>
    <col min="7688" max="7688" width="10.85546875" style="384" customWidth="1"/>
    <col min="7689" max="7689" width="6.7109375" style="384" customWidth="1"/>
    <col min="7690" max="7936" width="9.140625" style="384"/>
    <col min="7937" max="7939" width="4.7109375" style="384" customWidth="1"/>
    <col min="7940" max="7940" width="8.85546875" style="384" customWidth="1"/>
    <col min="7941" max="7941" width="48.85546875" style="384" customWidth="1"/>
    <col min="7942" max="7942" width="11.42578125" style="384" customWidth="1"/>
    <col min="7943" max="7943" width="12.42578125" style="384" customWidth="1"/>
    <col min="7944" max="7944" width="10.85546875" style="384" customWidth="1"/>
    <col min="7945" max="7945" width="6.7109375" style="384" customWidth="1"/>
    <col min="7946" max="8192" width="9.140625" style="384"/>
    <col min="8193" max="8195" width="4.7109375" style="384" customWidth="1"/>
    <col min="8196" max="8196" width="8.85546875" style="384" customWidth="1"/>
    <col min="8197" max="8197" width="48.85546875" style="384" customWidth="1"/>
    <col min="8198" max="8198" width="11.42578125" style="384" customWidth="1"/>
    <col min="8199" max="8199" width="12.42578125" style="384" customWidth="1"/>
    <col min="8200" max="8200" width="10.85546875" style="384" customWidth="1"/>
    <col min="8201" max="8201" width="6.7109375" style="384" customWidth="1"/>
    <col min="8202" max="8448" width="9.140625" style="384"/>
    <col min="8449" max="8451" width="4.7109375" style="384" customWidth="1"/>
    <col min="8452" max="8452" width="8.85546875" style="384" customWidth="1"/>
    <col min="8453" max="8453" width="48.85546875" style="384" customWidth="1"/>
    <col min="8454" max="8454" width="11.42578125" style="384" customWidth="1"/>
    <col min="8455" max="8455" width="12.42578125" style="384" customWidth="1"/>
    <col min="8456" max="8456" width="10.85546875" style="384" customWidth="1"/>
    <col min="8457" max="8457" width="6.7109375" style="384" customWidth="1"/>
    <col min="8458" max="8704" width="9.140625" style="384"/>
    <col min="8705" max="8707" width="4.7109375" style="384" customWidth="1"/>
    <col min="8708" max="8708" width="8.85546875" style="384" customWidth="1"/>
    <col min="8709" max="8709" width="48.85546875" style="384" customWidth="1"/>
    <col min="8710" max="8710" width="11.42578125" style="384" customWidth="1"/>
    <col min="8711" max="8711" width="12.42578125" style="384" customWidth="1"/>
    <col min="8712" max="8712" width="10.85546875" style="384" customWidth="1"/>
    <col min="8713" max="8713" width="6.7109375" style="384" customWidth="1"/>
    <col min="8714" max="8960" width="9.140625" style="384"/>
    <col min="8961" max="8963" width="4.7109375" style="384" customWidth="1"/>
    <col min="8964" max="8964" width="8.85546875" style="384" customWidth="1"/>
    <col min="8965" max="8965" width="48.85546875" style="384" customWidth="1"/>
    <col min="8966" max="8966" width="11.42578125" style="384" customWidth="1"/>
    <col min="8967" max="8967" width="12.42578125" style="384" customWidth="1"/>
    <col min="8968" max="8968" width="10.85546875" style="384" customWidth="1"/>
    <col min="8969" max="8969" width="6.7109375" style="384" customWidth="1"/>
    <col min="8970" max="9216" width="9.140625" style="384"/>
    <col min="9217" max="9219" width="4.7109375" style="384" customWidth="1"/>
    <col min="9220" max="9220" width="8.85546875" style="384" customWidth="1"/>
    <col min="9221" max="9221" width="48.85546875" style="384" customWidth="1"/>
    <col min="9222" max="9222" width="11.42578125" style="384" customWidth="1"/>
    <col min="9223" max="9223" width="12.42578125" style="384" customWidth="1"/>
    <col min="9224" max="9224" width="10.85546875" style="384" customWidth="1"/>
    <col min="9225" max="9225" width="6.7109375" style="384" customWidth="1"/>
    <col min="9226" max="9472" width="9.140625" style="384"/>
    <col min="9473" max="9475" width="4.7109375" style="384" customWidth="1"/>
    <col min="9476" max="9476" width="8.85546875" style="384" customWidth="1"/>
    <col min="9477" max="9477" width="48.85546875" style="384" customWidth="1"/>
    <col min="9478" max="9478" width="11.42578125" style="384" customWidth="1"/>
    <col min="9479" max="9479" width="12.42578125" style="384" customWidth="1"/>
    <col min="9480" max="9480" width="10.85546875" style="384" customWidth="1"/>
    <col min="9481" max="9481" width="6.7109375" style="384" customWidth="1"/>
    <col min="9482" max="9728" width="9.140625" style="384"/>
    <col min="9729" max="9731" width="4.7109375" style="384" customWidth="1"/>
    <col min="9732" max="9732" width="8.85546875" style="384" customWidth="1"/>
    <col min="9733" max="9733" width="48.85546875" style="384" customWidth="1"/>
    <col min="9734" max="9734" width="11.42578125" style="384" customWidth="1"/>
    <col min="9735" max="9735" width="12.42578125" style="384" customWidth="1"/>
    <col min="9736" max="9736" width="10.85546875" style="384" customWidth="1"/>
    <col min="9737" max="9737" width="6.7109375" style="384" customWidth="1"/>
    <col min="9738" max="9984" width="9.140625" style="384"/>
    <col min="9985" max="9987" width="4.7109375" style="384" customWidth="1"/>
    <col min="9988" max="9988" width="8.85546875" style="384" customWidth="1"/>
    <col min="9989" max="9989" width="48.85546875" style="384" customWidth="1"/>
    <col min="9990" max="9990" width="11.42578125" style="384" customWidth="1"/>
    <col min="9991" max="9991" width="12.42578125" style="384" customWidth="1"/>
    <col min="9992" max="9992" width="10.85546875" style="384" customWidth="1"/>
    <col min="9993" max="9993" width="6.7109375" style="384" customWidth="1"/>
    <col min="9994" max="10240" width="9.140625" style="384"/>
    <col min="10241" max="10243" width="4.7109375" style="384" customWidth="1"/>
    <col min="10244" max="10244" width="8.85546875" style="384" customWidth="1"/>
    <col min="10245" max="10245" width="48.85546875" style="384" customWidth="1"/>
    <col min="10246" max="10246" width="11.42578125" style="384" customWidth="1"/>
    <col min="10247" max="10247" width="12.42578125" style="384" customWidth="1"/>
    <col min="10248" max="10248" width="10.85546875" style="384" customWidth="1"/>
    <col min="10249" max="10249" width="6.7109375" style="384" customWidth="1"/>
    <col min="10250" max="10496" width="9.140625" style="384"/>
    <col min="10497" max="10499" width="4.7109375" style="384" customWidth="1"/>
    <col min="10500" max="10500" width="8.85546875" style="384" customWidth="1"/>
    <col min="10501" max="10501" width="48.85546875" style="384" customWidth="1"/>
    <col min="10502" max="10502" width="11.42578125" style="384" customWidth="1"/>
    <col min="10503" max="10503" width="12.42578125" style="384" customWidth="1"/>
    <col min="10504" max="10504" width="10.85546875" style="384" customWidth="1"/>
    <col min="10505" max="10505" width="6.7109375" style="384" customWidth="1"/>
    <col min="10506" max="10752" width="9.140625" style="384"/>
    <col min="10753" max="10755" width="4.7109375" style="384" customWidth="1"/>
    <col min="10756" max="10756" width="8.85546875" style="384" customWidth="1"/>
    <col min="10757" max="10757" width="48.85546875" style="384" customWidth="1"/>
    <col min="10758" max="10758" width="11.42578125" style="384" customWidth="1"/>
    <col min="10759" max="10759" width="12.42578125" style="384" customWidth="1"/>
    <col min="10760" max="10760" width="10.85546875" style="384" customWidth="1"/>
    <col min="10761" max="10761" width="6.7109375" style="384" customWidth="1"/>
    <col min="10762" max="11008" width="9.140625" style="384"/>
    <col min="11009" max="11011" width="4.7109375" style="384" customWidth="1"/>
    <col min="11012" max="11012" width="8.85546875" style="384" customWidth="1"/>
    <col min="11013" max="11013" width="48.85546875" style="384" customWidth="1"/>
    <col min="11014" max="11014" width="11.42578125" style="384" customWidth="1"/>
    <col min="11015" max="11015" width="12.42578125" style="384" customWidth="1"/>
    <col min="11016" max="11016" width="10.85546875" style="384" customWidth="1"/>
    <col min="11017" max="11017" width="6.7109375" style="384" customWidth="1"/>
    <col min="11018" max="11264" width="9.140625" style="384"/>
    <col min="11265" max="11267" width="4.7109375" style="384" customWidth="1"/>
    <col min="11268" max="11268" width="8.85546875" style="384" customWidth="1"/>
    <col min="11269" max="11269" width="48.85546875" style="384" customWidth="1"/>
    <col min="11270" max="11270" width="11.42578125" style="384" customWidth="1"/>
    <col min="11271" max="11271" width="12.42578125" style="384" customWidth="1"/>
    <col min="11272" max="11272" width="10.85546875" style="384" customWidth="1"/>
    <col min="11273" max="11273" width="6.7109375" style="384" customWidth="1"/>
    <col min="11274" max="11520" width="9.140625" style="384"/>
    <col min="11521" max="11523" width="4.7109375" style="384" customWidth="1"/>
    <col min="11524" max="11524" width="8.85546875" style="384" customWidth="1"/>
    <col min="11525" max="11525" width="48.85546875" style="384" customWidth="1"/>
    <col min="11526" max="11526" width="11.42578125" style="384" customWidth="1"/>
    <col min="11527" max="11527" width="12.42578125" style="384" customWidth="1"/>
    <col min="11528" max="11528" width="10.85546875" style="384" customWidth="1"/>
    <col min="11529" max="11529" width="6.7109375" style="384" customWidth="1"/>
    <col min="11530" max="11776" width="9.140625" style="384"/>
    <col min="11777" max="11779" width="4.7109375" style="384" customWidth="1"/>
    <col min="11780" max="11780" width="8.85546875" style="384" customWidth="1"/>
    <col min="11781" max="11781" width="48.85546875" style="384" customWidth="1"/>
    <col min="11782" max="11782" width="11.42578125" style="384" customWidth="1"/>
    <col min="11783" max="11783" width="12.42578125" style="384" customWidth="1"/>
    <col min="11784" max="11784" width="10.85546875" style="384" customWidth="1"/>
    <col min="11785" max="11785" width="6.7109375" style="384" customWidth="1"/>
    <col min="11786" max="12032" width="9.140625" style="384"/>
    <col min="12033" max="12035" width="4.7109375" style="384" customWidth="1"/>
    <col min="12036" max="12036" width="8.85546875" style="384" customWidth="1"/>
    <col min="12037" max="12037" width="48.85546875" style="384" customWidth="1"/>
    <col min="12038" max="12038" width="11.42578125" style="384" customWidth="1"/>
    <col min="12039" max="12039" width="12.42578125" style="384" customWidth="1"/>
    <col min="12040" max="12040" width="10.85546875" style="384" customWidth="1"/>
    <col min="12041" max="12041" width="6.7109375" style="384" customWidth="1"/>
    <col min="12042" max="12288" width="9.140625" style="384"/>
    <col min="12289" max="12291" width="4.7109375" style="384" customWidth="1"/>
    <col min="12292" max="12292" width="8.85546875" style="384" customWidth="1"/>
    <col min="12293" max="12293" width="48.85546875" style="384" customWidth="1"/>
    <col min="12294" max="12294" width="11.42578125" style="384" customWidth="1"/>
    <col min="12295" max="12295" width="12.42578125" style="384" customWidth="1"/>
    <col min="12296" max="12296" width="10.85546875" style="384" customWidth="1"/>
    <col min="12297" max="12297" width="6.7109375" style="384" customWidth="1"/>
    <col min="12298" max="12544" width="9.140625" style="384"/>
    <col min="12545" max="12547" width="4.7109375" style="384" customWidth="1"/>
    <col min="12548" max="12548" width="8.85546875" style="384" customWidth="1"/>
    <col min="12549" max="12549" width="48.85546875" style="384" customWidth="1"/>
    <col min="12550" max="12550" width="11.42578125" style="384" customWidth="1"/>
    <col min="12551" max="12551" width="12.42578125" style="384" customWidth="1"/>
    <col min="12552" max="12552" width="10.85546875" style="384" customWidth="1"/>
    <col min="12553" max="12553" width="6.7109375" style="384" customWidth="1"/>
    <col min="12554" max="12800" width="9.140625" style="384"/>
    <col min="12801" max="12803" width="4.7109375" style="384" customWidth="1"/>
    <col min="12804" max="12804" width="8.85546875" style="384" customWidth="1"/>
    <col min="12805" max="12805" width="48.85546875" style="384" customWidth="1"/>
    <col min="12806" max="12806" width="11.42578125" style="384" customWidth="1"/>
    <col min="12807" max="12807" width="12.42578125" style="384" customWidth="1"/>
    <col min="12808" max="12808" width="10.85546875" style="384" customWidth="1"/>
    <col min="12809" max="12809" width="6.7109375" style="384" customWidth="1"/>
    <col min="12810" max="13056" width="9.140625" style="384"/>
    <col min="13057" max="13059" width="4.7109375" style="384" customWidth="1"/>
    <col min="13060" max="13060" width="8.85546875" style="384" customWidth="1"/>
    <col min="13061" max="13061" width="48.85546875" style="384" customWidth="1"/>
    <col min="13062" max="13062" width="11.42578125" style="384" customWidth="1"/>
    <col min="13063" max="13063" width="12.42578125" style="384" customWidth="1"/>
    <col min="13064" max="13064" width="10.85546875" style="384" customWidth="1"/>
    <col min="13065" max="13065" width="6.7109375" style="384" customWidth="1"/>
    <col min="13066" max="13312" width="9.140625" style="384"/>
    <col min="13313" max="13315" width="4.7109375" style="384" customWidth="1"/>
    <col min="13316" max="13316" width="8.85546875" style="384" customWidth="1"/>
    <col min="13317" max="13317" width="48.85546875" style="384" customWidth="1"/>
    <col min="13318" max="13318" width="11.42578125" style="384" customWidth="1"/>
    <col min="13319" max="13319" width="12.42578125" style="384" customWidth="1"/>
    <col min="13320" max="13320" width="10.85546875" style="384" customWidth="1"/>
    <col min="13321" max="13321" width="6.7109375" style="384" customWidth="1"/>
    <col min="13322" max="13568" width="9.140625" style="384"/>
    <col min="13569" max="13571" width="4.7109375" style="384" customWidth="1"/>
    <col min="13572" max="13572" width="8.85546875" style="384" customWidth="1"/>
    <col min="13573" max="13573" width="48.85546875" style="384" customWidth="1"/>
    <col min="13574" max="13574" width="11.42578125" style="384" customWidth="1"/>
    <col min="13575" max="13575" width="12.42578125" style="384" customWidth="1"/>
    <col min="13576" max="13576" width="10.85546875" style="384" customWidth="1"/>
    <col min="13577" max="13577" width="6.7109375" style="384" customWidth="1"/>
    <col min="13578" max="13824" width="9.140625" style="384"/>
    <col min="13825" max="13827" width="4.7109375" style="384" customWidth="1"/>
    <col min="13828" max="13828" width="8.85546875" style="384" customWidth="1"/>
    <col min="13829" max="13829" width="48.85546875" style="384" customWidth="1"/>
    <col min="13830" max="13830" width="11.42578125" style="384" customWidth="1"/>
    <col min="13831" max="13831" width="12.42578125" style="384" customWidth="1"/>
    <col min="13832" max="13832" width="10.85546875" style="384" customWidth="1"/>
    <col min="13833" max="13833" width="6.7109375" style="384" customWidth="1"/>
    <col min="13834" max="14080" width="9.140625" style="384"/>
    <col min="14081" max="14083" width="4.7109375" style="384" customWidth="1"/>
    <col min="14084" max="14084" width="8.85546875" style="384" customWidth="1"/>
    <col min="14085" max="14085" width="48.85546875" style="384" customWidth="1"/>
    <col min="14086" max="14086" width="11.42578125" style="384" customWidth="1"/>
    <col min="14087" max="14087" width="12.42578125" style="384" customWidth="1"/>
    <col min="14088" max="14088" width="10.85546875" style="384" customWidth="1"/>
    <col min="14089" max="14089" width="6.7109375" style="384" customWidth="1"/>
    <col min="14090" max="14336" width="9.140625" style="384"/>
    <col min="14337" max="14339" width="4.7109375" style="384" customWidth="1"/>
    <col min="14340" max="14340" width="8.85546875" style="384" customWidth="1"/>
    <col min="14341" max="14341" width="48.85546875" style="384" customWidth="1"/>
    <col min="14342" max="14342" width="11.42578125" style="384" customWidth="1"/>
    <col min="14343" max="14343" width="12.42578125" style="384" customWidth="1"/>
    <col min="14344" max="14344" width="10.85546875" style="384" customWidth="1"/>
    <col min="14345" max="14345" width="6.7109375" style="384" customWidth="1"/>
    <col min="14346" max="14592" width="9.140625" style="384"/>
    <col min="14593" max="14595" width="4.7109375" style="384" customWidth="1"/>
    <col min="14596" max="14596" width="8.85546875" style="384" customWidth="1"/>
    <col min="14597" max="14597" width="48.85546875" style="384" customWidth="1"/>
    <col min="14598" max="14598" width="11.42578125" style="384" customWidth="1"/>
    <col min="14599" max="14599" width="12.42578125" style="384" customWidth="1"/>
    <col min="14600" max="14600" width="10.85546875" style="384" customWidth="1"/>
    <col min="14601" max="14601" width="6.7109375" style="384" customWidth="1"/>
    <col min="14602" max="14848" width="9.140625" style="384"/>
    <col min="14849" max="14851" width="4.7109375" style="384" customWidth="1"/>
    <col min="14852" max="14852" width="8.85546875" style="384" customWidth="1"/>
    <col min="14853" max="14853" width="48.85546875" style="384" customWidth="1"/>
    <col min="14854" max="14854" width="11.42578125" style="384" customWidth="1"/>
    <col min="14855" max="14855" width="12.42578125" style="384" customWidth="1"/>
    <col min="14856" max="14856" width="10.85546875" style="384" customWidth="1"/>
    <col min="14857" max="14857" width="6.7109375" style="384" customWidth="1"/>
    <col min="14858" max="15104" width="9.140625" style="384"/>
    <col min="15105" max="15107" width="4.7109375" style="384" customWidth="1"/>
    <col min="15108" max="15108" width="8.85546875" style="384" customWidth="1"/>
    <col min="15109" max="15109" width="48.85546875" style="384" customWidth="1"/>
    <col min="15110" max="15110" width="11.42578125" style="384" customWidth="1"/>
    <col min="15111" max="15111" width="12.42578125" style="384" customWidth="1"/>
    <col min="15112" max="15112" width="10.85546875" style="384" customWidth="1"/>
    <col min="15113" max="15113" width="6.7109375" style="384" customWidth="1"/>
    <col min="15114" max="15360" width="9.140625" style="384"/>
    <col min="15361" max="15363" width="4.7109375" style="384" customWidth="1"/>
    <col min="15364" max="15364" width="8.85546875" style="384" customWidth="1"/>
    <col min="15365" max="15365" width="48.85546875" style="384" customWidth="1"/>
    <col min="15366" max="15366" width="11.42578125" style="384" customWidth="1"/>
    <col min="15367" max="15367" width="12.42578125" style="384" customWidth="1"/>
    <col min="15368" max="15368" width="10.85546875" style="384" customWidth="1"/>
    <col min="15369" max="15369" width="6.7109375" style="384" customWidth="1"/>
    <col min="15370" max="15616" width="9.140625" style="384"/>
    <col min="15617" max="15619" width="4.7109375" style="384" customWidth="1"/>
    <col min="15620" max="15620" width="8.85546875" style="384" customWidth="1"/>
    <col min="15621" max="15621" width="48.85546875" style="384" customWidth="1"/>
    <col min="15622" max="15622" width="11.42578125" style="384" customWidth="1"/>
    <col min="15623" max="15623" width="12.42578125" style="384" customWidth="1"/>
    <col min="15624" max="15624" width="10.85546875" style="384" customWidth="1"/>
    <col min="15625" max="15625" width="6.7109375" style="384" customWidth="1"/>
    <col min="15626" max="15872" width="9.140625" style="384"/>
    <col min="15873" max="15875" width="4.7109375" style="384" customWidth="1"/>
    <col min="15876" max="15876" width="8.85546875" style="384" customWidth="1"/>
    <col min="15877" max="15877" width="48.85546875" style="384" customWidth="1"/>
    <col min="15878" max="15878" width="11.42578125" style="384" customWidth="1"/>
    <col min="15879" max="15879" width="12.42578125" style="384" customWidth="1"/>
    <col min="15880" max="15880" width="10.85546875" style="384" customWidth="1"/>
    <col min="15881" max="15881" width="6.7109375" style="384" customWidth="1"/>
    <col min="15882" max="16128" width="9.140625" style="384"/>
    <col min="16129" max="16131" width="4.7109375" style="384" customWidth="1"/>
    <col min="16132" max="16132" width="8.85546875" style="384" customWidth="1"/>
    <col min="16133" max="16133" width="48.85546875" style="384" customWidth="1"/>
    <col min="16134" max="16134" width="11.42578125" style="384" customWidth="1"/>
    <col min="16135" max="16135" width="12.42578125" style="384" customWidth="1"/>
    <col min="16136" max="16136" width="10.85546875" style="384" customWidth="1"/>
    <col min="16137" max="16137" width="6.7109375" style="384" customWidth="1"/>
    <col min="16138" max="16384" width="9.140625" style="384"/>
  </cols>
  <sheetData>
    <row r="1" spans="1:10" ht="18.75" thickBot="1" x14ac:dyDescent="0.3">
      <c r="A1" s="487" t="s">
        <v>789</v>
      </c>
      <c r="B1" s="488"/>
      <c r="C1" s="512"/>
      <c r="D1" s="513"/>
      <c r="E1" s="1547"/>
      <c r="F1" s="1647"/>
      <c r="G1" s="491" t="s">
        <v>790</v>
      </c>
      <c r="J1" s="17"/>
    </row>
    <row r="2" spans="1:10" ht="12.75" customHeight="1" x14ac:dyDescent="0.25">
      <c r="B2" s="6"/>
      <c r="C2" s="28"/>
      <c r="D2" s="63"/>
      <c r="E2" s="10"/>
      <c r="F2" s="485"/>
      <c r="G2" s="485"/>
      <c r="H2" s="168"/>
      <c r="I2" s="210"/>
      <c r="J2" s="17"/>
    </row>
    <row r="3" spans="1:10" ht="12.75" customHeight="1" x14ac:dyDescent="0.25">
      <c r="A3" s="67" t="s">
        <v>404</v>
      </c>
      <c r="B3" s="28"/>
      <c r="C3" s="547" t="s">
        <v>235</v>
      </c>
      <c r="D3" s="883"/>
      <c r="E3" s="307"/>
      <c r="F3" s="168"/>
      <c r="G3" s="181"/>
      <c r="H3" s="181"/>
    </row>
    <row r="4" spans="1:10" ht="12.75" customHeight="1" x14ac:dyDescent="0.25">
      <c r="A4" s="6"/>
      <c r="B4" s="28"/>
      <c r="C4" s="1648" t="s">
        <v>507</v>
      </c>
      <c r="E4" s="307"/>
      <c r="F4" s="168"/>
      <c r="G4" s="181"/>
      <c r="H4" s="181"/>
    </row>
    <row r="5" spans="1:10" ht="6.75" customHeight="1" x14ac:dyDescent="0.25">
      <c r="B5" s="6"/>
      <c r="C5" s="28"/>
      <c r="D5" s="63"/>
      <c r="E5" s="10"/>
      <c r="F5" s="485"/>
      <c r="G5" s="485"/>
      <c r="H5" s="168"/>
      <c r="I5" s="210"/>
      <c r="J5" s="17"/>
    </row>
    <row r="6" spans="1:10" ht="18" x14ac:dyDescent="0.25">
      <c r="A6" s="33" t="s">
        <v>388</v>
      </c>
      <c r="B6" s="33"/>
      <c r="C6" s="28"/>
      <c r="D6" s="63"/>
      <c r="E6" s="10"/>
      <c r="F6" s="485"/>
      <c r="G6" s="485"/>
      <c r="H6" s="168"/>
      <c r="I6" s="210"/>
      <c r="J6" s="17"/>
    </row>
    <row r="7" spans="1:10" ht="15" thickBot="1" x14ac:dyDescent="0.25">
      <c r="A7" s="439" t="s">
        <v>885</v>
      </c>
      <c r="B7" s="655"/>
      <c r="C7" s="655"/>
      <c r="D7" s="885"/>
      <c r="E7" s="656"/>
      <c r="H7" s="1736"/>
      <c r="I7" s="887" t="s">
        <v>179</v>
      </c>
    </row>
    <row r="8" spans="1:10" s="107" customFormat="1" ht="20.25" customHeight="1" thickTop="1" thickBot="1" x14ac:dyDescent="0.25">
      <c r="A8" s="657" t="s">
        <v>692</v>
      </c>
      <c r="B8" s="835" t="s">
        <v>180</v>
      </c>
      <c r="C8" s="658" t="s">
        <v>181</v>
      </c>
      <c r="D8" s="660" t="s">
        <v>783</v>
      </c>
      <c r="E8" s="660" t="s">
        <v>182</v>
      </c>
      <c r="F8" s="660" t="s">
        <v>183</v>
      </c>
      <c r="G8" s="660" t="s">
        <v>985</v>
      </c>
      <c r="H8" s="660" t="s">
        <v>986</v>
      </c>
      <c r="I8" s="888" t="s">
        <v>987</v>
      </c>
    </row>
    <row r="9" spans="1:10" s="386" customFormat="1" ht="13.5" thickTop="1" thickBot="1" x14ac:dyDescent="0.25">
      <c r="A9" s="592">
        <v>1</v>
      </c>
      <c r="B9" s="593">
        <v>2</v>
      </c>
      <c r="C9" s="593">
        <v>3</v>
      </c>
      <c r="D9" s="593">
        <v>4</v>
      </c>
      <c r="E9" s="593">
        <v>5</v>
      </c>
      <c r="F9" s="567">
        <v>6</v>
      </c>
      <c r="G9" s="567">
        <v>7</v>
      </c>
      <c r="H9" s="568">
        <v>8</v>
      </c>
      <c r="I9" s="662" t="s">
        <v>848</v>
      </c>
    </row>
    <row r="10" spans="1:10" ht="15.75" thickTop="1" x14ac:dyDescent="0.25">
      <c r="A10" s="1549">
        <v>1500</v>
      </c>
      <c r="B10" s="705">
        <v>3111</v>
      </c>
      <c r="C10" s="705">
        <v>5213</v>
      </c>
      <c r="D10" s="889"/>
      <c r="E10" s="854" t="s">
        <v>1318</v>
      </c>
      <c r="F10" s="890"/>
      <c r="G10" s="890">
        <f>SUM(G11:G11)</f>
        <v>1294</v>
      </c>
      <c r="H10" s="890">
        <f>SUM(H11:H11)</f>
        <v>1294</v>
      </c>
      <c r="I10" s="891">
        <f>(H10/G10)*100</f>
        <v>100</v>
      </c>
    </row>
    <row r="11" spans="1:10" ht="15.75" thickBot="1" x14ac:dyDescent="0.3">
      <c r="A11" s="435"/>
      <c r="B11" s="705"/>
      <c r="C11" s="705"/>
      <c r="D11" s="1179" t="s">
        <v>1274</v>
      </c>
      <c r="E11" s="1396" t="s">
        <v>0</v>
      </c>
      <c r="F11" s="890"/>
      <c r="G11" s="357">
        <v>1294</v>
      </c>
      <c r="H11" s="892">
        <v>1294</v>
      </c>
      <c r="I11" s="893">
        <f>(H11/G11)*100</f>
        <v>100</v>
      </c>
    </row>
    <row r="12" spans="1:10" ht="18" customHeight="1" thickTop="1" thickBot="1" x14ac:dyDescent="0.3">
      <c r="A12" s="2739" t="s">
        <v>1246</v>
      </c>
      <c r="B12" s="2740"/>
      <c r="C12" s="2740"/>
      <c r="D12" s="2740"/>
      <c r="E12" s="2740"/>
      <c r="F12" s="894">
        <f>SUM(F10)</f>
        <v>0</v>
      </c>
      <c r="G12" s="894">
        <f>SUM(G10)</f>
        <v>1294</v>
      </c>
      <c r="H12" s="894">
        <f>SUM(H10)</f>
        <v>1294</v>
      </c>
      <c r="I12" s="895">
        <f>(H12/G12)*100</f>
        <v>100</v>
      </c>
    </row>
    <row r="13" spans="1:10" ht="15" thickTop="1" x14ac:dyDescent="0.2"/>
    <row r="14" spans="1:10" ht="13.5" customHeight="1" thickBot="1" x14ac:dyDescent="0.25">
      <c r="A14" s="439" t="s">
        <v>1916</v>
      </c>
      <c r="I14" s="887" t="s">
        <v>179</v>
      </c>
    </row>
    <row r="15" spans="1:10" s="107" customFormat="1" ht="20.25" customHeight="1" thickTop="1" thickBot="1" x14ac:dyDescent="0.25">
      <c r="A15" s="657" t="s">
        <v>692</v>
      </c>
      <c r="B15" s="835" t="s">
        <v>180</v>
      </c>
      <c r="C15" s="658" t="s">
        <v>181</v>
      </c>
      <c r="D15" s="660" t="s">
        <v>783</v>
      </c>
      <c r="E15" s="660" t="s">
        <v>182</v>
      </c>
      <c r="F15" s="660" t="s">
        <v>183</v>
      </c>
      <c r="G15" s="660" t="s">
        <v>985</v>
      </c>
      <c r="H15" s="660" t="s">
        <v>986</v>
      </c>
      <c r="I15" s="888" t="s">
        <v>987</v>
      </c>
    </row>
    <row r="16" spans="1:10" s="386" customFormat="1" ht="13.5" thickTop="1" thickBot="1" x14ac:dyDescent="0.25">
      <c r="A16" s="592">
        <v>1</v>
      </c>
      <c r="B16" s="593">
        <v>2</v>
      </c>
      <c r="C16" s="593">
        <v>3</v>
      </c>
      <c r="D16" s="593">
        <v>4</v>
      </c>
      <c r="E16" s="593">
        <v>5</v>
      </c>
      <c r="F16" s="567">
        <v>6</v>
      </c>
      <c r="G16" s="567">
        <v>7</v>
      </c>
      <c r="H16" s="568">
        <v>8</v>
      </c>
      <c r="I16" s="662" t="s">
        <v>848</v>
      </c>
    </row>
    <row r="17" spans="1:9" ht="15.75" thickTop="1" x14ac:dyDescent="0.25">
      <c r="A17" s="435">
        <v>1502</v>
      </c>
      <c r="B17" s="705">
        <v>3111</v>
      </c>
      <c r="C17" s="705">
        <v>5213</v>
      </c>
      <c r="D17" s="889"/>
      <c r="E17" s="854" t="s">
        <v>1318</v>
      </c>
      <c r="F17" s="890"/>
      <c r="G17" s="890">
        <f>SUM(G18:G19)</f>
        <v>1607</v>
      </c>
      <c r="H17" s="890">
        <f>SUM(H18:H19)</f>
        <v>1607</v>
      </c>
      <c r="I17" s="896">
        <f t="shared" ref="I17:I22" si="0">(H17/G17)*100</f>
        <v>100</v>
      </c>
    </row>
    <row r="18" spans="1:9" x14ac:dyDescent="0.2">
      <c r="A18" s="435"/>
      <c r="B18" s="705"/>
      <c r="C18" s="705"/>
      <c r="D18" s="1179" t="s">
        <v>1274</v>
      </c>
      <c r="E18" s="1396" t="s">
        <v>0</v>
      </c>
      <c r="F18" s="897"/>
      <c r="G18" s="897">
        <v>1560</v>
      </c>
      <c r="H18" s="897">
        <v>1560</v>
      </c>
      <c r="I18" s="898">
        <f t="shared" si="0"/>
        <v>100</v>
      </c>
    </row>
    <row r="19" spans="1:9" ht="15.75" customHeight="1" x14ac:dyDescent="0.2">
      <c r="A19" s="435"/>
      <c r="B19" s="705"/>
      <c r="C19" s="705"/>
      <c r="D19" s="1178" t="s">
        <v>418</v>
      </c>
      <c r="E19" s="1712" t="s">
        <v>1</v>
      </c>
      <c r="F19" s="897"/>
      <c r="G19" s="897">
        <v>47</v>
      </c>
      <c r="H19" s="897">
        <v>47</v>
      </c>
      <c r="I19" s="898">
        <f t="shared" si="0"/>
        <v>100</v>
      </c>
    </row>
    <row r="20" spans="1:9" ht="15" x14ac:dyDescent="0.25">
      <c r="A20" s="435">
        <v>1502</v>
      </c>
      <c r="B20" s="705">
        <v>3141</v>
      </c>
      <c r="C20" s="1550">
        <v>5213</v>
      </c>
      <c r="D20" s="899"/>
      <c r="E20" s="854" t="s">
        <v>1318</v>
      </c>
      <c r="F20" s="890"/>
      <c r="G20" s="890">
        <f>G21</f>
        <v>228</v>
      </c>
      <c r="H20" s="890">
        <f>H21</f>
        <v>228</v>
      </c>
      <c r="I20" s="891">
        <f t="shared" si="0"/>
        <v>100</v>
      </c>
    </row>
    <row r="21" spans="1:9" ht="18" customHeight="1" thickBot="1" x14ac:dyDescent="0.25">
      <c r="A21" s="1576"/>
      <c r="B21" s="900"/>
      <c r="C21" s="900"/>
      <c r="D21" s="1179" t="s">
        <v>1274</v>
      </c>
      <c r="E21" s="1396" t="s">
        <v>0</v>
      </c>
      <c r="F21" s="901"/>
      <c r="G21" s="901">
        <v>228</v>
      </c>
      <c r="H21" s="901">
        <v>228</v>
      </c>
      <c r="I21" s="902">
        <f t="shared" si="0"/>
        <v>100</v>
      </c>
    </row>
    <row r="22" spans="1:9" ht="16.5" thickTop="1" thickBot="1" x14ac:dyDescent="0.3">
      <c r="A22" s="2739" t="s">
        <v>1246</v>
      </c>
      <c r="B22" s="2740"/>
      <c r="C22" s="2740"/>
      <c r="D22" s="2740"/>
      <c r="E22" s="2740"/>
      <c r="F22" s="894">
        <f>SUM(F17,F20)</f>
        <v>0</v>
      </c>
      <c r="G22" s="894">
        <f>SUM(G17,G20)</f>
        <v>1835</v>
      </c>
      <c r="H22" s="894">
        <f>SUM(H17,H20)</f>
        <v>1835</v>
      </c>
      <c r="I22" s="895">
        <f t="shared" si="0"/>
        <v>100</v>
      </c>
    </row>
    <row r="23" spans="1:9" ht="15" thickTop="1" x14ac:dyDescent="0.2"/>
    <row r="24" spans="1:9" ht="20.25" customHeight="1" thickBot="1" x14ac:dyDescent="0.25">
      <c r="A24" s="439" t="s">
        <v>886</v>
      </c>
      <c r="I24" s="887" t="s">
        <v>179</v>
      </c>
    </row>
    <row r="25" spans="1:9" s="107" customFormat="1" ht="12.75" thickTop="1" thickBot="1" x14ac:dyDescent="0.25">
      <c r="A25" s="657" t="s">
        <v>692</v>
      </c>
      <c r="B25" s="835" t="s">
        <v>180</v>
      </c>
      <c r="C25" s="658" t="s">
        <v>181</v>
      </c>
      <c r="D25" s="660" t="s">
        <v>783</v>
      </c>
      <c r="E25" s="660" t="s">
        <v>182</v>
      </c>
      <c r="F25" s="660" t="s">
        <v>183</v>
      </c>
      <c r="G25" s="660" t="s">
        <v>985</v>
      </c>
      <c r="H25" s="660" t="s">
        <v>986</v>
      </c>
      <c r="I25" s="888" t="s">
        <v>987</v>
      </c>
    </row>
    <row r="26" spans="1:9" s="386" customFormat="1" ht="15" customHeight="1" thickTop="1" thickBot="1" x14ac:dyDescent="0.25">
      <c r="A26" s="592">
        <v>1</v>
      </c>
      <c r="B26" s="593">
        <v>2</v>
      </c>
      <c r="C26" s="593">
        <v>3</v>
      </c>
      <c r="D26" s="593">
        <v>4</v>
      </c>
      <c r="E26" s="593">
        <v>5</v>
      </c>
      <c r="F26" s="567">
        <v>6</v>
      </c>
      <c r="G26" s="567">
        <v>7</v>
      </c>
      <c r="H26" s="568">
        <v>8</v>
      </c>
      <c r="I26" s="662" t="s">
        <v>848</v>
      </c>
    </row>
    <row r="27" spans="1:9" s="107" customFormat="1" ht="15.75" thickTop="1" x14ac:dyDescent="0.25">
      <c r="A27" s="435">
        <v>1503</v>
      </c>
      <c r="B27" s="705">
        <v>3112</v>
      </c>
      <c r="C27" s="705">
        <v>5213</v>
      </c>
      <c r="D27" s="889"/>
      <c r="E27" s="854" t="s">
        <v>1318</v>
      </c>
      <c r="F27" s="890"/>
      <c r="G27" s="890">
        <f>SUM(G28:G29)</f>
        <v>3431</v>
      </c>
      <c r="H27" s="890">
        <f>SUM(H28:H29)</f>
        <v>3431</v>
      </c>
      <c r="I27" s="891">
        <f t="shared" ref="I27:I32" si="1">(H27/G27)*100</f>
        <v>100</v>
      </c>
    </row>
    <row r="28" spans="1:9" ht="15.75" customHeight="1" x14ac:dyDescent="0.2">
      <c r="A28" s="435"/>
      <c r="B28" s="808"/>
      <c r="C28" s="808"/>
      <c r="D28" s="1179" t="s">
        <v>1274</v>
      </c>
      <c r="E28" s="1396" t="s">
        <v>0</v>
      </c>
      <c r="F28" s="903"/>
      <c r="G28" s="903">
        <v>3384</v>
      </c>
      <c r="H28" s="903">
        <v>3384</v>
      </c>
      <c r="I28" s="898">
        <f t="shared" si="1"/>
        <v>100</v>
      </c>
    </row>
    <row r="29" spans="1:9" x14ac:dyDescent="0.2">
      <c r="A29" s="435"/>
      <c r="B29" s="808"/>
      <c r="C29" s="808"/>
      <c r="D29" s="1178" t="s">
        <v>418</v>
      </c>
      <c r="E29" s="1712" t="s">
        <v>1</v>
      </c>
      <c r="F29" s="903"/>
      <c r="G29" s="903">
        <v>47</v>
      </c>
      <c r="H29" s="903">
        <v>47</v>
      </c>
      <c r="I29" s="898">
        <f t="shared" si="1"/>
        <v>100</v>
      </c>
    </row>
    <row r="30" spans="1:9" ht="18" customHeight="1" x14ac:dyDescent="0.25">
      <c r="A30" s="435">
        <v>1503</v>
      </c>
      <c r="B30" s="705">
        <v>3141</v>
      </c>
      <c r="C30" s="1550">
        <v>5213</v>
      </c>
      <c r="D30" s="899"/>
      <c r="E30" s="854" t="s">
        <v>1318</v>
      </c>
      <c r="F30" s="890"/>
      <c r="G30" s="890">
        <f>SUM(G31:G31)</f>
        <v>122</v>
      </c>
      <c r="H30" s="890">
        <f>SUM(H31:H31)</f>
        <v>122</v>
      </c>
      <c r="I30" s="891">
        <f t="shared" si="1"/>
        <v>100</v>
      </c>
    </row>
    <row r="31" spans="1:9" ht="15" thickBot="1" x14ac:dyDescent="0.25">
      <c r="A31" s="1576"/>
      <c r="B31" s="900"/>
      <c r="C31" s="900"/>
      <c r="D31" s="1179" t="s">
        <v>1274</v>
      </c>
      <c r="E31" s="1396" t="s">
        <v>0</v>
      </c>
      <c r="F31" s="901"/>
      <c r="G31" s="901">
        <v>122</v>
      </c>
      <c r="H31" s="901">
        <v>122</v>
      </c>
      <c r="I31" s="902">
        <f t="shared" si="1"/>
        <v>100</v>
      </c>
    </row>
    <row r="32" spans="1:9" ht="16.5" thickTop="1" thickBot="1" x14ac:dyDescent="0.3">
      <c r="A32" s="2739" t="s">
        <v>1246</v>
      </c>
      <c r="B32" s="2740"/>
      <c r="C32" s="2740"/>
      <c r="D32" s="2740"/>
      <c r="E32" s="2740"/>
      <c r="F32" s="894">
        <v>0</v>
      </c>
      <c r="G32" s="894">
        <f>SUM(G27,G30)</f>
        <v>3553</v>
      </c>
      <c r="H32" s="894">
        <f>SUM(H27,H30)</f>
        <v>3553</v>
      </c>
      <c r="I32" s="895">
        <f t="shared" si="1"/>
        <v>100</v>
      </c>
    </row>
    <row r="33" spans="1:9" ht="20.25" customHeight="1" thickTop="1" x14ac:dyDescent="0.2"/>
    <row r="34" spans="1:9" ht="15" thickBot="1" x14ac:dyDescent="0.25">
      <c r="A34" s="439" t="s">
        <v>490</v>
      </c>
      <c r="I34" s="887" t="s">
        <v>179</v>
      </c>
    </row>
    <row r="35" spans="1:9" s="107" customFormat="1" ht="12.75" thickTop="1" thickBot="1" x14ac:dyDescent="0.25">
      <c r="A35" s="657" t="s">
        <v>692</v>
      </c>
      <c r="B35" s="835" t="s">
        <v>180</v>
      </c>
      <c r="C35" s="658" t="s">
        <v>181</v>
      </c>
      <c r="D35" s="660" t="s">
        <v>783</v>
      </c>
      <c r="E35" s="660" t="s">
        <v>182</v>
      </c>
      <c r="F35" s="660" t="s">
        <v>183</v>
      </c>
      <c r="G35" s="660" t="s">
        <v>985</v>
      </c>
      <c r="H35" s="660" t="s">
        <v>986</v>
      </c>
      <c r="I35" s="888" t="s">
        <v>987</v>
      </c>
    </row>
    <row r="36" spans="1:9" s="386" customFormat="1" ht="13.5" thickTop="1" thickBot="1" x14ac:dyDescent="0.25">
      <c r="A36" s="592">
        <v>1</v>
      </c>
      <c r="B36" s="593">
        <v>2</v>
      </c>
      <c r="C36" s="593">
        <v>3</v>
      </c>
      <c r="D36" s="593">
        <v>4</v>
      </c>
      <c r="E36" s="593">
        <v>5</v>
      </c>
      <c r="F36" s="567">
        <v>6</v>
      </c>
      <c r="G36" s="567">
        <v>7</v>
      </c>
      <c r="H36" s="568">
        <v>8</v>
      </c>
      <c r="I36" s="662" t="s">
        <v>848</v>
      </c>
    </row>
    <row r="37" spans="1:9" ht="15.75" thickTop="1" x14ac:dyDescent="0.25">
      <c r="A37" s="435">
        <v>1504</v>
      </c>
      <c r="B37" s="705">
        <v>3111</v>
      </c>
      <c r="C37" s="705">
        <v>5221</v>
      </c>
      <c r="D37" s="889"/>
      <c r="E37" s="854" t="s">
        <v>1319</v>
      </c>
      <c r="F37" s="890"/>
      <c r="G37" s="890">
        <f>G38+G39</f>
        <v>939</v>
      </c>
      <c r="H37" s="890">
        <f>H38+H39</f>
        <v>939</v>
      </c>
      <c r="I37" s="896">
        <f t="shared" ref="I37:I42" si="2">(H37/G37)*100</f>
        <v>100</v>
      </c>
    </row>
    <row r="38" spans="1:9" ht="15.75" customHeight="1" x14ac:dyDescent="0.2">
      <c r="A38" s="435"/>
      <c r="B38" s="808"/>
      <c r="C38" s="808"/>
      <c r="D38" s="1179" t="s">
        <v>1274</v>
      </c>
      <c r="E38" s="1396" t="s">
        <v>0</v>
      </c>
      <c r="F38" s="903"/>
      <c r="G38" s="903">
        <v>873</v>
      </c>
      <c r="H38" s="903">
        <v>873</v>
      </c>
      <c r="I38" s="898">
        <f t="shared" si="2"/>
        <v>100</v>
      </c>
    </row>
    <row r="39" spans="1:9" x14ac:dyDescent="0.2">
      <c r="A39" s="435"/>
      <c r="B39" s="808"/>
      <c r="C39" s="808"/>
      <c r="D39" s="578" t="s">
        <v>418</v>
      </c>
      <c r="E39" s="1712" t="s">
        <v>1</v>
      </c>
      <c r="F39" s="903"/>
      <c r="G39" s="903">
        <v>66</v>
      </c>
      <c r="H39" s="903">
        <v>66</v>
      </c>
      <c r="I39" s="898">
        <f t="shared" si="2"/>
        <v>100</v>
      </c>
    </row>
    <row r="40" spans="1:9" ht="18" customHeight="1" x14ac:dyDescent="0.25">
      <c r="A40" s="435">
        <v>1504</v>
      </c>
      <c r="B40" s="705">
        <v>3141</v>
      </c>
      <c r="C40" s="1550">
        <v>5221</v>
      </c>
      <c r="D40" s="899"/>
      <c r="E40" s="704" t="s">
        <v>1319</v>
      </c>
      <c r="F40" s="890"/>
      <c r="G40" s="890">
        <f>G41</f>
        <v>40</v>
      </c>
      <c r="H40" s="890">
        <f>H41</f>
        <v>40</v>
      </c>
      <c r="I40" s="891">
        <f t="shared" si="2"/>
        <v>100</v>
      </c>
    </row>
    <row r="41" spans="1:9" ht="15" thickBot="1" x14ac:dyDescent="0.25">
      <c r="A41" s="1576"/>
      <c r="B41" s="900"/>
      <c r="C41" s="900"/>
      <c r="D41" s="1192" t="s">
        <v>1274</v>
      </c>
      <c r="E41" s="1396" t="s">
        <v>0</v>
      </c>
      <c r="F41" s="901"/>
      <c r="G41" s="901">
        <v>40</v>
      </c>
      <c r="H41" s="901">
        <v>40</v>
      </c>
      <c r="I41" s="902">
        <f t="shared" si="2"/>
        <v>100</v>
      </c>
    </row>
    <row r="42" spans="1:9" ht="16.5" thickTop="1" thickBot="1" x14ac:dyDescent="0.3">
      <c r="A42" s="2739" t="s">
        <v>1246</v>
      </c>
      <c r="B42" s="2740"/>
      <c r="C42" s="2740"/>
      <c r="D42" s="2740"/>
      <c r="E42" s="2740"/>
      <c r="F42" s="894">
        <f>SUM(F37,F40)</f>
        <v>0</v>
      </c>
      <c r="G42" s="894">
        <f>G37+G40</f>
        <v>979</v>
      </c>
      <c r="H42" s="894">
        <f>H37+H40</f>
        <v>979</v>
      </c>
      <c r="I42" s="895">
        <f t="shared" si="2"/>
        <v>100</v>
      </c>
    </row>
    <row r="43" spans="1:9" ht="15" thickTop="1" x14ac:dyDescent="0.2"/>
    <row r="44" spans="1:9" ht="15" thickBot="1" x14ac:dyDescent="0.25">
      <c r="A44" s="439" t="s">
        <v>1366</v>
      </c>
      <c r="I44" s="887" t="s">
        <v>179</v>
      </c>
    </row>
    <row r="45" spans="1:9" thickTop="1" thickBot="1" x14ac:dyDescent="0.25">
      <c r="A45" s="657" t="s">
        <v>692</v>
      </c>
      <c r="B45" s="835" t="s">
        <v>180</v>
      </c>
      <c r="C45" s="658" t="s">
        <v>181</v>
      </c>
      <c r="D45" s="660" t="s">
        <v>783</v>
      </c>
      <c r="E45" s="660" t="s">
        <v>182</v>
      </c>
      <c r="F45" s="660" t="s">
        <v>183</v>
      </c>
      <c r="G45" s="660" t="s">
        <v>985</v>
      </c>
      <c r="H45" s="660" t="s">
        <v>986</v>
      </c>
      <c r="I45" s="888" t="s">
        <v>987</v>
      </c>
    </row>
    <row r="46" spans="1:9" thickTop="1" thickBot="1" x14ac:dyDescent="0.25">
      <c r="A46" s="592">
        <v>1</v>
      </c>
      <c r="B46" s="593">
        <v>2</v>
      </c>
      <c r="C46" s="593">
        <v>3</v>
      </c>
      <c r="D46" s="593">
        <v>4</v>
      </c>
      <c r="E46" s="593">
        <v>5</v>
      </c>
      <c r="F46" s="567">
        <v>6</v>
      </c>
      <c r="G46" s="567">
        <v>7</v>
      </c>
      <c r="H46" s="568">
        <v>8</v>
      </c>
      <c r="I46" s="662" t="s">
        <v>848</v>
      </c>
    </row>
    <row r="47" spans="1:9" ht="15.75" thickTop="1" x14ac:dyDescent="0.25">
      <c r="A47" s="435">
        <v>1506</v>
      </c>
      <c r="B47" s="705">
        <v>3111</v>
      </c>
      <c r="C47" s="705">
        <v>5213</v>
      </c>
      <c r="D47" s="889"/>
      <c r="E47" s="854" t="s">
        <v>1318</v>
      </c>
      <c r="F47" s="890"/>
      <c r="G47" s="890">
        <f>SUM(G48:G48)</f>
        <v>538</v>
      </c>
      <c r="H47" s="890">
        <f>SUM(H48:H48)</f>
        <v>538</v>
      </c>
      <c r="I47" s="896">
        <f>(H47/G47)*100</f>
        <v>100</v>
      </c>
    </row>
    <row r="48" spans="1:9" x14ac:dyDescent="0.2">
      <c r="A48" s="435"/>
      <c r="B48" s="808"/>
      <c r="C48" s="808"/>
      <c r="D48" s="1179" t="s">
        <v>1274</v>
      </c>
      <c r="E48" s="1396" t="s">
        <v>0</v>
      </c>
      <c r="F48" s="903"/>
      <c r="G48" s="903">
        <v>538</v>
      </c>
      <c r="H48" s="903">
        <v>538</v>
      </c>
      <c r="I48" s="898">
        <f>(H48/G48)*100</f>
        <v>100</v>
      </c>
    </row>
    <row r="49" spans="1:9" ht="15" x14ac:dyDescent="0.25">
      <c r="A49" s="435">
        <v>1506</v>
      </c>
      <c r="B49" s="808">
        <v>3141</v>
      </c>
      <c r="C49" s="808">
        <v>5213</v>
      </c>
      <c r="D49" s="1179"/>
      <c r="E49" s="854" t="s">
        <v>1318</v>
      </c>
      <c r="F49" s="903"/>
      <c r="G49" s="916">
        <v>9</v>
      </c>
      <c r="H49" s="916">
        <v>9</v>
      </c>
      <c r="I49" s="891">
        <f>(H49/G49)*100</f>
        <v>100</v>
      </c>
    </row>
    <row r="50" spans="1:9" ht="15" thickBot="1" x14ac:dyDescent="0.25">
      <c r="A50" s="435"/>
      <c r="B50" s="808"/>
      <c r="C50" s="808"/>
      <c r="D50" s="1179" t="s">
        <v>1274</v>
      </c>
      <c r="E50" s="1396" t="s">
        <v>0</v>
      </c>
      <c r="F50" s="903"/>
      <c r="G50" s="903">
        <v>9</v>
      </c>
      <c r="H50" s="903">
        <v>9</v>
      </c>
      <c r="I50" s="898">
        <f>(H50/G50)*100</f>
        <v>100</v>
      </c>
    </row>
    <row r="51" spans="1:9" ht="16.5" thickTop="1" thickBot="1" x14ac:dyDescent="0.3">
      <c r="A51" s="2739" t="s">
        <v>1246</v>
      </c>
      <c r="B51" s="2740"/>
      <c r="C51" s="2740"/>
      <c r="D51" s="2740"/>
      <c r="E51" s="2740"/>
      <c r="F51" s="894">
        <v>0</v>
      </c>
      <c r="G51" s="894">
        <f>G47+G49</f>
        <v>547</v>
      </c>
      <c r="H51" s="894">
        <f>H47+H49</f>
        <v>547</v>
      </c>
      <c r="I51" s="895">
        <f>(H51/G51)*100</f>
        <v>100</v>
      </c>
    </row>
    <row r="52" spans="1:9" ht="15" thickTop="1" x14ac:dyDescent="0.2"/>
    <row r="53" spans="1:9" ht="15" thickBot="1" x14ac:dyDescent="0.25">
      <c r="A53" s="439" t="s">
        <v>1676</v>
      </c>
      <c r="I53" s="887" t="s">
        <v>179</v>
      </c>
    </row>
    <row r="54" spans="1:9" s="107" customFormat="1" ht="15.75" customHeight="1" thickTop="1" thickBot="1" x14ac:dyDescent="0.25">
      <c r="A54" s="657" t="s">
        <v>692</v>
      </c>
      <c r="B54" s="835" t="s">
        <v>180</v>
      </c>
      <c r="C54" s="658" t="s">
        <v>181</v>
      </c>
      <c r="D54" s="660" t="s">
        <v>783</v>
      </c>
      <c r="E54" s="660" t="s">
        <v>182</v>
      </c>
      <c r="F54" s="660" t="s">
        <v>183</v>
      </c>
      <c r="G54" s="660" t="s">
        <v>985</v>
      </c>
      <c r="H54" s="660" t="s">
        <v>986</v>
      </c>
      <c r="I54" s="888" t="s">
        <v>987</v>
      </c>
    </row>
    <row r="55" spans="1:9" s="386" customFormat="1" ht="13.5" thickTop="1" thickBot="1" x14ac:dyDescent="0.25">
      <c r="A55" s="592">
        <v>1</v>
      </c>
      <c r="B55" s="593">
        <v>2</v>
      </c>
      <c r="C55" s="593">
        <v>3</v>
      </c>
      <c r="D55" s="593">
        <v>4</v>
      </c>
      <c r="E55" s="593">
        <v>5</v>
      </c>
      <c r="F55" s="567">
        <v>6</v>
      </c>
      <c r="G55" s="567">
        <v>7</v>
      </c>
      <c r="H55" s="568">
        <v>8</v>
      </c>
      <c r="I55" s="662" t="s">
        <v>848</v>
      </c>
    </row>
    <row r="56" spans="1:9" ht="18" customHeight="1" thickTop="1" x14ac:dyDescent="0.25">
      <c r="A56" s="1549">
        <v>1507</v>
      </c>
      <c r="B56" s="705">
        <v>3111</v>
      </c>
      <c r="C56" s="705">
        <v>5213</v>
      </c>
      <c r="D56" s="909"/>
      <c r="E56" s="854" t="s">
        <v>1318</v>
      </c>
      <c r="F56" s="890"/>
      <c r="G56" s="890">
        <f>G57</f>
        <v>1366</v>
      </c>
      <c r="H56" s="890">
        <f>H57</f>
        <v>1366</v>
      </c>
      <c r="I56" s="896">
        <f>(H56/G56)*100</f>
        <v>100</v>
      </c>
    </row>
    <row r="57" spans="1:9" x14ac:dyDescent="0.2">
      <c r="A57" s="445"/>
      <c r="B57" s="910"/>
      <c r="C57" s="705"/>
      <c r="D57" s="1179" t="s">
        <v>1274</v>
      </c>
      <c r="E57" s="1424" t="s">
        <v>0</v>
      </c>
      <c r="F57" s="911"/>
      <c r="G57" s="897">
        <v>1366</v>
      </c>
      <c r="H57" s="911">
        <v>1366</v>
      </c>
      <c r="I57" s="893">
        <f>(H57/G57)*100</f>
        <v>100</v>
      </c>
    </row>
    <row r="58" spans="1:9" ht="15" x14ac:dyDescent="0.25">
      <c r="A58" s="435">
        <v>1507</v>
      </c>
      <c r="B58" s="808">
        <v>3141</v>
      </c>
      <c r="C58" s="705">
        <v>5213</v>
      </c>
      <c r="D58" s="889"/>
      <c r="E58" s="854" t="s">
        <v>1318</v>
      </c>
      <c r="F58" s="905"/>
      <c r="G58" s="905">
        <v>66</v>
      </c>
      <c r="H58" s="905">
        <v>66</v>
      </c>
      <c r="I58" s="906">
        <f>(H58/G58)*100</f>
        <v>100</v>
      </c>
    </row>
    <row r="59" spans="1:9" ht="15" thickBot="1" x14ac:dyDescent="0.25">
      <c r="A59" s="435"/>
      <c r="B59" s="808"/>
      <c r="C59" s="808"/>
      <c r="D59" s="1192" t="s">
        <v>1274</v>
      </c>
      <c r="E59" s="1424" t="s">
        <v>0</v>
      </c>
      <c r="F59" s="903"/>
      <c r="G59" s="903">
        <v>66</v>
      </c>
      <c r="H59" s="903">
        <v>66</v>
      </c>
      <c r="I59" s="898">
        <f>(H59/G59)*100</f>
        <v>100</v>
      </c>
    </row>
    <row r="60" spans="1:9" ht="16.5" thickTop="1" thickBot="1" x14ac:dyDescent="0.3">
      <c r="A60" s="2739" t="s">
        <v>1246</v>
      </c>
      <c r="B60" s="2740"/>
      <c r="C60" s="2740"/>
      <c r="D60" s="2740"/>
      <c r="E60" s="2740"/>
      <c r="F60" s="894">
        <f>SUM(F56,F58)</f>
        <v>0</v>
      </c>
      <c r="G60" s="894">
        <f>SUM(G56,G58)</f>
        <v>1432</v>
      </c>
      <c r="H60" s="894">
        <f>SUM(H56,H58,)</f>
        <v>1432</v>
      </c>
      <c r="I60" s="895">
        <f>(H60/G60)*100</f>
        <v>100</v>
      </c>
    </row>
    <row r="61" spans="1:9" ht="15" thickTop="1" x14ac:dyDescent="0.2"/>
    <row r="67" spans="1:9" ht="20.25" customHeight="1" thickBot="1" x14ac:dyDescent="0.25">
      <c r="A67" s="439" t="s">
        <v>1677</v>
      </c>
      <c r="I67" s="887" t="s">
        <v>179</v>
      </c>
    </row>
    <row r="68" spans="1:9" s="107" customFormat="1" ht="12.75" thickTop="1" thickBot="1" x14ac:dyDescent="0.25">
      <c r="A68" s="657" t="s">
        <v>692</v>
      </c>
      <c r="B68" s="835" t="s">
        <v>180</v>
      </c>
      <c r="C68" s="658" t="s">
        <v>181</v>
      </c>
      <c r="D68" s="660" t="s">
        <v>783</v>
      </c>
      <c r="E68" s="660" t="s">
        <v>182</v>
      </c>
      <c r="F68" s="660" t="s">
        <v>183</v>
      </c>
      <c r="G68" s="660" t="s">
        <v>985</v>
      </c>
      <c r="H68" s="660" t="s">
        <v>986</v>
      </c>
      <c r="I68" s="888" t="s">
        <v>987</v>
      </c>
    </row>
    <row r="69" spans="1:9" s="386" customFormat="1" ht="13.5" thickTop="1" thickBot="1" x14ac:dyDescent="0.25">
      <c r="A69" s="592">
        <v>1</v>
      </c>
      <c r="B69" s="593">
        <v>2</v>
      </c>
      <c r="C69" s="593">
        <v>3</v>
      </c>
      <c r="D69" s="593">
        <v>4</v>
      </c>
      <c r="E69" s="593">
        <v>5</v>
      </c>
      <c r="F69" s="567">
        <v>6</v>
      </c>
      <c r="G69" s="567">
        <v>7</v>
      </c>
      <c r="H69" s="568">
        <v>8</v>
      </c>
      <c r="I69" s="662" t="s">
        <v>848</v>
      </c>
    </row>
    <row r="70" spans="1:9" ht="15.75" thickTop="1" x14ac:dyDescent="0.25">
      <c r="A70" s="1549">
        <v>1508</v>
      </c>
      <c r="B70" s="705">
        <v>3111</v>
      </c>
      <c r="C70" s="705">
        <v>5213</v>
      </c>
      <c r="D70" s="909"/>
      <c r="E70" s="854" t="s">
        <v>1318</v>
      </c>
      <c r="F70" s="890"/>
      <c r="G70" s="890">
        <f>G71</f>
        <v>733</v>
      </c>
      <c r="H70" s="890">
        <f>H71</f>
        <v>733</v>
      </c>
      <c r="I70" s="896">
        <f>(H70/G70)*100</f>
        <v>100</v>
      </c>
    </row>
    <row r="71" spans="1:9" ht="15.75" customHeight="1" x14ac:dyDescent="0.2">
      <c r="A71" s="445"/>
      <c r="B71" s="910"/>
      <c r="C71" s="705"/>
      <c r="D71" s="1179" t="s">
        <v>1274</v>
      </c>
      <c r="E71" s="1424" t="s">
        <v>0</v>
      </c>
      <c r="F71" s="911"/>
      <c r="G71" s="897">
        <v>733</v>
      </c>
      <c r="H71" s="911">
        <v>733</v>
      </c>
      <c r="I71" s="893">
        <f>(H71/G71)*100</f>
        <v>100</v>
      </c>
    </row>
    <row r="72" spans="1:9" ht="15" x14ac:dyDescent="0.25">
      <c r="A72" s="435">
        <v>1508</v>
      </c>
      <c r="B72" s="808">
        <v>3141</v>
      </c>
      <c r="C72" s="705">
        <v>5213</v>
      </c>
      <c r="D72" s="889"/>
      <c r="E72" s="854" t="s">
        <v>1318</v>
      </c>
      <c r="F72" s="905"/>
      <c r="G72" s="905">
        <v>35</v>
      </c>
      <c r="H72" s="905">
        <v>35</v>
      </c>
      <c r="I72" s="906">
        <f>(H72/G72)*100</f>
        <v>100</v>
      </c>
    </row>
    <row r="73" spans="1:9" ht="18" customHeight="1" thickBot="1" x14ac:dyDescent="0.25">
      <c r="A73" s="435"/>
      <c r="B73" s="808"/>
      <c r="C73" s="808"/>
      <c r="D73" s="1192" t="s">
        <v>1274</v>
      </c>
      <c r="E73" s="1424" t="s">
        <v>0</v>
      </c>
      <c r="F73" s="903"/>
      <c r="G73" s="903">
        <v>35</v>
      </c>
      <c r="H73" s="903">
        <v>35</v>
      </c>
      <c r="I73" s="898">
        <f>(H73/G73)*100</f>
        <v>100</v>
      </c>
    </row>
    <row r="74" spans="1:9" ht="16.5" thickTop="1" thickBot="1" x14ac:dyDescent="0.3">
      <c r="A74" s="2739" t="s">
        <v>1246</v>
      </c>
      <c r="B74" s="2740"/>
      <c r="C74" s="2740"/>
      <c r="D74" s="2740"/>
      <c r="E74" s="2740"/>
      <c r="F74" s="894">
        <f>SUM(F70,F72)</f>
        <v>0</v>
      </c>
      <c r="G74" s="894">
        <f>SUM(G70,G72,)</f>
        <v>768</v>
      </c>
      <c r="H74" s="894">
        <f>SUM(H70,H72,)</f>
        <v>768</v>
      </c>
      <c r="I74" s="895">
        <f>(H74/G74)*100</f>
        <v>100</v>
      </c>
    </row>
    <row r="75" spans="1:9" ht="15" thickTop="1" x14ac:dyDescent="0.2"/>
    <row r="76" spans="1:9" ht="15" thickBot="1" x14ac:dyDescent="0.25">
      <c r="A76" s="439" t="s">
        <v>1917</v>
      </c>
      <c r="I76" s="887" t="s">
        <v>179</v>
      </c>
    </row>
    <row r="77" spans="1:9" s="107" customFormat="1" ht="20.25" customHeight="1" thickTop="1" thickBot="1" x14ac:dyDescent="0.25">
      <c r="A77" s="657" t="s">
        <v>692</v>
      </c>
      <c r="B77" s="835" t="s">
        <v>180</v>
      </c>
      <c r="C77" s="658" t="s">
        <v>181</v>
      </c>
      <c r="D77" s="660" t="s">
        <v>783</v>
      </c>
      <c r="E77" s="660" t="s">
        <v>182</v>
      </c>
      <c r="F77" s="660" t="s">
        <v>183</v>
      </c>
      <c r="G77" s="660" t="s">
        <v>985</v>
      </c>
      <c r="H77" s="660" t="s">
        <v>986</v>
      </c>
      <c r="I77" s="888" t="s">
        <v>987</v>
      </c>
    </row>
    <row r="78" spans="1:9" s="386" customFormat="1" ht="13.5" thickTop="1" thickBot="1" x14ac:dyDescent="0.25">
      <c r="A78" s="592">
        <v>1</v>
      </c>
      <c r="B78" s="593">
        <v>2</v>
      </c>
      <c r="C78" s="593">
        <v>3</v>
      </c>
      <c r="D78" s="593">
        <v>4</v>
      </c>
      <c r="E78" s="593">
        <v>5</v>
      </c>
      <c r="F78" s="567">
        <v>6</v>
      </c>
      <c r="G78" s="567">
        <v>7</v>
      </c>
      <c r="H78" s="568">
        <v>8</v>
      </c>
      <c r="I78" s="662" t="s">
        <v>848</v>
      </c>
    </row>
    <row r="79" spans="1:9" ht="15" customHeight="1" thickTop="1" x14ac:dyDescent="0.25">
      <c r="A79" s="1549">
        <v>1509</v>
      </c>
      <c r="B79" s="705">
        <v>3111</v>
      </c>
      <c r="C79" s="705">
        <v>5213</v>
      </c>
      <c r="D79" s="909"/>
      <c r="E79" s="854" t="s">
        <v>1318</v>
      </c>
      <c r="F79" s="890"/>
      <c r="G79" s="890">
        <f>G80</f>
        <v>337</v>
      </c>
      <c r="H79" s="890">
        <f>H80</f>
        <v>337</v>
      </c>
      <c r="I79" s="896">
        <f>(H79/G79)*100</f>
        <v>100</v>
      </c>
    </row>
    <row r="80" spans="1:9" x14ac:dyDescent="0.2">
      <c r="A80" s="445"/>
      <c r="B80" s="910"/>
      <c r="C80" s="705"/>
      <c r="D80" s="1179" t="s">
        <v>1274</v>
      </c>
      <c r="E80" s="1424" t="s">
        <v>0</v>
      </c>
      <c r="F80" s="911"/>
      <c r="G80" s="897">
        <v>337</v>
      </c>
      <c r="H80" s="911">
        <v>337</v>
      </c>
      <c r="I80" s="893">
        <f>(H80/G80)*100</f>
        <v>100</v>
      </c>
    </row>
    <row r="81" spans="1:9" ht="15" x14ac:dyDescent="0.25">
      <c r="A81" s="435">
        <v>1509</v>
      </c>
      <c r="B81" s="808">
        <v>3141</v>
      </c>
      <c r="C81" s="705">
        <v>5213</v>
      </c>
      <c r="D81" s="889"/>
      <c r="E81" s="854" t="s">
        <v>1318</v>
      </c>
      <c r="F81" s="905"/>
      <c r="G81" s="905">
        <v>16</v>
      </c>
      <c r="H81" s="905">
        <v>16</v>
      </c>
      <c r="I81" s="906">
        <f>(H81/G81)*100</f>
        <v>100</v>
      </c>
    </row>
    <row r="82" spans="1:9" ht="15" thickBot="1" x14ac:dyDescent="0.25">
      <c r="A82" s="435"/>
      <c r="B82" s="808"/>
      <c r="C82" s="808"/>
      <c r="D82" s="1192" t="s">
        <v>1274</v>
      </c>
      <c r="E82" s="1424" t="s">
        <v>0</v>
      </c>
      <c r="F82" s="903"/>
      <c r="G82" s="903">
        <v>16</v>
      </c>
      <c r="H82" s="903">
        <v>16</v>
      </c>
      <c r="I82" s="898">
        <f>(H82/G82)*100</f>
        <v>100</v>
      </c>
    </row>
    <row r="83" spans="1:9" ht="15" customHeight="1" thickTop="1" thickBot="1" x14ac:dyDescent="0.3">
      <c r="A83" s="2739" t="s">
        <v>1246</v>
      </c>
      <c r="B83" s="2740"/>
      <c r="C83" s="2740"/>
      <c r="D83" s="2740"/>
      <c r="E83" s="2740"/>
      <c r="F83" s="894">
        <f>SUM(F79,F81)</f>
        <v>0</v>
      </c>
      <c r="G83" s="894">
        <f>SUM(G79,G81)</f>
        <v>353</v>
      </c>
      <c r="H83" s="894">
        <f>SUM(H79,H81)</f>
        <v>353</v>
      </c>
      <c r="I83" s="895">
        <f>(H83/G83)*100</f>
        <v>100</v>
      </c>
    </row>
    <row r="84" spans="1:9" ht="15.75" customHeight="1" thickTop="1" x14ac:dyDescent="0.2"/>
    <row r="85" spans="1:9" ht="15.75" customHeight="1" x14ac:dyDescent="0.2"/>
    <row r="86" spans="1:9" ht="15.75" customHeight="1" thickBot="1" x14ac:dyDescent="0.25">
      <c r="A86" s="439" t="s">
        <v>1918</v>
      </c>
      <c r="I86" s="887" t="s">
        <v>179</v>
      </c>
    </row>
    <row r="87" spans="1:9" s="107" customFormat="1" ht="15.75" customHeight="1" thickTop="1" thickBot="1" x14ac:dyDescent="0.25">
      <c r="A87" s="657" t="s">
        <v>692</v>
      </c>
      <c r="B87" s="835" t="s">
        <v>180</v>
      </c>
      <c r="C87" s="658" t="s">
        <v>181</v>
      </c>
      <c r="D87" s="660" t="s">
        <v>783</v>
      </c>
      <c r="E87" s="660" t="s">
        <v>182</v>
      </c>
      <c r="F87" s="660" t="s">
        <v>183</v>
      </c>
      <c r="G87" s="660" t="s">
        <v>985</v>
      </c>
      <c r="H87" s="660" t="s">
        <v>986</v>
      </c>
      <c r="I87" s="888" t="s">
        <v>987</v>
      </c>
    </row>
    <row r="88" spans="1:9" s="386" customFormat="1" ht="13.5" thickTop="1" thickBot="1" x14ac:dyDescent="0.25">
      <c r="A88" s="592">
        <v>1</v>
      </c>
      <c r="B88" s="593">
        <v>2</v>
      </c>
      <c r="C88" s="593">
        <v>3</v>
      </c>
      <c r="D88" s="593">
        <v>4</v>
      </c>
      <c r="E88" s="593">
        <v>5</v>
      </c>
      <c r="F88" s="567">
        <v>6</v>
      </c>
      <c r="G88" s="567">
        <v>7</v>
      </c>
      <c r="H88" s="568">
        <v>8</v>
      </c>
      <c r="I88" s="662" t="s">
        <v>848</v>
      </c>
    </row>
    <row r="89" spans="1:9" s="107" customFormat="1" ht="15.75" thickTop="1" x14ac:dyDescent="0.25">
      <c r="A89" s="435">
        <v>1510</v>
      </c>
      <c r="B89" s="705">
        <v>3114</v>
      </c>
      <c r="C89" s="705">
        <v>5213</v>
      </c>
      <c r="D89" s="889"/>
      <c r="E89" s="854" t="s">
        <v>1318</v>
      </c>
      <c r="F89" s="890"/>
      <c r="G89" s="890">
        <f>SUM(G90:G91)</f>
        <v>6846</v>
      </c>
      <c r="H89" s="890">
        <f>SUM(H90:H91)</f>
        <v>6846</v>
      </c>
      <c r="I89" s="891">
        <f>(H89/G89)*100</f>
        <v>100</v>
      </c>
    </row>
    <row r="90" spans="1:9" x14ac:dyDescent="0.2">
      <c r="A90" s="435"/>
      <c r="B90" s="705"/>
      <c r="C90" s="705"/>
      <c r="D90" s="1179" t="s">
        <v>1274</v>
      </c>
      <c r="E90" s="1424" t="s">
        <v>0</v>
      </c>
      <c r="F90" s="897"/>
      <c r="G90" s="897">
        <v>6185</v>
      </c>
      <c r="H90" s="897">
        <v>6185</v>
      </c>
      <c r="I90" s="893">
        <f>(H90/G90)*100</f>
        <v>100</v>
      </c>
    </row>
    <row r="91" spans="1:9" x14ac:dyDescent="0.2">
      <c r="A91" s="435"/>
      <c r="B91" s="705"/>
      <c r="C91" s="705"/>
      <c r="D91" s="1178" t="s">
        <v>418</v>
      </c>
      <c r="E91" s="1712" t="s">
        <v>1</v>
      </c>
      <c r="F91" s="897"/>
      <c r="G91" s="897">
        <v>661</v>
      </c>
      <c r="H91" s="897">
        <v>661</v>
      </c>
      <c r="I91" s="893">
        <f>(H91/G91)*100</f>
        <v>100</v>
      </c>
    </row>
    <row r="92" spans="1:9" s="107" customFormat="1" ht="15" x14ac:dyDescent="0.25">
      <c r="A92" s="435">
        <v>1510</v>
      </c>
      <c r="B92" s="705">
        <v>3124</v>
      </c>
      <c r="C92" s="1550">
        <v>5213</v>
      </c>
      <c r="D92" s="899"/>
      <c r="E92" s="854" t="s">
        <v>1318</v>
      </c>
      <c r="F92" s="890"/>
      <c r="G92" s="890">
        <f>SUM(G93:G95)</f>
        <v>6242</v>
      </c>
      <c r="H92" s="890">
        <f>SUM(H93:H95)</f>
        <v>6242</v>
      </c>
      <c r="I92" s="891">
        <f t="shared" ref="I92:I101" si="3">(H92/G92)*100</f>
        <v>100</v>
      </c>
    </row>
    <row r="93" spans="1:9" s="107" customFormat="1" ht="18" customHeight="1" x14ac:dyDescent="0.25">
      <c r="A93" s="435"/>
      <c r="B93" s="808"/>
      <c r="C93" s="1551"/>
      <c r="D93" s="1178" t="s">
        <v>1040</v>
      </c>
      <c r="E93" s="1423" t="s">
        <v>1367</v>
      </c>
      <c r="F93" s="905"/>
      <c r="G93" s="907">
        <v>13</v>
      </c>
      <c r="H93" s="907">
        <v>13</v>
      </c>
      <c r="I93" s="898">
        <f t="shared" si="3"/>
        <v>100</v>
      </c>
    </row>
    <row r="94" spans="1:9" x14ac:dyDescent="0.2">
      <c r="A94" s="435"/>
      <c r="B94" s="808"/>
      <c r="C94" s="808"/>
      <c r="D94" s="1179" t="s">
        <v>1274</v>
      </c>
      <c r="E94" s="1424" t="s">
        <v>0</v>
      </c>
      <c r="F94" s="903"/>
      <c r="G94" s="903">
        <v>6135</v>
      </c>
      <c r="H94" s="903">
        <v>6135</v>
      </c>
      <c r="I94" s="898">
        <f t="shared" si="3"/>
        <v>100</v>
      </c>
    </row>
    <row r="95" spans="1:9" x14ac:dyDescent="0.2">
      <c r="A95" s="435"/>
      <c r="B95" s="808"/>
      <c r="C95" s="808"/>
      <c r="D95" s="1178" t="s">
        <v>418</v>
      </c>
      <c r="E95" s="1712" t="s">
        <v>1</v>
      </c>
      <c r="F95" s="903"/>
      <c r="G95" s="903">
        <v>94</v>
      </c>
      <c r="H95" s="903">
        <v>94</v>
      </c>
      <c r="I95" s="898">
        <f t="shared" si="3"/>
        <v>100</v>
      </c>
    </row>
    <row r="96" spans="1:9" ht="15" x14ac:dyDescent="0.25">
      <c r="A96" s="435">
        <v>1510</v>
      </c>
      <c r="B96" s="808">
        <v>3142</v>
      </c>
      <c r="C96" s="1551">
        <v>5213</v>
      </c>
      <c r="D96" s="899"/>
      <c r="E96" s="704" t="s">
        <v>1318</v>
      </c>
      <c r="F96" s="905"/>
      <c r="G96" s="905">
        <f>SUM(G97:G97)</f>
        <v>71</v>
      </c>
      <c r="H96" s="905">
        <f>SUM(H97:H97)</f>
        <v>71</v>
      </c>
      <c r="I96" s="906">
        <f t="shared" si="3"/>
        <v>100</v>
      </c>
    </row>
    <row r="97" spans="1:9" ht="20.25" customHeight="1" x14ac:dyDescent="0.25">
      <c r="A97" s="435"/>
      <c r="B97" s="808"/>
      <c r="C97" s="1551"/>
      <c r="D97" s="1179" t="s">
        <v>1274</v>
      </c>
      <c r="E97" s="1426" t="s">
        <v>0</v>
      </c>
      <c r="F97" s="905"/>
      <c r="G97" s="907">
        <v>71</v>
      </c>
      <c r="H97" s="907">
        <v>71</v>
      </c>
      <c r="I97" s="898">
        <f t="shared" si="3"/>
        <v>100</v>
      </c>
    </row>
    <row r="98" spans="1:9" ht="15" x14ac:dyDescent="0.25">
      <c r="A98" s="435">
        <v>1510</v>
      </c>
      <c r="B98" s="808">
        <v>3143</v>
      </c>
      <c r="C98" s="1551">
        <v>5213</v>
      </c>
      <c r="D98" s="899"/>
      <c r="E98" s="704" t="s">
        <v>1318</v>
      </c>
      <c r="F98" s="905"/>
      <c r="G98" s="905">
        <v>210</v>
      </c>
      <c r="H98" s="905">
        <v>210</v>
      </c>
      <c r="I98" s="906">
        <f t="shared" si="3"/>
        <v>100</v>
      </c>
    </row>
    <row r="99" spans="1:9" x14ac:dyDescent="0.2">
      <c r="A99" s="435"/>
      <c r="B99" s="808"/>
      <c r="C99" s="808"/>
      <c r="D99" s="1179" t="s">
        <v>1274</v>
      </c>
      <c r="E99" s="1426" t="s">
        <v>0</v>
      </c>
      <c r="F99" s="903"/>
      <c r="G99" s="903">
        <v>210</v>
      </c>
      <c r="H99" s="903">
        <v>210</v>
      </c>
      <c r="I99" s="898">
        <f t="shared" si="3"/>
        <v>100</v>
      </c>
    </row>
    <row r="100" spans="1:9" ht="15" x14ac:dyDescent="0.25">
      <c r="A100" s="1710">
        <v>1510</v>
      </c>
      <c r="B100" s="808">
        <v>3145</v>
      </c>
      <c r="C100" s="808">
        <v>5213</v>
      </c>
      <c r="D100" s="889"/>
      <c r="E100" s="704" t="s">
        <v>1318</v>
      </c>
      <c r="F100" s="905"/>
      <c r="G100" s="905">
        <f>SUM(G101:G101)</f>
        <v>864</v>
      </c>
      <c r="H100" s="905">
        <f>SUM(H101:H101)</f>
        <v>864</v>
      </c>
      <c r="I100" s="908">
        <f t="shared" si="3"/>
        <v>100</v>
      </c>
    </row>
    <row r="101" spans="1:9" ht="15" thickBot="1" x14ac:dyDescent="0.25">
      <c r="A101" s="435"/>
      <c r="B101" s="705"/>
      <c r="C101" s="705"/>
      <c r="D101" s="1179" t="s">
        <v>1274</v>
      </c>
      <c r="E101" s="1426" t="s">
        <v>0</v>
      </c>
      <c r="F101" s="897"/>
      <c r="G101" s="897">
        <v>864</v>
      </c>
      <c r="H101" s="897">
        <v>864</v>
      </c>
      <c r="I101" s="898">
        <f t="shared" si="3"/>
        <v>100</v>
      </c>
    </row>
    <row r="102" spans="1:9" ht="16.5" thickTop="1" thickBot="1" x14ac:dyDescent="0.3">
      <c r="A102" s="2739" t="s">
        <v>1246</v>
      </c>
      <c r="B102" s="2740"/>
      <c r="C102" s="2740"/>
      <c r="D102" s="2740"/>
      <c r="E102" s="2740"/>
      <c r="F102" s="894">
        <v>0</v>
      </c>
      <c r="G102" s="894">
        <f>SUM(G89,G92,G96,G98,G100)</f>
        <v>14233</v>
      </c>
      <c r="H102" s="894">
        <f>SUM(H89,H92,H96,H98,H100)</f>
        <v>14233</v>
      </c>
      <c r="I102" s="895">
        <f>(H102/G102)*100</f>
        <v>100</v>
      </c>
    </row>
    <row r="103" spans="1:9" ht="15" thickTop="1" x14ac:dyDescent="0.2"/>
    <row r="105" spans="1:9" ht="18" customHeight="1" thickBot="1" x14ac:dyDescent="0.25">
      <c r="A105" s="439" t="s">
        <v>822</v>
      </c>
      <c r="I105" s="887" t="s">
        <v>179</v>
      </c>
    </row>
    <row r="106" spans="1:9" s="107" customFormat="1" ht="12.75" thickTop="1" thickBot="1" x14ac:dyDescent="0.25">
      <c r="A106" s="657" t="s">
        <v>692</v>
      </c>
      <c r="B106" s="835" t="s">
        <v>180</v>
      </c>
      <c r="C106" s="658" t="s">
        <v>181</v>
      </c>
      <c r="D106" s="660" t="s">
        <v>783</v>
      </c>
      <c r="E106" s="660" t="s">
        <v>182</v>
      </c>
      <c r="F106" s="660" t="s">
        <v>183</v>
      </c>
      <c r="G106" s="660" t="s">
        <v>985</v>
      </c>
      <c r="H106" s="660" t="s">
        <v>986</v>
      </c>
      <c r="I106" s="888" t="s">
        <v>987</v>
      </c>
    </row>
    <row r="107" spans="1:9" s="386" customFormat="1" ht="13.5" thickTop="1" thickBot="1" x14ac:dyDescent="0.25">
      <c r="A107" s="592">
        <v>1</v>
      </c>
      <c r="B107" s="593">
        <v>2</v>
      </c>
      <c r="C107" s="593">
        <v>3</v>
      </c>
      <c r="D107" s="593">
        <v>4</v>
      </c>
      <c r="E107" s="593">
        <v>5</v>
      </c>
      <c r="F107" s="567">
        <v>6</v>
      </c>
      <c r="G107" s="567">
        <v>7</v>
      </c>
      <c r="H107" s="568">
        <v>8</v>
      </c>
      <c r="I107" s="662" t="s">
        <v>848</v>
      </c>
    </row>
    <row r="108" spans="1:9" ht="15.75" thickTop="1" x14ac:dyDescent="0.25">
      <c r="A108" s="1549">
        <v>1511</v>
      </c>
      <c r="B108" s="705">
        <v>3114</v>
      </c>
      <c r="C108" s="705">
        <v>5221</v>
      </c>
      <c r="D108" s="909"/>
      <c r="E108" s="704" t="s">
        <v>1319</v>
      </c>
      <c r="F108" s="890"/>
      <c r="G108" s="890">
        <f>G109+G110</f>
        <v>2610</v>
      </c>
      <c r="H108" s="890">
        <f>H109+H110</f>
        <v>2610</v>
      </c>
      <c r="I108" s="896">
        <f t="shared" ref="I108:I113" si="4">(H108/G108)*100</f>
        <v>100</v>
      </c>
    </row>
    <row r="109" spans="1:9" ht="20.25" customHeight="1" x14ac:dyDescent="0.2">
      <c r="A109" s="445"/>
      <c r="B109" s="910"/>
      <c r="C109" s="705"/>
      <c r="D109" s="1179" t="s">
        <v>1274</v>
      </c>
      <c r="E109" s="1424" t="s">
        <v>0</v>
      </c>
      <c r="F109" s="911"/>
      <c r="G109" s="897">
        <v>2327</v>
      </c>
      <c r="H109" s="911">
        <v>2327</v>
      </c>
      <c r="I109" s="893">
        <f t="shared" si="4"/>
        <v>100</v>
      </c>
    </row>
    <row r="110" spans="1:9" x14ac:dyDescent="0.2">
      <c r="A110" s="445"/>
      <c r="B110" s="705"/>
      <c r="C110" s="808"/>
      <c r="D110" s="1178" t="s">
        <v>418</v>
      </c>
      <c r="E110" s="1712" t="s">
        <v>1</v>
      </c>
      <c r="F110" s="911"/>
      <c r="G110" s="897">
        <v>283</v>
      </c>
      <c r="H110" s="897">
        <v>283</v>
      </c>
      <c r="I110" s="898">
        <f t="shared" si="4"/>
        <v>100</v>
      </c>
    </row>
    <row r="111" spans="1:9" ht="15.75" customHeight="1" x14ac:dyDescent="0.25">
      <c r="A111" s="435">
        <v>1511</v>
      </c>
      <c r="B111" s="808">
        <v>3141</v>
      </c>
      <c r="C111" s="1551">
        <v>5221</v>
      </c>
      <c r="D111" s="899"/>
      <c r="E111" s="704" t="s">
        <v>1319</v>
      </c>
      <c r="F111" s="905"/>
      <c r="G111" s="905">
        <v>11</v>
      </c>
      <c r="H111" s="905">
        <v>11</v>
      </c>
      <c r="I111" s="906">
        <f t="shared" si="4"/>
        <v>100</v>
      </c>
    </row>
    <row r="112" spans="1:9" ht="15" thickBot="1" x14ac:dyDescent="0.25">
      <c r="A112" s="435"/>
      <c r="B112" s="808"/>
      <c r="C112" s="808"/>
      <c r="D112" s="1192" t="s">
        <v>1274</v>
      </c>
      <c r="E112" s="1424" t="s">
        <v>0</v>
      </c>
      <c r="F112" s="903"/>
      <c r="G112" s="903">
        <v>11</v>
      </c>
      <c r="H112" s="903">
        <v>11</v>
      </c>
      <c r="I112" s="898">
        <f t="shared" si="4"/>
        <v>100</v>
      </c>
    </row>
    <row r="113" spans="1:9" s="1684" customFormat="1" ht="16.5" thickTop="1" thickBot="1" x14ac:dyDescent="0.25">
      <c r="A113" s="2743" t="s">
        <v>1246</v>
      </c>
      <c r="B113" s="2744"/>
      <c r="C113" s="2744"/>
      <c r="D113" s="2744"/>
      <c r="E113" s="2744"/>
      <c r="F113" s="1696">
        <f>SUM(F108,F111)</f>
        <v>0</v>
      </c>
      <c r="G113" s="1696">
        <f>SUM(G108,G111,)</f>
        <v>2621</v>
      </c>
      <c r="H113" s="1696">
        <f>SUM(H108,H111,)</f>
        <v>2621</v>
      </c>
      <c r="I113" s="1697">
        <f t="shared" si="4"/>
        <v>100</v>
      </c>
    </row>
    <row r="114" spans="1:9" s="1684" customFormat="1" ht="15.75" customHeight="1" thickTop="1" x14ac:dyDescent="0.2">
      <c r="B114" s="1699"/>
      <c r="D114" s="1700"/>
      <c r="F114" s="1737"/>
      <c r="G114" s="1737"/>
      <c r="H114" s="1737"/>
      <c r="I114" s="1738"/>
    </row>
    <row r="115" spans="1:9" s="1684" customFormat="1" ht="15.75" customHeight="1" x14ac:dyDescent="0.2">
      <c r="B115" s="1699"/>
      <c r="D115" s="1700"/>
      <c r="F115" s="1737"/>
      <c r="G115" s="1737"/>
      <c r="H115" s="1737"/>
      <c r="I115" s="1738"/>
    </row>
    <row r="116" spans="1:9" s="1684" customFormat="1" ht="15" thickBot="1" x14ac:dyDescent="0.25">
      <c r="A116" s="1714" t="s">
        <v>1919</v>
      </c>
      <c r="B116" s="1699"/>
      <c r="D116" s="1700"/>
      <c r="F116" s="1737"/>
      <c r="G116" s="1737"/>
      <c r="H116" s="1737"/>
      <c r="I116" s="1739" t="s">
        <v>179</v>
      </c>
    </row>
    <row r="117" spans="1:9" s="1745" customFormat="1" ht="12.75" thickTop="1" thickBot="1" x14ac:dyDescent="0.25">
      <c r="A117" s="1740" t="s">
        <v>692</v>
      </c>
      <c r="B117" s="1741" t="s">
        <v>180</v>
      </c>
      <c r="C117" s="1742" t="s">
        <v>181</v>
      </c>
      <c r="D117" s="1743" t="s">
        <v>783</v>
      </c>
      <c r="E117" s="1743" t="s">
        <v>182</v>
      </c>
      <c r="F117" s="1743" t="s">
        <v>183</v>
      </c>
      <c r="G117" s="1743" t="s">
        <v>985</v>
      </c>
      <c r="H117" s="1743" t="s">
        <v>986</v>
      </c>
      <c r="I117" s="1744" t="s">
        <v>987</v>
      </c>
    </row>
    <row r="118" spans="1:9" s="1709" customFormat="1" ht="18" customHeight="1" thickTop="1" thickBot="1" x14ac:dyDescent="0.25">
      <c r="A118" s="1704">
        <v>1</v>
      </c>
      <c r="B118" s="1705">
        <v>2</v>
      </c>
      <c r="C118" s="1705">
        <v>3</v>
      </c>
      <c r="D118" s="1705">
        <v>4</v>
      </c>
      <c r="E118" s="1705">
        <v>5</v>
      </c>
      <c r="F118" s="1706">
        <v>6</v>
      </c>
      <c r="G118" s="1706">
        <v>7</v>
      </c>
      <c r="H118" s="1707">
        <v>8</v>
      </c>
      <c r="I118" s="1708" t="s">
        <v>848</v>
      </c>
    </row>
    <row r="119" spans="1:9" s="1684" customFormat="1" ht="15.75" thickTop="1" x14ac:dyDescent="0.2">
      <c r="A119" s="1710">
        <v>1512</v>
      </c>
      <c r="B119" s="1711">
        <v>3114</v>
      </c>
      <c r="C119" s="1746">
        <v>5221</v>
      </c>
      <c r="D119" s="1747"/>
      <c r="E119" s="1748" t="s">
        <v>1319</v>
      </c>
      <c r="F119" s="1749"/>
      <c r="G119" s="1749">
        <f>SUM(G120:G121)</f>
        <v>4583</v>
      </c>
      <c r="H119" s="1749">
        <f>SUM(H120:H121)</f>
        <v>4583</v>
      </c>
      <c r="I119" s="1750">
        <f t="shared" ref="I119:I129" si="5">(H119/G119)*100</f>
        <v>100</v>
      </c>
    </row>
    <row r="120" spans="1:9" s="1684" customFormat="1" x14ac:dyDescent="0.2">
      <c r="A120" s="1710"/>
      <c r="B120" s="1711"/>
      <c r="C120" s="1746"/>
      <c r="D120" s="1178" t="s">
        <v>1274</v>
      </c>
      <c r="E120" s="1423" t="s">
        <v>0</v>
      </c>
      <c r="F120" s="1436"/>
      <c r="G120" s="1436">
        <v>4111</v>
      </c>
      <c r="H120" s="1436">
        <v>4111</v>
      </c>
      <c r="I120" s="1432">
        <f t="shared" si="5"/>
        <v>100</v>
      </c>
    </row>
    <row r="121" spans="1:9" s="1684" customFormat="1" x14ac:dyDescent="0.2">
      <c r="A121" s="1710"/>
      <c r="B121" s="1729"/>
      <c r="C121" s="1730"/>
      <c r="D121" s="1178" t="s">
        <v>418</v>
      </c>
      <c r="E121" s="1712" t="s">
        <v>1</v>
      </c>
      <c r="F121" s="1431"/>
      <c r="G121" s="1436">
        <v>472</v>
      </c>
      <c r="H121" s="1436">
        <v>472</v>
      </c>
      <c r="I121" s="1432">
        <f t="shared" si="5"/>
        <v>100</v>
      </c>
    </row>
    <row r="122" spans="1:9" s="1684" customFormat="1" ht="15" x14ac:dyDescent="0.2">
      <c r="A122" s="1710">
        <v>1512</v>
      </c>
      <c r="B122" s="1729">
        <v>3124</v>
      </c>
      <c r="C122" s="1729">
        <v>5221</v>
      </c>
      <c r="D122" s="1751"/>
      <c r="E122" s="1752" t="s">
        <v>1319</v>
      </c>
      <c r="F122" s="1753"/>
      <c r="G122" s="1753">
        <f>G123+G124</f>
        <v>879</v>
      </c>
      <c r="H122" s="1753">
        <f>H123+H124</f>
        <v>879</v>
      </c>
      <c r="I122" s="1754">
        <f t="shared" si="5"/>
        <v>100</v>
      </c>
    </row>
    <row r="123" spans="1:9" s="1684" customFormat="1" ht="15" x14ac:dyDescent="0.2">
      <c r="A123" s="1710"/>
      <c r="B123" s="1729"/>
      <c r="C123" s="1729"/>
      <c r="D123" s="1178" t="s">
        <v>1040</v>
      </c>
      <c r="E123" s="1423" t="s">
        <v>1367</v>
      </c>
      <c r="F123" s="1753"/>
      <c r="G123" s="1756">
        <v>17</v>
      </c>
      <c r="H123" s="1756">
        <v>17</v>
      </c>
      <c r="I123" s="1432">
        <f t="shared" si="5"/>
        <v>100</v>
      </c>
    </row>
    <row r="124" spans="1:9" s="1684" customFormat="1" x14ac:dyDescent="0.2">
      <c r="A124" s="1710"/>
      <c r="B124" s="1729"/>
      <c r="C124" s="1729"/>
      <c r="D124" s="1178" t="s">
        <v>1274</v>
      </c>
      <c r="E124" s="1423" t="s">
        <v>0</v>
      </c>
      <c r="F124" s="1431"/>
      <c r="G124" s="1431">
        <v>862</v>
      </c>
      <c r="H124" s="1431">
        <v>862</v>
      </c>
      <c r="I124" s="1435">
        <f t="shared" si="5"/>
        <v>100</v>
      </c>
    </row>
    <row r="125" spans="1:9" s="1684" customFormat="1" ht="15" x14ac:dyDescent="0.2">
      <c r="A125" s="1710">
        <v>1512</v>
      </c>
      <c r="B125" s="1729">
        <v>3141</v>
      </c>
      <c r="C125" s="1729">
        <v>5221</v>
      </c>
      <c r="D125" s="1178"/>
      <c r="E125" s="1752" t="s">
        <v>1319</v>
      </c>
      <c r="F125" s="1431"/>
      <c r="G125" s="1433">
        <v>7</v>
      </c>
      <c r="H125" s="1433">
        <v>7</v>
      </c>
      <c r="I125" s="1434">
        <f t="shared" si="5"/>
        <v>100</v>
      </c>
    </row>
    <row r="126" spans="1:9" s="1684" customFormat="1" x14ac:dyDescent="0.2">
      <c r="A126" s="1710"/>
      <c r="B126" s="1729"/>
      <c r="C126" s="1729"/>
      <c r="D126" s="1178" t="s">
        <v>1274</v>
      </c>
      <c r="E126" s="1423" t="s">
        <v>0</v>
      </c>
      <c r="F126" s="1431"/>
      <c r="G126" s="1431">
        <v>7</v>
      </c>
      <c r="H126" s="1431">
        <v>7</v>
      </c>
      <c r="I126" s="1435">
        <f t="shared" si="5"/>
        <v>100</v>
      </c>
    </row>
    <row r="127" spans="1:9" s="1684" customFormat="1" ht="15" x14ac:dyDescent="0.2">
      <c r="A127" s="1710">
        <v>1512</v>
      </c>
      <c r="B127" s="1729">
        <v>3792</v>
      </c>
      <c r="C127" s="1729">
        <v>5221</v>
      </c>
      <c r="D127" s="1178"/>
      <c r="E127" s="1752" t="s">
        <v>1319</v>
      </c>
      <c r="F127" s="1431"/>
      <c r="G127" s="1433">
        <v>6</v>
      </c>
      <c r="H127" s="1433">
        <v>6</v>
      </c>
      <c r="I127" s="1434">
        <f t="shared" si="5"/>
        <v>100</v>
      </c>
    </row>
    <row r="128" spans="1:9" s="1684" customFormat="1" ht="15" thickBot="1" x14ac:dyDescent="0.25">
      <c r="A128" s="1710"/>
      <c r="B128" s="1729"/>
      <c r="C128" s="1729"/>
      <c r="D128" s="578" t="s">
        <v>1479</v>
      </c>
      <c r="E128" s="2611" t="s">
        <v>406</v>
      </c>
      <c r="F128" s="1431"/>
      <c r="G128" s="1431">
        <v>6</v>
      </c>
      <c r="H128" s="1431">
        <v>6</v>
      </c>
      <c r="I128" s="1435">
        <f t="shared" si="5"/>
        <v>100</v>
      </c>
    </row>
    <row r="129" spans="1:9" s="1684" customFormat="1" ht="16.5" thickTop="1" thickBot="1" x14ac:dyDescent="0.25">
      <c r="A129" s="2743" t="s">
        <v>1246</v>
      </c>
      <c r="B129" s="2744"/>
      <c r="C129" s="2744"/>
      <c r="D129" s="2744"/>
      <c r="E129" s="2744"/>
      <c r="F129" s="1696">
        <f>SUM(F119)</f>
        <v>0</v>
      </c>
      <c r="G129" s="1696">
        <f>SUM(G119,G122,G125,G127)</f>
        <v>5475</v>
      </c>
      <c r="H129" s="1696">
        <f>SUM(H119,H122,H125,H127)</f>
        <v>5475</v>
      </c>
      <c r="I129" s="1697">
        <f t="shared" si="5"/>
        <v>100</v>
      </c>
    </row>
    <row r="130" spans="1:9" ht="15" thickTop="1" x14ac:dyDescent="0.2"/>
    <row r="134" spans="1:9" s="1684" customFormat="1" ht="15" thickBot="1" x14ac:dyDescent="0.25">
      <c r="A134" s="1714" t="s">
        <v>980</v>
      </c>
      <c r="B134" s="1699"/>
      <c r="D134" s="1700"/>
      <c r="F134" s="1737"/>
      <c r="G134" s="1737"/>
      <c r="H134" s="1737"/>
      <c r="I134" s="1739" t="s">
        <v>179</v>
      </c>
    </row>
    <row r="135" spans="1:9" s="1745" customFormat="1" ht="20.25" customHeight="1" thickTop="1" thickBot="1" x14ac:dyDescent="0.25">
      <c r="A135" s="1740" t="s">
        <v>692</v>
      </c>
      <c r="B135" s="1741" t="s">
        <v>180</v>
      </c>
      <c r="C135" s="1742" t="s">
        <v>181</v>
      </c>
      <c r="D135" s="1743" t="s">
        <v>783</v>
      </c>
      <c r="E135" s="1743" t="s">
        <v>182</v>
      </c>
      <c r="F135" s="1743" t="s">
        <v>183</v>
      </c>
      <c r="G135" s="1743" t="s">
        <v>985</v>
      </c>
      <c r="H135" s="1743" t="s">
        <v>986</v>
      </c>
      <c r="I135" s="1744" t="s">
        <v>987</v>
      </c>
    </row>
    <row r="136" spans="1:9" s="1709" customFormat="1" ht="13.5" thickTop="1" thickBot="1" x14ac:dyDescent="0.25">
      <c r="A136" s="1704">
        <v>1</v>
      </c>
      <c r="B136" s="1705">
        <v>2</v>
      </c>
      <c r="C136" s="1705">
        <v>3</v>
      </c>
      <c r="D136" s="1705">
        <v>4</v>
      </c>
      <c r="E136" s="1705">
        <v>5</v>
      </c>
      <c r="F136" s="1706">
        <v>6</v>
      </c>
      <c r="G136" s="1706">
        <v>7</v>
      </c>
      <c r="H136" s="1707">
        <v>8</v>
      </c>
      <c r="I136" s="1708" t="s">
        <v>848</v>
      </c>
    </row>
    <row r="137" spans="1:9" s="1684" customFormat="1" ht="15.75" thickTop="1" x14ac:dyDescent="0.2">
      <c r="A137" s="1710">
        <v>1513</v>
      </c>
      <c r="B137" s="1711">
        <v>3112</v>
      </c>
      <c r="C137" s="1711">
        <v>5221</v>
      </c>
      <c r="D137" s="1687"/>
      <c r="E137" s="1752" t="s">
        <v>1319</v>
      </c>
      <c r="F137" s="1749"/>
      <c r="G137" s="1755">
        <f>SUM(G138:G139)</f>
        <v>618</v>
      </c>
      <c r="H137" s="1755">
        <f>SUM(H138:H139)</f>
        <v>618</v>
      </c>
      <c r="I137" s="1690">
        <f t="shared" ref="I137:I151" si="6">(H137/G137)*100</f>
        <v>100</v>
      </c>
    </row>
    <row r="138" spans="1:9" s="1684" customFormat="1" x14ac:dyDescent="0.2">
      <c r="A138" s="1710"/>
      <c r="B138" s="1729"/>
      <c r="C138" s="1729"/>
      <c r="D138" s="1178" t="s">
        <v>1274</v>
      </c>
      <c r="E138" s="1423" t="s">
        <v>0</v>
      </c>
      <c r="F138" s="1431"/>
      <c r="G138" s="1431">
        <v>562</v>
      </c>
      <c r="H138" s="1431">
        <v>562</v>
      </c>
      <c r="I138" s="1435">
        <f>(H138/G138)*100</f>
        <v>100</v>
      </c>
    </row>
    <row r="139" spans="1:9" s="1684" customFormat="1" x14ac:dyDescent="0.2">
      <c r="A139" s="1710"/>
      <c r="B139" s="1729"/>
      <c r="C139" s="1729"/>
      <c r="D139" s="1178" t="s">
        <v>418</v>
      </c>
      <c r="E139" s="1712" t="s">
        <v>1</v>
      </c>
      <c r="F139" s="1431"/>
      <c r="G139" s="1431">
        <v>56</v>
      </c>
      <c r="H139" s="1431">
        <v>56</v>
      </c>
      <c r="I139" s="1435">
        <f>(H139/G139)*100</f>
        <v>100</v>
      </c>
    </row>
    <row r="140" spans="1:9" s="1684" customFormat="1" ht="15.75" customHeight="1" x14ac:dyDescent="0.2">
      <c r="A140" s="1710">
        <v>1513</v>
      </c>
      <c r="B140" s="1729">
        <v>3114</v>
      </c>
      <c r="C140" s="1730">
        <v>5221</v>
      </c>
      <c r="D140" s="1747"/>
      <c r="E140" s="1752" t="s">
        <v>1319</v>
      </c>
      <c r="F140" s="1753"/>
      <c r="G140" s="1753">
        <f>SUM(G141:G142)</f>
        <v>7541</v>
      </c>
      <c r="H140" s="1753">
        <f>SUM(H141:H142)</f>
        <v>7541</v>
      </c>
      <c r="I140" s="1754">
        <f t="shared" si="6"/>
        <v>100</v>
      </c>
    </row>
    <row r="141" spans="1:9" s="1684" customFormat="1" ht="15.75" customHeight="1" x14ac:dyDescent="0.2">
      <c r="A141" s="1710"/>
      <c r="B141" s="1729"/>
      <c r="C141" s="1730"/>
      <c r="D141" s="1178" t="s">
        <v>1274</v>
      </c>
      <c r="E141" s="1423" t="s">
        <v>0</v>
      </c>
      <c r="F141" s="1753"/>
      <c r="G141" s="1756">
        <v>7156</v>
      </c>
      <c r="H141" s="1756">
        <v>7156</v>
      </c>
      <c r="I141" s="1435">
        <f t="shared" si="6"/>
        <v>100</v>
      </c>
    </row>
    <row r="142" spans="1:9" s="1684" customFormat="1" ht="15.75" customHeight="1" x14ac:dyDescent="0.2">
      <c r="A142" s="1710"/>
      <c r="B142" s="1729"/>
      <c r="C142" s="1730"/>
      <c r="D142" s="1178" t="s">
        <v>418</v>
      </c>
      <c r="E142" s="1712" t="s">
        <v>1</v>
      </c>
      <c r="F142" s="1753"/>
      <c r="G142" s="1756">
        <v>385</v>
      </c>
      <c r="H142" s="1756">
        <v>385</v>
      </c>
      <c r="I142" s="1435">
        <f t="shared" si="6"/>
        <v>100</v>
      </c>
    </row>
    <row r="143" spans="1:9" s="1684" customFormat="1" ht="15.75" customHeight="1" x14ac:dyDescent="0.2">
      <c r="A143" s="1710">
        <v>1513</v>
      </c>
      <c r="B143" s="1729">
        <v>3124</v>
      </c>
      <c r="C143" s="1730">
        <v>5221</v>
      </c>
      <c r="D143" s="1747"/>
      <c r="E143" s="1752" t="s">
        <v>1319</v>
      </c>
      <c r="F143" s="1753"/>
      <c r="G143" s="1433">
        <f>SUM(G144:G146)</f>
        <v>2641</v>
      </c>
      <c r="H143" s="1433">
        <f>SUM(H144:H146)</f>
        <v>2641</v>
      </c>
      <c r="I143" s="1434">
        <v>100</v>
      </c>
    </row>
    <row r="144" spans="1:9" s="1684" customFormat="1" ht="15.75" customHeight="1" x14ac:dyDescent="0.2">
      <c r="A144" s="1710"/>
      <c r="B144" s="1729"/>
      <c r="C144" s="1730"/>
      <c r="D144" s="1178" t="s">
        <v>1040</v>
      </c>
      <c r="E144" s="1423" t="s">
        <v>1367</v>
      </c>
      <c r="F144" s="1753"/>
      <c r="G144" s="1756">
        <v>6</v>
      </c>
      <c r="H144" s="1756">
        <v>6</v>
      </c>
      <c r="I144" s="1435">
        <f t="shared" si="6"/>
        <v>100</v>
      </c>
    </row>
    <row r="145" spans="1:9" s="1684" customFormat="1" ht="15.75" customHeight="1" x14ac:dyDescent="0.2">
      <c r="A145" s="1710"/>
      <c r="B145" s="1729"/>
      <c r="C145" s="1730"/>
      <c r="D145" s="1178" t="s">
        <v>1274</v>
      </c>
      <c r="E145" s="1423" t="s">
        <v>0</v>
      </c>
      <c r="F145" s="1753"/>
      <c r="G145" s="1756">
        <v>2406</v>
      </c>
      <c r="H145" s="1756">
        <v>2406</v>
      </c>
      <c r="I145" s="1435">
        <f t="shared" si="6"/>
        <v>100</v>
      </c>
    </row>
    <row r="146" spans="1:9" s="1684" customFormat="1" ht="15.75" customHeight="1" x14ac:dyDescent="0.2">
      <c r="A146" s="1710"/>
      <c r="B146" s="1729"/>
      <c r="C146" s="1730"/>
      <c r="D146" s="1178" t="s">
        <v>418</v>
      </c>
      <c r="E146" s="1712" t="s">
        <v>1</v>
      </c>
      <c r="F146" s="1753"/>
      <c r="G146" s="1756">
        <v>229</v>
      </c>
      <c r="H146" s="1756">
        <v>229</v>
      </c>
      <c r="I146" s="1435">
        <f t="shared" si="6"/>
        <v>100</v>
      </c>
    </row>
    <row r="147" spans="1:9" s="1684" customFormat="1" ht="15.75" customHeight="1" x14ac:dyDescent="0.2">
      <c r="A147" s="1710">
        <v>1513</v>
      </c>
      <c r="B147" s="1729">
        <v>3141</v>
      </c>
      <c r="C147" s="1730">
        <v>5221</v>
      </c>
      <c r="D147" s="1747"/>
      <c r="E147" s="1752" t="s">
        <v>1319</v>
      </c>
      <c r="F147" s="1753"/>
      <c r="G147" s="1433">
        <f>G148</f>
        <v>40</v>
      </c>
      <c r="H147" s="1433">
        <f>H148</f>
        <v>40</v>
      </c>
      <c r="I147" s="1434">
        <f t="shared" si="6"/>
        <v>100</v>
      </c>
    </row>
    <row r="148" spans="1:9" s="1684" customFormat="1" ht="15.75" customHeight="1" x14ac:dyDescent="0.2">
      <c r="A148" s="1710"/>
      <c r="B148" s="1729"/>
      <c r="C148" s="1730"/>
      <c r="D148" s="1178" t="s">
        <v>1274</v>
      </c>
      <c r="E148" s="1423" t="s">
        <v>0</v>
      </c>
      <c r="F148" s="1753"/>
      <c r="G148" s="1756">
        <v>40</v>
      </c>
      <c r="H148" s="1756">
        <v>40</v>
      </c>
      <c r="I148" s="1435">
        <f t="shared" si="6"/>
        <v>100</v>
      </c>
    </row>
    <row r="149" spans="1:9" s="1684" customFormat="1" ht="15.75" customHeight="1" x14ac:dyDescent="0.2">
      <c r="A149" s="1710">
        <v>1513</v>
      </c>
      <c r="B149" s="1729">
        <v>3143</v>
      </c>
      <c r="C149" s="1730">
        <v>5221</v>
      </c>
      <c r="D149" s="1747"/>
      <c r="E149" s="1752" t="s">
        <v>1319</v>
      </c>
      <c r="F149" s="1753"/>
      <c r="G149" s="1433">
        <f>SUM(G150:G150)</f>
        <v>236</v>
      </c>
      <c r="H149" s="1433">
        <f>SUM(H150:H150)</f>
        <v>236</v>
      </c>
      <c r="I149" s="1434">
        <v>100</v>
      </c>
    </row>
    <row r="150" spans="1:9" s="1684" customFormat="1" ht="15.75" customHeight="1" thickBot="1" x14ac:dyDescent="0.25">
      <c r="A150" s="1710"/>
      <c r="B150" s="1729"/>
      <c r="C150" s="1730"/>
      <c r="D150" s="1178" t="s">
        <v>1274</v>
      </c>
      <c r="E150" s="1423" t="s">
        <v>0</v>
      </c>
      <c r="F150" s="1753"/>
      <c r="G150" s="1756">
        <v>236</v>
      </c>
      <c r="H150" s="1756">
        <v>236</v>
      </c>
      <c r="I150" s="1435">
        <f t="shared" si="6"/>
        <v>100</v>
      </c>
    </row>
    <row r="151" spans="1:9" s="1684" customFormat="1" ht="15.75" customHeight="1" thickTop="1" thickBot="1" x14ac:dyDescent="0.25">
      <c r="A151" s="2743" t="s">
        <v>1246</v>
      </c>
      <c r="B151" s="2744"/>
      <c r="C151" s="2744"/>
      <c r="D151" s="2744"/>
      <c r="E151" s="2744"/>
      <c r="F151" s="1696">
        <f>SUM(F137,F140)</f>
        <v>0</v>
      </c>
      <c r="G151" s="1696">
        <f>SUM(G137,G140,G143,G149,G147)</f>
        <v>11076</v>
      </c>
      <c r="H151" s="1696">
        <f>SUM(H137,H140,H143,H149,H147)</f>
        <v>11076</v>
      </c>
      <c r="I151" s="1697">
        <f t="shared" si="6"/>
        <v>100</v>
      </c>
    </row>
    <row r="152" spans="1:9" s="1684" customFormat="1" ht="18" customHeight="1" thickTop="1" x14ac:dyDescent="0.2">
      <c r="B152" s="1699"/>
      <c r="D152" s="1700"/>
      <c r="F152" s="1737"/>
      <c r="G152" s="1737"/>
      <c r="H152" s="1737"/>
      <c r="I152" s="1738"/>
    </row>
    <row r="153" spans="1:9" s="1684" customFormat="1" ht="15" thickBot="1" x14ac:dyDescent="0.25">
      <c r="A153" s="1714" t="s">
        <v>984</v>
      </c>
      <c r="B153" s="1699"/>
      <c r="D153" s="1700"/>
      <c r="F153" s="1737"/>
      <c r="G153" s="1737"/>
      <c r="H153" s="1737"/>
      <c r="I153" s="1739" t="s">
        <v>179</v>
      </c>
    </row>
    <row r="154" spans="1:9" s="107" customFormat="1" ht="12.75" thickTop="1" thickBot="1" x14ac:dyDescent="0.25">
      <c r="A154" s="657" t="s">
        <v>692</v>
      </c>
      <c r="B154" s="835" t="s">
        <v>180</v>
      </c>
      <c r="C154" s="658" t="s">
        <v>181</v>
      </c>
      <c r="D154" s="660" t="s">
        <v>783</v>
      </c>
      <c r="E154" s="660" t="s">
        <v>182</v>
      </c>
      <c r="F154" s="660" t="s">
        <v>183</v>
      </c>
      <c r="G154" s="660" t="s">
        <v>985</v>
      </c>
      <c r="H154" s="660" t="s">
        <v>986</v>
      </c>
      <c r="I154" s="888" t="s">
        <v>987</v>
      </c>
    </row>
    <row r="155" spans="1:9" s="386" customFormat="1" ht="20.25" customHeight="1" thickTop="1" thickBot="1" x14ac:dyDescent="0.25">
      <c r="A155" s="592">
        <v>1</v>
      </c>
      <c r="B155" s="593">
        <v>2</v>
      </c>
      <c r="C155" s="593">
        <v>3</v>
      </c>
      <c r="D155" s="593">
        <v>4</v>
      </c>
      <c r="E155" s="593">
        <v>5</v>
      </c>
      <c r="F155" s="567">
        <v>6</v>
      </c>
      <c r="G155" s="567">
        <v>7</v>
      </c>
      <c r="H155" s="568">
        <v>8</v>
      </c>
      <c r="I155" s="662" t="s">
        <v>848</v>
      </c>
    </row>
    <row r="156" spans="1:9" ht="15.75" thickTop="1" x14ac:dyDescent="0.25">
      <c r="A156" s="1562">
        <v>1514</v>
      </c>
      <c r="B156" s="917">
        <v>3111</v>
      </c>
      <c r="C156" s="836">
        <v>5222</v>
      </c>
      <c r="D156" s="909"/>
      <c r="E156" s="918" t="s">
        <v>241</v>
      </c>
      <c r="F156" s="915"/>
      <c r="G156" s="915">
        <f>SUM(G157:G157)</f>
        <v>836</v>
      </c>
      <c r="H156" s="915">
        <f>SUM(H157:H157)</f>
        <v>836</v>
      </c>
      <c r="I156" s="919">
        <f t="shared" ref="I156:I168" si="7">(H156/G156)*100</f>
        <v>100</v>
      </c>
    </row>
    <row r="157" spans="1:9" x14ac:dyDescent="0.2">
      <c r="A157" s="435"/>
      <c r="B157" s="808"/>
      <c r="C157" s="808"/>
      <c r="D157" s="1179" t="s">
        <v>1274</v>
      </c>
      <c r="E157" s="1424" t="s">
        <v>0</v>
      </c>
      <c r="F157" s="903"/>
      <c r="G157" s="903">
        <v>836</v>
      </c>
      <c r="H157" s="903">
        <v>836</v>
      </c>
      <c r="I157" s="898">
        <f t="shared" si="7"/>
        <v>100</v>
      </c>
    </row>
    <row r="158" spans="1:9" ht="15" x14ac:dyDescent="0.25">
      <c r="A158" s="435">
        <v>1514</v>
      </c>
      <c r="B158" s="808">
        <v>3112</v>
      </c>
      <c r="C158" s="1551">
        <v>5222</v>
      </c>
      <c r="D158" s="899"/>
      <c r="E158" s="704" t="s">
        <v>241</v>
      </c>
      <c r="F158" s="905"/>
      <c r="G158" s="905">
        <f>SUM(G159:G160)</f>
        <v>1291</v>
      </c>
      <c r="H158" s="905">
        <f>SUM(H159:H160)</f>
        <v>1291</v>
      </c>
      <c r="I158" s="906">
        <f t="shared" si="7"/>
        <v>100</v>
      </c>
    </row>
    <row r="159" spans="1:9" ht="15.75" customHeight="1" x14ac:dyDescent="0.2">
      <c r="A159" s="435"/>
      <c r="B159" s="808"/>
      <c r="C159" s="808"/>
      <c r="D159" s="1179" t="s">
        <v>1274</v>
      </c>
      <c r="E159" s="1424" t="s">
        <v>0</v>
      </c>
      <c r="F159" s="903"/>
      <c r="G159" s="903">
        <v>1197</v>
      </c>
      <c r="H159" s="903">
        <v>1197</v>
      </c>
      <c r="I159" s="898">
        <f t="shared" si="7"/>
        <v>100</v>
      </c>
    </row>
    <row r="160" spans="1:9" x14ac:dyDescent="0.2">
      <c r="A160" s="435"/>
      <c r="B160" s="808"/>
      <c r="C160" s="808"/>
      <c r="D160" s="1178" t="s">
        <v>418</v>
      </c>
      <c r="E160" s="1712" t="s">
        <v>1</v>
      </c>
      <c r="F160" s="903"/>
      <c r="G160" s="903">
        <v>94</v>
      </c>
      <c r="H160" s="903">
        <v>94</v>
      </c>
      <c r="I160" s="898">
        <f t="shared" si="7"/>
        <v>100</v>
      </c>
    </row>
    <row r="161" spans="1:9" ht="15" x14ac:dyDescent="0.25">
      <c r="A161" s="435">
        <v>1514</v>
      </c>
      <c r="B161" s="808">
        <v>3114</v>
      </c>
      <c r="C161" s="808">
        <v>5222</v>
      </c>
      <c r="D161" s="889"/>
      <c r="E161" s="704" t="s">
        <v>241</v>
      </c>
      <c r="F161" s="905"/>
      <c r="G161" s="905">
        <f>SUM(G162:G163)</f>
        <v>4146</v>
      </c>
      <c r="H161" s="905">
        <f>SUM(H162:H163)</f>
        <v>4146</v>
      </c>
      <c r="I161" s="906">
        <f t="shared" si="7"/>
        <v>100</v>
      </c>
    </row>
    <row r="162" spans="1:9" ht="15" x14ac:dyDescent="0.25">
      <c r="A162" s="435"/>
      <c r="B162" s="808"/>
      <c r="C162" s="808"/>
      <c r="D162" s="1179" t="s">
        <v>1274</v>
      </c>
      <c r="E162" s="1424" t="s">
        <v>0</v>
      </c>
      <c r="F162" s="905"/>
      <c r="G162" s="907">
        <v>3768</v>
      </c>
      <c r="H162" s="907">
        <v>3768</v>
      </c>
      <c r="I162" s="898">
        <f t="shared" si="7"/>
        <v>100</v>
      </c>
    </row>
    <row r="163" spans="1:9" ht="15" x14ac:dyDescent="0.25">
      <c r="A163" s="435"/>
      <c r="B163" s="808"/>
      <c r="C163" s="808"/>
      <c r="D163" s="1178" t="s">
        <v>418</v>
      </c>
      <c r="E163" s="1712" t="s">
        <v>1</v>
      </c>
      <c r="F163" s="905"/>
      <c r="G163" s="907">
        <v>378</v>
      </c>
      <c r="H163" s="907">
        <v>378</v>
      </c>
      <c r="I163" s="898">
        <f t="shared" si="7"/>
        <v>100</v>
      </c>
    </row>
    <row r="164" spans="1:9" ht="15" x14ac:dyDescent="0.25">
      <c r="A164" s="435">
        <v>1514</v>
      </c>
      <c r="B164" s="808">
        <v>3141</v>
      </c>
      <c r="C164" s="808">
        <v>5222</v>
      </c>
      <c r="D164" s="889"/>
      <c r="E164" s="704" t="s">
        <v>241</v>
      </c>
      <c r="F164" s="905"/>
      <c r="G164" s="905">
        <f>SUM(G165:G165)</f>
        <v>64</v>
      </c>
      <c r="H164" s="905">
        <f>SUM(H165:H165)</f>
        <v>64</v>
      </c>
      <c r="I164" s="906">
        <f t="shared" si="7"/>
        <v>100</v>
      </c>
    </row>
    <row r="165" spans="1:9" x14ac:dyDescent="0.2">
      <c r="A165" s="435"/>
      <c r="B165" s="808"/>
      <c r="C165" s="808"/>
      <c r="D165" s="1179" t="s">
        <v>1274</v>
      </c>
      <c r="E165" s="1424" t="s">
        <v>0</v>
      </c>
      <c r="F165" s="903"/>
      <c r="G165" s="903">
        <v>64</v>
      </c>
      <c r="H165" s="903">
        <v>64</v>
      </c>
      <c r="I165" s="898">
        <f t="shared" si="7"/>
        <v>100</v>
      </c>
    </row>
    <row r="166" spans="1:9" ht="15" x14ac:dyDescent="0.25">
      <c r="A166" s="435">
        <v>1514</v>
      </c>
      <c r="B166" s="808">
        <v>3143</v>
      </c>
      <c r="C166" s="808">
        <v>5222</v>
      </c>
      <c r="D166" s="889"/>
      <c r="E166" s="704" t="s">
        <v>241</v>
      </c>
      <c r="F166" s="905"/>
      <c r="G166" s="905">
        <f>SUM(G167:G167)</f>
        <v>140</v>
      </c>
      <c r="H166" s="905">
        <f>SUM(H167:H167)</f>
        <v>140</v>
      </c>
      <c r="I166" s="906">
        <f t="shared" si="7"/>
        <v>100</v>
      </c>
    </row>
    <row r="167" spans="1:9" ht="15" thickBot="1" x14ac:dyDescent="0.25">
      <c r="A167" s="435"/>
      <c r="B167" s="808"/>
      <c r="C167" s="808"/>
      <c r="D167" s="1179" t="s">
        <v>1274</v>
      </c>
      <c r="E167" s="1424" t="s">
        <v>0</v>
      </c>
      <c r="F167" s="903"/>
      <c r="G167" s="903">
        <v>140</v>
      </c>
      <c r="H167" s="903">
        <v>140</v>
      </c>
      <c r="I167" s="898">
        <f t="shared" si="7"/>
        <v>100</v>
      </c>
    </row>
    <row r="168" spans="1:9" ht="16.5" thickTop="1" thickBot="1" x14ac:dyDescent="0.3">
      <c r="A168" s="2739" t="s">
        <v>1246</v>
      </c>
      <c r="B168" s="2740"/>
      <c r="C168" s="2740"/>
      <c r="D168" s="2740"/>
      <c r="E168" s="2740"/>
      <c r="F168" s="894">
        <f>SUM(F156,F158)</f>
        <v>0</v>
      </c>
      <c r="G168" s="894">
        <f>SUM(G156,G158,G161,G164,G166)</f>
        <v>6477</v>
      </c>
      <c r="H168" s="894">
        <f>SUM(H156,H158,H161,H164,H166,)</f>
        <v>6477</v>
      </c>
      <c r="I168" s="895">
        <f t="shared" si="7"/>
        <v>100</v>
      </c>
    </row>
    <row r="169" spans="1:9" ht="18" customHeight="1" thickTop="1" x14ac:dyDescent="0.25">
      <c r="A169" s="370"/>
      <c r="B169" s="370"/>
      <c r="C169" s="370"/>
      <c r="D169" s="370"/>
      <c r="E169" s="370"/>
      <c r="F169" s="181"/>
      <c r="G169" s="181"/>
      <c r="H169" s="181"/>
      <c r="I169" s="210"/>
    </row>
    <row r="170" spans="1:9" ht="18" customHeight="1" thickBot="1" x14ac:dyDescent="0.25">
      <c r="A170" s="439" t="s">
        <v>823</v>
      </c>
      <c r="I170" s="887" t="s">
        <v>179</v>
      </c>
    </row>
    <row r="171" spans="1:9" s="107" customFormat="1" ht="12.75" thickTop="1" thickBot="1" x14ac:dyDescent="0.25">
      <c r="A171" s="657" t="s">
        <v>692</v>
      </c>
      <c r="B171" s="835" t="s">
        <v>180</v>
      </c>
      <c r="C171" s="658" t="s">
        <v>181</v>
      </c>
      <c r="D171" s="660" t="s">
        <v>783</v>
      </c>
      <c r="E171" s="660" t="s">
        <v>182</v>
      </c>
      <c r="F171" s="660" t="s">
        <v>183</v>
      </c>
      <c r="G171" s="660" t="s">
        <v>985</v>
      </c>
      <c r="H171" s="660" t="s">
        <v>986</v>
      </c>
      <c r="I171" s="888" t="s">
        <v>987</v>
      </c>
    </row>
    <row r="172" spans="1:9" s="386" customFormat="1" ht="20.25" customHeight="1" thickTop="1" thickBot="1" x14ac:dyDescent="0.25">
      <c r="A172" s="592">
        <v>1</v>
      </c>
      <c r="B172" s="593">
        <v>2</v>
      </c>
      <c r="C172" s="593">
        <v>3</v>
      </c>
      <c r="D172" s="593">
        <v>4</v>
      </c>
      <c r="E172" s="593">
        <v>5</v>
      </c>
      <c r="F172" s="567">
        <v>6</v>
      </c>
      <c r="G172" s="567">
        <v>7</v>
      </c>
      <c r="H172" s="568">
        <v>8</v>
      </c>
      <c r="I172" s="662" t="s">
        <v>848</v>
      </c>
    </row>
    <row r="173" spans="1:9" ht="15.75" thickTop="1" x14ac:dyDescent="0.25">
      <c r="A173" s="1562">
        <v>1515</v>
      </c>
      <c r="B173" s="917">
        <v>3111</v>
      </c>
      <c r="C173" s="836">
        <v>5213</v>
      </c>
      <c r="D173" s="920"/>
      <c r="E173" s="704" t="s">
        <v>1318</v>
      </c>
      <c r="F173" s="915"/>
      <c r="G173" s="915">
        <f>SUM(G174:G174)</f>
        <v>5107</v>
      </c>
      <c r="H173" s="915">
        <f>SUM(H174:H174)</f>
        <v>5107</v>
      </c>
      <c r="I173" s="919">
        <f t="shared" ref="I173:I184" si="8">(H173/G173)*100</f>
        <v>100</v>
      </c>
    </row>
    <row r="174" spans="1:9" x14ac:dyDescent="0.2">
      <c r="A174" s="435"/>
      <c r="B174" s="808"/>
      <c r="C174" s="808"/>
      <c r="D174" s="1179" t="s">
        <v>1274</v>
      </c>
      <c r="E174" s="1424" t="s">
        <v>0</v>
      </c>
      <c r="F174" s="903"/>
      <c r="G174" s="903">
        <v>5107</v>
      </c>
      <c r="H174" s="903">
        <v>5107</v>
      </c>
      <c r="I174" s="898">
        <f t="shared" si="8"/>
        <v>100</v>
      </c>
    </row>
    <row r="175" spans="1:9" ht="15" x14ac:dyDescent="0.25">
      <c r="A175" s="435">
        <v>1515</v>
      </c>
      <c r="B175" s="808">
        <v>3113</v>
      </c>
      <c r="C175" s="1551">
        <v>5213</v>
      </c>
      <c r="D175" s="899"/>
      <c r="E175" s="704" t="s">
        <v>1318</v>
      </c>
      <c r="F175" s="905"/>
      <c r="G175" s="905">
        <f>SUM(G176:G177)</f>
        <v>4464</v>
      </c>
      <c r="H175" s="905">
        <f>SUM(H176:H177)</f>
        <v>4464</v>
      </c>
      <c r="I175" s="906">
        <f t="shared" si="8"/>
        <v>100</v>
      </c>
    </row>
    <row r="176" spans="1:9" ht="15.75" customHeight="1" x14ac:dyDescent="0.2">
      <c r="A176" s="435"/>
      <c r="B176" s="808"/>
      <c r="C176" s="1551"/>
      <c r="D176" s="1179" t="s">
        <v>1274</v>
      </c>
      <c r="E176" s="1424" t="s">
        <v>0</v>
      </c>
      <c r="F176" s="903"/>
      <c r="G176" s="903">
        <v>4369</v>
      </c>
      <c r="H176" s="903">
        <v>4369</v>
      </c>
      <c r="I176" s="898">
        <f>(H176/G176)*100</f>
        <v>100</v>
      </c>
    </row>
    <row r="177" spans="1:12" ht="15.75" customHeight="1" x14ac:dyDescent="0.2">
      <c r="A177" s="435"/>
      <c r="B177" s="808"/>
      <c r="C177" s="1551"/>
      <c r="D177" s="1178" t="s">
        <v>418</v>
      </c>
      <c r="E177" s="1712" t="s">
        <v>1</v>
      </c>
      <c r="F177" s="903"/>
      <c r="G177" s="903">
        <v>95</v>
      </c>
      <c r="H177" s="903">
        <v>95</v>
      </c>
      <c r="I177" s="898">
        <f>(H177/G177)*100</f>
        <v>100</v>
      </c>
    </row>
    <row r="178" spans="1:12" ht="15.75" customHeight="1" x14ac:dyDescent="0.25">
      <c r="A178" s="435">
        <v>1515</v>
      </c>
      <c r="B178" s="808">
        <v>3141</v>
      </c>
      <c r="C178" s="808">
        <v>5213</v>
      </c>
      <c r="D178" s="889"/>
      <c r="E178" s="704" t="s">
        <v>1318</v>
      </c>
      <c r="F178" s="905"/>
      <c r="G178" s="905">
        <f>SUM(G179:G179)</f>
        <v>337</v>
      </c>
      <c r="H178" s="905">
        <f>SUM(H179:H179)</f>
        <v>337</v>
      </c>
      <c r="I178" s="906">
        <f t="shared" si="8"/>
        <v>100</v>
      </c>
    </row>
    <row r="179" spans="1:12" x14ac:dyDescent="0.2">
      <c r="A179" s="435"/>
      <c r="B179" s="808"/>
      <c r="C179" s="808"/>
      <c r="D179" s="1179" t="s">
        <v>1274</v>
      </c>
      <c r="E179" s="1424" t="s">
        <v>0</v>
      </c>
      <c r="F179" s="903"/>
      <c r="G179" s="903">
        <v>337</v>
      </c>
      <c r="H179" s="903">
        <v>337</v>
      </c>
      <c r="I179" s="898">
        <f t="shared" si="8"/>
        <v>100</v>
      </c>
    </row>
    <row r="180" spans="1:12" ht="15" x14ac:dyDescent="0.25">
      <c r="A180" s="435">
        <v>1515</v>
      </c>
      <c r="B180" s="808">
        <v>3143</v>
      </c>
      <c r="C180" s="808">
        <v>5213</v>
      </c>
      <c r="D180" s="889"/>
      <c r="E180" s="704" t="s">
        <v>1318</v>
      </c>
      <c r="F180" s="905"/>
      <c r="G180" s="905">
        <f>SUM(G181:G181)</f>
        <v>919</v>
      </c>
      <c r="H180" s="905">
        <f>SUM(H181:H181)</f>
        <v>919</v>
      </c>
      <c r="I180" s="906">
        <f t="shared" si="8"/>
        <v>100</v>
      </c>
    </row>
    <row r="181" spans="1:12" x14ac:dyDescent="0.2">
      <c r="A181" s="435"/>
      <c r="B181" s="808"/>
      <c r="C181" s="808"/>
      <c r="D181" s="1179" t="s">
        <v>1274</v>
      </c>
      <c r="E181" s="1424" t="s">
        <v>0</v>
      </c>
      <c r="F181" s="903"/>
      <c r="G181" s="903">
        <v>919</v>
      </c>
      <c r="H181" s="903">
        <v>919</v>
      </c>
      <c r="I181" s="898">
        <f t="shared" si="8"/>
        <v>100</v>
      </c>
    </row>
    <row r="182" spans="1:12" ht="15" x14ac:dyDescent="0.25">
      <c r="A182" s="435">
        <v>1515</v>
      </c>
      <c r="B182" s="808">
        <v>3421</v>
      </c>
      <c r="C182" s="705">
        <v>5213</v>
      </c>
      <c r="D182" s="889"/>
      <c r="E182" s="704" t="s">
        <v>1318</v>
      </c>
      <c r="F182" s="890"/>
      <c r="G182" s="921">
        <f>G183</f>
        <v>87</v>
      </c>
      <c r="H182" s="916">
        <f>H183</f>
        <v>87</v>
      </c>
      <c r="I182" s="908">
        <f t="shared" si="8"/>
        <v>100</v>
      </c>
    </row>
    <row r="183" spans="1:12" ht="15" thickBot="1" x14ac:dyDescent="0.25">
      <c r="A183" s="435"/>
      <c r="B183" s="705"/>
      <c r="C183" s="705"/>
      <c r="D183" s="1179" t="s">
        <v>1274</v>
      </c>
      <c r="E183" s="1424" t="s">
        <v>0</v>
      </c>
      <c r="F183" s="897"/>
      <c r="G183" s="897">
        <v>87</v>
      </c>
      <c r="H183" s="897">
        <v>87</v>
      </c>
      <c r="I183" s="893">
        <v>100</v>
      </c>
    </row>
    <row r="184" spans="1:12" ht="16.5" thickTop="1" thickBot="1" x14ac:dyDescent="0.3">
      <c r="A184" s="2739" t="s">
        <v>1246</v>
      </c>
      <c r="B184" s="2740"/>
      <c r="C184" s="2740"/>
      <c r="D184" s="2740"/>
      <c r="E184" s="2740"/>
      <c r="F184" s="894">
        <f>SUM(F173,F175)</f>
        <v>0</v>
      </c>
      <c r="G184" s="894">
        <f>SUM(G173,G175,G178,G180,G182)</f>
        <v>10914</v>
      </c>
      <c r="H184" s="894">
        <f>SUM(H173,H175,H178,H180,H182)</f>
        <v>10914</v>
      </c>
      <c r="I184" s="895">
        <f t="shared" si="8"/>
        <v>100</v>
      </c>
      <c r="K184" s="385">
        <f>SUM(G184,G168,G151,G129,G113,G102,G42,G32,G22,G12,G51,G74,G60,G83)</f>
        <v>61557</v>
      </c>
      <c r="L184" s="385">
        <f>SUM(H184,H168,H151,H129,H113,H102,H42,H32,H22,H12,H51,H74,H60,H83)</f>
        <v>61557</v>
      </c>
    </row>
    <row r="185" spans="1:12" ht="18" customHeight="1" thickTop="1" x14ac:dyDescent="0.25">
      <c r="A185" s="370"/>
      <c r="B185" s="370"/>
      <c r="C185" s="370"/>
      <c r="D185" s="370"/>
      <c r="E185" s="370"/>
      <c r="F185" s="181"/>
      <c r="G185" s="181"/>
      <c r="H185" s="181"/>
      <c r="I185" s="210"/>
      <c r="K185" s="385"/>
      <c r="L185" s="385"/>
    </row>
    <row r="186" spans="1:12" ht="13.5" customHeight="1" thickBot="1" x14ac:dyDescent="0.25">
      <c r="A186" s="439" t="s">
        <v>360</v>
      </c>
      <c r="I186" s="887" t="s">
        <v>179</v>
      </c>
    </row>
    <row r="187" spans="1:12" s="107" customFormat="1" ht="12.75" thickTop="1" thickBot="1" x14ac:dyDescent="0.25">
      <c r="A187" s="657" t="s">
        <v>692</v>
      </c>
      <c r="B187" s="835" t="s">
        <v>180</v>
      </c>
      <c r="C187" s="658" t="s">
        <v>181</v>
      </c>
      <c r="D187" s="660" t="s">
        <v>783</v>
      </c>
      <c r="E187" s="660" t="s">
        <v>182</v>
      </c>
      <c r="F187" s="660" t="s">
        <v>183</v>
      </c>
      <c r="G187" s="660" t="s">
        <v>985</v>
      </c>
      <c r="H187" s="660" t="s">
        <v>986</v>
      </c>
      <c r="I187" s="888" t="s">
        <v>987</v>
      </c>
    </row>
    <row r="188" spans="1:12" s="386" customFormat="1" ht="20.25" customHeight="1" thickTop="1" thickBot="1" x14ac:dyDescent="0.25">
      <c r="A188" s="592">
        <v>1</v>
      </c>
      <c r="B188" s="593">
        <v>2</v>
      </c>
      <c r="C188" s="593">
        <v>3</v>
      </c>
      <c r="D188" s="593">
        <v>4</v>
      </c>
      <c r="E188" s="593">
        <v>5</v>
      </c>
      <c r="F188" s="567">
        <v>6</v>
      </c>
      <c r="G188" s="567">
        <v>7</v>
      </c>
      <c r="H188" s="568">
        <v>8</v>
      </c>
      <c r="I188" s="662" t="s">
        <v>848</v>
      </c>
    </row>
    <row r="189" spans="1:12" ht="15.75" thickTop="1" x14ac:dyDescent="0.25">
      <c r="A189" s="1562">
        <v>1516</v>
      </c>
      <c r="B189" s="917">
        <v>3113</v>
      </c>
      <c r="C189" s="917">
        <v>5213</v>
      </c>
      <c r="D189" s="922"/>
      <c r="E189" s="854" t="s">
        <v>1318</v>
      </c>
      <c r="F189" s="915"/>
      <c r="G189" s="915">
        <f>SUM(G190:G191)</f>
        <v>2807</v>
      </c>
      <c r="H189" s="915">
        <f>SUM(H190:H191)</f>
        <v>2807</v>
      </c>
      <c r="I189" s="919">
        <f t="shared" ref="I189:I194" si="9">(H189/G189)*100</f>
        <v>100</v>
      </c>
    </row>
    <row r="190" spans="1:12" x14ac:dyDescent="0.2">
      <c r="A190" s="435"/>
      <c r="B190" s="808"/>
      <c r="C190" s="808"/>
      <c r="D190" s="1179" t="s">
        <v>1274</v>
      </c>
      <c r="E190" s="1424" t="s">
        <v>0</v>
      </c>
      <c r="F190" s="903"/>
      <c r="G190" s="903">
        <v>2590</v>
      </c>
      <c r="H190" s="903">
        <v>2590</v>
      </c>
      <c r="I190" s="898">
        <f t="shared" si="9"/>
        <v>100</v>
      </c>
    </row>
    <row r="191" spans="1:12" x14ac:dyDescent="0.2">
      <c r="A191" s="435"/>
      <c r="B191" s="808"/>
      <c r="C191" s="808"/>
      <c r="D191" s="1178" t="s">
        <v>418</v>
      </c>
      <c r="E191" s="1712" t="s">
        <v>1</v>
      </c>
      <c r="F191" s="903"/>
      <c r="G191" s="903">
        <v>217</v>
      </c>
      <c r="H191" s="903">
        <v>217</v>
      </c>
      <c r="I191" s="898">
        <f t="shared" si="9"/>
        <v>100</v>
      </c>
    </row>
    <row r="192" spans="1:12" ht="15" x14ac:dyDescent="0.25">
      <c r="A192" s="435">
        <v>1516</v>
      </c>
      <c r="B192" s="705">
        <v>3143</v>
      </c>
      <c r="C192" s="1550">
        <v>5213</v>
      </c>
      <c r="D192" s="899"/>
      <c r="E192" s="704" t="s">
        <v>1318</v>
      </c>
      <c r="F192" s="890"/>
      <c r="G192" s="890">
        <f>SUM(G193:G193)</f>
        <v>216</v>
      </c>
      <c r="H192" s="890">
        <f>SUM(H193:H193)</f>
        <v>216</v>
      </c>
      <c r="I192" s="891">
        <f t="shared" si="9"/>
        <v>100</v>
      </c>
    </row>
    <row r="193" spans="1:9" ht="15" thickBot="1" x14ac:dyDescent="0.25">
      <c r="A193" s="1576"/>
      <c r="B193" s="900"/>
      <c r="C193" s="900"/>
      <c r="D193" s="757" t="s">
        <v>1274</v>
      </c>
      <c r="E193" s="904" t="s">
        <v>2</v>
      </c>
      <c r="F193" s="901"/>
      <c r="G193" s="901">
        <v>216</v>
      </c>
      <c r="H193" s="901">
        <v>216</v>
      </c>
      <c r="I193" s="902">
        <f t="shared" si="9"/>
        <v>100</v>
      </c>
    </row>
    <row r="194" spans="1:9" ht="15.75" customHeight="1" thickTop="1" thickBot="1" x14ac:dyDescent="0.3">
      <c r="A194" s="2739" t="s">
        <v>1246</v>
      </c>
      <c r="B194" s="2740"/>
      <c r="C194" s="2740"/>
      <c r="D194" s="2740"/>
      <c r="E194" s="2740"/>
      <c r="F194" s="894">
        <f>SUM(F189,F192)</f>
        <v>0</v>
      </c>
      <c r="G194" s="894">
        <f>SUM(G189,G192)</f>
        <v>3023</v>
      </c>
      <c r="H194" s="894">
        <f>SUM(H189,H192,)</f>
        <v>3023</v>
      </c>
      <c r="I194" s="895">
        <f t="shared" si="9"/>
        <v>100</v>
      </c>
    </row>
    <row r="195" spans="1:9" ht="15.75" thickTop="1" x14ac:dyDescent="0.25">
      <c r="A195" s="370"/>
      <c r="B195" s="370"/>
      <c r="C195" s="370"/>
      <c r="D195" s="370"/>
      <c r="E195" s="370"/>
      <c r="F195" s="181"/>
      <c r="G195" s="181"/>
      <c r="H195" s="181"/>
      <c r="I195" s="210"/>
    </row>
    <row r="196" spans="1:9" ht="15" x14ac:dyDescent="0.25">
      <c r="A196" s="370"/>
      <c r="B196" s="370"/>
      <c r="C196" s="370"/>
      <c r="D196" s="370"/>
      <c r="E196" s="370"/>
      <c r="F196" s="181"/>
      <c r="G196" s="181"/>
      <c r="H196" s="181"/>
      <c r="I196" s="210"/>
    </row>
    <row r="197" spans="1:9" ht="15" x14ac:dyDescent="0.25">
      <c r="A197" s="370"/>
      <c r="B197" s="370"/>
      <c r="C197" s="370"/>
      <c r="D197" s="370"/>
      <c r="E197" s="370"/>
      <c r="F197" s="181"/>
      <c r="G197" s="181"/>
      <c r="H197" s="181"/>
      <c r="I197" s="210"/>
    </row>
    <row r="198" spans="1:9" ht="15" x14ac:dyDescent="0.25">
      <c r="A198" s="370"/>
      <c r="B198" s="370"/>
      <c r="C198" s="370"/>
      <c r="D198" s="370"/>
      <c r="E198" s="370"/>
      <c r="F198" s="181"/>
      <c r="G198" s="181"/>
      <c r="H198" s="181"/>
      <c r="I198" s="210"/>
    </row>
    <row r="199" spans="1:9" ht="15" x14ac:dyDescent="0.25">
      <c r="A199" s="370"/>
      <c r="B199" s="370"/>
      <c r="C199" s="370"/>
      <c r="D199" s="370"/>
      <c r="E199" s="370"/>
      <c r="F199" s="181"/>
      <c r="G199" s="181"/>
      <c r="H199" s="181"/>
      <c r="I199" s="210"/>
    </row>
    <row r="200" spans="1:9" ht="18" customHeight="1" thickBot="1" x14ac:dyDescent="0.25">
      <c r="A200" s="439" t="s">
        <v>536</v>
      </c>
      <c r="I200" s="887" t="s">
        <v>179</v>
      </c>
    </row>
    <row r="201" spans="1:9" s="107" customFormat="1" ht="12.75" thickTop="1" thickBot="1" x14ac:dyDescent="0.25">
      <c r="A201" s="657" t="s">
        <v>692</v>
      </c>
      <c r="B201" s="835" t="s">
        <v>180</v>
      </c>
      <c r="C201" s="658" t="s">
        <v>181</v>
      </c>
      <c r="D201" s="660" t="s">
        <v>783</v>
      </c>
      <c r="E201" s="660" t="s">
        <v>182</v>
      </c>
      <c r="F201" s="660" t="s">
        <v>183</v>
      </c>
      <c r="G201" s="660" t="s">
        <v>985</v>
      </c>
      <c r="H201" s="660" t="s">
        <v>986</v>
      </c>
      <c r="I201" s="888" t="s">
        <v>987</v>
      </c>
    </row>
    <row r="202" spans="1:9" s="386" customFormat="1" ht="20.25" customHeight="1" thickTop="1" thickBot="1" x14ac:dyDescent="0.25">
      <c r="A202" s="592">
        <v>1</v>
      </c>
      <c r="B202" s="593">
        <v>2</v>
      </c>
      <c r="C202" s="593">
        <v>3</v>
      </c>
      <c r="D202" s="593">
        <v>4</v>
      </c>
      <c r="E202" s="593">
        <v>5</v>
      </c>
      <c r="F202" s="567">
        <v>6</v>
      </c>
      <c r="G202" s="567">
        <v>7</v>
      </c>
      <c r="H202" s="568">
        <v>8</v>
      </c>
      <c r="I202" s="662" t="s">
        <v>848</v>
      </c>
    </row>
    <row r="203" spans="1:9" ht="15.75" thickTop="1" x14ac:dyDescent="0.25">
      <c r="A203" s="1562">
        <v>1517</v>
      </c>
      <c r="B203" s="917">
        <v>3112</v>
      </c>
      <c r="C203" s="917">
        <v>5221</v>
      </c>
      <c r="D203" s="922"/>
      <c r="E203" s="854" t="s">
        <v>1319</v>
      </c>
      <c r="F203" s="915"/>
      <c r="G203" s="915">
        <f>SUM(G204:G204)</f>
        <v>2283</v>
      </c>
      <c r="H203" s="915">
        <f>SUM(H204:H204)</f>
        <v>2283</v>
      </c>
      <c r="I203" s="919">
        <f t="shared" ref="I203:I213" si="10">(H203/G203)*100</f>
        <v>100</v>
      </c>
    </row>
    <row r="204" spans="1:9" x14ac:dyDescent="0.2">
      <c r="A204" s="435"/>
      <c r="B204" s="808"/>
      <c r="C204" s="808"/>
      <c r="D204" s="1179" t="s">
        <v>1274</v>
      </c>
      <c r="E204" s="904" t="s">
        <v>2</v>
      </c>
      <c r="F204" s="903"/>
      <c r="G204" s="903">
        <v>2283</v>
      </c>
      <c r="H204" s="903">
        <v>2283</v>
      </c>
      <c r="I204" s="893">
        <f t="shared" si="10"/>
        <v>100</v>
      </c>
    </row>
    <row r="205" spans="1:9" ht="15" x14ac:dyDescent="0.25">
      <c r="A205" s="435">
        <v>1517</v>
      </c>
      <c r="B205" s="808">
        <v>3114</v>
      </c>
      <c r="C205" s="1551">
        <v>5221</v>
      </c>
      <c r="D205" s="899"/>
      <c r="E205" s="704" t="s">
        <v>1319</v>
      </c>
      <c r="F205" s="905"/>
      <c r="G205" s="905">
        <f>SUM(G206:G207)</f>
        <v>17073</v>
      </c>
      <c r="H205" s="905">
        <f>SUM(H206:H207)</f>
        <v>17073</v>
      </c>
      <c r="I205" s="906">
        <f t="shared" si="10"/>
        <v>100</v>
      </c>
    </row>
    <row r="206" spans="1:9" ht="15" x14ac:dyDescent="0.25">
      <c r="A206" s="435"/>
      <c r="B206" s="808"/>
      <c r="C206" s="1551"/>
      <c r="D206" s="1179" t="s">
        <v>1274</v>
      </c>
      <c r="E206" s="904" t="s">
        <v>2</v>
      </c>
      <c r="F206" s="905"/>
      <c r="G206" s="907">
        <v>16610</v>
      </c>
      <c r="H206" s="907">
        <v>16610</v>
      </c>
      <c r="I206" s="898">
        <f>(H206/G206)*100</f>
        <v>100</v>
      </c>
    </row>
    <row r="207" spans="1:9" ht="15.75" customHeight="1" x14ac:dyDescent="0.25">
      <c r="A207" s="435"/>
      <c r="B207" s="808"/>
      <c r="C207" s="1551"/>
      <c r="D207" s="1178" t="s">
        <v>418</v>
      </c>
      <c r="E207" s="1712" t="s">
        <v>1</v>
      </c>
      <c r="F207" s="905"/>
      <c r="G207" s="907">
        <v>463</v>
      </c>
      <c r="H207" s="907">
        <v>463</v>
      </c>
      <c r="I207" s="898">
        <f t="shared" si="10"/>
        <v>100</v>
      </c>
    </row>
    <row r="208" spans="1:9" ht="15.75" customHeight="1" x14ac:dyDescent="0.25">
      <c r="A208" s="435">
        <v>1517</v>
      </c>
      <c r="B208" s="808">
        <v>3141</v>
      </c>
      <c r="C208" s="1551">
        <v>5221</v>
      </c>
      <c r="D208" s="899"/>
      <c r="E208" s="704" t="s">
        <v>1319</v>
      </c>
      <c r="F208" s="905"/>
      <c r="G208" s="905">
        <f>SUM(G209:G209)</f>
        <v>120</v>
      </c>
      <c r="H208" s="905">
        <f>SUM(H209:H209)</f>
        <v>120</v>
      </c>
      <c r="I208" s="906">
        <f>(H208/G208)*100</f>
        <v>100</v>
      </c>
    </row>
    <row r="209" spans="1:9" ht="15.75" customHeight="1" x14ac:dyDescent="0.2">
      <c r="A209" s="435"/>
      <c r="B209" s="808"/>
      <c r="C209" s="808"/>
      <c r="D209" s="1179" t="s">
        <v>1274</v>
      </c>
      <c r="E209" s="904" t="s">
        <v>2</v>
      </c>
      <c r="F209" s="903"/>
      <c r="G209" s="903">
        <v>120</v>
      </c>
      <c r="H209" s="903">
        <v>120</v>
      </c>
      <c r="I209" s="898">
        <f t="shared" si="10"/>
        <v>100</v>
      </c>
    </row>
    <row r="210" spans="1:9" ht="15.75" customHeight="1" x14ac:dyDescent="0.25">
      <c r="A210" s="435">
        <v>1517</v>
      </c>
      <c r="B210" s="808">
        <v>3143</v>
      </c>
      <c r="C210" s="808">
        <v>5221</v>
      </c>
      <c r="D210" s="578"/>
      <c r="E210" s="704" t="s">
        <v>1319</v>
      </c>
      <c r="F210" s="903"/>
      <c r="G210" s="916">
        <f>SUM(G211:G211)</f>
        <v>1234</v>
      </c>
      <c r="H210" s="916">
        <f>SUM(H211:H211)</f>
        <v>1234</v>
      </c>
      <c r="I210" s="906">
        <f>(H210/G210)*100</f>
        <v>100</v>
      </c>
    </row>
    <row r="211" spans="1:9" ht="15.75" customHeight="1" x14ac:dyDescent="0.2">
      <c r="A211" s="435"/>
      <c r="B211" s="808"/>
      <c r="C211" s="808"/>
      <c r="D211" s="1179" t="s">
        <v>1274</v>
      </c>
      <c r="E211" s="1426" t="s">
        <v>0</v>
      </c>
      <c r="F211" s="903"/>
      <c r="G211" s="903">
        <v>1234</v>
      </c>
      <c r="H211" s="903">
        <v>1234</v>
      </c>
      <c r="I211" s="898">
        <f t="shared" si="10"/>
        <v>100</v>
      </c>
    </row>
    <row r="212" spans="1:9" ht="15" x14ac:dyDescent="0.25">
      <c r="A212" s="435">
        <v>1517</v>
      </c>
      <c r="B212" s="808">
        <v>3146</v>
      </c>
      <c r="C212" s="1551">
        <v>5221</v>
      </c>
      <c r="D212" s="899"/>
      <c r="E212" s="1350" t="s">
        <v>1319</v>
      </c>
      <c r="F212" s="905"/>
      <c r="G212" s="905">
        <f>SUM(G213:G213)</f>
        <v>8228</v>
      </c>
      <c r="H212" s="905">
        <f>SUM(H213:H213)</f>
        <v>8228</v>
      </c>
      <c r="I212" s="906">
        <f t="shared" si="10"/>
        <v>100</v>
      </c>
    </row>
    <row r="213" spans="1:9" ht="15" thickBot="1" x14ac:dyDescent="0.25">
      <c r="A213" s="435"/>
      <c r="B213" s="808"/>
      <c r="C213" s="808"/>
      <c r="D213" s="1179" t="s">
        <v>1274</v>
      </c>
      <c r="E213" s="1426" t="s">
        <v>0</v>
      </c>
      <c r="F213" s="903"/>
      <c r="G213" s="903">
        <v>8228</v>
      </c>
      <c r="H213" s="903">
        <v>8228</v>
      </c>
      <c r="I213" s="898">
        <f t="shared" si="10"/>
        <v>100</v>
      </c>
    </row>
    <row r="214" spans="1:9" ht="16.5" thickTop="1" thickBot="1" x14ac:dyDescent="0.3">
      <c r="A214" s="2739" t="s">
        <v>1246</v>
      </c>
      <c r="B214" s="2740"/>
      <c r="C214" s="2740"/>
      <c r="D214" s="2740"/>
      <c r="E214" s="2740"/>
      <c r="F214" s="894">
        <f>SUM(F203,F205)</f>
        <v>0</v>
      </c>
      <c r="G214" s="894">
        <f>SUM(G203,G205,G208,G212,G210)</f>
        <v>28938</v>
      </c>
      <c r="H214" s="894">
        <f>SUM(H203,H205,H208,H212,H210)</f>
        <v>28938</v>
      </c>
      <c r="I214" s="895">
        <f>(H214/G214)*100</f>
        <v>100</v>
      </c>
    </row>
    <row r="215" spans="1:9" ht="15.75" customHeight="1" thickTop="1" x14ac:dyDescent="0.2"/>
    <row r="216" spans="1:9" ht="18" customHeight="1" thickBot="1" x14ac:dyDescent="0.25">
      <c r="A216" s="439" t="s">
        <v>537</v>
      </c>
      <c r="I216" s="887" t="s">
        <v>179</v>
      </c>
    </row>
    <row r="217" spans="1:9" s="107" customFormat="1" ht="12.75" customHeight="1" thickTop="1" thickBot="1" x14ac:dyDescent="0.25">
      <c r="A217" s="657" t="s">
        <v>692</v>
      </c>
      <c r="B217" s="835" t="s">
        <v>180</v>
      </c>
      <c r="C217" s="658" t="s">
        <v>181</v>
      </c>
      <c r="D217" s="660" t="s">
        <v>783</v>
      </c>
      <c r="E217" s="660" t="s">
        <v>182</v>
      </c>
      <c r="F217" s="660" t="s">
        <v>183</v>
      </c>
      <c r="G217" s="660" t="s">
        <v>985</v>
      </c>
      <c r="H217" s="660" t="s">
        <v>986</v>
      </c>
      <c r="I217" s="888" t="s">
        <v>987</v>
      </c>
    </row>
    <row r="218" spans="1:9" s="386" customFormat="1" ht="12.75" customHeight="1" thickTop="1" thickBot="1" x14ac:dyDescent="0.25">
      <c r="A218" s="592">
        <v>1</v>
      </c>
      <c r="B218" s="593">
        <v>2</v>
      </c>
      <c r="C218" s="593">
        <v>3</v>
      </c>
      <c r="D218" s="593">
        <v>4</v>
      </c>
      <c r="E218" s="593">
        <v>5</v>
      </c>
      <c r="F218" s="567">
        <v>6</v>
      </c>
      <c r="G218" s="567">
        <v>7</v>
      </c>
      <c r="H218" s="568">
        <v>8</v>
      </c>
      <c r="I218" s="662" t="s">
        <v>848</v>
      </c>
    </row>
    <row r="219" spans="1:9" ht="15.75" thickTop="1" x14ac:dyDescent="0.25">
      <c r="A219" s="1562">
        <v>1518</v>
      </c>
      <c r="B219" s="917">
        <v>3114</v>
      </c>
      <c r="C219" s="917">
        <v>5221</v>
      </c>
      <c r="D219" s="922"/>
      <c r="E219" s="854" t="s">
        <v>1319</v>
      </c>
      <c r="F219" s="915"/>
      <c r="G219" s="915">
        <f>SUM(G220:G221)</f>
        <v>6830</v>
      </c>
      <c r="H219" s="915">
        <f>SUM(H220:H221)</f>
        <v>6830</v>
      </c>
      <c r="I219" s="919">
        <f t="shared" ref="I219:I230" si="11">(H219/G219)*100</f>
        <v>100</v>
      </c>
    </row>
    <row r="220" spans="1:9" ht="20.25" customHeight="1" x14ac:dyDescent="0.25">
      <c r="A220" s="435"/>
      <c r="B220" s="808"/>
      <c r="C220" s="808"/>
      <c r="D220" s="1179" t="s">
        <v>1274</v>
      </c>
      <c r="E220" s="1424" t="s">
        <v>0</v>
      </c>
      <c r="F220" s="905"/>
      <c r="G220" s="907">
        <v>6415</v>
      </c>
      <c r="H220" s="907">
        <v>6415</v>
      </c>
      <c r="I220" s="893">
        <f>(H220/G220)*100</f>
        <v>100</v>
      </c>
    </row>
    <row r="221" spans="1:9" ht="15" x14ac:dyDescent="0.25">
      <c r="A221" s="435"/>
      <c r="B221" s="808"/>
      <c r="C221" s="808"/>
      <c r="D221" s="1178" t="s">
        <v>418</v>
      </c>
      <c r="E221" s="1712" t="s">
        <v>1</v>
      </c>
      <c r="F221" s="905"/>
      <c r="G221" s="907">
        <v>415</v>
      </c>
      <c r="H221" s="907">
        <v>415</v>
      </c>
      <c r="I221" s="898">
        <f>(H221/G221)*100</f>
        <v>100</v>
      </c>
    </row>
    <row r="222" spans="1:9" ht="15" x14ac:dyDescent="0.25">
      <c r="A222" s="435">
        <v>1518</v>
      </c>
      <c r="B222" s="808">
        <v>3124</v>
      </c>
      <c r="C222" s="1551">
        <v>5221</v>
      </c>
      <c r="D222" s="899"/>
      <c r="E222" s="704" t="s">
        <v>1319</v>
      </c>
      <c r="F222" s="905"/>
      <c r="G222" s="905">
        <f>SUM(G223:G223)</f>
        <v>820</v>
      </c>
      <c r="H222" s="905">
        <f>SUM(H223:H223)</f>
        <v>820</v>
      </c>
      <c r="I222" s="906">
        <f t="shared" si="11"/>
        <v>100</v>
      </c>
    </row>
    <row r="223" spans="1:9" x14ac:dyDescent="0.2">
      <c r="A223" s="435"/>
      <c r="B223" s="808"/>
      <c r="C223" s="808"/>
      <c r="D223" s="1179" t="s">
        <v>1274</v>
      </c>
      <c r="E223" s="1424" t="s">
        <v>0</v>
      </c>
      <c r="F223" s="903"/>
      <c r="G223" s="903">
        <v>820</v>
      </c>
      <c r="H223" s="903">
        <v>820</v>
      </c>
      <c r="I223" s="898">
        <f t="shared" si="11"/>
        <v>100</v>
      </c>
    </row>
    <row r="224" spans="1:9" ht="15" customHeight="1" x14ac:dyDescent="0.25">
      <c r="A224" s="435">
        <v>1518</v>
      </c>
      <c r="B224" s="808">
        <v>3141</v>
      </c>
      <c r="C224" s="808">
        <v>5221</v>
      </c>
      <c r="D224" s="1179"/>
      <c r="E224" s="704" t="s">
        <v>1319</v>
      </c>
      <c r="F224" s="903"/>
      <c r="G224" s="916">
        <v>107</v>
      </c>
      <c r="H224" s="916">
        <v>107</v>
      </c>
      <c r="I224" s="908">
        <f t="shared" si="11"/>
        <v>100</v>
      </c>
    </row>
    <row r="225" spans="1:9" x14ac:dyDescent="0.2">
      <c r="A225" s="435"/>
      <c r="B225" s="808"/>
      <c r="C225" s="808"/>
      <c r="D225" s="1179" t="s">
        <v>1274</v>
      </c>
      <c r="E225" s="1424" t="s">
        <v>0</v>
      </c>
      <c r="F225" s="903"/>
      <c r="G225" s="903">
        <v>107</v>
      </c>
      <c r="H225" s="903">
        <v>107</v>
      </c>
      <c r="I225" s="898">
        <f t="shared" si="11"/>
        <v>100</v>
      </c>
    </row>
    <row r="226" spans="1:9" ht="15.75" customHeight="1" x14ac:dyDescent="0.25">
      <c r="A226" s="435">
        <v>1518</v>
      </c>
      <c r="B226" s="808">
        <v>3142</v>
      </c>
      <c r="C226" s="808">
        <v>5221</v>
      </c>
      <c r="D226" s="1179"/>
      <c r="E226" s="704" t="s">
        <v>1319</v>
      </c>
      <c r="F226" s="903"/>
      <c r="G226" s="916">
        <v>18</v>
      </c>
      <c r="H226" s="916">
        <v>18</v>
      </c>
      <c r="I226" s="908">
        <f t="shared" si="11"/>
        <v>100</v>
      </c>
    </row>
    <row r="227" spans="1:9" x14ac:dyDescent="0.2">
      <c r="A227" s="435"/>
      <c r="B227" s="808"/>
      <c r="C227" s="808"/>
      <c r="D227" s="1179" t="s">
        <v>1274</v>
      </c>
      <c r="E227" s="1424" t="s">
        <v>0</v>
      </c>
      <c r="F227" s="903"/>
      <c r="G227" s="903">
        <v>18</v>
      </c>
      <c r="H227" s="903">
        <v>18</v>
      </c>
      <c r="I227" s="898">
        <f t="shared" si="11"/>
        <v>100</v>
      </c>
    </row>
    <row r="228" spans="1:9" ht="15.75" customHeight="1" x14ac:dyDescent="0.25">
      <c r="A228" s="435">
        <v>1518</v>
      </c>
      <c r="B228" s="705">
        <v>3143</v>
      </c>
      <c r="C228" s="1550">
        <v>5221</v>
      </c>
      <c r="D228" s="899"/>
      <c r="E228" s="704" t="s">
        <v>1319</v>
      </c>
      <c r="F228" s="890"/>
      <c r="G228" s="890">
        <v>340</v>
      </c>
      <c r="H228" s="890">
        <v>340</v>
      </c>
      <c r="I228" s="891">
        <f t="shared" si="11"/>
        <v>100</v>
      </c>
    </row>
    <row r="229" spans="1:9" ht="15" thickBot="1" x14ac:dyDescent="0.25">
      <c r="A229" s="1576"/>
      <c r="B229" s="900"/>
      <c r="C229" s="900"/>
      <c r="D229" s="1179" t="s">
        <v>1274</v>
      </c>
      <c r="E229" s="1424" t="s">
        <v>0</v>
      </c>
      <c r="F229" s="901"/>
      <c r="G229" s="901">
        <v>340</v>
      </c>
      <c r="H229" s="901">
        <v>340</v>
      </c>
      <c r="I229" s="902">
        <f t="shared" si="11"/>
        <v>100</v>
      </c>
    </row>
    <row r="230" spans="1:9" ht="18" customHeight="1" thickTop="1" thickBot="1" x14ac:dyDescent="0.3">
      <c r="A230" s="2739" t="s">
        <v>1246</v>
      </c>
      <c r="B230" s="2740"/>
      <c r="C230" s="2740"/>
      <c r="D230" s="2740"/>
      <c r="E230" s="2740"/>
      <c r="F230" s="894">
        <f>SUM(F219,F222)</f>
        <v>0</v>
      </c>
      <c r="G230" s="894">
        <f>SUM(G219,G222,G228,G224,G226)</f>
        <v>8115</v>
      </c>
      <c r="H230" s="894">
        <f>SUM(H219,H222,H228,H224,H226)</f>
        <v>8115</v>
      </c>
      <c r="I230" s="895">
        <f t="shared" si="11"/>
        <v>100</v>
      </c>
    </row>
    <row r="231" spans="1:9" ht="18" customHeight="1" thickTop="1" x14ac:dyDescent="0.25">
      <c r="A231" s="370"/>
      <c r="B231" s="370"/>
      <c r="C231" s="370"/>
      <c r="D231" s="370"/>
      <c r="E231" s="370"/>
      <c r="F231" s="181"/>
      <c r="G231" s="181"/>
      <c r="H231" s="181"/>
      <c r="I231" s="210"/>
    </row>
    <row r="232" spans="1:9" ht="15" thickBot="1" x14ac:dyDescent="0.25">
      <c r="A232" s="439" t="s">
        <v>1368</v>
      </c>
      <c r="I232" s="887" t="s">
        <v>179</v>
      </c>
    </row>
    <row r="233" spans="1:9" s="107" customFormat="1" ht="20.25" customHeight="1" thickTop="1" thickBot="1" x14ac:dyDescent="0.25">
      <c r="A233" s="657" t="s">
        <v>692</v>
      </c>
      <c r="B233" s="835" t="s">
        <v>180</v>
      </c>
      <c r="C233" s="658" t="s">
        <v>181</v>
      </c>
      <c r="D233" s="660" t="s">
        <v>783</v>
      </c>
      <c r="E233" s="660" t="s">
        <v>182</v>
      </c>
      <c r="F233" s="660" t="s">
        <v>183</v>
      </c>
      <c r="G233" s="660" t="s">
        <v>985</v>
      </c>
      <c r="H233" s="660" t="s">
        <v>986</v>
      </c>
      <c r="I233" s="888" t="s">
        <v>987</v>
      </c>
    </row>
    <row r="234" spans="1:9" s="386" customFormat="1" ht="13.5" thickTop="1" thickBot="1" x14ac:dyDescent="0.25">
      <c r="A234" s="592">
        <v>1</v>
      </c>
      <c r="B234" s="593">
        <v>2</v>
      </c>
      <c r="C234" s="593">
        <v>3</v>
      </c>
      <c r="D234" s="593">
        <v>4</v>
      </c>
      <c r="E234" s="593">
        <v>5</v>
      </c>
      <c r="F234" s="567">
        <v>6</v>
      </c>
      <c r="G234" s="567">
        <v>7</v>
      </c>
      <c r="H234" s="568">
        <v>8</v>
      </c>
      <c r="I234" s="662" t="s">
        <v>848</v>
      </c>
    </row>
    <row r="235" spans="1:9" ht="15.75" thickTop="1" x14ac:dyDescent="0.25">
      <c r="A235" s="1562">
        <v>1519</v>
      </c>
      <c r="B235" s="917">
        <v>3111</v>
      </c>
      <c r="C235" s="917">
        <v>5213</v>
      </c>
      <c r="D235" s="922"/>
      <c r="E235" s="854" t="s">
        <v>1318</v>
      </c>
      <c r="F235" s="915"/>
      <c r="G235" s="915">
        <f>SUM(G236:G236)</f>
        <v>1299</v>
      </c>
      <c r="H235" s="915">
        <f>SUM(H236:H236)</f>
        <v>1299</v>
      </c>
      <c r="I235" s="919">
        <f t="shared" ref="I235:I245" si="12">(H235/G235)*100</f>
        <v>100</v>
      </c>
    </row>
    <row r="236" spans="1:9" x14ac:dyDescent="0.2">
      <c r="A236" s="435"/>
      <c r="B236" s="808"/>
      <c r="C236" s="808"/>
      <c r="D236" s="1179" t="s">
        <v>1274</v>
      </c>
      <c r="E236" s="1424" t="s">
        <v>0</v>
      </c>
      <c r="F236" s="903"/>
      <c r="G236" s="903">
        <v>1299</v>
      </c>
      <c r="H236" s="903">
        <v>1299</v>
      </c>
      <c r="I236" s="898">
        <f t="shared" si="12"/>
        <v>100</v>
      </c>
    </row>
    <row r="237" spans="1:9" ht="15.75" customHeight="1" x14ac:dyDescent="0.25">
      <c r="A237" s="435">
        <v>1519</v>
      </c>
      <c r="B237" s="705">
        <v>3113</v>
      </c>
      <c r="C237" s="1550">
        <v>5213</v>
      </c>
      <c r="D237" s="899"/>
      <c r="E237" s="704" t="s">
        <v>1318</v>
      </c>
      <c r="F237" s="890"/>
      <c r="G237" s="890">
        <f>SUM(G238:G238)</f>
        <v>4088</v>
      </c>
      <c r="H237" s="890">
        <f>SUM(H238:H238)</f>
        <v>4088</v>
      </c>
      <c r="I237" s="891">
        <f t="shared" si="12"/>
        <v>100</v>
      </c>
    </row>
    <row r="238" spans="1:9" ht="15.75" customHeight="1" x14ac:dyDescent="0.2">
      <c r="A238" s="435"/>
      <c r="B238" s="705"/>
      <c r="C238" s="705"/>
      <c r="D238" s="578" t="s">
        <v>1274</v>
      </c>
      <c r="E238" s="1424" t="s">
        <v>0</v>
      </c>
      <c r="F238" s="897"/>
      <c r="G238" s="897">
        <v>4088</v>
      </c>
      <c r="H238" s="897">
        <v>4088</v>
      </c>
      <c r="I238" s="893">
        <f t="shared" si="12"/>
        <v>100</v>
      </c>
    </row>
    <row r="239" spans="1:9" ht="15.75" customHeight="1" x14ac:dyDescent="0.25">
      <c r="A239" s="435">
        <v>1519</v>
      </c>
      <c r="B239" s="705">
        <v>3114</v>
      </c>
      <c r="C239" s="705">
        <v>5213</v>
      </c>
      <c r="D239" s="578"/>
      <c r="E239" s="704" t="s">
        <v>1318</v>
      </c>
      <c r="F239" s="897"/>
      <c r="G239" s="921">
        <v>243</v>
      </c>
      <c r="H239" s="921">
        <v>243</v>
      </c>
      <c r="I239" s="923">
        <f t="shared" si="12"/>
        <v>100</v>
      </c>
    </row>
    <row r="240" spans="1:9" x14ac:dyDescent="0.2">
      <c r="A240" s="435"/>
      <c r="B240" s="705"/>
      <c r="C240" s="705"/>
      <c r="D240" s="1178" t="s">
        <v>418</v>
      </c>
      <c r="E240" s="1712" t="s">
        <v>1</v>
      </c>
      <c r="F240" s="897"/>
      <c r="G240" s="897">
        <v>243</v>
      </c>
      <c r="H240" s="897">
        <v>243</v>
      </c>
      <c r="I240" s="893">
        <f t="shared" si="12"/>
        <v>100</v>
      </c>
    </row>
    <row r="241" spans="1:9" ht="15" x14ac:dyDescent="0.25">
      <c r="A241" s="435">
        <v>1519</v>
      </c>
      <c r="B241" s="705">
        <v>3141</v>
      </c>
      <c r="C241" s="705">
        <v>5213</v>
      </c>
      <c r="D241" s="1178"/>
      <c r="E241" s="704" t="s">
        <v>1318</v>
      </c>
      <c r="F241" s="897"/>
      <c r="G241" s="921">
        <v>54</v>
      </c>
      <c r="H241" s="921">
        <v>54</v>
      </c>
      <c r="I241" s="923">
        <f t="shared" si="12"/>
        <v>100</v>
      </c>
    </row>
    <row r="242" spans="1:9" x14ac:dyDescent="0.2">
      <c r="A242" s="435"/>
      <c r="B242" s="705"/>
      <c r="C242" s="705"/>
      <c r="D242" s="578" t="s">
        <v>1274</v>
      </c>
      <c r="E242" s="1424" t="s">
        <v>0</v>
      </c>
      <c r="F242" s="897"/>
      <c r="G242" s="897">
        <v>54</v>
      </c>
      <c r="H242" s="897">
        <v>54</v>
      </c>
      <c r="I242" s="893">
        <f t="shared" si="12"/>
        <v>100</v>
      </c>
    </row>
    <row r="243" spans="1:9" ht="15" x14ac:dyDescent="0.25">
      <c r="A243" s="435">
        <v>1519</v>
      </c>
      <c r="B243" s="705">
        <v>3143</v>
      </c>
      <c r="C243" s="705">
        <v>5213</v>
      </c>
      <c r="D243" s="578"/>
      <c r="E243" s="704" t="s">
        <v>1318</v>
      </c>
      <c r="F243" s="897"/>
      <c r="G243" s="921">
        <f>G244</f>
        <v>589</v>
      </c>
      <c r="H243" s="921">
        <f>H244</f>
        <v>589</v>
      </c>
      <c r="I243" s="891">
        <f t="shared" si="12"/>
        <v>100</v>
      </c>
    </row>
    <row r="244" spans="1:9" ht="15" thickBot="1" x14ac:dyDescent="0.25">
      <c r="A244" s="435"/>
      <c r="B244" s="705"/>
      <c r="C244" s="705"/>
      <c r="D244" s="1179" t="s">
        <v>1274</v>
      </c>
      <c r="E244" s="1424" t="s">
        <v>0</v>
      </c>
      <c r="F244" s="897"/>
      <c r="G244" s="897">
        <v>589</v>
      </c>
      <c r="H244" s="897">
        <v>589</v>
      </c>
      <c r="I244" s="898">
        <f t="shared" si="12"/>
        <v>100</v>
      </c>
    </row>
    <row r="245" spans="1:9" ht="18" customHeight="1" thickTop="1" thickBot="1" x14ac:dyDescent="0.3">
      <c r="A245" s="2739" t="s">
        <v>1246</v>
      </c>
      <c r="B245" s="2740"/>
      <c r="C245" s="2740"/>
      <c r="D245" s="2740"/>
      <c r="E245" s="2740"/>
      <c r="F245" s="894">
        <f>SUM(F235,F237)</f>
        <v>0</v>
      </c>
      <c r="G245" s="894">
        <f>SUM(G235,G237,G243,G239,G241)</f>
        <v>6273</v>
      </c>
      <c r="H245" s="894">
        <f>SUM(H235,H237,H243,H239,H241)</f>
        <v>6273</v>
      </c>
      <c r="I245" s="895">
        <f t="shared" si="12"/>
        <v>100</v>
      </c>
    </row>
    <row r="246" spans="1:9" ht="18" customHeight="1" thickTop="1" x14ac:dyDescent="0.25">
      <c r="A246" s="370"/>
      <c r="B246" s="370"/>
      <c r="C246" s="370"/>
      <c r="D246" s="370"/>
      <c r="E246" s="370"/>
      <c r="F246" s="181"/>
      <c r="G246" s="181"/>
      <c r="H246" s="181"/>
      <c r="I246" s="210"/>
    </row>
    <row r="247" spans="1:9" ht="20.25" customHeight="1" thickBot="1" x14ac:dyDescent="0.25">
      <c r="A247" s="439" t="s">
        <v>1920</v>
      </c>
      <c r="I247" s="887" t="s">
        <v>179</v>
      </c>
    </row>
    <row r="248" spans="1:9" s="107" customFormat="1" ht="12.75" thickTop="1" thickBot="1" x14ac:dyDescent="0.25">
      <c r="A248" s="657" t="s">
        <v>692</v>
      </c>
      <c r="B248" s="835" t="s">
        <v>180</v>
      </c>
      <c r="C248" s="658" t="s">
        <v>181</v>
      </c>
      <c r="D248" s="660" t="s">
        <v>783</v>
      </c>
      <c r="E248" s="660" t="s">
        <v>182</v>
      </c>
      <c r="F248" s="660" t="s">
        <v>183</v>
      </c>
      <c r="G248" s="660" t="s">
        <v>985</v>
      </c>
      <c r="H248" s="660" t="s">
        <v>986</v>
      </c>
      <c r="I248" s="888" t="s">
        <v>987</v>
      </c>
    </row>
    <row r="249" spans="1:9" s="386" customFormat="1" ht="13.5" thickTop="1" thickBot="1" x14ac:dyDescent="0.25">
      <c r="A249" s="592">
        <v>1</v>
      </c>
      <c r="B249" s="593">
        <v>2</v>
      </c>
      <c r="C249" s="593">
        <v>3</v>
      </c>
      <c r="D249" s="593">
        <v>4</v>
      </c>
      <c r="E249" s="593">
        <v>5</v>
      </c>
      <c r="F249" s="567">
        <v>6</v>
      </c>
      <c r="G249" s="567">
        <v>7</v>
      </c>
      <c r="H249" s="568">
        <v>8</v>
      </c>
      <c r="I249" s="662" t="s">
        <v>848</v>
      </c>
    </row>
    <row r="250" spans="1:9" ht="15" customHeight="1" thickTop="1" x14ac:dyDescent="0.25">
      <c r="A250" s="1562">
        <v>1520</v>
      </c>
      <c r="B250" s="917">
        <v>3111</v>
      </c>
      <c r="C250" s="917">
        <v>5213</v>
      </c>
      <c r="D250" s="922"/>
      <c r="E250" s="854" t="s">
        <v>1318</v>
      </c>
      <c r="F250" s="915"/>
      <c r="G250" s="915">
        <f>SUM(G251:G251)</f>
        <v>167</v>
      </c>
      <c r="H250" s="915">
        <f>SUM(H251:H251)</f>
        <v>167</v>
      </c>
      <c r="I250" s="919">
        <f t="shared" ref="I250:I254" si="13">(H250/G250)*100</f>
        <v>100</v>
      </c>
    </row>
    <row r="251" spans="1:9" x14ac:dyDescent="0.2">
      <c r="A251" s="435"/>
      <c r="B251" s="808"/>
      <c r="C251" s="808"/>
      <c r="D251" s="1179" t="s">
        <v>1274</v>
      </c>
      <c r="E251" s="1424" t="s">
        <v>0</v>
      </c>
      <c r="F251" s="903"/>
      <c r="G251" s="903">
        <v>167</v>
      </c>
      <c r="H251" s="903">
        <v>167</v>
      </c>
      <c r="I251" s="898">
        <f t="shared" si="13"/>
        <v>100</v>
      </c>
    </row>
    <row r="252" spans="1:9" ht="14.25" customHeight="1" x14ac:dyDescent="0.25">
      <c r="A252" s="435">
        <v>1520</v>
      </c>
      <c r="B252" s="705">
        <v>3141</v>
      </c>
      <c r="C252" s="1550">
        <v>5213</v>
      </c>
      <c r="D252" s="899"/>
      <c r="E252" s="704" t="s">
        <v>1318</v>
      </c>
      <c r="F252" s="890"/>
      <c r="G252" s="890">
        <f>SUM(G253:G253)</f>
        <v>8</v>
      </c>
      <c r="H252" s="890">
        <f>SUM(H253:H253)</f>
        <v>8</v>
      </c>
      <c r="I252" s="891">
        <f t="shared" si="13"/>
        <v>100</v>
      </c>
    </row>
    <row r="253" spans="1:9" ht="18" customHeight="1" thickBot="1" x14ac:dyDescent="0.25">
      <c r="A253" s="435"/>
      <c r="B253" s="705"/>
      <c r="C253" s="705"/>
      <c r="D253" s="578" t="s">
        <v>1274</v>
      </c>
      <c r="E253" s="1424" t="s">
        <v>0</v>
      </c>
      <c r="F253" s="897"/>
      <c r="G253" s="897">
        <v>8</v>
      </c>
      <c r="H253" s="897">
        <v>8</v>
      </c>
      <c r="I253" s="893">
        <f t="shared" si="13"/>
        <v>100</v>
      </c>
    </row>
    <row r="254" spans="1:9" ht="16.5" thickTop="1" thickBot="1" x14ac:dyDescent="0.3">
      <c r="A254" s="2739" t="s">
        <v>1246</v>
      </c>
      <c r="B254" s="2740"/>
      <c r="C254" s="2740"/>
      <c r="D254" s="2740"/>
      <c r="E254" s="2740"/>
      <c r="F254" s="894">
        <f>SUM(F250,F252)</f>
        <v>0</v>
      </c>
      <c r="G254" s="894">
        <f>G250+G252</f>
        <v>175</v>
      </c>
      <c r="H254" s="894">
        <f>H250+H252</f>
        <v>175</v>
      </c>
      <c r="I254" s="895">
        <f t="shared" si="13"/>
        <v>100</v>
      </c>
    </row>
    <row r="255" spans="1:9" ht="15.75" thickTop="1" x14ac:dyDescent="0.25">
      <c r="A255" s="370"/>
      <c r="B255" s="370"/>
      <c r="C255" s="370"/>
      <c r="D255" s="370"/>
      <c r="E255" s="370"/>
      <c r="F255" s="181"/>
      <c r="G255" s="181"/>
      <c r="H255" s="181"/>
      <c r="I255" s="210"/>
    </row>
    <row r="256" spans="1:9" ht="15.75" thickBot="1" x14ac:dyDescent="0.3">
      <c r="A256" s="439" t="s">
        <v>1921</v>
      </c>
      <c r="B256" s="370"/>
      <c r="C256" s="370"/>
      <c r="D256" s="370"/>
      <c r="E256" s="370"/>
      <c r="F256" s="181"/>
      <c r="G256" s="181"/>
      <c r="H256" s="181"/>
      <c r="I256" s="210"/>
    </row>
    <row r="257" spans="1:9" s="107" customFormat="1" ht="18" customHeight="1" thickTop="1" thickBot="1" x14ac:dyDescent="0.25">
      <c r="A257" s="657" t="s">
        <v>692</v>
      </c>
      <c r="B257" s="835" t="s">
        <v>180</v>
      </c>
      <c r="C257" s="658" t="s">
        <v>181</v>
      </c>
      <c r="D257" s="660" t="s">
        <v>783</v>
      </c>
      <c r="E257" s="660" t="s">
        <v>182</v>
      </c>
      <c r="F257" s="660" t="s">
        <v>183</v>
      </c>
      <c r="G257" s="660" t="s">
        <v>985</v>
      </c>
      <c r="H257" s="660" t="s">
        <v>986</v>
      </c>
      <c r="I257" s="888" t="s">
        <v>987</v>
      </c>
    </row>
    <row r="258" spans="1:9" s="386" customFormat="1" ht="13.5" thickTop="1" thickBot="1" x14ac:dyDescent="0.25">
      <c r="A258" s="592">
        <v>1</v>
      </c>
      <c r="B258" s="593">
        <v>2</v>
      </c>
      <c r="C258" s="593">
        <v>3</v>
      </c>
      <c r="D258" s="593">
        <v>4</v>
      </c>
      <c r="E258" s="593">
        <v>5</v>
      </c>
      <c r="F258" s="567">
        <v>6</v>
      </c>
      <c r="G258" s="567">
        <v>7</v>
      </c>
      <c r="H258" s="568">
        <v>8</v>
      </c>
      <c r="I258" s="662" t="s">
        <v>848</v>
      </c>
    </row>
    <row r="259" spans="1:9" ht="15.75" thickTop="1" x14ac:dyDescent="0.25">
      <c r="A259" s="1562">
        <v>1530</v>
      </c>
      <c r="B259" s="917">
        <v>3121</v>
      </c>
      <c r="C259" s="917">
        <v>5213</v>
      </c>
      <c r="D259" s="922"/>
      <c r="E259" s="854" t="s">
        <v>1318</v>
      </c>
      <c r="F259" s="915"/>
      <c r="G259" s="915">
        <f>SUM(G260:G260)</f>
        <v>2121</v>
      </c>
      <c r="H259" s="915">
        <f>SUM(H260:H260)</f>
        <v>2121</v>
      </c>
      <c r="I259" s="919">
        <f>(H259/G259)*100</f>
        <v>100</v>
      </c>
    </row>
    <row r="260" spans="1:9" ht="20.25" customHeight="1" thickBot="1" x14ac:dyDescent="0.25">
      <c r="A260" s="435"/>
      <c r="B260" s="808"/>
      <c r="C260" s="808"/>
      <c r="D260" s="1179" t="s">
        <v>1274</v>
      </c>
      <c r="E260" s="1424" t="s">
        <v>0</v>
      </c>
      <c r="F260" s="903"/>
      <c r="G260" s="903">
        <v>2121</v>
      </c>
      <c r="H260" s="903">
        <v>2121</v>
      </c>
      <c r="I260" s="898">
        <f>(H260/G260)*100</f>
        <v>100</v>
      </c>
    </row>
    <row r="261" spans="1:9" ht="16.5" thickTop="1" thickBot="1" x14ac:dyDescent="0.3">
      <c r="A261" s="2739" t="s">
        <v>1246</v>
      </c>
      <c r="B261" s="2740"/>
      <c r="C261" s="2740"/>
      <c r="D261" s="2740"/>
      <c r="E261" s="2740"/>
      <c r="F261" s="894">
        <f>SUM(F259)</f>
        <v>0</v>
      </c>
      <c r="G261" s="894">
        <f>SUM(G259)</f>
        <v>2121</v>
      </c>
      <c r="H261" s="894">
        <f>SUM(H259)</f>
        <v>2121</v>
      </c>
      <c r="I261" s="895">
        <f>(H261/G261)*100</f>
        <v>100</v>
      </c>
    </row>
    <row r="262" spans="1:9" ht="15" thickTop="1" x14ac:dyDescent="0.2"/>
    <row r="264" spans="1:9" ht="15" customHeight="1" x14ac:dyDescent="0.2"/>
    <row r="265" spans="1:9" ht="15" thickBot="1" x14ac:dyDescent="0.25">
      <c r="A265" s="439" t="s">
        <v>539</v>
      </c>
      <c r="I265" s="887" t="s">
        <v>179</v>
      </c>
    </row>
    <row r="266" spans="1:9" s="107" customFormat="1" ht="12.75" thickTop="1" thickBot="1" x14ac:dyDescent="0.25">
      <c r="A266" s="657" t="s">
        <v>692</v>
      </c>
      <c r="B266" s="835" t="s">
        <v>180</v>
      </c>
      <c r="C266" s="658" t="s">
        <v>181</v>
      </c>
      <c r="D266" s="660" t="s">
        <v>783</v>
      </c>
      <c r="E266" s="660" t="s">
        <v>182</v>
      </c>
      <c r="F266" s="660" t="s">
        <v>183</v>
      </c>
      <c r="G266" s="660" t="s">
        <v>985</v>
      </c>
      <c r="H266" s="660" t="s">
        <v>986</v>
      </c>
      <c r="I266" s="888" t="s">
        <v>987</v>
      </c>
    </row>
    <row r="267" spans="1:9" s="386" customFormat="1" ht="18" customHeight="1" thickTop="1" thickBot="1" x14ac:dyDescent="0.25">
      <c r="A267" s="592">
        <v>1</v>
      </c>
      <c r="B267" s="593">
        <v>2</v>
      </c>
      <c r="C267" s="593">
        <v>3</v>
      </c>
      <c r="D267" s="593">
        <v>4</v>
      </c>
      <c r="E267" s="593">
        <v>5</v>
      </c>
      <c r="F267" s="567">
        <v>6</v>
      </c>
      <c r="G267" s="567">
        <v>7</v>
      </c>
      <c r="H267" s="568">
        <v>8</v>
      </c>
      <c r="I267" s="662" t="s">
        <v>848</v>
      </c>
    </row>
    <row r="268" spans="1:9" ht="15.75" thickTop="1" x14ac:dyDescent="0.25">
      <c r="A268" s="1562">
        <v>1532</v>
      </c>
      <c r="B268" s="917">
        <v>3122</v>
      </c>
      <c r="C268" s="917">
        <v>5213</v>
      </c>
      <c r="D268" s="922"/>
      <c r="E268" s="854" t="s">
        <v>1318</v>
      </c>
      <c r="F268" s="915"/>
      <c r="G268" s="915">
        <f>SUM(G269:G271)</f>
        <v>5110</v>
      </c>
      <c r="H268" s="915">
        <f>SUM(H269:H271)</f>
        <v>5110</v>
      </c>
      <c r="I268" s="919">
        <f>(H268/G268)*100</f>
        <v>100</v>
      </c>
    </row>
    <row r="269" spans="1:9" ht="15" x14ac:dyDescent="0.25">
      <c r="A269" s="435"/>
      <c r="B269" s="705"/>
      <c r="C269" s="705"/>
      <c r="D269" s="2708" t="s">
        <v>1641</v>
      </c>
      <c r="E269" s="2760" t="s">
        <v>1922</v>
      </c>
      <c r="F269" s="890"/>
      <c r="G269" s="357">
        <v>53</v>
      </c>
      <c r="H269" s="357">
        <v>53</v>
      </c>
      <c r="I269" s="924">
        <v>100</v>
      </c>
    </row>
    <row r="270" spans="1:9" ht="20.25" customHeight="1" x14ac:dyDescent="0.25">
      <c r="A270" s="435"/>
      <c r="B270" s="705"/>
      <c r="C270" s="705"/>
      <c r="D270" s="2734"/>
      <c r="E270" s="2760"/>
      <c r="F270" s="890"/>
      <c r="G270" s="357"/>
      <c r="H270" s="357"/>
      <c r="I270" s="924"/>
    </row>
    <row r="271" spans="1:9" ht="15" thickBot="1" x14ac:dyDescent="0.25">
      <c r="A271" s="435"/>
      <c r="B271" s="705"/>
      <c r="C271" s="705"/>
      <c r="D271" s="1179" t="s">
        <v>1274</v>
      </c>
      <c r="E271" s="1424" t="s">
        <v>0</v>
      </c>
      <c r="F271" s="897"/>
      <c r="G271" s="897">
        <v>5057</v>
      </c>
      <c r="H271" s="897">
        <v>5057</v>
      </c>
      <c r="I271" s="925">
        <f>(H271/G271)*100</f>
        <v>100</v>
      </c>
    </row>
    <row r="272" spans="1:9" ht="16.5" thickTop="1" thickBot="1" x14ac:dyDescent="0.3">
      <c r="A272" s="2739" t="s">
        <v>1246</v>
      </c>
      <c r="B272" s="2740"/>
      <c r="C272" s="2740"/>
      <c r="D272" s="2740"/>
      <c r="E272" s="2740"/>
      <c r="F272" s="894">
        <f>SUM(F268)</f>
        <v>0</v>
      </c>
      <c r="G272" s="894">
        <f>G268</f>
        <v>5110</v>
      </c>
      <c r="H272" s="894">
        <f>H268</f>
        <v>5110</v>
      </c>
      <c r="I272" s="926">
        <f>(H272/G272)*100</f>
        <v>100</v>
      </c>
    </row>
    <row r="273" spans="1:9" ht="15" customHeight="1" thickTop="1" x14ac:dyDescent="0.2"/>
    <row r="274" spans="1:9" ht="15" thickBot="1" x14ac:dyDescent="0.25">
      <c r="A274" s="439" t="s">
        <v>279</v>
      </c>
      <c r="I274" s="887" t="s">
        <v>179</v>
      </c>
    </row>
    <row r="275" spans="1:9" s="107" customFormat="1" ht="12.75" thickTop="1" thickBot="1" x14ac:dyDescent="0.25">
      <c r="A275" s="657" t="s">
        <v>692</v>
      </c>
      <c r="B275" s="835" t="s">
        <v>180</v>
      </c>
      <c r="C275" s="658" t="s">
        <v>181</v>
      </c>
      <c r="D275" s="660" t="s">
        <v>783</v>
      </c>
      <c r="E275" s="660" t="s">
        <v>182</v>
      </c>
      <c r="F275" s="660" t="s">
        <v>183</v>
      </c>
      <c r="G275" s="660" t="s">
        <v>985</v>
      </c>
      <c r="H275" s="660" t="s">
        <v>986</v>
      </c>
      <c r="I275" s="888" t="s">
        <v>987</v>
      </c>
    </row>
    <row r="276" spans="1:9" s="386" customFormat="1" ht="18" customHeight="1" thickTop="1" thickBot="1" x14ac:dyDescent="0.25">
      <c r="A276" s="592">
        <v>1</v>
      </c>
      <c r="B276" s="593">
        <v>2</v>
      </c>
      <c r="C276" s="593">
        <v>3</v>
      </c>
      <c r="D276" s="593">
        <v>4</v>
      </c>
      <c r="E276" s="593">
        <v>5</v>
      </c>
      <c r="F276" s="567">
        <v>6</v>
      </c>
      <c r="G276" s="567">
        <v>7</v>
      </c>
      <c r="H276" s="568">
        <v>8</v>
      </c>
      <c r="I276" s="662" t="s">
        <v>848</v>
      </c>
    </row>
    <row r="277" spans="1:9" ht="15.75" thickTop="1" x14ac:dyDescent="0.25">
      <c r="A277" s="1562">
        <v>1533</v>
      </c>
      <c r="B277" s="917">
        <v>3122</v>
      </c>
      <c r="C277" s="917">
        <v>5213</v>
      </c>
      <c r="D277" s="922"/>
      <c r="E277" s="854" t="s">
        <v>1318</v>
      </c>
      <c r="F277" s="915"/>
      <c r="G277" s="915">
        <f>SUM(G278:G278)</f>
        <v>5439</v>
      </c>
      <c r="H277" s="915">
        <f>SUM(H278:H278)</f>
        <v>5439</v>
      </c>
      <c r="I277" s="919">
        <f>(H277/G277)*100</f>
        <v>100</v>
      </c>
    </row>
    <row r="278" spans="1:9" ht="15" thickBot="1" x14ac:dyDescent="0.25">
      <c r="A278" s="435"/>
      <c r="B278" s="808"/>
      <c r="C278" s="808"/>
      <c r="D278" s="1179" t="s">
        <v>1274</v>
      </c>
      <c r="E278" s="1424" t="s">
        <v>0</v>
      </c>
      <c r="F278" s="903"/>
      <c r="G278" s="903">
        <v>5439</v>
      </c>
      <c r="H278" s="903">
        <v>5439</v>
      </c>
      <c r="I278" s="898">
        <f>(H278/G278)*100</f>
        <v>100</v>
      </c>
    </row>
    <row r="279" spans="1:9" s="1684" customFormat="1" ht="20.25" customHeight="1" thickTop="1" thickBot="1" x14ac:dyDescent="0.25">
      <c r="A279" s="2743" t="s">
        <v>1246</v>
      </c>
      <c r="B279" s="2744"/>
      <c r="C279" s="2744"/>
      <c r="D279" s="2744"/>
      <c r="E279" s="2744"/>
      <c r="F279" s="1696">
        <f>SUM(F277)</f>
        <v>0</v>
      </c>
      <c r="G279" s="1696">
        <f>SUM(G277)</f>
        <v>5439</v>
      </c>
      <c r="H279" s="1696">
        <f>SUM(H277)</f>
        <v>5439</v>
      </c>
      <c r="I279" s="1697">
        <f>(H279/G279)*100</f>
        <v>100</v>
      </c>
    </row>
    <row r="280" spans="1:9" s="1684" customFormat="1" ht="15" thickTop="1" x14ac:dyDescent="0.2">
      <c r="B280" s="1699"/>
      <c r="D280" s="1700"/>
      <c r="F280" s="1737"/>
      <c r="G280" s="1737"/>
      <c r="H280" s="1737"/>
      <c r="I280" s="1738"/>
    </row>
    <row r="281" spans="1:9" s="1684" customFormat="1" ht="15" customHeight="1" thickBot="1" x14ac:dyDescent="0.25">
      <c r="A281" s="1714" t="s">
        <v>1923</v>
      </c>
      <c r="B281" s="1699"/>
      <c r="D281" s="1700"/>
      <c r="F281" s="1737"/>
      <c r="G281" s="1737"/>
      <c r="H281" s="1737"/>
      <c r="I281" s="1739" t="s">
        <v>179</v>
      </c>
    </row>
    <row r="282" spans="1:9" s="1745" customFormat="1" ht="12.75" thickTop="1" thickBot="1" x14ac:dyDescent="0.25">
      <c r="A282" s="1740" t="s">
        <v>692</v>
      </c>
      <c r="B282" s="1741" t="s">
        <v>180</v>
      </c>
      <c r="C282" s="1742" t="s">
        <v>181</v>
      </c>
      <c r="D282" s="1743" t="s">
        <v>783</v>
      </c>
      <c r="E282" s="1743" t="s">
        <v>182</v>
      </c>
      <c r="F282" s="1743" t="s">
        <v>183</v>
      </c>
      <c r="G282" s="1743" t="s">
        <v>985</v>
      </c>
      <c r="H282" s="1743" t="s">
        <v>986</v>
      </c>
      <c r="I282" s="1744" t="s">
        <v>987</v>
      </c>
    </row>
    <row r="283" spans="1:9" s="1709" customFormat="1" ht="13.5" thickTop="1" thickBot="1" x14ac:dyDescent="0.25">
      <c r="A283" s="1704">
        <v>1</v>
      </c>
      <c r="B283" s="1705">
        <v>2</v>
      </c>
      <c r="C283" s="1705">
        <v>3</v>
      </c>
      <c r="D283" s="1705">
        <v>4</v>
      </c>
      <c r="E283" s="1705">
        <v>5</v>
      </c>
      <c r="F283" s="1706">
        <v>6</v>
      </c>
      <c r="G283" s="1706">
        <v>7</v>
      </c>
      <c r="H283" s="1707">
        <v>8</v>
      </c>
      <c r="I283" s="1708" t="s">
        <v>848</v>
      </c>
    </row>
    <row r="284" spans="1:9" s="1684" customFormat="1" ht="18" customHeight="1" thickTop="1" x14ac:dyDescent="0.2">
      <c r="A284" s="1757">
        <v>1534</v>
      </c>
      <c r="B284" s="1758">
        <v>3122</v>
      </c>
      <c r="C284" s="1758">
        <v>5213</v>
      </c>
      <c r="D284" s="1759"/>
      <c r="E284" s="1748" t="s">
        <v>1318</v>
      </c>
      <c r="F284" s="1755"/>
      <c r="G284" s="1755">
        <f>SUM(G285:G285)</f>
        <v>2593</v>
      </c>
      <c r="H284" s="1755">
        <f>SUM(H285:H285)</f>
        <v>2593</v>
      </c>
      <c r="I284" s="1760">
        <f>(H284/G284)*100</f>
        <v>100</v>
      </c>
    </row>
    <row r="285" spans="1:9" s="1684" customFormat="1" ht="15" thickBot="1" x14ac:dyDescent="0.25">
      <c r="A285" s="1761"/>
      <c r="B285" s="1762"/>
      <c r="C285" s="1711"/>
      <c r="D285" s="1421" t="s">
        <v>1274</v>
      </c>
      <c r="E285" s="1423" t="s">
        <v>0</v>
      </c>
      <c r="F285" s="1764"/>
      <c r="G285" s="1764">
        <v>2593</v>
      </c>
      <c r="H285" s="1764">
        <v>2593</v>
      </c>
      <c r="I285" s="1432">
        <f>(H285/G285)*100</f>
        <v>100</v>
      </c>
    </row>
    <row r="286" spans="1:9" s="1684" customFormat="1" ht="16.5" thickTop="1" thickBot="1" x14ac:dyDescent="0.25">
      <c r="A286" s="2757" t="s">
        <v>1246</v>
      </c>
      <c r="B286" s="2758"/>
      <c r="C286" s="2758"/>
      <c r="D286" s="2758"/>
      <c r="E286" s="2759"/>
      <c r="F286" s="1696">
        <f>SUM(F284)</f>
        <v>0</v>
      </c>
      <c r="G286" s="1696">
        <f>SUM(G284)</f>
        <v>2593</v>
      </c>
      <c r="H286" s="1696">
        <f>SUM(H284,)</f>
        <v>2593</v>
      </c>
      <c r="I286" s="1697">
        <f>(H286/G286)*100</f>
        <v>100</v>
      </c>
    </row>
    <row r="287" spans="1:9" s="1684" customFormat="1" ht="20.25" customHeight="1" thickTop="1" x14ac:dyDescent="0.2">
      <c r="B287" s="1699"/>
      <c r="D287" s="1700"/>
      <c r="F287" s="1737"/>
      <c r="G287" s="1737"/>
      <c r="H287" s="1737"/>
      <c r="I287" s="1738"/>
    </row>
    <row r="288" spans="1:9" s="1684" customFormat="1" ht="15" thickBot="1" x14ac:dyDescent="0.25">
      <c r="A288" s="1714" t="s">
        <v>1678</v>
      </c>
      <c r="B288" s="1699"/>
      <c r="D288" s="1700"/>
      <c r="F288" s="1737"/>
      <c r="G288" s="1737"/>
      <c r="H288" s="1737"/>
      <c r="I288" s="1739" t="s">
        <v>179</v>
      </c>
    </row>
    <row r="289" spans="1:256" s="1745" customFormat="1" ht="15" customHeight="1" thickTop="1" thickBot="1" x14ac:dyDescent="0.25">
      <c r="A289" s="1740" t="s">
        <v>692</v>
      </c>
      <c r="B289" s="1741" t="s">
        <v>180</v>
      </c>
      <c r="C289" s="1742" t="s">
        <v>181</v>
      </c>
      <c r="D289" s="1743" t="s">
        <v>783</v>
      </c>
      <c r="E289" s="1743" t="s">
        <v>182</v>
      </c>
      <c r="F289" s="1743" t="s">
        <v>183</v>
      </c>
      <c r="G289" s="1743" t="s">
        <v>985</v>
      </c>
      <c r="H289" s="1743" t="s">
        <v>986</v>
      </c>
      <c r="I289" s="1744" t="s">
        <v>987</v>
      </c>
    </row>
    <row r="290" spans="1:256" s="1709" customFormat="1" ht="13.5" thickTop="1" thickBot="1" x14ac:dyDescent="0.25">
      <c r="A290" s="1704">
        <v>1</v>
      </c>
      <c r="B290" s="1705">
        <v>2</v>
      </c>
      <c r="C290" s="1705">
        <v>3</v>
      </c>
      <c r="D290" s="1705">
        <v>4</v>
      </c>
      <c r="E290" s="1705">
        <v>5</v>
      </c>
      <c r="F290" s="1706">
        <v>6</v>
      </c>
      <c r="G290" s="1706">
        <v>7</v>
      </c>
      <c r="H290" s="1707">
        <v>8</v>
      </c>
      <c r="I290" s="1708" t="s">
        <v>848</v>
      </c>
    </row>
    <row r="291" spans="1:256" s="1684" customFormat="1" ht="15.75" thickTop="1" x14ac:dyDescent="0.2">
      <c r="A291" s="1757">
        <v>1535</v>
      </c>
      <c r="B291" s="1758">
        <v>3122</v>
      </c>
      <c r="C291" s="1758">
        <v>5213</v>
      </c>
      <c r="D291" s="1759"/>
      <c r="E291" s="1748" t="s">
        <v>1318</v>
      </c>
      <c r="F291" s="1755"/>
      <c r="G291" s="1755">
        <f>SUM(G292:G293)</f>
        <v>4566</v>
      </c>
      <c r="H291" s="1755">
        <f>SUM(H292:H293)</f>
        <v>4566</v>
      </c>
      <c r="I291" s="1760">
        <f>(H291/G291)*100</f>
        <v>100</v>
      </c>
      <c r="IV291" s="1698">
        <f>SUM(I291:IU291)</f>
        <v>100</v>
      </c>
    </row>
    <row r="292" spans="1:256" s="1684" customFormat="1" ht="15" x14ac:dyDescent="0.2">
      <c r="A292" s="1710"/>
      <c r="B292" s="1729"/>
      <c r="C292" s="1729"/>
      <c r="D292" s="1178" t="s">
        <v>1763</v>
      </c>
      <c r="E292" s="2121" t="s">
        <v>1913</v>
      </c>
      <c r="F292" s="1753"/>
      <c r="G292" s="1756">
        <v>3</v>
      </c>
      <c r="H292" s="1756">
        <v>3</v>
      </c>
      <c r="I292" s="1435">
        <f>(H292/G292)*100</f>
        <v>100</v>
      </c>
      <c r="IV292" s="1698"/>
    </row>
    <row r="293" spans="1:256" s="1684" customFormat="1" ht="15" customHeight="1" thickBot="1" x14ac:dyDescent="0.25">
      <c r="A293" s="1710"/>
      <c r="B293" s="1729"/>
      <c r="C293" s="1729"/>
      <c r="D293" s="1178" t="s">
        <v>1274</v>
      </c>
      <c r="E293" s="1423" t="s">
        <v>0</v>
      </c>
      <c r="F293" s="1431"/>
      <c r="G293" s="1431">
        <v>4563</v>
      </c>
      <c r="H293" s="1431">
        <v>4563</v>
      </c>
      <c r="I293" s="1435">
        <f>(H293/G293)*100</f>
        <v>100</v>
      </c>
      <c r="IV293" s="1684">
        <f>SUM(A293:IU293)</f>
        <v>9226</v>
      </c>
    </row>
    <row r="294" spans="1:256" s="1684" customFormat="1" ht="16.5" thickTop="1" thickBot="1" x14ac:dyDescent="0.25">
      <c r="A294" s="2743" t="s">
        <v>1246</v>
      </c>
      <c r="B294" s="2744"/>
      <c r="C294" s="2744"/>
      <c r="D294" s="2744"/>
      <c r="E294" s="2744"/>
      <c r="F294" s="1696">
        <f>SUM(F291)</f>
        <v>0</v>
      </c>
      <c r="G294" s="1696">
        <f>SUM(G291)</f>
        <v>4566</v>
      </c>
      <c r="H294" s="1696">
        <f>SUM(H291)</f>
        <v>4566</v>
      </c>
      <c r="I294" s="1697">
        <f>(H294/G294)*100</f>
        <v>100</v>
      </c>
      <c r="IV294" s="1698">
        <f>SUM(IV291:IV293)</f>
        <v>9326</v>
      </c>
    </row>
    <row r="295" spans="1:256" s="1684" customFormat="1" ht="15" thickTop="1" x14ac:dyDescent="0.2">
      <c r="B295" s="1699"/>
      <c r="D295" s="1700"/>
      <c r="F295" s="1737"/>
      <c r="G295" s="1737"/>
      <c r="H295" s="1737"/>
      <c r="I295" s="1738"/>
    </row>
    <row r="296" spans="1:256" s="1684" customFormat="1" ht="15" thickBot="1" x14ac:dyDescent="0.25">
      <c r="A296" s="1714" t="s">
        <v>1679</v>
      </c>
      <c r="B296" s="1699"/>
      <c r="D296" s="1700"/>
      <c r="F296" s="1737"/>
      <c r="G296" s="1737"/>
      <c r="H296" s="1737"/>
      <c r="I296" s="1739" t="s">
        <v>179</v>
      </c>
    </row>
    <row r="297" spans="1:256" s="1745" customFormat="1" ht="18" customHeight="1" thickTop="1" thickBot="1" x14ac:dyDescent="0.25">
      <c r="A297" s="1740" t="s">
        <v>692</v>
      </c>
      <c r="B297" s="1741" t="s">
        <v>180</v>
      </c>
      <c r="C297" s="1742" t="s">
        <v>181</v>
      </c>
      <c r="D297" s="1743" t="s">
        <v>783</v>
      </c>
      <c r="E297" s="1743" t="s">
        <v>182</v>
      </c>
      <c r="F297" s="1743" t="s">
        <v>183</v>
      </c>
      <c r="G297" s="1743" t="s">
        <v>985</v>
      </c>
      <c r="H297" s="1743" t="s">
        <v>986</v>
      </c>
      <c r="I297" s="1744" t="s">
        <v>987</v>
      </c>
    </row>
    <row r="298" spans="1:256" s="1709" customFormat="1" ht="18" customHeight="1" thickTop="1" thickBot="1" x14ac:dyDescent="0.25">
      <c r="A298" s="1704">
        <v>1</v>
      </c>
      <c r="B298" s="1705">
        <v>2</v>
      </c>
      <c r="C298" s="1705">
        <v>3</v>
      </c>
      <c r="D298" s="1705">
        <v>4</v>
      </c>
      <c r="E298" s="1705">
        <v>5</v>
      </c>
      <c r="F298" s="1706">
        <v>6</v>
      </c>
      <c r="G298" s="1706">
        <v>7</v>
      </c>
      <c r="H298" s="1707">
        <v>8</v>
      </c>
      <c r="I298" s="1708" t="s">
        <v>848</v>
      </c>
    </row>
    <row r="299" spans="1:256" s="1684" customFormat="1" ht="15.75" thickTop="1" x14ac:dyDescent="0.2">
      <c r="A299" s="1757">
        <v>1536</v>
      </c>
      <c r="B299" s="1758">
        <v>3122</v>
      </c>
      <c r="C299" s="1758">
        <v>5213</v>
      </c>
      <c r="D299" s="1759"/>
      <c r="E299" s="1748" t="s">
        <v>1318</v>
      </c>
      <c r="F299" s="1755"/>
      <c r="G299" s="1755">
        <f>SUM(G300:G300)</f>
        <v>6627</v>
      </c>
      <c r="H299" s="1755">
        <f>SUM(H300:H300)</f>
        <v>6627</v>
      </c>
      <c r="I299" s="1760">
        <f t="shared" ref="I299:I307" si="14">(H299/G299)*100</f>
        <v>100</v>
      </c>
      <c r="IV299" s="1698">
        <f>SUM(I299:IU299)</f>
        <v>100</v>
      </c>
    </row>
    <row r="300" spans="1:256" s="1684" customFormat="1" ht="20.25" customHeight="1" x14ac:dyDescent="0.2">
      <c r="A300" s="1710"/>
      <c r="B300" s="1729"/>
      <c r="C300" s="1729"/>
      <c r="D300" s="1178" t="s">
        <v>1274</v>
      </c>
      <c r="E300" s="1423" t="s">
        <v>0</v>
      </c>
      <c r="F300" s="1431"/>
      <c r="G300" s="1431">
        <v>6627</v>
      </c>
      <c r="H300" s="1436">
        <v>6627</v>
      </c>
      <c r="I300" s="1432">
        <f t="shared" si="14"/>
        <v>100</v>
      </c>
      <c r="IV300" s="1684">
        <f>SUM(A300:IU300)</f>
        <v>13354</v>
      </c>
    </row>
    <row r="301" spans="1:256" s="1684" customFormat="1" ht="15" x14ac:dyDescent="0.2">
      <c r="A301" s="1710">
        <v>1536</v>
      </c>
      <c r="B301" s="1729">
        <v>3123</v>
      </c>
      <c r="C301" s="1729">
        <v>5213</v>
      </c>
      <c r="D301" s="1765"/>
      <c r="E301" s="1752" t="s">
        <v>1318</v>
      </c>
      <c r="F301" s="1753"/>
      <c r="G301" s="1753">
        <f>SUM(G302:G302)</f>
        <v>1795</v>
      </c>
      <c r="H301" s="1753">
        <f>SUM(H302:H302)</f>
        <v>1795</v>
      </c>
      <c r="I301" s="1754">
        <f t="shared" si="14"/>
        <v>100</v>
      </c>
      <c r="IV301" s="1698">
        <f>SUM(I301:IU301)</f>
        <v>100</v>
      </c>
    </row>
    <row r="302" spans="1:256" s="1684" customFormat="1" x14ac:dyDescent="0.2">
      <c r="A302" s="1710"/>
      <c r="B302" s="1729"/>
      <c r="C302" s="1729"/>
      <c r="D302" s="1178" t="s">
        <v>1274</v>
      </c>
      <c r="E302" s="1423" t="s">
        <v>0</v>
      </c>
      <c r="F302" s="1431"/>
      <c r="G302" s="1431">
        <v>1795</v>
      </c>
      <c r="H302" s="1431">
        <v>1795</v>
      </c>
      <c r="I302" s="1435">
        <f t="shared" si="14"/>
        <v>100</v>
      </c>
    </row>
    <row r="303" spans="1:256" s="1684" customFormat="1" ht="15" customHeight="1" x14ac:dyDescent="0.2">
      <c r="A303" s="1710">
        <v>1536</v>
      </c>
      <c r="B303" s="1711">
        <v>3142</v>
      </c>
      <c r="C303" s="1711">
        <v>5213</v>
      </c>
      <c r="D303" s="1766"/>
      <c r="E303" s="1752" t="s">
        <v>1318</v>
      </c>
      <c r="F303" s="1436"/>
      <c r="G303" s="1767">
        <v>62</v>
      </c>
      <c r="H303" s="1433">
        <v>62</v>
      </c>
      <c r="I303" s="1768">
        <f t="shared" si="14"/>
        <v>100</v>
      </c>
    </row>
    <row r="304" spans="1:256" s="1684" customFormat="1" x14ac:dyDescent="0.2">
      <c r="A304" s="1710"/>
      <c r="B304" s="1711"/>
      <c r="C304" s="1711"/>
      <c r="D304" s="1178" t="s">
        <v>1274</v>
      </c>
      <c r="E304" s="1423" t="s">
        <v>0</v>
      </c>
      <c r="F304" s="1436"/>
      <c r="G304" s="1436">
        <v>62</v>
      </c>
      <c r="H304" s="1436">
        <v>62</v>
      </c>
      <c r="I304" s="1432">
        <f t="shared" si="14"/>
        <v>100</v>
      </c>
    </row>
    <row r="305" spans="1:256" s="1684" customFormat="1" ht="15" x14ac:dyDescent="0.2">
      <c r="A305" s="1710">
        <v>1536</v>
      </c>
      <c r="B305" s="1711">
        <v>3429</v>
      </c>
      <c r="C305" s="1711">
        <v>5213</v>
      </c>
      <c r="D305" s="1178"/>
      <c r="E305" s="1752" t="s">
        <v>1318</v>
      </c>
      <c r="F305" s="1436"/>
      <c r="G305" s="1767">
        <v>20</v>
      </c>
      <c r="H305" s="1767">
        <v>20</v>
      </c>
      <c r="I305" s="1768">
        <f t="shared" si="14"/>
        <v>100</v>
      </c>
    </row>
    <row r="306" spans="1:256" s="1684" customFormat="1" ht="15" thickBot="1" x14ac:dyDescent="0.25">
      <c r="A306" s="1710"/>
      <c r="B306" s="1711"/>
      <c r="C306" s="1711"/>
      <c r="D306" s="1769" t="s">
        <v>1350</v>
      </c>
      <c r="E306" s="1770" t="s">
        <v>1924</v>
      </c>
      <c r="F306" s="1436"/>
      <c r="G306" s="1436">
        <v>20</v>
      </c>
      <c r="H306" s="1436">
        <v>20</v>
      </c>
      <c r="I306" s="1432">
        <f t="shared" si="14"/>
        <v>100</v>
      </c>
    </row>
    <row r="307" spans="1:256" s="1684" customFormat="1" ht="16.5" thickTop="1" thickBot="1" x14ac:dyDescent="0.25">
      <c r="A307" s="2743" t="s">
        <v>1246</v>
      </c>
      <c r="B307" s="2744"/>
      <c r="C307" s="2744"/>
      <c r="D307" s="2744"/>
      <c r="E307" s="2744"/>
      <c r="F307" s="1696">
        <f>SUM(F299)</f>
        <v>0</v>
      </c>
      <c r="G307" s="1696">
        <f>SUM(G299,G301,G303,G305)</f>
        <v>8504</v>
      </c>
      <c r="H307" s="1696">
        <f>SUM(H299,H301,H303,H305)</f>
        <v>8504</v>
      </c>
      <c r="I307" s="1697">
        <f t="shared" si="14"/>
        <v>100</v>
      </c>
      <c r="IV307" s="1698">
        <f>SUM(IV299:IV300)</f>
        <v>13454</v>
      </c>
    </row>
    <row r="308" spans="1:256" s="1684" customFormat="1" ht="18" customHeight="1" thickTop="1" x14ac:dyDescent="0.2">
      <c r="A308" s="1681"/>
      <c r="B308" s="1681"/>
      <c r="C308" s="1681"/>
      <c r="D308" s="1681"/>
      <c r="E308" s="1681"/>
      <c r="F308" s="1727"/>
      <c r="G308" s="1727"/>
      <c r="H308" s="1727"/>
      <c r="I308" s="1728"/>
      <c r="IV308" s="1698"/>
    </row>
    <row r="309" spans="1:256" s="1684" customFormat="1" ht="15" thickBot="1" x14ac:dyDescent="0.25">
      <c r="A309" s="1714" t="s">
        <v>1680</v>
      </c>
      <c r="B309" s="1699"/>
      <c r="D309" s="1700"/>
      <c r="F309" s="1737"/>
      <c r="G309" s="1737"/>
      <c r="H309" s="1737"/>
      <c r="I309" s="1739" t="s">
        <v>179</v>
      </c>
    </row>
    <row r="310" spans="1:256" s="1745" customFormat="1" ht="20.25" customHeight="1" thickTop="1" thickBot="1" x14ac:dyDescent="0.25">
      <c r="A310" s="1740" t="s">
        <v>692</v>
      </c>
      <c r="B310" s="1741" t="s">
        <v>180</v>
      </c>
      <c r="C310" s="1742" t="s">
        <v>181</v>
      </c>
      <c r="D310" s="1743" t="s">
        <v>783</v>
      </c>
      <c r="E310" s="1743" t="s">
        <v>182</v>
      </c>
      <c r="F310" s="1743" t="s">
        <v>183</v>
      </c>
      <c r="G310" s="1743" t="s">
        <v>985</v>
      </c>
      <c r="H310" s="1743" t="s">
        <v>986</v>
      </c>
      <c r="I310" s="1744" t="s">
        <v>987</v>
      </c>
    </row>
    <row r="311" spans="1:256" s="1709" customFormat="1" ht="13.5" thickTop="1" thickBot="1" x14ac:dyDescent="0.25">
      <c r="A311" s="1704">
        <v>1</v>
      </c>
      <c r="B311" s="1705">
        <v>2</v>
      </c>
      <c r="C311" s="1705">
        <v>3</v>
      </c>
      <c r="D311" s="1705">
        <v>4</v>
      </c>
      <c r="E311" s="1705">
        <v>5</v>
      </c>
      <c r="F311" s="1706">
        <v>6</v>
      </c>
      <c r="G311" s="1706">
        <v>7</v>
      </c>
      <c r="H311" s="1707">
        <v>8</v>
      </c>
      <c r="I311" s="1708" t="s">
        <v>848</v>
      </c>
    </row>
    <row r="312" spans="1:256" s="1684" customFormat="1" ht="15.75" thickTop="1" x14ac:dyDescent="0.2">
      <c r="A312" s="1757">
        <v>1537</v>
      </c>
      <c r="B312" s="1758">
        <v>3122</v>
      </c>
      <c r="C312" s="1758">
        <v>5213</v>
      </c>
      <c r="D312" s="1759"/>
      <c r="E312" s="1748" t="s">
        <v>1318</v>
      </c>
      <c r="F312" s="1755"/>
      <c r="G312" s="1755">
        <f>SUM(G313:G313)</f>
        <v>7467</v>
      </c>
      <c r="H312" s="1755">
        <f>SUM(H313:H313)</f>
        <v>7467</v>
      </c>
      <c r="I312" s="1760">
        <f>(H312/G312)*100</f>
        <v>100</v>
      </c>
      <c r="IV312" s="1698">
        <f>SUM(I312:IU312)</f>
        <v>100</v>
      </c>
    </row>
    <row r="313" spans="1:256" s="1684" customFormat="1" ht="14.25" customHeight="1" x14ac:dyDescent="0.2">
      <c r="A313" s="1710"/>
      <c r="B313" s="1729"/>
      <c r="C313" s="1729"/>
      <c r="D313" s="1178" t="s">
        <v>1274</v>
      </c>
      <c r="E313" s="1423" t="s">
        <v>0</v>
      </c>
      <c r="F313" s="1431"/>
      <c r="G313" s="1431">
        <v>7467</v>
      </c>
      <c r="H313" s="1431">
        <v>7467</v>
      </c>
      <c r="I313" s="1763">
        <v>100</v>
      </c>
    </row>
    <row r="314" spans="1:256" s="1684" customFormat="1" ht="15" x14ac:dyDescent="0.2">
      <c r="A314" s="1710">
        <v>1537</v>
      </c>
      <c r="B314" s="1729">
        <v>3142</v>
      </c>
      <c r="C314" s="1729">
        <v>5213</v>
      </c>
      <c r="D314" s="805"/>
      <c r="E314" s="1752" t="s">
        <v>1318</v>
      </c>
      <c r="F314" s="1431"/>
      <c r="G314" s="1433">
        <f>G315</f>
        <v>127</v>
      </c>
      <c r="H314" s="1433">
        <f>H315</f>
        <v>127</v>
      </c>
      <c r="I314" s="1768">
        <v>100</v>
      </c>
    </row>
    <row r="315" spans="1:256" s="1684" customFormat="1" ht="15" thickBot="1" x14ac:dyDescent="0.25">
      <c r="A315" s="1710"/>
      <c r="B315" s="1729"/>
      <c r="C315" s="1729"/>
      <c r="D315" s="805" t="s">
        <v>1274</v>
      </c>
      <c r="E315" s="1771" t="s">
        <v>2</v>
      </c>
      <c r="F315" s="1431"/>
      <c r="G315" s="1431">
        <v>127</v>
      </c>
      <c r="H315" s="1431">
        <v>127</v>
      </c>
      <c r="I315" s="1763">
        <v>100</v>
      </c>
    </row>
    <row r="316" spans="1:256" s="1684" customFormat="1" ht="16.5" thickTop="1" thickBot="1" x14ac:dyDescent="0.25">
      <c r="A316" s="2743" t="s">
        <v>1246</v>
      </c>
      <c r="B316" s="2744"/>
      <c r="C316" s="2744"/>
      <c r="D316" s="2744"/>
      <c r="E316" s="2744"/>
      <c r="F316" s="1696">
        <v>0</v>
      </c>
      <c r="G316" s="1696">
        <f>SUM(G312,G314)</f>
        <v>7594</v>
      </c>
      <c r="H316" s="1696">
        <f>SUM(H312,H314)</f>
        <v>7594</v>
      </c>
      <c r="I316" s="1697">
        <f>(H316/G316)*100</f>
        <v>100</v>
      </c>
      <c r="IV316" s="1698">
        <f>SUM(IV309:IV312)</f>
        <v>100</v>
      </c>
    </row>
    <row r="317" spans="1:256" s="1684" customFormat="1" ht="15" thickTop="1" x14ac:dyDescent="0.2">
      <c r="B317" s="1699"/>
      <c r="D317" s="1700"/>
      <c r="F317" s="1737"/>
      <c r="G317" s="1737"/>
      <c r="H317" s="1737"/>
      <c r="I317" s="1738"/>
    </row>
    <row r="318" spans="1:256" s="1684" customFormat="1" ht="18" customHeight="1" thickBot="1" x14ac:dyDescent="0.25">
      <c r="A318" s="1714" t="s">
        <v>594</v>
      </c>
      <c r="B318" s="1699"/>
      <c r="D318" s="1700"/>
      <c r="F318" s="1737"/>
      <c r="G318" s="1737"/>
      <c r="H318" s="1737"/>
      <c r="I318" s="1739" t="s">
        <v>179</v>
      </c>
    </row>
    <row r="319" spans="1:256" s="1745" customFormat="1" ht="12.75" thickTop="1" thickBot="1" x14ac:dyDescent="0.25">
      <c r="A319" s="1740" t="s">
        <v>692</v>
      </c>
      <c r="B319" s="1741" t="s">
        <v>180</v>
      </c>
      <c r="C319" s="1742" t="s">
        <v>181</v>
      </c>
      <c r="D319" s="1743" t="s">
        <v>783</v>
      </c>
      <c r="E319" s="1743" t="s">
        <v>182</v>
      </c>
      <c r="F319" s="1743" t="s">
        <v>183</v>
      </c>
      <c r="G319" s="1743" t="s">
        <v>985</v>
      </c>
      <c r="H319" s="1743" t="s">
        <v>986</v>
      </c>
      <c r="I319" s="1744" t="s">
        <v>987</v>
      </c>
    </row>
    <row r="320" spans="1:256" s="1709" customFormat="1" ht="20.25" customHeight="1" thickTop="1" thickBot="1" x14ac:dyDescent="0.25">
      <c r="A320" s="1704">
        <v>1</v>
      </c>
      <c r="B320" s="1705">
        <v>2</v>
      </c>
      <c r="C320" s="1705">
        <v>3</v>
      </c>
      <c r="D320" s="1705">
        <v>4</v>
      </c>
      <c r="E320" s="1705">
        <v>5</v>
      </c>
      <c r="F320" s="1706">
        <v>6</v>
      </c>
      <c r="G320" s="1706">
        <v>7</v>
      </c>
      <c r="H320" s="1707">
        <v>8</v>
      </c>
      <c r="I320" s="1708" t="s">
        <v>848</v>
      </c>
    </row>
    <row r="321" spans="1:256" s="1684" customFormat="1" ht="15.75" thickTop="1" x14ac:dyDescent="0.2">
      <c r="A321" s="1757">
        <v>1539</v>
      </c>
      <c r="B321" s="1758">
        <v>3122</v>
      </c>
      <c r="C321" s="1758">
        <v>5213</v>
      </c>
      <c r="D321" s="1759"/>
      <c r="E321" s="1748" t="s">
        <v>1318</v>
      </c>
      <c r="F321" s="1755"/>
      <c r="G321" s="1755">
        <f>SUM(G322:G322)</f>
        <v>9506</v>
      </c>
      <c r="H321" s="1755">
        <f>SUM(H322:H322)</f>
        <v>9506</v>
      </c>
      <c r="I321" s="1760">
        <f t="shared" ref="I321:I325" si="15">(H321/G321)*100</f>
        <v>100</v>
      </c>
      <c r="IV321" s="1698">
        <f>SUM(I321:IU321)</f>
        <v>100</v>
      </c>
    </row>
    <row r="322" spans="1:256" s="1684" customFormat="1" x14ac:dyDescent="0.2">
      <c r="A322" s="1710"/>
      <c r="B322" s="1729"/>
      <c r="C322" s="1711"/>
      <c r="D322" s="1178" t="s">
        <v>1274</v>
      </c>
      <c r="E322" s="1423" t="s">
        <v>0</v>
      </c>
      <c r="F322" s="1436"/>
      <c r="G322" s="1436">
        <v>9506</v>
      </c>
      <c r="H322" s="1436">
        <v>9506</v>
      </c>
      <c r="I322" s="1432">
        <f t="shared" si="15"/>
        <v>100</v>
      </c>
      <c r="IV322" s="1684">
        <f>SUM(A322:IU322)</f>
        <v>19112</v>
      </c>
    </row>
    <row r="323" spans="1:256" s="1684" customFormat="1" ht="15" customHeight="1" x14ac:dyDescent="0.2">
      <c r="A323" s="1710">
        <v>1539</v>
      </c>
      <c r="B323" s="1711">
        <v>3146</v>
      </c>
      <c r="C323" s="1711">
        <v>5213</v>
      </c>
      <c r="D323" s="1751"/>
      <c r="E323" s="1752" t="s">
        <v>1318</v>
      </c>
      <c r="F323" s="1767"/>
      <c r="G323" s="1767">
        <f>G324</f>
        <v>1435</v>
      </c>
      <c r="H323" s="1767">
        <f>H324</f>
        <v>1435</v>
      </c>
      <c r="I323" s="1768">
        <f t="shared" si="15"/>
        <v>100</v>
      </c>
    </row>
    <row r="324" spans="1:256" s="1684" customFormat="1" ht="15" thickBot="1" x14ac:dyDescent="0.25">
      <c r="A324" s="1710"/>
      <c r="B324" s="1711"/>
      <c r="C324" s="1711"/>
      <c r="D324" s="1178" t="s">
        <v>1274</v>
      </c>
      <c r="E324" s="1423" t="s">
        <v>0</v>
      </c>
      <c r="F324" s="1436"/>
      <c r="G324" s="1436">
        <v>1435</v>
      </c>
      <c r="H324" s="1436">
        <v>1435</v>
      </c>
      <c r="I324" s="1432">
        <v>100</v>
      </c>
    </row>
    <row r="325" spans="1:256" s="1684" customFormat="1" ht="16.5" thickTop="1" thickBot="1" x14ac:dyDescent="0.25">
      <c r="A325" s="2743" t="s">
        <v>1246</v>
      </c>
      <c r="B325" s="2744"/>
      <c r="C325" s="2744"/>
      <c r="D325" s="2744"/>
      <c r="E325" s="2744"/>
      <c r="F325" s="1696">
        <f>SUM(F321)</f>
        <v>0</v>
      </c>
      <c r="G325" s="1696">
        <f>SUM(G321,G323)</f>
        <v>10941</v>
      </c>
      <c r="H325" s="1696">
        <f>SUM(H321,H323)</f>
        <v>10941</v>
      </c>
      <c r="I325" s="1697">
        <f t="shared" si="15"/>
        <v>100</v>
      </c>
      <c r="IV325" s="1698">
        <f>SUM(IV321:IV322)</f>
        <v>19212</v>
      </c>
    </row>
    <row r="326" spans="1:256" s="1684" customFormat="1" ht="15.75" thickTop="1" x14ac:dyDescent="0.2">
      <c r="A326" s="1681"/>
      <c r="B326" s="1681"/>
      <c r="C326" s="1681"/>
      <c r="D326" s="1681"/>
      <c r="E326" s="1681"/>
      <c r="F326" s="1727"/>
      <c r="G326" s="1727"/>
      <c r="H326" s="1727"/>
      <c r="I326" s="1728"/>
      <c r="IV326" s="1698"/>
    </row>
    <row r="327" spans="1:256" s="1684" customFormat="1" ht="15" x14ac:dyDescent="0.2">
      <c r="A327" s="1681"/>
      <c r="B327" s="1681"/>
      <c r="C327" s="1681"/>
      <c r="D327" s="1681"/>
      <c r="E327" s="1681"/>
      <c r="F327" s="1727"/>
      <c r="G327" s="1727"/>
      <c r="H327" s="1727"/>
      <c r="I327" s="1728"/>
      <c r="IV327" s="1698"/>
    </row>
    <row r="328" spans="1:256" s="1684" customFormat="1" ht="15" x14ac:dyDescent="0.2">
      <c r="A328" s="1681"/>
      <c r="B328" s="1681"/>
      <c r="C328" s="1681"/>
      <c r="D328" s="1681"/>
      <c r="E328" s="1681"/>
      <c r="F328" s="1727"/>
      <c r="G328" s="1727"/>
      <c r="H328" s="1727"/>
      <c r="I328" s="1728"/>
      <c r="IV328" s="1698"/>
    </row>
    <row r="329" spans="1:256" s="1684" customFormat="1" ht="15" x14ac:dyDescent="0.2">
      <c r="A329" s="1681"/>
      <c r="B329" s="1681"/>
      <c r="C329" s="1681"/>
      <c r="D329" s="1681"/>
      <c r="E329" s="1681"/>
      <c r="F329" s="1727"/>
      <c r="G329" s="1727"/>
      <c r="H329" s="1727"/>
      <c r="I329" s="1728"/>
      <c r="IV329" s="1698"/>
    </row>
    <row r="330" spans="1:256" s="1684" customFormat="1" ht="18" customHeight="1" thickBot="1" x14ac:dyDescent="0.25">
      <c r="A330" s="1714" t="s">
        <v>1925</v>
      </c>
      <c r="B330" s="1699"/>
      <c r="D330" s="1700"/>
      <c r="F330" s="1737"/>
      <c r="G330" s="1737"/>
      <c r="H330" s="1737"/>
      <c r="I330" s="1739" t="s">
        <v>179</v>
      </c>
    </row>
    <row r="331" spans="1:256" s="1745" customFormat="1" ht="12.75" thickTop="1" thickBot="1" x14ac:dyDescent="0.25">
      <c r="A331" s="1740" t="s">
        <v>692</v>
      </c>
      <c r="B331" s="1741" t="s">
        <v>180</v>
      </c>
      <c r="C331" s="1742" t="s">
        <v>181</v>
      </c>
      <c r="D331" s="1743" t="s">
        <v>783</v>
      </c>
      <c r="E331" s="1743" t="s">
        <v>182</v>
      </c>
      <c r="F331" s="1743" t="s">
        <v>183</v>
      </c>
      <c r="G331" s="1743" t="s">
        <v>985</v>
      </c>
      <c r="H331" s="1743" t="s">
        <v>986</v>
      </c>
      <c r="I331" s="1744" t="s">
        <v>987</v>
      </c>
    </row>
    <row r="332" spans="1:256" s="1709" customFormat="1" ht="13.5" thickTop="1" thickBot="1" x14ac:dyDescent="0.25">
      <c r="A332" s="1704">
        <v>1</v>
      </c>
      <c r="B332" s="1705">
        <v>2</v>
      </c>
      <c r="C332" s="1705">
        <v>3</v>
      </c>
      <c r="D332" s="1705">
        <v>4</v>
      </c>
      <c r="E332" s="1705">
        <v>5</v>
      </c>
      <c r="F332" s="1706">
        <v>6</v>
      </c>
      <c r="G332" s="1706">
        <v>7</v>
      </c>
      <c r="H332" s="1707">
        <v>8</v>
      </c>
      <c r="I332" s="1708" t="s">
        <v>848</v>
      </c>
    </row>
    <row r="333" spans="1:256" s="1709" customFormat="1" ht="15.75" thickTop="1" x14ac:dyDescent="0.2">
      <c r="A333" s="1710">
        <v>1540</v>
      </c>
      <c r="B333" s="1711">
        <v>3121</v>
      </c>
      <c r="C333" s="1711">
        <v>5213</v>
      </c>
      <c r="D333" s="1751"/>
      <c r="E333" s="1748" t="s">
        <v>1318</v>
      </c>
      <c r="F333" s="1749"/>
      <c r="G333" s="1749">
        <v>500</v>
      </c>
      <c r="H333" s="1749">
        <v>500</v>
      </c>
      <c r="I333" s="1750">
        <f>(H333/G333)*100</f>
        <v>100</v>
      </c>
    </row>
    <row r="334" spans="1:256" s="1709" customFormat="1" ht="20.25" customHeight="1" x14ac:dyDescent="0.2">
      <c r="A334" s="1710"/>
      <c r="B334" s="1729"/>
      <c r="C334" s="1729"/>
      <c r="D334" s="1178" t="s">
        <v>1274</v>
      </c>
      <c r="E334" s="1423" t="s">
        <v>0</v>
      </c>
      <c r="F334" s="1753"/>
      <c r="G334" s="1756">
        <v>500</v>
      </c>
      <c r="H334" s="1756">
        <v>500</v>
      </c>
      <c r="I334" s="1763">
        <v>100</v>
      </c>
    </row>
    <row r="335" spans="1:256" s="1684" customFormat="1" ht="15" x14ac:dyDescent="0.2">
      <c r="A335" s="1710">
        <v>1540</v>
      </c>
      <c r="B335" s="1711">
        <v>3122</v>
      </c>
      <c r="C335" s="1711">
        <v>5213</v>
      </c>
      <c r="D335" s="1751"/>
      <c r="E335" s="1748" t="s">
        <v>1318</v>
      </c>
      <c r="F335" s="1749"/>
      <c r="G335" s="1749">
        <f>SUM(G336:G336)</f>
        <v>5077</v>
      </c>
      <c r="H335" s="1749">
        <f>SUM(H336:H336)</f>
        <v>5077</v>
      </c>
      <c r="I335" s="1750">
        <f>(H335/G335)*100</f>
        <v>100</v>
      </c>
      <c r="IV335" s="1698">
        <f>SUM(I335:IU335)</f>
        <v>100</v>
      </c>
    </row>
    <row r="336" spans="1:256" s="1684" customFormat="1" x14ac:dyDescent="0.2">
      <c r="A336" s="1710"/>
      <c r="B336" s="1729"/>
      <c r="C336" s="1729"/>
      <c r="D336" s="1178" t="s">
        <v>1274</v>
      </c>
      <c r="E336" s="1423" t="s">
        <v>0</v>
      </c>
      <c r="F336" s="1436"/>
      <c r="G336" s="1431">
        <v>5077</v>
      </c>
      <c r="H336" s="1431">
        <v>5077</v>
      </c>
      <c r="I336" s="1435">
        <f>(H336/G336)*100</f>
        <v>100</v>
      </c>
      <c r="IV336" s="1684">
        <f>SUM(A336:IU336)</f>
        <v>10254</v>
      </c>
    </row>
    <row r="337" spans="1:256" s="1684" customFormat="1" ht="15" x14ac:dyDescent="0.2">
      <c r="A337" s="1710">
        <v>1540</v>
      </c>
      <c r="B337" s="1729">
        <v>3419</v>
      </c>
      <c r="C337" s="1729">
        <v>5213</v>
      </c>
      <c r="D337" s="805"/>
      <c r="E337" s="1748" t="s">
        <v>1318</v>
      </c>
      <c r="F337" s="1749"/>
      <c r="G337" s="1749">
        <v>20</v>
      </c>
      <c r="H337" s="1749">
        <f>H338</f>
        <v>19</v>
      </c>
      <c r="I337" s="1750">
        <f>(H337/G337)*100</f>
        <v>95</v>
      </c>
    </row>
    <row r="338" spans="1:256" s="1684" customFormat="1" ht="18" customHeight="1" thickBot="1" x14ac:dyDescent="0.25">
      <c r="A338" s="1710"/>
      <c r="B338" s="1729"/>
      <c r="C338" s="1729"/>
      <c r="D338" s="1769" t="s">
        <v>1350</v>
      </c>
      <c r="E338" s="1770" t="s">
        <v>1924</v>
      </c>
      <c r="F338" s="1431"/>
      <c r="G338" s="1431">
        <v>20</v>
      </c>
      <c r="H338" s="1431">
        <v>19</v>
      </c>
      <c r="I338" s="1435">
        <f>(H338/G338)*100</f>
        <v>95</v>
      </c>
    </row>
    <row r="339" spans="1:256" s="1684" customFormat="1" ht="18" customHeight="1" thickTop="1" thickBot="1" x14ac:dyDescent="0.25">
      <c r="A339" s="2743" t="s">
        <v>1246</v>
      </c>
      <c r="B339" s="2744"/>
      <c r="C339" s="2744"/>
      <c r="D339" s="2744"/>
      <c r="E339" s="2761"/>
      <c r="F339" s="1696">
        <f>SUM(F335)</f>
        <v>0</v>
      </c>
      <c r="G339" s="1696">
        <f>SUM(G335,G337,G333)</f>
        <v>5597</v>
      </c>
      <c r="H339" s="1696">
        <f>SUM(H335,H337,H333)</f>
        <v>5596</v>
      </c>
      <c r="I339" s="1697">
        <f>(H339/G339)*100</f>
        <v>99.982133285688761</v>
      </c>
      <c r="IV339" s="1698">
        <f>SUM(IV335:IV336)</f>
        <v>10354</v>
      </c>
    </row>
    <row r="340" spans="1:256" s="1684" customFormat="1" ht="18" customHeight="1" thickTop="1" x14ac:dyDescent="0.2">
      <c r="B340" s="1699"/>
      <c r="D340" s="1700"/>
      <c r="F340" s="1737"/>
      <c r="G340" s="1737"/>
      <c r="H340" s="1737"/>
      <c r="I340" s="1738"/>
    </row>
    <row r="341" spans="1:256" s="1684" customFormat="1" ht="15" thickBot="1" x14ac:dyDescent="0.25">
      <c r="A341" s="1714" t="s">
        <v>595</v>
      </c>
      <c r="B341" s="1699"/>
      <c r="D341" s="1700"/>
      <c r="F341" s="1737"/>
      <c r="G341" s="1737"/>
      <c r="H341" s="1737"/>
      <c r="I341" s="1739" t="s">
        <v>179</v>
      </c>
    </row>
    <row r="342" spans="1:256" s="1745" customFormat="1" ht="20.25" customHeight="1" thickTop="1" thickBot="1" x14ac:dyDescent="0.25">
      <c r="A342" s="1740" t="s">
        <v>692</v>
      </c>
      <c r="B342" s="1741" t="s">
        <v>180</v>
      </c>
      <c r="C342" s="1742" t="s">
        <v>181</v>
      </c>
      <c r="D342" s="1743" t="s">
        <v>783</v>
      </c>
      <c r="E342" s="1743" t="s">
        <v>182</v>
      </c>
      <c r="F342" s="1743" t="s">
        <v>183</v>
      </c>
      <c r="G342" s="1743" t="s">
        <v>985</v>
      </c>
      <c r="H342" s="1743" t="s">
        <v>986</v>
      </c>
      <c r="I342" s="1744" t="s">
        <v>987</v>
      </c>
    </row>
    <row r="343" spans="1:256" s="1709" customFormat="1" ht="13.5" thickTop="1" thickBot="1" x14ac:dyDescent="0.25">
      <c r="A343" s="1704">
        <v>1</v>
      </c>
      <c r="B343" s="1705">
        <v>2</v>
      </c>
      <c r="C343" s="1705">
        <v>3</v>
      </c>
      <c r="D343" s="1705">
        <v>4</v>
      </c>
      <c r="E343" s="1705">
        <v>5</v>
      </c>
      <c r="F343" s="1706">
        <v>6</v>
      </c>
      <c r="G343" s="1706">
        <v>7</v>
      </c>
      <c r="H343" s="1707">
        <v>8</v>
      </c>
      <c r="I343" s="1708" t="s">
        <v>848</v>
      </c>
    </row>
    <row r="344" spans="1:256" s="1684" customFormat="1" ht="15.75" thickTop="1" x14ac:dyDescent="0.2">
      <c r="A344" s="1757">
        <v>1542</v>
      </c>
      <c r="B344" s="1758">
        <v>3150</v>
      </c>
      <c r="C344" s="1758">
        <v>5213</v>
      </c>
      <c r="D344" s="1759"/>
      <c r="E344" s="1748" t="s">
        <v>1318</v>
      </c>
      <c r="F344" s="1755"/>
      <c r="G344" s="1755">
        <f>SUM(G345:G345)</f>
        <v>4059</v>
      </c>
      <c r="H344" s="1755">
        <f>SUM(H345:H345)</f>
        <v>4059</v>
      </c>
      <c r="I344" s="1760">
        <f>(H344/G344)*100</f>
        <v>100</v>
      </c>
      <c r="IV344" s="1698">
        <f>SUM(I344:IU344)</f>
        <v>100</v>
      </c>
    </row>
    <row r="345" spans="1:256" s="1684" customFormat="1" ht="14.25" customHeight="1" thickBot="1" x14ac:dyDescent="0.25">
      <c r="A345" s="1710"/>
      <c r="B345" s="1729"/>
      <c r="C345" s="1729"/>
      <c r="D345" s="1178" t="s">
        <v>1274</v>
      </c>
      <c r="E345" s="1425" t="s">
        <v>0</v>
      </c>
      <c r="F345" s="1431"/>
      <c r="G345" s="1431">
        <v>4059</v>
      </c>
      <c r="H345" s="1431">
        <v>4059</v>
      </c>
      <c r="I345" s="1435">
        <f>(H345/G345)*100</f>
        <v>100</v>
      </c>
      <c r="IV345" s="1698"/>
    </row>
    <row r="346" spans="1:256" s="1684" customFormat="1" ht="16.5" thickTop="1" thickBot="1" x14ac:dyDescent="0.25">
      <c r="A346" s="2743" t="s">
        <v>1246</v>
      </c>
      <c r="B346" s="2744"/>
      <c r="C346" s="2744"/>
      <c r="D346" s="2744"/>
      <c r="E346" s="2744"/>
      <c r="F346" s="1696">
        <f>SUM(F344)</f>
        <v>0</v>
      </c>
      <c r="G346" s="1696">
        <f>SUM(G344)</f>
        <v>4059</v>
      </c>
      <c r="H346" s="1696">
        <f>SUM(H344)</f>
        <v>4059</v>
      </c>
      <c r="I346" s="1697">
        <f>(H346/G346)*100</f>
        <v>100</v>
      </c>
      <c r="IV346" s="1698">
        <f>SUM(IV344:IV345)</f>
        <v>100</v>
      </c>
    </row>
    <row r="347" spans="1:256" s="1684" customFormat="1" ht="15.75" thickTop="1" x14ac:dyDescent="0.2">
      <c r="A347" s="1681"/>
      <c r="B347" s="1681"/>
      <c r="C347" s="1681"/>
      <c r="D347" s="1681"/>
      <c r="E347" s="1681"/>
      <c r="F347" s="1727"/>
      <c r="G347" s="1727"/>
      <c r="H347" s="1727"/>
      <c r="I347" s="1728"/>
      <c r="IV347" s="1698"/>
    </row>
    <row r="348" spans="1:256" s="1684" customFormat="1" ht="18" customHeight="1" x14ac:dyDescent="0.2">
      <c r="A348" s="1681"/>
      <c r="B348" s="1681"/>
      <c r="C348" s="1681"/>
      <c r="D348" s="1681"/>
      <c r="E348" s="1681"/>
      <c r="F348" s="1727"/>
      <c r="G348" s="1727"/>
      <c r="H348" s="1727"/>
      <c r="I348" s="1728"/>
      <c r="IV348" s="1698"/>
    </row>
    <row r="349" spans="1:256" s="1684" customFormat="1" ht="15" thickBot="1" x14ac:dyDescent="0.25">
      <c r="A349" s="1714" t="s">
        <v>177</v>
      </c>
      <c r="B349" s="1699"/>
      <c r="D349" s="1700"/>
      <c r="F349" s="1737"/>
      <c r="G349" s="1737"/>
      <c r="H349" s="1737"/>
      <c r="I349" s="1739" t="s">
        <v>179</v>
      </c>
    </row>
    <row r="350" spans="1:256" s="1745" customFormat="1" ht="12.75" thickTop="1" thickBot="1" x14ac:dyDescent="0.25">
      <c r="A350" s="1740" t="s">
        <v>692</v>
      </c>
      <c r="B350" s="1741" t="s">
        <v>180</v>
      </c>
      <c r="C350" s="1742" t="s">
        <v>181</v>
      </c>
      <c r="D350" s="1743" t="s">
        <v>783</v>
      </c>
      <c r="E350" s="1743" t="s">
        <v>182</v>
      </c>
      <c r="F350" s="1743" t="s">
        <v>183</v>
      </c>
      <c r="G350" s="1743" t="s">
        <v>985</v>
      </c>
      <c r="H350" s="1743" t="s">
        <v>986</v>
      </c>
      <c r="I350" s="1744" t="s">
        <v>987</v>
      </c>
    </row>
    <row r="351" spans="1:256" s="1709" customFormat="1" ht="13.5" thickTop="1" thickBot="1" x14ac:dyDescent="0.25">
      <c r="A351" s="1704">
        <v>1</v>
      </c>
      <c r="B351" s="1705">
        <v>2</v>
      </c>
      <c r="C351" s="1705">
        <v>3</v>
      </c>
      <c r="D351" s="1705">
        <v>4</v>
      </c>
      <c r="E351" s="1705">
        <v>5</v>
      </c>
      <c r="F351" s="1706">
        <v>6</v>
      </c>
      <c r="G351" s="1706">
        <v>7</v>
      </c>
      <c r="H351" s="1707">
        <v>8</v>
      </c>
      <c r="I351" s="1708" t="s">
        <v>848</v>
      </c>
    </row>
    <row r="352" spans="1:256" s="1684" customFormat="1" ht="15.75" thickTop="1" x14ac:dyDescent="0.2">
      <c r="A352" s="1757">
        <v>1543</v>
      </c>
      <c r="B352" s="1758">
        <v>3122</v>
      </c>
      <c r="C352" s="1758">
        <v>5213</v>
      </c>
      <c r="D352" s="1759"/>
      <c r="E352" s="1748" t="s">
        <v>1318</v>
      </c>
      <c r="F352" s="1755"/>
      <c r="G352" s="1755">
        <f>SUM(G353:G353)</f>
        <v>3182</v>
      </c>
      <c r="H352" s="1755">
        <f>SUM(H353:H353)</f>
        <v>3182</v>
      </c>
      <c r="I352" s="1760">
        <f>(H352/G352)*100</f>
        <v>100</v>
      </c>
      <c r="IV352" s="1698">
        <f>SUM(I352:IU352)</f>
        <v>100</v>
      </c>
    </row>
    <row r="353" spans="1:256" s="1684" customFormat="1" ht="20.25" customHeight="1" thickBot="1" x14ac:dyDescent="0.25">
      <c r="A353" s="1710"/>
      <c r="B353" s="1729"/>
      <c r="C353" s="1729"/>
      <c r="D353" s="1178" t="s">
        <v>1274</v>
      </c>
      <c r="E353" s="1423" t="s">
        <v>0</v>
      </c>
      <c r="F353" s="1431"/>
      <c r="G353" s="1431">
        <v>3182</v>
      </c>
      <c r="H353" s="1431">
        <v>3182</v>
      </c>
      <c r="I353" s="1435">
        <f>(H353/G353)*100</f>
        <v>100</v>
      </c>
    </row>
    <row r="354" spans="1:256" s="1684" customFormat="1" ht="16.5" thickTop="1" thickBot="1" x14ac:dyDescent="0.25">
      <c r="A354" s="2757" t="s">
        <v>1246</v>
      </c>
      <c r="B354" s="2758"/>
      <c r="C354" s="2758"/>
      <c r="D354" s="2758"/>
      <c r="E354" s="2759"/>
      <c r="F354" s="1696">
        <f>SUM(F352)</f>
        <v>0</v>
      </c>
      <c r="G354" s="1696">
        <f>SUM(G352)</f>
        <v>3182</v>
      </c>
      <c r="H354" s="1696">
        <f>H352</f>
        <v>3182</v>
      </c>
      <c r="I354" s="1697">
        <f>(H354/G354)*100</f>
        <v>100</v>
      </c>
      <c r="IV354" s="1698">
        <f>SUM(IV352:IV353)</f>
        <v>100</v>
      </c>
    </row>
    <row r="355" spans="1:256" s="1684" customFormat="1" ht="15" thickTop="1" x14ac:dyDescent="0.2">
      <c r="B355" s="1699"/>
      <c r="D355" s="1700"/>
      <c r="F355" s="1737"/>
      <c r="G355" s="1737"/>
      <c r="H355" s="1737"/>
      <c r="I355" s="1738"/>
    </row>
    <row r="356" spans="1:256" s="1684" customFormat="1" ht="15" customHeight="1" x14ac:dyDescent="0.2">
      <c r="B356" s="1699"/>
      <c r="D356" s="1700"/>
      <c r="F356" s="1737"/>
      <c r="G356" s="1737"/>
      <c r="H356" s="1737"/>
      <c r="I356" s="1738"/>
    </row>
    <row r="357" spans="1:256" s="1684" customFormat="1" ht="15" thickBot="1" x14ac:dyDescent="0.25">
      <c r="A357" s="1714" t="s">
        <v>596</v>
      </c>
      <c r="B357" s="1699"/>
      <c r="D357" s="1700"/>
      <c r="F357" s="1737"/>
      <c r="G357" s="1737"/>
      <c r="H357" s="1737"/>
      <c r="I357" s="1739" t="s">
        <v>179</v>
      </c>
    </row>
    <row r="358" spans="1:256" s="1745" customFormat="1" ht="12.75" thickTop="1" thickBot="1" x14ac:dyDescent="0.25">
      <c r="A358" s="1740" t="s">
        <v>692</v>
      </c>
      <c r="B358" s="1741" t="s">
        <v>180</v>
      </c>
      <c r="C358" s="1742" t="s">
        <v>181</v>
      </c>
      <c r="D358" s="1743" t="s">
        <v>783</v>
      </c>
      <c r="E358" s="1743" t="s">
        <v>182</v>
      </c>
      <c r="F358" s="1743" t="s">
        <v>183</v>
      </c>
      <c r="G358" s="1743" t="s">
        <v>985</v>
      </c>
      <c r="H358" s="1743" t="s">
        <v>986</v>
      </c>
      <c r="I358" s="1744" t="s">
        <v>987</v>
      </c>
    </row>
    <row r="359" spans="1:256" s="1709" customFormat="1" ht="18" customHeight="1" thickTop="1" thickBot="1" x14ac:dyDescent="0.25">
      <c r="A359" s="1704">
        <v>1</v>
      </c>
      <c r="B359" s="1705">
        <v>2</v>
      </c>
      <c r="C359" s="1705">
        <v>3</v>
      </c>
      <c r="D359" s="1705">
        <v>4</v>
      </c>
      <c r="E359" s="1705">
        <v>5</v>
      </c>
      <c r="F359" s="1706">
        <v>6</v>
      </c>
      <c r="G359" s="1706">
        <v>7</v>
      </c>
      <c r="H359" s="1707">
        <v>8</v>
      </c>
      <c r="I359" s="1708" t="s">
        <v>848</v>
      </c>
    </row>
    <row r="360" spans="1:256" s="1684" customFormat="1" ht="15.75" thickTop="1" x14ac:dyDescent="0.2">
      <c r="A360" s="1757">
        <v>1544</v>
      </c>
      <c r="B360" s="1758">
        <v>3122</v>
      </c>
      <c r="C360" s="1758">
        <v>5213</v>
      </c>
      <c r="D360" s="1759"/>
      <c r="E360" s="1748" t="s">
        <v>1318</v>
      </c>
      <c r="F360" s="1755"/>
      <c r="G360" s="1755">
        <f>SUM(G361:G361)</f>
        <v>6019</v>
      </c>
      <c r="H360" s="1755">
        <f>SUM(H361:H361)</f>
        <v>6019</v>
      </c>
      <c r="I360" s="1760">
        <f>(H360/G360)*100</f>
        <v>100</v>
      </c>
      <c r="IV360" s="1698">
        <f>SUM(I360:IU360)</f>
        <v>100</v>
      </c>
    </row>
    <row r="361" spans="1:256" s="1684" customFormat="1" ht="15" thickBot="1" x14ac:dyDescent="0.25">
      <c r="A361" s="1710"/>
      <c r="B361" s="1729"/>
      <c r="C361" s="1729"/>
      <c r="D361" s="1178" t="s">
        <v>1274</v>
      </c>
      <c r="E361" s="1423" t="s">
        <v>0</v>
      </c>
      <c r="F361" s="1431"/>
      <c r="G361" s="1431">
        <v>6019</v>
      </c>
      <c r="H361" s="1431">
        <v>6019</v>
      </c>
      <c r="I361" s="1435">
        <f>(H361/G361)*100</f>
        <v>100</v>
      </c>
      <c r="IV361" s="1684">
        <f>SUM(A361:IU361)</f>
        <v>12138</v>
      </c>
    </row>
    <row r="362" spans="1:256" s="1684" customFormat="1" ht="16.5" thickTop="1" thickBot="1" x14ac:dyDescent="0.25">
      <c r="A362" s="2743" t="s">
        <v>1246</v>
      </c>
      <c r="B362" s="2744"/>
      <c r="C362" s="2744"/>
      <c r="D362" s="2744"/>
      <c r="E362" s="2744"/>
      <c r="F362" s="1696">
        <f>SUM(F360)</f>
        <v>0</v>
      </c>
      <c r="G362" s="1696">
        <f>G360</f>
        <v>6019</v>
      </c>
      <c r="H362" s="1696">
        <f>H360</f>
        <v>6019</v>
      </c>
      <c r="I362" s="1697">
        <f>(H362/G362)*100</f>
        <v>100</v>
      </c>
      <c r="IV362" s="1698">
        <f>SUM(IV360:IV361)</f>
        <v>12238</v>
      </c>
    </row>
    <row r="363" spans="1:256" s="1684" customFormat="1" ht="15" thickTop="1" x14ac:dyDescent="0.2">
      <c r="B363" s="1699"/>
      <c r="D363" s="1700"/>
      <c r="F363" s="1737"/>
      <c r="G363" s="1737"/>
      <c r="H363" s="1737"/>
      <c r="I363" s="1738"/>
    </row>
    <row r="364" spans="1:256" s="1684" customFormat="1" ht="20.25" customHeight="1" x14ac:dyDescent="0.2">
      <c r="B364" s="1699"/>
      <c r="D364" s="1700"/>
      <c r="F364" s="1737"/>
      <c r="G364" s="1737"/>
      <c r="H364" s="1737"/>
      <c r="I364" s="1738"/>
    </row>
    <row r="365" spans="1:256" s="1684" customFormat="1" ht="15" thickBot="1" x14ac:dyDescent="0.25">
      <c r="A365" s="1714" t="s">
        <v>31</v>
      </c>
      <c r="B365" s="1699"/>
      <c r="D365" s="1700"/>
      <c r="F365" s="1737"/>
      <c r="G365" s="1737"/>
      <c r="H365" s="1737"/>
      <c r="I365" s="1739" t="s">
        <v>179</v>
      </c>
    </row>
    <row r="366" spans="1:256" s="1745" customFormat="1" ht="12.75" thickTop="1" thickBot="1" x14ac:dyDescent="0.25">
      <c r="A366" s="1740" t="s">
        <v>692</v>
      </c>
      <c r="B366" s="1741" t="s">
        <v>180</v>
      </c>
      <c r="C366" s="1742" t="s">
        <v>181</v>
      </c>
      <c r="D366" s="1743" t="s">
        <v>783</v>
      </c>
      <c r="E366" s="1743" t="s">
        <v>182</v>
      </c>
      <c r="F366" s="1743" t="s">
        <v>183</v>
      </c>
      <c r="G366" s="1743" t="s">
        <v>985</v>
      </c>
      <c r="H366" s="1743" t="s">
        <v>986</v>
      </c>
      <c r="I366" s="1744" t="s">
        <v>987</v>
      </c>
    </row>
    <row r="367" spans="1:256" s="1709" customFormat="1" ht="15" customHeight="1" thickTop="1" thickBot="1" x14ac:dyDescent="0.25">
      <c r="A367" s="1704">
        <v>1</v>
      </c>
      <c r="B367" s="1705">
        <v>2</v>
      </c>
      <c r="C367" s="1705">
        <v>3</v>
      </c>
      <c r="D367" s="1705">
        <v>4</v>
      </c>
      <c r="E367" s="1705">
        <v>5</v>
      </c>
      <c r="F367" s="1706">
        <v>6</v>
      </c>
      <c r="G367" s="1706">
        <v>7</v>
      </c>
      <c r="H367" s="1707">
        <v>8</v>
      </c>
      <c r="I367" s="1708" t="s">
        <v>848</v>
      </c>
    </row>
    <row r="368" spans="1:256" s="1684" customFormat="1" ht="15.75" thickTop="1" x14ac:dyDescent="0.2">
      <c r="A368" s="1757">
        <v>1545</v>
      </c>
      <c r="B368" s="1758">
        <v>3122</v>
      </c>
      <c r="C368" s="1758">
        <v>5213</v>
      </c>
      <c r="D368" s="1759"/>
      <c r="E368" s="1748" t="s">
        <v>1318</v>
      </c>
      <c r="F368" s="1755"/>
      <c r="G368" s="1755">
        <f>SUM(G369:G369)</f>
        <v>3642</v>
      </c>
      <c r="H368" s="1755">
        <f>SUM(H369:H369)</f>
        <v>3642</v>
      </c>
      <c r="I368" s="1760">
        <f>(H368/G368)*100</f>
        <v>100</v>
      </c>
      <c r="IV368" s="1698">
        <f>SUM(I368:IU368)</f>
        <v>100</v>
      </c>
    </row>
    <row r="369" spans="1:256" s="1684" customFormat="1" ht="15" thickBot="1" x14ac:dyDescent="0.25">
      <c r="A369" s="1710"/>
      <c r="B369" s="1729"/>
      <c r="C369" s="1729"/>
      <c r="D369" s="1178" t="s">
        <v>1274</v>
      </c>
      <c r="E369" s="1425" t="s">
        <v>0</v>
      </c>
      <c r="F369" s="1431"/>
      <c r="G369" s="1431">
        <v>3642</v>
      </c>
      <c r="H369" s="1431">
        <v>3642</v>
      </c>
      <c r="I369" s="1435">
        <f>(H369/G369)*100</f>
        <v>100</v>
      </c>
      <c r="IV369" s="1698"/>
    </row>
    <row r="370" spans="1:256" s="1684" customFormat="1" ht="18" customHeight="1" thickTop="1" thickBot="1" x14ac:dyDescent="0.25">
      <c r="A370" s="2743" t="s">
        <v>1246</v>
      </c>
      <c r="B370" s="2744"/>
      <c r="C370" s="2744"/>
      <c r="D370" s="2744"/>
      <c r="E370" s="2744"/>
      <c r="F370" s="1696">
        <f>SUM(F368)</f>
        <v>0</v>
      </c>
      <c r="G370" s="1696">
        <f>SUM(G368)</f>
        <v>3642</v>
      </c>
      <c r="H370" s="1696">
        <f>SUM(H368)</f>
        <v>3642</v>
      </c>
      <c r="I370" s="1697">
        <f>(H370/G370)*100</f>
        <v>100</v>
      </c>
      <c r="IV370" s="1698">
        <f>SUM(IV368:IV369)</f>
        <v>100</v>
      </c>
    </row>
    <row r="371" spans="1:256" s="1684" customFormat="1" ht="15" thickTop="1" x14ac:dyDescent="0.2">
      <c r="B371" s="1699"/>
      <c r="D371" s="1700"/>
      <c r="F371" s="1737"/>
      <c r="G371" s="1737"/>
      <c r="H371" s="1737"/>
      <c r="I371" s="1738"/>
    </row>
    <row r="372" spans="1:256" s="1684" customFormat="1" x14ac:dyDescent="0.2">
      <c r="B372" s="1699"/>
      <c r="D372" s="1700"/>
      <c r="F372" s="1737"/>
      <c r="G372" s="1737"/>
      <c r="H372" s="1737"/>
      <c r="I372" s="1738"/>
    </row>
    <row r="373" spans="1:256" s="1684" customFormat="1" ht="15" thickBot="1" x14ac:dyDescent="0.25">
      <c r="A373" s="1714" t="s">
        <v>1681</v>
      </c>
      <c r="B373" s="1699"/>
      <c r="D373" s="1700"/>
      <c r="F373" s="1737"/>
      <c r="G373" s="1737"/>
      <c r="H373" s="1737"/>
      <c r="I373" s="1739" t="s">
        <v>179</v>
      </c>
    </row>
    <row r="374" spans="1:256" s="1745" customFormat="1" ht="12.75" thickTop="1" thickBot="1" x14ac:dyDescent="0.25">
      <c r="A374" s="1740" t="s">
        <v>692</v>
      </c>
      <c r="B374" s="1741" t="s">
        <v>180</v>
      </c>
      <c r="C374" s="1742" t="s">
        <v>181</v>
      </c>
      <c r="D374" s="1743" t="s">
        <v>783</v>
      </c>
      <c r="E374" s="1743" t="s">
        <v>182</v>
      </c>
      <c r="F374" s="1743" t="s">
        <v>183</v>
      </c>
      <c r="G374" s="1743" t="s">
        <v>985</v>
      </c>
      <c r="H374" s="1743" t="s">
        <v>986</v>
      </c>
      <c r="I374" s="1744" t="s">
        <v>987</v>
      </c>
    </row>
    <row r="375" spans="1:256" s="1709" customFormat="1" ht="20.25" customHeight="1" thickTop="1" thickBot="1" x14ac:dyDescent="0.25">
      <c r="A375" s="1704">
        <v>1</v>
      </c>
      <c r="B375" s="1705">
        <v>2</v>
      </c>
      <c r="C375" s="1705">
        <v>3</v>
      </c>
      <c r="D375" s="1705">
        <v>4</v>
      </c>
      <c r="E375" s="1705">
        <v>5</v>
      </c>
      <c r="F375" s="1706">
        <v>6</v>
      </c>
      <c r="G375" s="1706">
        <v>7</v>
      </c>
      <c r="H375" s="1707">
        <v>8</v>
      </c>
      <c r="I375" s="1708" t="s">
        <v>848</v>
      </c>
    </row>
    <row r="376" spans="1:256" s="1684" customFormat="1" ht="15.75" thickTop="1" x14ac:dyDescent="0.2">
      <c r="A376" s="1757">
        <v>1550</v>
      </c>
      <c r="B376" s="1758">
        <v>3123</v>
      </c>
      <c r="C376" s="1758">
        <v>5213</v>
      </c>
      <c r="D376" s="1759"/>
      <c r="E376" s="1748" t="s">
        <v>1318</v>
      </c>
      <c r="F376" s="1755"/>
      <c r="G376" s="1755">
        <f>SUM(G377:G377)</f>
        <v>8740</v>
      </c>
      <c r="H376" s="1755">
        <f>SUM(H377:H377)</f>
        <v>8740</v>
      </c>
      <c r="I376" s="1760">
        <f t="shared" ref="I376:I382" si="16">(H376/G376)*100</f>
        <v>100</v>
      </c>
      <c r="IV376" s="1698">
        <f>SUM(I376:IU376)</f>
        <v>100</v>
      </c>
    </row>
    <row r="377" spans="1:256" s="1684" customFormat="1" x14ac:dyDescent="0.2">
      <c r="A377" s="1710"/>
      <c r="B377" s="1729"/>
      <c r="C377" s="1729"/>
      <c r="D377" s="1178" t="s">
        <v>1274</v>
      </c>
      <c r="E377" s="1423" t="s">
        <v>0</v>
      </c>
      <c r="F377" s="1436"/>
      <c r="G377" s="1436">
        <v>8740</v>
      </c>
      <c r="H377" s="1436">
        <v>8740</v>
      </c>
      <c r="I377" s="1432">
        <f t="shared" si="16"/>
        <v>100</v>
      </c>
      <c r="IV377" s="1684">
        <f>SUM(A377:IU377)</f>
        <v>17580</v>
      </c>
    </row>
    <row r="378" spans="1:256" s="1684" customFormat="1" ht="15" customHeight="1" x14ac:dyDescent="0.2">
      <c r="A378" s="1710">
        <v>1550</v>
      </c>
      <c r="B378" s="1729">
        <v>3141</v>
      </c>
      <c r="C378" s="1729">
        <v>5213</v>
      </c>
      <c r="D378" s="1751"/>
      <c r="E378" s="1752" t="s">
        <v>1318</v>
      </c>
      <c r="F378" s="1753"/>
      <c r="G378" s="1753">
        <f>SUM(G379)</f>
        <v>1052</v>
      </c>
      <c r="H378" s="1753">
        <f>SUM(H379)</f>
        <v>1052</v>
      </c>
      <c r="I378" s="1754">
        <f t="shared" si="16"/>
        <v>100</v>
      </c>
      <c r="IV378" s="1698">
        <f>SUM(I378:IU378)</f>
        <v>100</v>
      </c>
    </row>
    <row r="379" spans="1:256" s="1684" customFormat="1" x14ac:dyDescent="0.2">
      <c r="A379" s="1710"/>
      <c r="B379" s="1729"/>
      <c r="C379" s="1729"/>
      <c r="D379" s="1178" t="s">
        <v>1274</v>
      </c>
      <c r="E379" s="1423" t="s">
        <v>0</v>
      </c>
      <c r="F379" s="1431"/>
      <c r="G379" s="1431">
        <v>1052</v>
      </c>
      <c r="H379" s="1431">
        <v>1052</v>
      </c>
      <c r="I379" s="1435">
        <f t="shared" si="16"/>
        <v>100</v>
      </c>
      <c r="IV379" s="1684">
        <f>SUM(A379:IU379)</f>
        <v>2204</v>
      </c>
    </row>
    <row r="380" spans="1:256" s="1684" customFormat="1" ht="15" x14ac:dyDescent="0.2">
      <c r="A380" s="1710">
        <v>1550</v>
      </c>
      <c r="B380" s="1729">
        <v>3142</v>
      </c>
      <c r="C380" s="1729">
        <v>5213</v>
      </c>
      <c r="D380" s="1751"/>
      <c r="E380" s="1752" t="s">
        <v>1318</v>
      </c>
      <c r="F380" s="1753"/>
      <c r="G380" s="1753">
        <f>SUM(G381:G381)</f>
        <v>768</v>
      </c>
      <c r="H380" s="1753">
        <f>SUM(H381:H381)</f>
        <v>768</v>
      </c>
      <c r="I380" s="1754">
        <f t="shared" si="16"/>
        <v>100</v>
      </c>
      <c r="IV380" s="1698">
        <f>SUM(I380:IU380)</f>
        <v>100</v>
      </c>
    </row>
    <row r="381" spans="1:256" s="1684" customFormat="1" ht="15" thickBot="1" x14ac:dyDescent="0.25">
      <c r="A381" s="1710"/>
      <c r="B381" s="1729"/>
      <c r="C381" s="1729"/>
      <c r="D381" s="805" t="s">
        <v>1274</v>
      </c>
      <c r="E381" s="1771" t="s">
        <v>2</v>
      </c>
      <c r="F381" s="1431"/>
      <c r="G381" s="1431">
        <v>768</v>
      </c>
      <c r="H381" s="1431">
        <v>768</v>
      </c>
      <c r="I381" s="1435">
        <f t="shared" si="16"/>
        <v>100</v>
      </c>
      <c r="IV381" s="1684">
        <f>SUM(A381:IU381)</f>
        <v>1636</v>
      </c>
    </row>
    <row r="382" spans="1:256" s="1684" customFormat="1" ht="16.5" thickTop="1" thickBot="1" x14ac:dyDescent="0.25">
      <c r="A382" s="2743" t="s">
        <v>1246</v>
      </c>
      <c r="B382" s="2744"/>
      <c r="C382" s="2744"/>
      <c r="D382" s="2744"/>
      <c r="E382" s="2744"/>
      <c r="F382" s="1696">
        <f>SUM(F376)</f>
        <v>0</v>
      </c>
      <c r="G382" s="1696">
        <f>SUM(G380,G378,G376)</f>
        <v>10560</v>
      </c>
      <c r="H382" s="1696">
        <f>SUM(H380,H378,H376)</f>
        <v>10560</v>
      </c>
      <c r="I382" s="1697">
        <f t="shared" si="16"/>
        <v>100</v>
      </c>
      <c r="IV382" s="1698">
        <f>SUM(IV376:IV377)</f>
        <v>17680</v>
      </c>
    </row>
    <row r="383" spans="1:256" s="1684" customFormat="1" ht="15.75" thickTop="1" x14ac:dyDescent="0.2">
      <c r="A383" s="1681"/>
      <c r="B383" s="1681"/>
      <c r="C383" s="1681"/>
      <c r="D383" s="1681"/>
      <c r="E383" s="1681"/>
      <c r="F383" s="1727"/>
      <c r="G383" s="1727"/>
      <c r="H383" s="1727"/>
      <c r="I383" s="1728"/>
      <c r="IV383" s="1698"/>
    </row>
    <row r="384" spans="1:256" s="1684" customFormat="1" ht="15" thickBot="1" x14ac:dyDescent="0.25">
      <c r="A384" s="1714" t="s">
        <v>597</v>
      </c>
      <c r="B384" s="1699"/>
      <c r="D384" s="1700"/>
      <c r="F384" s="1737"/>
      <c r="G384" s="1737"/>
      <c r="H384" s="1737"/>
      <c r="I384" s="1739" t="s">
        <v>179</v>
      </c>
    </row>
    <row r="385" spans="1:256" s="1745" customFormat="1" ht="18" customHeight="1" thickTop="1" thickBot="1" x14ac:dyDescent="0.25">
      <c r="A385" s="1740" t="s">
        <v>692</v>
      </c>
      <c r="B385" s="1741" t="s">
        <v>180</v>
      </c>
      <c r="C385" s="1742" t="s">
        <v>181</v>
      </c>
      <c r="D385" s="1743" t="s">
        <v>783</v>
      </c>
      <c r="E385" s="1743" t="s">
        <v>182</v>
      </c>
      <c r="F385" s="1743" t="s">
        <v>183</v>
      </c>
      <c r="G385" s="1743" t="s">
        <v>985</v>
      </c>
      <c r="H385" s="1743" t="s">
        <v>986</v>
      </c>
      <c r="I385" s="1744" t="s">
        <v>987</v>
      </c>
    </row>
    <row r="386" spans="1:256" s="1709" customFormat="1" ht="18" customHeight="1" thickTop="1" thickBot="1" x14ac:dyDescent="0.25">
      <c r="A386" s="1704">
        <v>1</v>
      </c>
      <c r="B386" s="1705">
        <v>2</v>
      </c>
      <c r="C386" s="1705">
        <v>3</v>
      </c>
      <c r="D386" s="1705">
        <v>4</v>
      </c>
      <c r="E386" s="1705">
        <v>5</v>
      </c>
      <c r="F386" s="1706">
        <v>6</v>
      </c>
      <c r="G386" s="1706">
        <v>7</v>
      </c>
      <c r="H386" s="1707">
        <v>8</v>
      </c>
      <c r="I386" s="1708" t="s">
        <v>848</v>
      </c>
    </row>
    <row r="387" spans="1:256" s="1684" customFormat="1" ht="15.75" thickTop="1" x14ac:dyDescent="0.2">
      <c r="A387" s="1757">
        <v>1551</v>
      </c>
      <c r="B387" s="1758">
        <v>3123</v>
      </c>
      <c r="C387" s="1758">
        <v>5213</v>
      </c>
      <c r="D387" s="1759"/>
      <c r="E387" s="1748" t="s">
        <v>1318</v>
      </c>
      <c r="F387" s="1755"/>
      <c r="G387" s="1755">
        <f>SUM(G388:G389)</f>
        <v>5371</v>
      </c>
      <c r="H387" s="1755">
        <f>SUM(H388:H389)</f>
        <v>5371</v>
      </c>
      <c r="I387" s="1760">
        <f>(H387/G387)*100</f>
        <v>100</v>
      </c>
      <c r="IV387" s="1698">
        <f>SUM(I387:IU387)</f>
        <v>100</v>
      </c>
    </row>
    <row r="388" spans="1:256" s="1684" customFormat="1" ht="20.25" customHeight="1" x14ac:dyDescent="0.2">
      <c r="A388" s="1710"/>
      <c r="B388" s="1729"/>
      <c r="C388" s="1729"/>
      <c r="D388" s="1463" t="s">
        <v>1038</v>
      </c>
      <c r="E388" s="1422" t="s">
        <v>1039</v>
      </c>
      <c r="F388" s="1749"/>
      <c r="G388" s="1525">
        <v>84</v>
      </c>
      <c r="H388" s="1525">
        <v>84</v>
      </c>
      <c r="I388" s="1763">
        <v>100</v>
      </c>
      <c r="IV388" s="1698"/>
    </row>
    <row r="389" spans="1:256" s="1684" customFormat="1" x14ac:dyDescent="0.2">
      <c r="A389" s="1710"/>
      <c r="B389" s="1729"/>
      <c r="C389" s="1729"/>
      <c r="D389" s="1178" t="s">
        <v>1274</v>
      </c>
      <c r="E389" s="1423" t="s">
        <v>0</v>
      </c>
      <c r="F389" s="1436"/>
      <c r="G389" s="1436">
        <v>5287</v>
      </c>
      <c r="H389" s="1436">
        <v>5287</v>
      </c>
      <c r="I389" s="1432">
        <f>(H389/G389)*100</f>
        <v>100</v>
      </c>
      <c r="IV389" s="1684">
        <f>SUM(A389:IU389)</f>
        <v>10674</v>
      </c>
    </row>
    <row r="390" spans="1:256" s="1684" customFormat="1" ht="15" x14ac:dyDescent="0.2">
      <c r="A390" s="1710">
        <v>1551</v>
      </c>
      <c r="B390" s="1729">
        <v>3124</v>
      </c>
      <c r="C390" s="1729">
        <v>5213</v>
      </c>
      <c r="D390" s="1766"/>
      <c r="E390" s="1752" t="s">
        <v>1318</v>
      </c>
      <c r="F390" s="1753"/>
      <c r="G390" s="1753">
        <f>SUM(G391:G392)</f>
        <v>1427</v>
      </c>
      <c r="H390" s="1753">
        <f>SUM(H391:H392)</f>
        <v>1427</v>
      </c>
      <c r="I390" s="1754">
        <f>(H390/G390)*100</f>
        <v>100</v>
      </c>
      <c r="IV390" s="1698">
        <f>SUM(I390:IU390)</f>
        <v>100</v>
      </c>
    </row>
    <row r="391" spans="1:256" s="1684" customFormat="1" ht="15" x14ac:dyDescent="0.2">
      <c r="A391" s="1710"/>
      <c r="B391" s="1729"/>
      <c r="C391" s="1729"/>
      <c r="D391" s="1463" t="s">
        <v>1038</v>
      </c>
      <c r="E391" s="1422" t="s">
        <v>1039</v>
      </c>
      <c r="F391" s="1753"/>
      <c r="G391" s="1756">
        <v>57</v>
      </c>
      <c r="H391" s="1756">
        <v>57</v>
      </c>
      <c r="I391" s="1772">
        <v>100</v>
      </c>
      <c r="IV391" s="1698"/>
    </row>
    <row r="392" spans="1:256" s="1684" customFormat="1" ht="15" customHeight="1" thickBot="1" x14ac:dyDescent="0.25">
      <c r="A392" s="1710"/>
      <c r="B392" s="1729"/>
      <c r="C392" s="1729"/>
      <c r="D392" s="1178" t="s">
        <v>1274</v>
      </c>
      <c r="E392" s="1423" t="s">
        <v>0</v>
      </c>
      <c r="F392" s="1431"/>
      <c r="G392" s="1431">
        <v>1370</v>
      </c>
      <c r="H392" s="1431">
        <v>1370</v>
      </c>
      <c r="I392" s="1435">
        <f>(H392/G392)*100</f>
        <v>100</v>
      </c>
      <c r="IV392" s="1684">
        <f>SUM(A392:IU392)</f>
        <v>2840</v>
      </c>
    </row>
    <row r="393" spans="1:256" s="1684" customFormat="1" ht="16.5" thickTop="1" thickBot="1" x14ac:dyDescent="0.25">
      <c r="A393" s="2743" t="s">
        <v>1246</v>
      </c>
      <c r="B393" s="2744"/>
      <c r="C393" s="2744"/>
      <c r="D393" s="2744"/>
      <c r="E393" s="2744"/>
      <c r="F393" s="1696">
        <f>SUM(F387)</f>
        <v>0</v>
      </c>
      <c r="G393" s="1696">
        <f>SUM(G387,G390)</f>
        <v>6798</v>
      </c>
      <c r="H393" s="1696">
        <f>SUM(H387,H390)</f>
        <v>6798</v>
      </c>
      <c r="I393" s="1697">
        <f>(H393/G393)*100</f>
        <v>100</v>
      </c>
      <c r="IV393" s="1698">
        <f>SUM(IV387:IV389)</f>
        <v>10774</v>
      </c>
    </row>
    <row r="394" spans="1:256" s="1684" customFormat="1" ht="15" thickTop="1" x14ac:dyDescent="0.2">
      <c r="B394" s="1699"/>
      <c r="D394" s="1700"/>
      <c r="F394" s="1737"/>
      <c r="G394" s="1737"/>
      <c r="H394" s="1737"/>
      <c r="I394" s="1738"/>
    </row>
    <row r="395" spans="1:256" s="1684" customFormat="1" ht="15" thickBot="1" x14ac:dyDescent="0.25">
      <c r="A395" s="1714" t="s">
        <v>1053</v>
      </c>
      <c r="B395" s="1699"/>
      <c r="D395" s="1700"/>
      <c r="F395" s="1737"/>
      <c r="G395" s="1737"/>
      <c r="H395" s="1737"/>
      <c r="I395" s="1739" t="s">
        <v>179</v>
      </c>
    </row>
    <row r="396" spans="1:256" s="1745" customFormat="1" ht="12.75" thickTop="1" thickBot="1" x14ac:dyDescent="0.25">
      <c r="A396" s="1740" t="s">
        <v>692</v>
      </c>
      <c r="B396" s="1741" t="s">
        <v>180</v>
      </c>
      <c r="C396" s="1742" t="s">
        <v>181</v>
      </c>
      <c r="D396" s="1743" t="s">
        <v>783</v>
      </c>
      <c r="E396" s="1743" t="s">
        <v>182</v>
      </c>
      <c r="F396" s="1743" t="s">
        <v>183</v>
      </c>
      <c r="G396" s="1743" t="s">
        <v>985</v>
      </c>
      <c r="H396" s="1743" t="s">
        <v>986</v>
      </c>
      <c r="I396" s="1744" t="s">
        <v>987</v>
      </c>
    </row>
    <row r="397" spans="1:256" s="1709" customFormat="1" ht="18" customHeight="1" thickTop="1" thickBot="1" x14ac:dyDescent="0.25">
      <c r="A397" s="1704">
        <v>1</v>
      </c>
      <c r="B397" s="1705">
        <v>2</v>
      </c>
      <c r="C397" s="1705">
        <v>3</v>
      </c>
      <c r="D397" s="1705">
        <v>4</v>
      </c>
      <c r="E397" s="1705">
        <v>5</v>
      </c>
      <c r="F397" s="1706">
        <v>6</v>
      </c>
      <c r="G397" s="1706">
        <v>7</v>
      </c>
      <c r="H397" s="1707">
        <v>8</v>
      </c>
      <c r="I397" s="1708" t="s">
        <v>848</v>
      </c>
    </row>
    <row r="398" spans="1:256" s="1684" customFormat="1" ht="15.75" thickTop="1" x14ac:dyDescent="0.2">
      <c r="A398" s="1757">
        <v>1552</v>
      </c>
      <c r="B398" s="1758">
        <v>3124</v>
      </c>
      <c r="C398" s="1758">
        <v>5213</v>
      </c>
      <c r="D398" s="1759"/>
      <c r="E398" s="1748" t="s">
        <v>1318</v>
      </c>
      <c r="F398" s="1755"/>
      <c r="G398" s="1755">
        <f>SUM(G399:G400)</f>
        <v>3167</v>
      </c>
      <c r="H398" s="1755">
        <f>SUM(H399:H400)</f>
        <v>3167</v>
      </c>
      <c r="I398" s="1760">
        <f>(H398/G398)*100</f>
        <v>100</v>
      </c>
      <c r="IV398" s="1698">
        <f>SUM(I398:IU398)</f>
        <v>100</v>
      </c>
    </row>
    <row r="399" spans="1:256" s="1684" customFormat="1" ht="15" x14ac:dyDescent="0.2">
      <c r="A399" s="1710"/>
      <c r="B399" s="1711"/>
      <c r="C399" s="1711"/>
      <c r="D399" s="1463" t="s">
        <v>1038</v>
      </c>
      <c r="E399" s="1422" t="s">
        <v>1039</v>
      </c>
      <c r="F399" s="1749"/>
      <c r="G399" s="1525">
        <v>36</v>
      </c>
      <c r="H399" s="1525">
        <v>36</v>
      </c>
      <c r="I399" s="1763">
        <v>100</v>
      </c>
      <c r="IV399" s="1698"/>
    </row>
    <row r="400" spans="1:256" s="1684" customFormat="1" ht="14.25" customHeight="1" thickBot="1" x14ac:dyDescent="0.25">
      <c r="A400" s="1710"/>
      <c r="B400" s="1711"/>
      <c r="C400" s="1711"/>
      <c r="D400" s="1178" t="s">
        <v>1274</v>
      </c>
      <c r="E400" s="1423" t="s">
        <v>0</v>
      </c>
      <c r="F400" s="1436"/>
      <c r="G400" s="1436">
        <v>3131</v>
      </c>
      <c r="H400" s="1436">
        <v>3131</v>
      </c>
      <c r="I400" s="1432">
        <f>(H400/G400)*100</f>
        <v>100</v>
      </c>
      <c r="IV400" s="1684">
        <f>SUM(A400:IU400)</f>
        <v>6362</v>
      </c>
    </row>
    <row r="401" spans="1:256" s="1684" customFormat="1" ht="20.25" customHeight="1" thickTop="1" thickBot="1" x14ac:dyDescent="0.25">
      <c r="A401" s="2743" t="s">
        <v>1246</v>
      </c>
      <c r="B401" s="2744"/>
      <c r="C401" s="2744"/>
      <c r="D401" s="2744"/>
      <c r="E401" s="2744"/>
      <c r="F401" s="1696">
        <f>SUM(F398)</f>
        <v>0</v>
      </c>
      <c r="G401" s="1696">
        <f>SUM(G398)</f>
        <v>3167</v>
      </c>
      <c r="H401" s="1696">
        <f>SUM(H398)</f>
        <v>3167</v>
      </c>
      <c r="I401" s="1697">
        <f>(H401/G401)*100</f>
        <v>100</v>
      </c>
      <c r="IV401" s="1698">
        <f>SUM(IV398:IV400)</f>
        <v>6462</v>
      </c>
    </row>
    <row r="402" spans="1:256" s="1684" customFormat="1" ht="15" thickTop="1" x14ac:dyDescent="0.2">
      <c r="B402" s="1699"/>
      <c r="D402" s="1700"/>
      <c r="F402" s="1737"/>
      <c r="G402" s="1737"/>
      <c r="H402" s="1737"/>
      <c r="I402" s="1738"/>
    </row>
    <row r="403" spans="1:256" s="1684" customFormat="1" ht="15" thickBot="1" x14ac:dyDescent="0.25">
      <c r="A403" s="1714" t="s">
        <v>1926</v>
      </c>
      <c r="B403" s="1699"/>
      <c r="D403" s="1700"/>
      <c r="F403" s="1737"/>
      <c r="G403" s="1737"/>
      <c r="H403" s="1737"/>
      <c r="I403" s="1739" t="s">
        <v>179</v>
      </c>
    </row>
    <row r="404" spans="1:256" s="1745" customFormat="1" ht="12.75" thickTop="1" thickBot="1" x14ac:dyDescent="0.25">
      <c r="A404" s="1740" t="s">
        <v>692</v>
      </c>
      <c r="B404" s="1741" t="s">
        <v>180</v>
      </c>
      <c r="C404" s="1742" t="s">
        <v>181</v>
      </c>
      <c r="D404" s="1743" t="s">
        <v>783</v>
      </c>
      <c r="E404" s="1743" t="s">
        <v>182</v>
      </c>
      <c r="F404" s="1743" t="s">
        <v>183</v>
      </c>
      <c r="G404" s="1743" t="s">
        <v>985</v>
      </c>
      <c r="H404" s="1743" t="s">
        <v>986</v>
      </c>
      <c r="I404" s="1744" t="s">
        <v>987</v>
      </c>
    </row>
    <row r="405" spans="1:256" s="1709" customFormat="1" ht="18" customHeight="1" thickTop="1" thickBot="1" x14ac:dyDescent="0.25">
      <c r="A405" s="1704">
        <v>1</v>
      </c>
      <c r="B405" s="1705">
        <v>2</v>
      </c>
      <c r="C405" s="1705">
        <v>3</v>
      </c>
      <c r="D405" s="1705">
        <v>4</v>
      </c>
      <c r="E405" s="1705">
        <v>5</v>
      </c>
      <c r="F405" s="1706">
        <v>6</v>
      </c>
      <c r="G405" s="1706">
        <v>7</v>
      </c>
      <c r="H405" s="1707">
        <v>8</v>
      </c>
      <c r="I405" s="1708" t="s">
        <v>848</v>
      </c>
    </row>
    <row r="406" spans="1:256" s="1684" customFormat="1" ht="15.75" thickTop="1" x14ac:dyDescent="0.2">
      <c r="A406" s="1757">
        <v>1553</v>
      </c>
      <c r="B406" s="1758">
        <v>3123</v>
      </c>
      <c r="C406" s="1758">
        <v>5213</v>
      </c>
      <c r="D406" s="1759"/>
      <c r="E406" s="1748" t="s">
        <v>1318</v>
      </c>
      <c r="F406" s="1755"/>
      <c r="G406" s="1755">
        <f>SUM(G407:G407)</f>
        <v>21232</v>
      </c>
      <c r="H406" s="1755">
        <f>SUM(H407:H407)</f>
        <v>21232</v>
      </c>
      <c r="I406" s="1760">
        <f>(H406/G406)*100</f>
        <v>100</v>
      </c>
      <c r="IV406" s="1698">
        <f>SUM(I406:IU406)</f>
        <v>100</v>
      </c>
    </row>
    <row r="407" spans="1:256" s="1684" customFormat="1" ht="15" thickBot="1" x14ac:dyDescent="0.25">
      <c r="A407" s="1710"/>
      <c r="B407" s="1711"/>
      <c r="C407" s="1711"/>
      <c r="D407" s="1178" t="s">
        <v>1274</v>
      </c>
      <c r="E407" s="1425" t="s">
        <v>0</v>
      </c>
      <c r="F407" s="1436"/>
      <c r="G407" s="1436">
        <v>21232</v>
      </c>
      <c r="H407" s="1436">
        <v>21232</v>
      </c>
      <c r="I407" s="1432">
        <f>(H407/G407)*100</f>
        <v>100</v>
      </c>
      <c r="IV407" s="1684">
        <f>SUM(A407:IU407)</f>
        <v>42564</v>
      </c>
    </row>
    <row r="408" spans="1:256" s="1684" customFormat="1" ht="16.5" thickTop="1" thickBot="1" x14ac:dyDescent="0.25">
      <c r="A408" s="2743" t="s">
        <v>1246</v>
      </c>
      <c r="B408" s="2744"/>
      <c r="C408" s="2744"/>
      <c r="D408" s="2744"/>
      <c r="E408" s="2744"/>
      <c r="F408" s="1696">
        <f>SUM(F406)</f>
        <v>0</v>
      </c>
      <c r="G408" s="1696">
        <f>G406</f>
        <v>21232</v>
      </c>
      <c r="H408" s="1696">
        <f>H406</f>
        <v>21232</v>
      </c>
      <c r="I408" s="1697">
        <f>(H408/G408)*100</f>
        <v>100</v>
      </c>
      <c r="IV408" s="1698">
        <f>SUM(IV406:IV407)</f>
        <v>42664</v>
      </c>
    </row>
    <row r="409" spans="1:256" s="1684" customFormat="1" ht="20.25" customHeight="1" thickTop="1" x14ac:dyDescent="0.2">
      <c r="B409" s="1699"/>
      <c r="D409" s="1700"/>
      <c r="F409" s="1737"/>
      <c r="G409" s="1737"/>
      <c r="H409" s="1737"/>
      <c r="I409" s="1738"/>
    </row>
    <row r="410" spans="1:256" s="1684" customFormat="1" ht="14.25" customHeight="1" thickBot="1" x14ac:dyDescent="0.25">
      <c r="A410" s="1714" t="s">
        <v>1054</v>
      </c>
      <c r="B410" s="1699"/>
      <c r="D410" s="1700"/>
      <c r="F410" s="1737"/>
      <c r="G410" s="1737"/>
      <c r="H410" s="1737"/>
      <c r="I410" s="1739" t="s">
        <v>179</v>
      </c>
    </row>
    <row r="411" spans="1:256" s="1745" customFormat="1" ht="12.75" thickTop="1" thickBot="1" x14ac:dyDescent="0.25">
      <c r="A411" s="1740" t="s">
        <v>692</v>
      </c>
      <c r="B411" s="1741" t="s">
        <v>180</v>
      </c>
      <c r="C411" s="1742" t="s">
        <v>181</v>
      </c>
      <c r="D411" s="1743" t="s">
        <v>783</v>
      </c>
      <c r="E411" s="1743" t="s">
        <v>182</v>
      </c>
      <c r="F411" s="1743" t="s">
        <v>183</v>
      </c>
      <c r="G411" s="1743" t="s">
        <v>985</v>
      </c>
      <c r="H411" s="1743" t="s">
        <v>986</v>
      </c>
      <c r="I411" s="1744" t="s">
        <v>987</v>
      </c>
    </row>
    <row r="412" spans="1:256" s="1709" customFormat="1" ht="13.5" thickTop="1" thickBot="1" x14ac:dyDescent="0.25">
      <c r="A412" s="1704">
        <v>1</v>
      </c>
      <c r="B412" s="1705">
        <v>2</v>
      </c>
      <c r="C412" s="1705">
        <v>3</v>
      </c>
      <c r="D412" s="1705">
        <v>4</v>
      </c>
      <c r="E412" s="1705">
        <v>5</v>
      </c>
      <c r="F412" s="1706">
        <v>6</v>
      </c>
      <c r="G412" s="1706">
        <v>7</v>
      </c>
      <c r="H412" s="1707">
        <v>8</v>
      </c>
      <c r="I412" s="1708" t="s">
        <v>848</v>
      </c>
    </row>
    <row r="413" spans="1:256" s="1684" customFormat="1" ht="18" customHeight="1" thickTop="1" x14ac:dyDescent="0.2">
      <c r="A413" s="1757">
        <v>1554</v>
      </c>
      <c r="B413" s="1758">
        <v>3123</v>
      </c>
      <c r="C413" s="1758">
        <v>5213</v>
      </c>
      <c r="D413" s="1759"/>
      <c r="E413" s="1748" t="s">
        <v>1318</v>
      </c>
      <c r="F413" s="1755"/>
      <c r="G413" s="1755">
        <f>SUM(G414:G415)</f>
        <v>9726</v>
      </c>
      <c r="H413" s="1755">
        <f>SUM(H414:H415)</f>
        <v>9726</v>
      </c>
      <c r="I413" s="1760">
        <f>(H413/G413)*100</f>
        <v>100</v>
      </c>
      <c r="IV413" s="1698">
        <f>SUM(I413:IU413)</f>
        <v>100</v>
      </c>
    </row>
    <row r="414" spans="1:256" s="1684" customFormat="1" x14ac:dyDescent="0.2">
      <c r="A414" s="1710"/>
      <c r="B414" s="1729"/>
      <c r="C414" s="1729"/>
      <c r="D414" s="1463" t="s">
        <v>1038</v>
      </c>
      <c r="E414" s="1422" t="s">
        <v>1039</v>
      </c>
      <c r="F414" s="1756"/>
      <c r="G414" s="1756">
        <v>56</v>
      </c>
      <c r="H414" s="1756">
        <v>56</v>
      </c>
      <c r="I414" s="1763">
        <v>100</v>
      </c>
      <c r="IV414" s="1698"/>
    </row>
    <row r="415" spans="1:256" s="1684" customFormat="1" ht="15" thickBot="1" x14ac:dyDescent="0.25">
      <c r="A415" s="1710"/>
      <c r="B415" s="1729"/>
      <c r="C415" s="1729"/>
      <c r="D415" s="1178" t="s">
        <v>1274</v>
      </c>
      <c r="E415" s="1423" t="s">
        <v>0</v>
      </c>
      <c r="F415" s="1431"/>
      <c r="G415" s="1431">
        <v>9670</v>
      </c>
      <c r="H415" s="1431">
        <v>9670</v>
      </c>
      <c r="I415" s="1763">
        <v>100</v>
      </c>
      <c r="IV415" s="1684">
        <f>SUM(A415:IU415)</f>
        <v>19440</v>
      </c>
    </row>
    <row r="416" spans="1:256" s="1684" customFormat="1" ht="16.5" thickTop="1" thickBot="1" x14ac:dyDescent="0.25">
      <c r="A416" s="2743" t="s">
        <v>1246</v>
      </c>
      <c r="B416" s="2744"/>
      <c r="C416" s="2744"/>
      <c r="D416" s="2744"/>
      <c r="E416" s="2744"/>
      <c r="F416" s="1696">
        <f>SUM(F413)</f>
        <v>0</v>
      </c>
      <c r="G416" s="1696">
        <f>SUM(G413,)</f>
        <v>9726</v>
      </c>
      <c r="H416" s="1696">
        <f>H413</f>
        <v>9726</v>
      </c>
      <c r="I416" s="1697">
        <f>(H416/G416)*100</f>
        <v>100</v>
      </c>
      <c r="IV416" s="1698">
        <f>SUM(IV413:IV415)</f>
        <v>19540</v>
      </c>
    </row>
    <row r="417" spans="1:256" s="1684" customFormat="1" ht="15" thickTop="1" x14ac:dyDescent="0.2">
      <c r="B417" s="1699"/>
      <c r="D417" s="1700"/>
      <c r="F417" s="1737"/>
      <c r="G417" s="1737"/>
      <c r="H417" s="1737"/>
      <c r="I417" s="1738"/>
    </row>
    <row r="418" spans="1:256" s="1684" customFormat="1" ht="15" thickBot="1" x14ac:dyDescent="0.25">
      <c r="A418" s="1714" t="s">
        <v>835</v>
      </c>
      <c r="B418" s="1699"/>
      <c r="D418" s="1700"/>
      <c r="F418" s="1737"/>
      <c r="G418" s="1737"/>
      <c r="H418" s="1737"/>
      <c r="I418" s="1739" t="s">
        <v>179</v>
      </c>
    </row>
    <row r="419" spans="1:256" s="1684" customFormat="1" thickTop="1" thickBot="1" x14ac:dyDescent="0.25">
      <c r="A419" s="1740" t="s">
        <v>692</v>
      </c>
      <c r="B419" s="1741" t="s">
        <v>180</v>
      </c>
      <c r="C419" s="1742" t="s">
        <v>181</v>
      </c>
      <c r="D419" s="1743" t="s">
        <v>783</v>
      </c>
      <c r="E419" s="1743" t="s">
        <v>182</v>
      </c>
      <c r="F419" s="1743" t="s">
        <v>183</v>
      </c>
      <c r="G419" s="1743" t="s">
        <v>985</v>
      </c>
      <c r="H419" s="1743" t="s">
        <v>986</v>
      </c>
      <c r="I419" s="1744" t="s">
        <v>987</v>
      </c>
    </row>
    <row r="420" spans="1:256" s="1684" customFormat="1" ht="14.25" customHeight="1" thickTop="1" thickBot="1" x14ac:dyDescent="0.25">
      <c r="A420" s="1704">
        <v>1</v>
      </c>
      <c r="B420" s="1705">
        <v>2</v>
      </c>
      <c r="C420" s="1705">
        <v>3</v>
      </c>
      <c r="D420" s="1705">
        <v>4</v>
      </c>
      <c r="E420" s="1705">
        <v>5</v>
      </c>
      <c r="F420" s="1706">
        <v>6</v>
      </c>
      <c r="G420" s="1706">
        <v>7</v>
      </c>
      <c r="H420" s="1707">
        <v>8</v>
      </c>
      <c r="I420" s="1708" t="s">
        <v>848</v>
      </c>
    </row>
    <row r="421" spans="1:256" s="1684" customFormat="1" ht="15.75" thickTop="1" x14ac:dyDescent="0.25">
      <c r="A421" s="1757">
        <v>1555</v>
      </c>
      <c r="B421" s="1758">
        <v>3150</v>
      </c>
      <c r="C421" s="1758">
        <v>5221</v>
      </c>
      <c r="D421" s="1759"/>
      <c r="E421" s="704" t="s">
        <v>1319</v>
      </c>
      <c r="F421" s="1755"/>
      <c r="G421" s="1755">
        <f>SUM(G422:G422)</f>
        <v>3222</v>
      </c>
      <c r="H421" s="1755">
        <f>SUM(H422:H422)</f>
        <v>3222</v>
      </c>
      <c r="I421" s="1760">
        <f>(H421/G421)*100</f>
        <v>100</v>
      </c>
    </row>
    <row r="422" spans="1:256" s="1684" customFormat="1" ht="15" thickBot="1" x14ac:dyDescent="0.25">
      <c r="A422" s="1710"/>
      <c r="B422" s="1729"/>
      <c r="C422" s="1729"/>
      <c r="D422" s="1178" t="s">
        <v>1274</v>
      </c>
      <c r="E422" s="1428" t="s">
        <v>0</v>
      </c>
      <c r="F422" s="1431"/>
      <c r="G422" s="1431">
        <v>3222</v>
      </c>
      <c r="H422" s="1431">
        <v>3222</v>
      </c>
      <c r="I422" s="1435">
        <f>(H422/G422)*100</f>
        <v>100</v>
      </c>
    </row>
    <row r="423" spans="1:256" s="1684" customFormat="1" ht="18" customHeight="1" thickTop="1" thickBot="1" x14ac:dyDescent="0.25">
      <c r="A423" s="2743" t="s">
        <v>1246</v>
      </c>
      <c r="B423" s="2744"/>
      <c r="C423" s="2744"/>
      <c r="D423" s="2744"/>
      <c r="E423" s="2744"/>
      <c r="F423" s="1696">
        <f>SUM(F421)</f>
        <v>0</v>
      </c>
      <c r="G423" s="1696">
        <f>SUM(G421)</f>
        <v>3222</v>
      </c>
      <c r="H423" s="1696">
        <f>SUM(H421)</f>
        <v>3222</v>
      </c>
      <c r="I423" s="1697">
        <f>(H423/G423)*100</f>
        <v>100</v>
      </c>
    </row>
    <row r="424" spans="1:256" s="1684" customFormat="1" ht="15" thickTop="1" x14ac:dyDescent="0.2">
      <c r="B424" s="1699"/>
      <c r="D424" s="1700"/>
      <c r="F424" s="1737"/>
      <c r="G424" s="1737"/>
      <c r="H424" s="1737"/>
      <c r="I424" s="1738"/>
    </row>
    <row r="425" spans="1:256" s="1684" customFormat="1" ht="15" thickBot="1" x14ac:dyDescent="0.25">
      <c r="A425" s="1714" t="s">
        <v>178</v>
      </c>
      <c r="B425" s="1699"/>
      <c r="D425" s="1700"/>
      <c r="F425" s="1737"/>
      <c r="G425" s="1737"/>
      <c r="H425" s="1737"/>
      <c r="I425" s="1739" t="s">
        <v>179</v>
      </c>
    </row>
    <row r="426" spans="1:256" s="1745" customFormat="1" ht="12.75" thickTop="1" thickBot="1" x14ac:dyDescent="0.25">
      <c r="A426" s="1740" t="s">
        <v>692</v>
      </c>
      <c r="B426" s="1741" t="s">
        <v>180</v>
      </c>
      <c r="C426" s="1742" t="s">
        <v>181</v>
      </c>
      <c r="D426" s="1743" t="s">
        <v>783</v>
      </c>
      <c r="E426" s="1743" t="s">
        <v>182</v>
      </c>
      <c r="F426" s="1743" t="s">
        <v>183</v>
      </c>
      <c r="G426" s="1743" t="s">
        <v>985</v>
      </c>
      <c r="H426" s="1743" t="s">
        <v>986</v>
      </c>
      <c r="I426" s="1744" t="s">
        <v>987</v>
      </c>
    </row>
    <row r="427" spans="1:256" s="1709" customFormat="1" ht="13.5" thickTop="1" thickBot="1" x14ac:dyDescent="0.25">
      <c r="A427" s="1704">
        <v>1</v>
      </c>
      <c r="B427" s="1705">
        <v>2</v>
      </c>
      <c r="C427" s="1705">
        <v>3</v>
      </c>
      <c r="D427" s="1705">
        <v>4</v>
      </c>
      <c r="E427" s="1705">
        <v>5</v>
      </c>
      <c r="F427" s="1706">
        <v>6</v>
      </c>
      <c r="G427" s="1706">
        <v>7</v>
      </c>
      <c r="H427" s="1707">
        <v>8</v>
      </c>
      <c r="I427" s="1708" t="s">
        <v>848</v>
      </c>
    </row>
    <row r="428" spans="1:256" s="1684" customFormat="1" ht="15.75" thickTop="1" x14ac:dyDescent="0.2">
      <c r="A428" s="1757">
        <v>1560</v>
      </c>
      <c r="B428" s="1758">
        <v>3231</v>
      </c>
      <c r="C428" s="1758">
        <v>5213</v>
      </c>
      <c r="D428" s="1759"/>
      <c r="E428" s="1748" t="s">
        <v>1318</v>
      </c>
      <c r="F428" s="1755"/>
      <c r="G428" s="1755">
        <f>SUM(G429:G429)</f>
        <v>2035</v>
      </c>
      <c r="H428" s="1755">
        <f>SUM(H429:H429)</f>
        <v>2035</v>
      </c>
      <c r="I428" s="1760">
        <f>(H428/G428)*100</f>
        <v>100</v>
      </c>
      <c r="IV428" s="1698">
        <f>SUM(I428:IU428)</f>
        <v>100</v>
      </c>
    </row>
    <row r="429" spans="1:256" s="1684" customFormat="1" ht="15" thickBot="1" x14ac:dyDescent="0.25">
      <c r="A429" s="1710"/>
      <c r="B429" s="1729"/>
      <c r="C429" s="1729"/>
      <c r="D429" s="1178" t="s">
        <v>1274</v>
      </c>
      <c r="E429" s="1425" t="s">
        <v>0</v>
      </c>
      <c r="F429" s="1431"/>
      <c r="G429" s="1431">
        <v>2035</v>
      </c>
      <c r="H429" s="1431">
        <v>2035</v>
      </c>
      <c r="I429" s="1435">
        <f>(H429/G429)*100</f>
        <v>100</v>
      </c>
      <c r="IV429" s="1684">
        <f>SUM(A429:IU429)</f>
        <v>4170</v>
      </c>
    </row>
    <row r="430" spans="1:256" s="1684" customFormat="1" ht="16.5" thickTop="1" thickBot="1" x14ac:dyDescent="0.25">
      <c r="A430" s="2743" t="s">
        <v>1246</v>
      </c>
      <c r="B430" s="2744"/>
      <c r="C430" s="2744"/>
      <c r="D430" s="2744"/>
      <c r="E430" s="2744"/>
      <c r="F430" s="1696">
        <f>SUM(F428)</f>
        <v>0</v>
      </c>
      <c r="G430" s="1696">
        <f>SUM(G428)</f>
        <v>2035</v>
      </c>
      <c r="H430" s="1696">
        <f>SUM(H428)</f>
        <v>2035</v>
      </c>
      <c r="I430" s="1697">
        <f>(H430/G430)*100</f>
        <v>100</v>
      </c>
      <c r="IV430" s="1698">
        <f>SUM(IV428:IV429)</f>
        <v>4270</v>
      </c>
    </row>
    <row r="431" spans="1:256" s="1684" customFormat="1" ht="15" thickTop="1" x14ac:dyDescent="0.2">
      <c r="B431" s="1699"/>
      <c r="D431" s="1700"/>
      <c r="F431" s="1737"/>
      <c r="G431" s="1737"/>
      <c r="H431" s="1737"/>
      <c r="I431" s="1738"/>
    </row>
    <row r="432" spans="1:256" s="1684" customFormat="1" ht="20.25" customHeight="1" thickBot="1" x14ac:dyDescent="0.25">
      <c r="A432" s="1714" t="s">
        <v>879</v>
      </c>
      <c r="B432" s="1699"/>
      <c r="D432" s="1700"/>
      <c r="F432" s="1737"/>
      <c r="G432" s="1737"/>
      <c r="H432" s="1737"/>
      <c r="I432" s="1739" t="s">
        <v>179</v>
      </c>
    </row>
    <row r="433" spans="1:256" s="1745" customFormat="1" ht="12.75" thickTop="1" thickBot="1" x14ac:dyDescent="0.25">
      <c r="A433" s="1740" t="s">
        <v>692</v>
      </c>
      <c r="B433" s="1741" t="s">
        <v>180</v>
      </c>
      <c r="C433" s="1742" t="s">
        <v>181</v>
      </c>
      <c r="D433" s="1743" t="s">
        <v>783</v>
      </c>
      <c r="E433" s="1743" t="s">
        <v>182</v>
      </c>
      <c r="F433" s="1743" t="s">
        <v>183</v>
      </c>
      <c r="G433" s="1743" t="s">
        <v>985</v>
      </c>
      <c r="H433" s="1743" t="s">
        <v>986</v>
      </c>
      <c r="I433" s="1744" t="s">
        <v>987</v>
      </c>
    </row>
    <row r="434" spans="1:256" s="1709" customFormat="1" ht="13.5" thickTop="1" thickBot="1" x14ac:dyDescent="0.25">
      <c r="A434" s="1704">
        <v>1</v>
      </c>
      <c r="B434" s="1705">
        <v>2</v>
      </c>
      <c r="C434" s="1705">
        <v>3</v>
      </c>
      <c r="D434" s="1705">
        <v>4</v>
      </c>
      <c r="E434" s="1705">
        <v>5</v>
      </c>
      <c r="F434" s="1706">
        <v>6</v>
      </c>
      <c r="G434" s="1706">
        <v>7</v>
      </c>
      <c r="H434" s="1707">
        <v>8</v>
      </c>
      <c r="I434" s="1708" t="s">
        <v>848</v>
      </c>
    </row>
    <row r="435" spans="1:256" s="1684" customFormat="1" ht="15.75" thickTop="1" x14ac:dyDescent="0.2">
      <c r="A435" s="1757">
        <v>1561</v>
      </c>
      <c r="B435" s="1758">
        <v>3231</v>
      </c>
      <c r="C435" s="1758">
        <v>5213</v>
      </c>
      <c r="D435" s="1759"/>
      <c r="E435" s="1748" t="s">
        <v>1318</v>
      </c>
      <c r="F435" s="1755"/>
      <c r="G435" s="1755">
        <f>SUM(G436:G436)</f>
        <v>506</v>
      </c>
      <c r="H435" s="1755">
        <f>SUM(H436:H436)</f>
        <v>506</v>
      </c>
      <c r="I435" s="1760">
        <f>(H435/G435)*100</f>
        <v>100</v>
      </c>
      <c r="IV435" s="1698">
        <f>SUM(I435:IU435)</f>
        <v>100</v>
      </c>
    </row>
    <row r="436" spans="1:256" s="1684" customFormat="1" ht="18" customHeight="1" thickBot="1" x14ac:dyDescent="0.25">
      <c r="A436" s="1710"/>
      <c r="B436" s="1729"/>
      <c r="C436" s="1729"/>
      <c r="D436" s="1178" t="s">
        <v>1274</v>
      </c>
      <c r="E436" s="1425" t="s">
        <v>0</v>
      </c>
      <c r="F436" s="1431"/>
      <c r="G436" s="1431">
        <v>506</v>
      </c>
      <c r="H436" s="1431">
        <v>506</v>
      </c>
      <c r="I436" s="1435">
        <f>(H436/G436)*100</f>
        <v>100</v>
      </c>
      <c r="IV436" s="1684">
        <f>SUM(A436:IU436)</f>
        <v>1112</v>
      </c>
    </row>
    <row r="437" spans="1:256" s="1684" customFormat="1" ht="16.5" thickTop="1" thickBot="1" x14ac:dyDescent="0.25">
      <c r="A437" s="2743" t="s">
        <v>1246</v>
      </c>
      <c r="B437" s="2744"/>
      <c r="C437" s="2744"/>
      <c r="D437" s="2744"/>
      <c r="E437" s="2744"/>
      <c r="F437" s="1696">
        <f>SUM(F435)</f>
        <v>0</v>
      </c>
      <c r="G437" s="1696">
        <f>SUM(G435)</f>
        <v>506</v>
      </c>
      <c r="H437" s="1696">
        <f>SUM(H435)</f>
        <v>506</v>
      </c>
      <c r="I437" s="1697">
        <f>(H437/G437)*100</f>
        <v>100</v>
      </c>
      <c r="K437" s="1698">
        <f>SUM(G437,G430,G416,G408,G401,G393,G382,G354,G346,G339,G325,G362,G370,G316,G307,G294,G286,G279,G272,G261,G230,G214,G194,G423,G245,G444,G254)</f>
        <v>173694</v>
      </c>
      <c r="L437" s="1698">
        <f>SUM(H437,H430,H416,H408,H401,H393,H382,H354,H346,H339,H325,H362,H370,H316,H307,H294,H286,H279,H272,H261,H230,H214,H194,H423,H245,H444,H254)</f>
        <v>173693</v>
      </c>
      <c r="IV437" s="1698">
        <f>SUM(IV435:IV436)</f>
        <v>1212</v>
      </c>
    </row>
    <row r="438" spans="1:256" s="1684" customFormat="1" ht="15" thickTop="1" x14ac:dyDescent="0.2">
      <c r="B438" s="1699"/>
      <c r="D438" s="1700"/>
      <c r="F438" s="1737"/>
      <c r="G438" s="1737"/>
      <c r="H438" s="1737"/>
      <c r="I438" s="1738"/>
      <c r="K438" s="1698"/>
      <c r="L438" s="1698"/>
    </row>
    <row r="439" spans="1:256" s="1684" customFormat="1" ht="15" thickBot="1" x14ac:dyDescent="0.25">
      <c r="A439" s="1714" t="s">
        <v>1927</v>
      </c>
      <c r="B439" s="1699"/>
      <c r="D439" s="1700"/>
      <c r="F439" s="1737"/>
      <c r="G439" s="1737"/>
      <c r="H439" s="1737"/>
      <c r="I439" s="1739" t="s">
        <v>179</v>
      </c>
    </row>
    <row r="440" spans="1:256" s="1745" customFormat="1" ht="12.75" thickTop="1" thickBot="1" x14ac:dyDescent="0.25">
      <c r="A440" s="1740" t="s">
        <v>692</v>
      </c>
      <c r="B440" s="1741" t="s">
        <v>180</v>
      </c>
      <c r="C440" s="1742" t="s">
        <v>181</v>
      </c>
      <c r="D440" s="1743" t="s">
        <v>783</v>
      </c>
      <c r="E440" s="1743" t="s">
        <v>182</v>
      </c>
      <c r="F440" s="1743" t="s">
        <v>183</v>
      </c>
      <c r="G440" s="1743" t="s">
        <v>985</v>
      </c>
      <c r="H440" s="1743" t="s">
        <v>986</v>
      </c>
      <c r="I440" s="1744" t="s">
        <v>987</v>
      </c>
    </row>
    <row r="441" spans="1:256" s="1709" customFormat="1" ht="13.5" thickTop="1" thickBot="1" x14ac:dyDescent="0.25">
      <c r="A441" s="1704">
        <v>1</v>
      </c>
      <c r="B441" s="1705">
        <v>2</v>
      </c>
      <c r="C441" s="1705">
        <v>3</v>
      </c>
      <c r="D441" s="1705">
        <v>4</v>
      </c>
      <c r="E441" s="1705">
        <v>5</v>
      </c>
      <c r="F441" s="1706">
        <v>6</v>
      </c>
      <c r="G441" s="1706">
        <v>7</v>
      </c>
      <c r="H441" s="1707">
        <v>8</v>
      </c>
      <c r="I441" s="1708" t="s">
        <v>848</v>
      </c>
    </row>
    <row r="442" spans="1:256" s="1684" customFormat="1" ht="20.25" customHeight="1" thickTop="1" x14ac:dyDescent="0.2">
      <c r="A442" s="1757">
        <v>1562</v>
      </c>
      <c r="B442" s="1758">
        <v>3231</v>
      </c>
      <c r="C442" s="1758">
        <v>5212</v>
      </c>
      <c r="D442" s="1759"/>
      <c r="E442" s="1748" t="s">
        <v>1928</v>
      </c>
      <c r="F442" s="1755"/>
      <c r="G442" s="1755">
        <f>SUM(G443:G443)</f>
        <v>557</v>
      </c>
      <c r="H442" s="1755">
        <f>SUM(H443:H443)</f>
        <v>557</v>
      </c>
      <c r="I442" s="1760">
        <f>(H442/G442)*100</f>
        <v>100</v>
      </c>
      <c r="IV442" s="1698">
        <f>SUM(I442:IU442)</f>
        <v>100</v>
      </c>
    </row>
    <row r="443" spans="1:256" s="1684" customFormat="1" ht="15" thickBot="1" x14ac:dyDescent="0.25">
      <c r="A443" s="1710"/>
      <c r="B443" s="1729"/>
      <c r="C443" s="1729"/>
      <c r="D443" s="1178" t="s">
        <v>1274</v>
      </c>
      <c r="E443" s="1425" t="s">
        <v>0</v>
      </c>
      <c r="F443" s="1431"/>
      <c r="G443" s="1431">
        <v>557</v>
      </c>
      <c r="H443" s="1431">
        <v>557</v>
      </c>
      <c r="I443" s="1435">
        <f>(H443/G443)*100</f>
        <v>100</v>
      </c>
      <c r="IV443" s="1684">
        <f>SUM(A443:IU443)</f>
        <v>1214</v>
      </c>
    </row>
    <row r="444" spans="1:256" s="1684" customFormat="1" ht="16.5" thickTop="1" thickBot="1" x14ac:dyDescent="0.25">
      <c r="A444" s="2743" t="s">
        <v>1246</v>
      </c>
      <c r="B444" s="2744"/>
      <c r="C444" s="2744"/>
      <c r="D444" s="2744"/>
      <c r="E444" s="2744"/>
      <c r="F444" s="1696">
        <f>SUM(F442)</f>
        <v>0</v>
      </c>
      <c r="G444" s="1696">
        <f>SUM(G442)</f>
        <v>557</v>
      </c>
      <c r="H444" s="1696">
        <f>SUM(H442)</f>
        <v>557</v>
      </c>
      <c r="I444" s="1697">
        <f>(H444/G444)*100</f>
        <v>100</v>
      </c>
      <c r="K444" s="1698">
        <f>K437+K184</f>
        <v>235251</v>
      </c>
      <c r="L444" s="1698">
        <f>L437+L184</f>
        <v>235250</v>
      </c>
      <c r="IV444" s="1698">
        <f>SUM(IV442:IV443)</f>
        <v>1314</v>
      </c>
    </row>
    <row r="445" spans="1:256" s="1684" customFormat="1" ht="15" thickTop="1" x14ac:dyDescent="0.2">
      <c r="B445" s="1699"/>
      <c r="D445" s="1700"/>
      <c r="F445" s="1737"/>
      <c r="G445" s="1737"/>
      <c r="H445" s="1737"/>
      <c r="I445" s="1738"/>
    </row>
  </sheetData>
  <mergeCells count="43">
    <mergeCell ref="A354:E354"/>
    <mergeCell ref="A362:E362"/>
    <mergeCell ref="A382:E382"/>
    <mergeCell ref="A393:E393"/>
    <mergeCell ref="A401:E401"/>
    <mergeCell ref="A370:E370"/>
    <mergeCell ref="A423:E423"/>
    <mergeCell ref="A430:E430"/>
    <mergeCell ref="A437:E437"/>
    <mergeCell ref="A444:E444"/>
    <mergeCell ref="A408:E408"/>
    <mergeCell ref="A416:E416"/>
    <mergeCell ref="A307:E307"/>
    <mergeCell ref="A316:E316"/>
    <mergeCell ref="A325:E325"/>
    <mergeCell ref="A339:E339"/>
    <mergeCell ref="A346:E346"/>
    <mergeCell ref="A254:E254"/>
    <mergeCell ref="A261:E261"/>
    <mergeCell ref="D269:D270"/>
    <mergeCell ref="E269:E270"/>
    <mergeCell ref="A272:E272"/>
    <mergeCell ref="A151:E151"/>
    <mergeCell ref="A168:E168"/>
    <mergeCell ref="A184:E184"/>
    <mergeCell ref="A194:E194"/>
    <mergeCell ref="A214:E214"/>
    <mergeCell ref="A12:E12"/>
    <mergeCell ref="A286:E286"/>
    <mergeCell ref="A294:E294"/>
    <mergeCell ref="A279:E279"/>
    <mergeCell ref="A230:E230"/>
    <mergeCell ref="A245:E245"/>
    <mergeCell ref="A22:E22"/>
    <mergeCell ref="A32:E32"/>
    <mergeCell ref="A42:E42"/>
    <mergeCell ref="A51:E51"/>
    <mergeCell ref="A60:E60"/>
    <mergeCell ref="A74:E74"/>
    <mergeCell ref="A83:E83"/>
    <mergeCell ref="A102:E102"/>
    <mergeCell ref="A113:E113"/>
    <mergeCell ref="A129:E129"/>
  </mergeCells>
  <phoneticPr fontId="0" type="noConversion"/>
  <pageMargins left="0.98425196850393704" right="0.98425196850393704" top="0.98425196850393704" bottom="0.98425196850393704" header="0.51181102362204722" footer="0.51181102362204722"/>
  <pageSetup paperSize="9" scale="70" firstPageNumber="88" orientation="portrait" useFirstPageNumber="1" r:id="rId1"/>
  <headerFooter alignWithMargins="0">
    <oddFooter xml:space="preserve">&amp;L&amp;"Arial,Kurzíva"Zastupitelstvo Olomouckého kraje 28. 6. 2013
6.- Závěrečný  účet Olomuckého kraje za rok 2012
Příloha č. 3: Plnění rozpočtu výdajů Olomouckého kraje k 31.12.2012&amp;R&amp;"Arial,Kurzíva"Strana &amp;P (Celkem 484)
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" enableFormatConditionsCalculation="0">
    <tabColor rgb="FF92D050"/>
  </sheetPr>
  <dimension ref="A1:U635"/>
  <sheetViews>
    <sheetView showGridLines="0" view="pageBreakPreview" zoomScaleNormal="100" zoomScaleSheetLayoutView="100" workbookViewId="0">
      <selection activeCell="E20" sqref="E20"/>
    </sheetView>
  </sheetViews>
  <sheetFormatPr defaultRowHeight="14.25" x14ac:dyDescent="0.2"/>
  <cols>
    <col min="1" max="2" width="4.7109375" style="2020" customWidth="1"/>
    <col min="3" max="3" width="8.7109375" style="691" customWidth="1"/>
    <col min="4" max="4" width="44.28515625" style="384" customWidth="1"/>
    <col min="5" max="5" width="13.5703125" style="2018" customWidth="1"/>
    <col min="6" max="6" width="13.7109375" style="2018" customWidth="1"/>
    <col min="7" max="7" width="15.5703125" style="2018" customWidth="1"/>
    <col min="8" max="8" width="8.140625" style="825" customWidth="1"/>
    <col min="9" max="9" width="9.140625" style="384"/>
    <col min="10" max="12" width="12.42578125" style="384" bestFit="1" customWidth="1"/>
    <col min="13" max="13" width="10.42578125" style="384" customWidth="1"/>
    <col min="14" max="16384" width="9.140625" style="384"/>
  </cols>
  <sheetData>
    <row r="1" spans="1:9" s="688" customFormat="1" ht="18.75" thickBot="1" x14ac:dyDescent="0.3">
      <c r="A1" s="501" t="s">
        <v>982</v>
      </c>
      <c r="B1" s="502"/>
      <c r="C1" s="508"/>
      <c r="D1" s="504"/>
      <c r="E1" s="509"/>
      <c r="F1" s="510" t="s">
        <v>990</v>
      </c>
      <c r="G1" s="511"/>
      <c r="H1" s="850"/>
    </row>
    <row r="2" spans="1:9" x14ac:dyDescent="0.2">
      <c r="A2" s="2019"/>
    </row>
    <row r="3" spans="1:9" s="547" customFormat="1" x14ac:dyDescent="0.2">
      <c r="A3" s="2021" t="s">
        <v>404</v>
      </c>
      <c r="B3" s="2022"/>
      <c r="C3" s="1648" t="s">
        <v>1954</v>
      </c>
      <c r="E3" s="2018"/>
      <c r="F3" s="2018"/>
      <c r="G3" s="2018"/>
      <c r="H3" s="825"/>
    </row>
    <row r="4" spans="1:9" x14ac:dyDescent="0.2">
      <c r="A4" s="2019"/>
      <c r="C4" s="1648" t="s">
        <v>1953</v>
      </c>
    </row>
    <row r="5" spans="1:9" x14ac:dyDescent="0.2">
      <c r="A5" s="2019"/>
      <c r="C5" s="2023"/>
    </row>
    <row r="6" spans="1:9" x14ac:dyDescent="0.2">
      <c r="A6" s="2019"/>
      <c r="C6" s="2023"/>
    </row>
    <row r="7" spans="1:9" s="439" customFormat="1" ht="15.75" x14ac:dyDescent="0.25">
      <c r="A7" s="701" t="s">
        <v>988</v>
      </c>
      <c r="B7" s="2046"/>
      <c r="C7" s="863"/>
      <c r="E7" s="511"/>
      <c r="F7" s="511"/>
      <c r="G7" s="511"/>
      <c r="H7" s="850"/>
    </row>
    <row r="9" spans="1:9" ht="15" thickBot="1" x14ac:dyDescent="0.25">
      <c r="H9" s="2025" t="s">
        <v>179</v>
      </c>
    </row>
    <row r="10" spans="1:9" s="107" customFormat="1" ht="20.25" customHeight="1" thickTop="1" thickBot="1" x14ac:dyDescent="0.25">
      <c r="A10" s="657" t="s">
        <v>180</v>
      </c>
      <c r="B10" s="658" t="s">
        <v>181</v>
      </c>
      <c r="C10" s="702" t="s">
        <v>783</v>
      </c>
      <c r="D10" s="660" t="s">
        <v>182</v>
      </c>
      <c r="E10" s="660" t="s">
        <v>183</v>
      </c>
      <c r="F10" s="660" t="s">
        <v>985</v>
      </c>
      <c r="G10" s="660" t="s">
        <v>986</v>
      </c>
      <c r="H10" s="661" t="s">
        <v>987</v>
      </c>
    </row>
    <row r="11" spans="1:9" s="386" customFormat="1" ht="13.5" thickTop="1" thickBot="1" x14ac:dyDescent="0.25">
      <c r="A11" s="592">
        <v>1</v>
      </c>
      <c r="B11" s="593">
        <v>2</v>
      </c>
      <c r="C11" s="593">
        <v>3</v>
      </c>
      <c r="D11" s="593">
        <v>4</v>
      </c>
      <c r="E11" s="593">
        <v>5</v>
      </c>
      <c r="F11" s="567">
        <v>6</v>
      </c>
      <c r="G11" s="567">
        <v>7</v>
      </c>
      <c r="H11" s="662" t="s">
        <v>61</v>
      </c>
      <c r="I11" s="107"/>
    </row>
    <row r="12" spans="1:9" s="2048" customFormat="1" ht="15.75" thickTop="1" x14ac:dyDescent="0.25">
      <c r="A12" s="1490">
        <v>4339</v>
      </c>
      <c r="B12" s="85">
        <v>5169</v>
      </c>
      <c r="C12" s="2047"/>
      <c r="D12" s="128" t="s">
        <v>955</v>
      </c>
      <c r="E12" s="71">
        <v>900</v>
      </c>
      <c r="F12" s="313">
        <v>900</v>
      </c>
      <c r="G12" s="315">
        <v>895</v>
      </c>
      <c r="H12" s="212">
        <f t="shared" ref="H12:H20" si="0">(G12/F12)*100</f>
        <v>99.444444444444443</v>
      </c>
    </row>
    <row r="13" spans="1:9" s="2048" customFormat="1" ht="15" x14ac:dyDescent="0.25">
      <c r="A13" s="1490">
        <v>4349</v>
      </c>
      <c r="B13" s="268">
        <v>5169</v>
      </c>
      <c r="C13" s="2047"/>
      <c r="D13" s="128" t="s">
        <v>955</v>
      </c>
      <c r="E13" s="71">
        <f>E14+E15+E16</f>
        <v>430</v>
      </c>
      <c r="F13" s="71">
        <f>F14+F15+F16</f>
        <v>610</v>
      </c>
      <c r="G13" s="71">
        <f>G14+G15+G16</f>
        <v>560</v>
      </c>
      <c r="H13" s="212">
        <f t="shared" si="0"/>
        <v>91.803278688524586</v>
      </c>
    </row>
    <row r="14" spans="1:9" s="1166" customFormat="1" x14ac:dyDescent="0.2">
      <c r="A14" s="1490"/>
      <c r="B14" s="85"/>
      <c r="C14" s="1179" t="s">
        <v>838</v>
      </c>
      <c r="D14" s="1173" t="s">
        <v>1415</v>
      </c>
      <c r="E14" s="55">
        <v>430</v>
      </c>
      <c r="F14" s="314">
        <v>430</v>
      </c>
      <c r="G14" s="316">
        <v>415</v>
      </c>
      <c r="H14" s="1184">
        <f t="shared" si="0"/>
        <v>96.511627906976756</v>
      </c>
    </row>
    <row r="15" spans="1:9" s="1166" customFormat="1" x14ac:dyDescent="0.2">
      <c r="A15" s="1490"/>
      <c r="B15" s="85"/>
      <c r="C15" s="1178" t="s">
        <v>743</v>
      </c>
      <c r="D15" s="166" t="s">
        <v>744</v>
      </c>
      <c r="E15" s="55"/>
      <c r="F15" s="314">
        <v>50</v>
      </c>
      <c r="G15" s="316">
        <v>50</v>
      </c>
      <c r="H15" s="1184">
        <f t="shared" si="0"/>
        <v>100</v>
      </c>
    </row>
    <row r="16" spans="1:9" s="1166" customFormat="1" ht="25.5" x14ac:dyDescent="0.2">
      <c r="A16" s="1490"/>
      <c r="B16" s="85"/>
      <c r="C16" s="1178" t="s">
        <v>236</v>
      </c>
      <c r="D16" s="2010" t="s">
        <v>1392</v>
      </c>
      <c r="E16" s="55"/>
      <c r="F16" s="1470">
        <v>130</v>
      </c>
      <c r="G16" s="1469">
        <v>95</v>
      </c>
      <c r="H16" s="1489">
        <f t="shared" si="0"/>
        <v>73.076923076923066</v>
      </c>
    </row>
    <row r="17" spans="1:21" s="1166" customFormat="1" ht="15" x14ac:dyDescent="0.25">
      <c r="A17" s="1490">
        <v>4349</v>
      </c>
      <c r="B17" s="85">
        <v>5213</v>
      </c>
      <c r="C17" s="1178"/>
      <c r="D17" s="1167" t="s">
        <v>682</v>
      </c>
      <c r="E17" s="55"/>
      <c r="F17" s="379">
        <v>61</v>
      </c>
      <c r="G17" s="463">
        <v>61</v>
      </c>
      <c r="H17" s="212">
        <f t="shared" si="0"/>
        <v>100</v>
      </c>
    </row>
    <row r="18" spans="1:21" s="1166" customFormat="1" x14ac:dyDescent="0.2">
      <c r="A18" s="1490"/>
      <c r="B18" s="85"/>
      <c r="C18" s="1178" t="s">
        <v>1744</v>
      </c>
      <c r="D18" s="2706" t="s">
        <v>1745</v>
      </c>
      <c r="E18" s="55"/>
      <c r="F18" s="1470">
        <v>61</v>
      </c>
      <c r="G18" s="1469">
        <v>61</v>
      </c>
      <c r="H18" s="1184">
        <f t="shared" si="0"/>
        <v>100</v>
      </c>
    </row>
    <row r="19" spans="1:21" s="1166" customFormat="1" x14ac:dyDescent="0.2">
      <c r="A19" s="1490"/>
      <c r="B19" s="85"/>
      <c r="C19" s="1178"/>
      <c r="D19" s="2707"/>
      <c r="E19" s="55"/>
      <c r="F19" s="1470"/>
      <c r="G19" s="1469"/>
      <c r="H19" s="1489"/>
    </row>
    <row r="20" spans="1:21" s="2048" customFormat="1" ht="15" x14ac:dyDescent="0.25">
      <c r="A20" s="1280">
        <v>4349</v>
      </c>
      <c r="B20" s="268">
        <v>5221</v>
      </c>
      <c r="C20" s="2049"/>
      <c r="D20" s="2772" t="s">
        <v>765</v>
      </c>
      <c r="E20" s="60"/>
      <c r="F20" s="315">
        <f>F22+F23+F24</f>
        <v>1291</v>
      </c>
      <c r="G20" s="315">
        <f>G22+G23+G24</f>
        <v>1291</v>
      </c>
      <c r="H20" s="212">
        <f t="shared" si="0"/>
        <v>100</v>
      </c>
      <c r="I20" s="2050"/>
      <c r="J20" s="2050"/>
      <c r="K20" s="2050"/>
      <c r="L20" s="2050"/>
      <c r="M20" s="2050"/>
      <c r="N20" s="2050"/>
      <c r="O20" s="2050"/>
      <c r="P20" s="2050"/>
      <c r="Q20" s="2050"/>
      <c r="R20" s="2050"/>
      <c r="S20" s="2050"/>
      <c r="T20" s="2050"/>
      <c r="U20" s="2050"/>
    </row>
    <row r="21" spans="1:21" s="1166" customFormat="1" x14ac:dyDescent="0.2">
      <c r="A21" s="1280"/>
      <c r="B21" s="268"/>
      <c r="C21" s="1178"/>
      <c r="D21" s="2772"/>
      <c r="E21" s="124"/>
      <c r="F21" s="314"/>
      <c r="G21" s="316"/>
      <c r="H21" s="1184"/>
      <c r="I21" s="1219"/>
      <c r="J21" s="1219"/>
      <c r="K21" s="1219"/>
      <c r="L21" s="1219"/>
      <c r="M21" s="1219"/>
      <c r="N21" s="1219"/>
      <c r="O21" s="1219"/>
      <c r="P21" s="1219"/>
      <c r="Q21" s="1219"/>
      <c r="R21" s="1219"/>
      <c r="S21" s="1219"/>
      <c r="T21" s="1219"/>
      <c r="U21" s="1219"/>
    </row>
    <row r="22" spans="1:21" s="1166" customFormat="1" x14ac:dyDescent="0.2">
      <c r="A22" s="1280"/>
      <c r="B22" s="268"/>
      <c r="C22" s="1226" t="s">
        <v>801</v>
      </c>
      <c r="D22" s="2026" t="s">
        <v>802</v>
      </c>
      <c r="E22" s="124"/>
      <c r="F22" s="314">
        <v>35</v>
      </c>
      <c r="G22" s="316">
        <v>35</v>
      </c>
      <c r="H22" s="1184">
        <f>(G22/F22)*100</f>
        <v>100</v>
      </c>
      <c r="I22" s="1219"/>
      <c r="J22" s="1219"/>
      <c r="K22" s="1219"/>
      <c r="L22" s="1219"/>
      <c r="M22" s="1219"/>
      <c r="N22" s="1219"/>
      <c r="O22" s="1219"/>
      <c r="P22" s="1219"/>
      <c r="Q22" s="1219"/>
      <c r="R22" s="1219"/>
      <c r="S22" s="1219"/>
      <c r="T22" s="1219"/>
      <c r="U22" s="1219"/>
    </row>
    <row r="23" spans="1:21" s="1166" customFormat="1" x14ac:dyDescent="0.2">
      <c r="A23" s="1280"/>
      <c r="B23" s="268"/>
      <c r="C23" s="1178" t="s">
        <v>68</v>
      </c>
      <c r="D23" s="2027" t="s">
        <v>69</v>
      </c>
      <c r="E23" s="124"/>
      <c r="F23" s="314">
        <v>41</v>
      </c>
      <c r="G23" s="316">
        <v>41</v>
      </c>
      <c r="H23" s="1184">
        <f>(G23/F23)*100</f>
        <v>100</v>
      </c>
      <c r="I23" s="1219"/>
      <c r="J23" s="1219"/>
      <c r="K23" s="1219"/>
      <c r="L23" s="1219"/>
      <c r="M23" s="1219"/>
      <c r="N23" s="1219"/>
      <c r="O23" s="1219"/>
      <c r="P23" s="1219"/>
      <c r="Q23" s="1219"/>
      <c r="R23" s="1219"/>
      <c r="S23" s="1219"/>
      <c r="T23" s="1219"/>
      <c r="U23" s="1219"/>
    </row>
    <row r="24" spans="1:21" s="1166" customFormat="1" x14ac:dyDescent="0.2">
      <c r="A24" s="1280"/>
      <c r="B24" s="268"/>
      <c r="C24" s="1178" t="s">
        <v>1744</v>
      </c>
      <c r="D24" s="2706" t="s">
        <v>1745</v>
      </c>
      <c r="E24" s="124"/>
      <c r="F24" s="314">
        <v>1215</v>
      </c>
      <c r="G24" s="316">
        <v>1215</v>
      </c>
      <c r="H24" s="1184">
        <f>(G24/F24)*100</f>
        <v>100</v>
      </c>
      <c r="I24" s="1219"/>
      <c r="J24" s="1219"/>
      <c r="K24" s="1219"/>
      <c r="L24" s="1219"/>
      <c r="M24" s="1219"/>
      <c r="N24" s="1219"/>
      <c r="O24" s="1219"/>
      <c r="P24" s="1219"/>
      <c r="Q24" s="1219"/>
      <c r="R24" s="1219"/>
      <c r="S24" s="1219"/>
      <c r="T24" s="1219"/>
      <c r="U24" s="1219"/>
    </row>
    <row r="25" spans="1:21" s="1166" customFormat="1" x14ac:dyDescent="0.2">
      <c r="A25" s="1280"/>
      <c r="B25" s="268"/>
      <c r="C25" s="1178"/>
      <c r="D25" s="2707"/>
      <c r="E25" s="124"/>
      <c r="F25" s="314"/>
      <c r="G25" s="316"/>
      <c r="H25" s="1184"/>
      <c r="I25" s="1219"/>
      <c r="J25" s="1219"/>
      <c r="K25" s="1219"/>
      <c r="L25" s="1219"/>
      <c r="M25" s="1219"/>
      <c r="N25" s="1219"/>
      <c r="O25" s="1219"/>
      <c r="P25" s="1219"/>
      <c r="Q25" s="1219"/>
      <c r="R25" s="1219"/>
      <c r="S25" s="1219"/>
      <c r="T25" s="1219"/>
      <c r="U25" s="1219"/>
    </row>
    <row r="26" spans="1:21" s="2048" customFormat="1" ht="15" x14ac:dyDescent="0.25">
      <c r="A26" s="1280">
        <v>4349</v>
      </c>
      <c r="B26" s="268">
        <v>5222</v>
      </c>
      <c r="C26" s="2049"/>
      <c r="D26" s="1279" t="s">
        <v>358</v>
      </c>
      <c r="E26" s="60"/>
      <c r="F26" s="315">
        <f>F27+F28+F29</f>
        <v>3895</v>
      </c>
      <c r="G26" s="315">
        <f>G27+G28+G29</f>
        <v>3895</v>
      </c>
      <c r="H26" s="212">
        <f>(G26/F26)*100</f>
        <v>100</v>
      </c>
      <c r="I26" s="2050"/>
      <c r="J26" s="2050"/>
      <c r="K26" s="2050"/>
      <c r="L26" s="2050"/>
      <c r="M26" s="2050"/>
      <c r="N26" s="2050"/>
      <c r="O26" s="2050"/>
      <c r="P26" s="2050"/>
      <c r="Q26" s="2050"/>
      <c r="R26" s="2050"/>
      <c r="S26" s="2050"/>
      <c r="T26" s="2050"/>
      <c r="U26" s="2050"/>
    </row>
    <row r="27" spans="1:21" s="1166" customFormat="1" x14ac:dyDescent="0.2">
      <c r="A27" s="1280"/>
      <c r="B27" s="268"/>
      <c r="C27" s="1226" t="s">
        <v>801</v>
      </c>
      <c r="D27" s="2026" t="s">
        <v>802</v>
      </c>
      <c r="E27" s="124"/>
      <c r="F27" s="314">
        <v>30</v>
      </c>
      <c r="G27" s="316">
        <v>30</v>
      </c>
      <c r="H27" s="1184">
        <f t="shared" ref="H27:H33" si="1">(G27/F27)*100</f>
        <v>100</v>
      </c>
      <c r="I27" s="1219"/>
      <c r="J27" s="1219"/>
      <c r="K27" s="1219"/>
      <c r="L27" s="1219"/>
      <c r="M27" s="1219"/>
      <c r="N27" s="1219"/>
      <c r="O27" s="1219"/>
      <c r="P27" s="1219"/>
      <c r="Q27" s="1219"/>
      <c r="R27" s="1219"/>
      <c r="S27" s="1219"/>
      <c r="T27" s="1219"/>
      <c r="U27" s="1219"/>
    </row>
    <row r="28" spans="1:21" s="1166" customFormat="1" x14ac:dyDescent="0.2">
      <c r="A28" s="1280"/>
      <c r="B28" s="268"/>
      <c r="C28" s="1178" t="s">
        <v>68</v>
      </c>
      <c r="D28" s="2027" t="s">
        <v>69</v>
      </c>
      <c r="E28" s="124"/>
      <c r="F28" s="314">
        <v>109</v>
      </c>
      <c r="G28" s="316">
        <v>109</v>
      </c>
      <c r="H28" s="1184">
        <f t="shared" si="1"/>
        <v>100</v>
      </c>
      <c r="I28" s="1219"/>
      <c r="J28" s="1219"/>
      <c r="K28" s="1219"/>
      <c r="L28" s="1219"/>
      <c r="M28" s="1219"/>
      <c r="N28" s="1219"/>
      <c r="O28" s="1219"/>
      <c r="P28" s="1219"/>
      <c r="Q28" s="1219"/>
      <c r="R28" s="1219"/>
      <c r="S28" s="1219"/>
      <c r="T28" s="1219"/>
      <c r="U28" s="1219"/>
    </row>
    <row r="29" spans="1:21" s="1166" customFormat="1" x14ac:dyDescent="0.2">
      <c r="A29" s="1280"/>
      <c r="B29" s="268"/>
      <c r="C29" s="1178" t="s">
        <v>1744</v>
      </c>
      <c r="D29" s="2706" t="s">
        <v>1745</v>
      </c>
      <c r="E29" s="124"/>
      <c r="F29" s="314">
        <v>3756</v>
      </c>
      <c r="G29" s="316">
        <v>3756</v>
      </c>
      <c r="H29" s="1184">
        <f t="shared" si="1"/>
        <v>100</v>
      </c>
      <c r="I29" s="1219"/>
      <c r="J29" s="1219"/>
      <c r="K29" s="1219"/>
      <c r="L29" s="1219"/>
      <c r="M29" s="1219"/>
      <c r="N29" s="1219"/>
      <c r="O29" s="1219"/>
      <c r="P29" s="1219"/>
      <c r="Q29" s="1219"/>
      <c r="R29" s="1219"/>
      <c r="S29" s="1219"/>
      <c r="T29" s="1219"/>
      <c r="U29" s="1219"/>
    </row>
    <row r="30" spans="1:21" s="1166" customFormat="1" x14ac:dyDescent="0.2">
      <c r="A30" s="1280"/>
      <c r="B30" s="268"/>
      <c r="C30" s="1178"/>
      <c r="D30" s="2707"/>
      <c r="E30" s="124"/>
      <c r="F30" s="314"/>
      <c r="G30" s="316"/>
      <c r="H30" s="1184"/>
      <c r="I30" s="1219"/>
      <c r="J30" s="1219"/>
      <c r="K30" s="1219"/>
      <c r="L30" s="1219"/>
      <c r="M30" s="1219"/>
      <c r="N30" s="1219"/>
      <c r="O30" s="1219"/>
      <c r="P30" s="1219"/>
      <c r="Q30" s="1219"/>
      <c r="R30" s="1219"/>
      <c r="S30" s="1219"/>
      <c r="T30" s="1219"/>
      <c r="U30" s="1219"/>
    </row>
    <row r="31" spans="1:21" s="2048" customFormat="1" ht="15" x14ac:dyDescent="0.25">
      <c r="A31" s="1280">
        <v>4349</v>
      </c>
      <c r="B31" s="268">
        <v>5223</v>
      </c>
      <c r="C31" s="2049"/>
      <c r="D31" s="309" t="s">
        <v>1393</v>
      </c>
      <c r="E31" s="60"/>
      <c r="F31" s="313">
        <f>F32+F33+F34</f>
        <v>2938</v>
      </c>
      <c r="G31" s="315">
        <f>G32+G33+G34</f>
        <v>2938</v>
      </c>
      <c r="H31" s="212">
        <f>(G31/F31)*100</f>
        <v>100</v>
      </c>
      <c r="I31" s="2050"/>
      <c r="J31" s="2050"/>
      <c r="K31" s="2050"/>
      <c r="L31" s="2050"/>
      <c r="M31" s="2050"/>
      <c r="N31" s="2050"/>
      <c r="O31" s="2050"/>
      <c r="P31" s="2050"/>
      <c r="Q31" s="2050"/>
      <c r="R31" s="2050"/>
      <c r="S31" s="2050"/>
      <c r="T31" s="2050"/>
      <c r="U31" s="2050"/>
    </row>
    <row r="32" spans="1:21" s="1166" customFormat="1" x14ac:dyDescent="0.2">
      <c r="A32" s="1280"/>
      <c r="B32" s="268"/>
      <c r="C32" s="1226" t="s">
        <v>801</v>
      </c>
      <c r="D32" s="2026" t="s">
        <v>802</v>
      </c>
      <c r="E32" s="124"/>
      <c r="F32" s="314">
        <v>35</v>
      </c>
      <c r="G32" s="316">
        <v>35</v>
      </c>
      <c r="H32" s="1184">
        <f t="shared" si="1"/>
        <v>100</v>
      </c>
      <c r="I32" s="1219"/>
      <c r="J32" s="1219"/>
      <c r="K32" s="1219"/>
      <c r="L32" s="1219"/>
      <c r="M32" s="1219"/>
      <c r="N32" s="1219"/>
      <c r="O32" s="1219"/>
      <c r="P32" s="1219"/>
      <c r="Q32" s="1219"/>
      <c r="R32" s="1219"/>
      <c r="S32" s="1219"/>
      <c r="T32" s="1219"/>
      <c r="U32" s="1219"/>
    </row>
    <row r="33" spans="1:21" s="1166" customFormat="1" x14ac:dyDescent="0.2">
      <c r="A33" s="1280"/>
      <c r="B33" s="268"/>
      <c r="C33" s="1178" t="s">
        <v>1744</v>
      </c>
      <c r="D33" s="2706" t="s">
        <v>1745</v>
      </c>
      <c r="E33" s="124"/>
      <c r="F33" s="314">
        <v>2903</v>
      </c>
      <c r="G33" s="316">
        <v>2903</v>
      </c>
      <c r="H33" s="1184">
        <f t="shared" si="1"/>
        <v>100</v>
      </c>
      <c r="I33" s="1219"/>
      <c r="J33" s="1219"/>
      <c r="K33" s="1219"/>
      <c r="L33" s="1219"/>
      <c r="M33" s="1219"/>
      <c r="N33" s="1219"/>
      <c r="O33" s="1219"/>
      <c r="P33" s="1219"/>
      <c r="Q33" s="1219"/>
      <c r="R33" s="1219"/>
      <c r="S33" s="1219"/>
      <c r="T33" s="1219"/>
      <c r="U33" s="1219"/>
    </row>
    <row r="34" spans="1:21" s="1166" customFormat="1" x14ac:dyDescent="0.2">
      <c r="A34" s="1280"/>
      <c r="B34" s="268"/>
      <c r="C34" s="1178"/>
      <c r="D34" s="2707"/>
      <c r="E34" s="124"/>
      <c r="F34" s="314"/>
      <c r="G34" s="316"/>
      <c r="H34" s="1184"/>
      <c r="I34" s="1219"/>
      <c r="J34" s="1219"/>
      <c r="K34" s="1219"/>
      <c r="L34" s="1219"/>
      <c r="M34" s="1219"/>
      <c r="N34" s="1219"/>
      <c r="O34" s="1219"/>
      <c r="P34" s="1219"/>
      <c r="Q34" s="1219"/>
      <c r="R34" s="1219"/>
      <c r="S34" s="1219"/>
      <c r="T34" s="1219"/>
      <c r="U34" s="1219"/>
    </row>
    <row r="35" spans="1:21" s="2048" customFormat="1" ht="12.75" customHeight="1" x14ac:dyDescent="0.25">
      <c r="A35" s="1280">
        <v>4349</v>
      </c>
      <c r="B35" s="268">
        <v>5229</v>
      </c>
      <c r="C35" s="2049"/>
      <c r="D35" s="309" t="s">
        <v>70</v>
      </c>
      <c r="E35" s="60">
        <f>E36+E37+E38</f>
        <v>3250</v>
      </c>
      <c r="F35" s="313">
        <f>F36+F37+F38</f>
        <v>0</v>
      </c>
      <c r="G35" s="315">
        <v>0</v>
      </c>
      <c r="H35" s="212">
        <v>0</v>
      </c>
      <c r="I35" s="2050"/>
      <c r="J35" s="2050"/>
      <c r="K35" s="2050"/>
      <c r="L35" s="2050"/>
      <c r="M35" s="2050"/>
      <c r="N35" s="2050"/>
      <c r="O35" s="2050"/>
      <c r="P35" s="2050"/>
      <c r="Q35" s="2050"/>
      <c r="R35" s="2050"/>
      <c r="S35" s="2050"/>
      <c r="T35" s="2050"/>
      <c r="U35" s="2050"/>
    </row>
    <row r="36" spans="1:21" s="1166" customFormat="1" x14ac:dyDescent="0.2">
      <c r="A36" s="1280"/>
      <c r="B36" s="268"/>
      <c r="C36" s="1226" t="s">
        <v>801</v>
      </c>
      <c r="D36" s="2026" t="s">
        <v>802</v>
      </c>
      <c r="E36" s="124">
        <v>100</v>
      </c>
      <c r="F36" s="314">
        <v>0</v>
      </c>
      <c r="G36" s="316">
        <v>0</v>
      </c>
      <c r="H36" s="1184">
        <v>0</v>
      </c>
      <c r="I36" s="1219"/>
      <c r="J36" s="1219"/>
      <c r="K36" s="1219"/>
      <c r="L36" s="1219"/>
      <c r="M36" s="1219"/>
      <c r="N36" s="1219"/>
      <c r="O36" s="1219"/>
      <c r="P36" s="1219"/>
      <c r="Q36" s="1219"/>
      <c r="R36" s="1219"/>
      <c r="S36" s="1219"/>
      <c r="T36" s="1219"/>
      <c r="U36" s="1219"/>
    </row>
    <row r="37" spans="1:21" s="1166" customFormat="1" x14ac:dyDescent="0.2">
      <c r="A37" s="1280"/>
      <c r="B37" s="268"/>
      <c r="C37" s="1178" t="s">
        <v>68</v>
      </c>
      <c r="D37" s="2027" t="s">
        <v>69</v>
      </c>
      <c r="E37" s="124">
        <v>150</v>
      </c>
      <c r="F37" s="314">
        <v>0</v>
      </c>
      <c r="G37" s="316">
        <v>0</v>
      </c>
      <c r="H37" s="1184">
        <v>0</v>
      </c>
      <c r="I37" s="1219"/>
      <c r="J37" s="1219"/>
      <c r="K37" s="1219"/>
      <c r="L37" s="1219"/>
      <c r="M37" s="1219"/>
      <c r="N37" s="1219"/>
      <c r="O37" s="1219"/>
      <c r="P37" s="1219"/>
      <c r="Q37" s="1219"/>
      <c r="R37" s="1219"/>
      <c r="S37" s="1219"/>
      <c r="T37" s="1219"/>
      <c r="U37" s="1219"/>
    </row>
    <row r="38" spans="1:21" s="1166" customFormat="1" x14ac:dyDescent="0.2">
      <c r="A38" s="1280"/>
      <c r="B38" s="268"/>
      <c r="C38" s="1178" t="s">
        <v>1744</v>
      </c>
      <c r="D38" s="2706" t="s">
        <v>1745</v>
      </c>
      <c r="E38" s="124">
        <v>3000</v>
      </c>
      <c r="F38" s="314">
        <v>0</v>
      </c>
      <c r="G38" s="316">
        <v>0</v>
      </c>
      <c r="H38" s="1184">
        <v>0</v>
      </c>
      <c r="I38" s="1219"/>
      <c r="J38" s="1219"/>
      <c r="K38" s="1219"/>
      <c r="L38" s="1219"/>
      <c r="M38" s="1219"/>
      <c r="N38" s="1219"/>
      <c r="O38" s="1219"/>
      <c r="P38" s="1219"/>
      <c r="Q38" s="1219"/>
      <c r="R38" s="1219"/>
      <c r="S38" s="1219"/>
      <c r="T38" s="1219"/>
      <c r="U38" s="1219"/>
    </row>
    <row r="39" spans="1:21" s="1166" customFormat="1" x14ac:dyDescent="0.2">
      <c r="A39" s="1280"/>
      <c r="B39" s="268"/>
      <c r="C39" s="1178"/>
      <c r="D39" s="2707"/>
      <c r="E39" s="124"/>
      <c r="F39" s="316"/>
      <c r="G39" s="461"/>
      <c r="H39" s="1184"/>
      <c r="I39" s="1219"/>
      <c r="J39" s="1219"/>
      <c r="K39" s="1219"/>
      <c r="L39" s="1219"/>
      <c r="M39" s="1219"/>
      <c r="N39" s="1219"/>
      <c r="O39" s="1219"/>
      <c r="P39" s="1219"/>
      <c r="Q39" s="1219"/>
      <c r="R39" s="1219"/>
      <c r="S39" s="1219"/>
      <c r="T39" s="1219"/>
      <c r="U39" s="1219"/>
    </row>
    <row r="40" spans="1:21" s="2048" customFormat="1" ht="15" x14ac:dyDescent="0.25">
      <c r="A40" s="1280">
        <v>4349</v>
      </c>
      <c r="B40" s="268">
        <v>5321</v>
      </c>
      <c r="C40" s="2049"/>
      <c r="D40" s="87" t="s">
        <v>1349</v>
      </c>
      <c r="E40" s="60"/>
      <c r="F40" s="315">
        <v>65</v>
      </c>
      <c r="G40" s="1678">
        <v>65</v>
      </c>
      <c r="H40" s="212">
        <f t="shared" ref="H40:H53" si="2">(G40/F40)*100</f>
        <v>100</v>
      </c>
      <c r="I40" s="2050"/>
      <c r="J40" s="2050"/>
      <c r="K40" s="2050"/>
      <c r="L40" s="2050"/>
      <c r="M40" s="2050"/>
      <c r="N40" s="2050"/>
      <c r="O40" s="2050"/>
      <c r="P40" s="2050"/>
      <c r="Q40" s="2050"/>
      <c r="R40" s="2050"/>
      <c r="S40" s="2050"/>
      <c r="T40" s="2050"/>
      <c r="U40" s="2050"/>
    </row>
    <row r="41" spans="1:21" s="2048" customFormat="1" ht="15" x14ac:dyDescent="0.25">
      <c r="A41" s="1280"/>
      <c r="B41" s="268"/>
      <c r="C41" s="1178" t="s">
        <v>1744</v>
      </c>
      <c r="D41" s="2706" t="s">
        <v>1745</v>
      </c>
      <c r="E41" s="60"/>
      <c r="F41" s="316">
        <v>65</v>
      </c>
      <c r="G41" s="461">
        <v>65</v>
      </c>
      <c r="H41" s="1184">
        <f t="shared" si="2"/>
        <v>100</v>
      </c>
      <c r="I41" s="2050"/>
      <c r="J41" s="2050"/>
      <c r="K41" s="2050"/>
      <c r="L41" s="2050"/>
      <c r="M41" s="2050"/>
      <c r="N41" s="2050"/>
      <c r="O41" s="2050"/>
      <c r="P41" s="2050"/>
      <c r="Q41" s="2050"/>
      <c r="R41" s="2050"/>
      <c r="S41" s="2050"/>
      <c r="T41" s="2050"/>
      <c r="U41" s="2050"/>
    </row>
    <row r="42" spans="1:21" s="1166" customFormat="1" x14ac:dyDescent="0.2">
      <c r="A42" s="1280"/>
      <c r="B42" s="268"/>
      <c r="C42" s="1178"/>
      <c r="D42" s="2707"/>
      <c r="E42" s="124"/>
      <c r="F42" s="314"/>
      <c r="G42" s="316"/>
      <c r="H42" s="1489"/>
      <c r="I42" s="1219"/>
      <c r="J42" s="1219"/>
      <c r="K42" s="1219"/>
      <c r="L42" s="1219"/>
      <c r="M42" s="1219"/>
      <c r="N42" s="1219"/>
      <c r="O42" s="1219"/>
      <c r="P42" s="1219"/>
      <c r="Q42" s="1219"/>
      <c r="R42" s="1219"/>
      <c r="S42" s="1219"/>
      <c r="T42" s="1219"/>
      <c r="U42" s="1219"/>
    </row>
    <row r="43" spans="1:21" s="2048" customFormat="1" ht="15" x14ac:dyDescent="0.25">
      <c r="A43" s="1280">
        <v>4399</v>
      </c>
      <c r="B43" s="268">
        <v>5166</v>
      </c>
      <c r="C43" s="2049"/>
      <c r="D43" s="87" t="s">
        <v>677</v>
      </c>
      <c r="E43" s="60"/>
      <c r="F43" s="313">
        <v>2268</v>
      </c>
      <c r="G43" s="315">
        <v>2268</v>
      </c>
      <c r="H43" s="212">
        <f t="shared" si="2"/>
        <v>100</v>
      </c>
      <c r="I43" s="2050"/>
      <c r="J43" s="2050"/>
      <c r="K43" s="2050"/>
      <c r="L43" s="2050"/>
      <c r="M43" s="2050"/>
      <c r="N43" s="2050"/>
      <c r="O43" s="2050"/>
      <c r="P43" s="2050"/>
      <c r="Q43" s="2050"/>
      <c r="R43" s="2050"/>
      <c r="S43" s="2050"/>
      <c r="T43" s="2050"/>
      <c r="U43" s="2050"/>
    </row>
    <row r="44" spans="1:21" s="2050" customFormat="1" ht="14.25" customHeight="1" x14ac:dyDescent="0.25">
      <c r="A44" s="1280">
        <v>4399</v>
      </c>
      <c r="B44" s="268">
        <v>5169</v>
      </c>
      <c r="C44" s="2049"/>
      <c r="D44" s="128" t="s">
        <v>955</v>
      </c>
      <c r="E44" s="60">
        <f>E45+E46+E47+E48</f>
        <v>4888</v>
      </c>
      <c r="F44" s="60">
        <f>F45+F46+F47+F48+F49</f>
        <v>6846</v>
      </c>
      <c r="G44" s="60">
        <f>G45+G46+G47+G48+G49</f>
        <v>4509</v>
      </c>
      <c r="H44" s="212">
        <f t="shared" si="2"/>
        <v>65.863277826468021</v>
      </c>
      <c r="I44" s="2051"/>
      <c r="J44" s="1256"/>
    </row>
    <row r="45" spans="1:21" s="1219" customFormat="1" ht="14.25" customHeight="1" x14ac:dyDescent="0.2">
      <c r="A45" s="1280"/>
      <c r="B45" s="268"/>
      <c r="C45" s="1178" t="s">
        <v>838</v>
      </c>
      <c r="D45" s="312" t="s">
        <v>1415</v>
      </c>
      <c r="E45" s="124">
        <v>3913</v>
      </c>
      <c r="F45" s="314">
        <v>6322</v>
      </c>
      <c r="G45" s="316">
        <v>4086</v>
      </c>
      <c r="H45" s="1184">
        <f t="shared" si="2"/>
        <v>64.631445745017402</v>
      </c>
      <c r="I45" s="147"/>
      <c r="J45" s="2028"/>
    </row>
    <row r="46" spans="1:21" s="1219" customFormat="1" ht="14.25" customHeight="1" x14ac:dyDescent="0.2">
      <c r="A46" s="1280"/>
      <c r="B46" s="268"/>
      <c r="C46" s="1178" t="s">
        <v>743</v>
      </c>
      <c r="D46" s="166" t="s">
        <v>744</v>
      </c>
      <c r="E46" s="124">
        <v>50</v>
      </c>
      <c r="F46" s="314">
        <v>0</v>
      </c>
      <c r="G46" s="316">
        <v>0</v>
      </c>
      <c r="H46" s="1184">
        <v>0</v>
      </c>
      <c r="I46" s="147"/>
      <c r="J46" s="2028"/>
    </row>
    <row r="47" spans="1:21" s="1219" customFormat="1" ht="14.25" customHeight="1" x14ac:dyDescent="0.2">
      <c r="A47" s="1280"/>
      <c r="B47" s="268"/>
      <c r="C47" s="1178" t="s">
        <v>745</v>
      </c>
      <c r="D47" s="166" t="s">
        <v>1394</v>
      </c>
      <c r="E47" s="124">
        <v>25</v>
      </c>
      <c r="F47" s="314">
        <v>15</v>
      </c>
      <c r="G47" s="316">
        <v>0</v>
      </c>
      <c r="H47" s="1184">
        <v>0</v>
      </c>
      <c r="I47" s="147"/>
      <c r="J47" s="2028"/>
    </row>
    <row r="48" spans="1:21" s="1219" customFormat="1" ht="14.25" customHeight="1" x14ac:dyDescent="0.2">
      <c r="A48" s="1280"/>
      <c r="B48" s="268"/>
      <c r="C48" s="1178" t="s">
        <v>746</v>
      </c>
      <c r="D48" s="166" t="s">
        <v>747</v>
      </c>
      <c r="E48" s="124">
        <v>900</v>
      </c>
      <c r="F48" s="314">
        <v>288</v>
      </c>
      <c r="G48" s="316">
        <v>270</v>
      </c>
      <c r="H48" s="1489">
        <f t="shared" si="2"/>
        <v>93.75</v>
      </c>
      <c r="I48" s="147"/>
      <c r="J48" s="2028"/>
    </row>
    <row r="49" spans="1:10" s="1219" customFormat="1" ht="14.25" customHeight="1" x14ac:dyDescent="0.2">
      <c r="A49" s="1280"/>
      <c r="B49" s="268"/>
      <c r="C49" s="1178" t="s">
        <v>1524</v>
      </c>
      <c r="D49" s="2769" t="s">
        <v>1525</v>
      </c>
      <c r="E49" s="124"/>
      <c r="F49" s="314">
        <v>221</v>
      </c>
      <c r="G49" s="316">
        <v>153</v>
      </c>
      <c r="H49" s="1489">
        <f t="shared" si="2"/>
        <v>69.230769230769226</v>
      </c>
      <c r="I49" s="147"/>
      <c r="J49" s="2028"/>
    </row>
    <row r="50" spans="1:10" s="1219" customFormat="1" ht="14.25" customHeight="1" x14ac:dyDescent="0.2">
      <c r="A50" s="1280"/>
      <c r="B50" s="268"/>
      <c r="C50" s="1178"/>
      <c r="D50" s="2736"/>
      <c r="E50" s="124"/>
      <c r="F50" s="314"/>
      <c r="G50" s="316"/>
      <c r="H50" s="1489"/>
      <c r="I50" s="147"/>
      <c r="J50" s="2028"/>
    </row>
    <row r="51" spans="1:10" s="2050" customFormat="1" ht="14.25" customHeight="1" x14ac:dyDescent="0.25">
      <c r="A51" s="1280">
        <v>4399</v>
      </c>
      <c r="B51" s="268">
        <v>5175</v>
      </c>
      <c r="C51" s="2049"/>
      <c r="D51" s="128" t="s">
        <v>740</v>
      </c>
      <c r="E51" s="60">
        <v>80</v>
      </c>
      <c r="F51" s="315">
        <f>F52+F53</f>
        <v>56</v>
      </c>
      <c r="G51" s="315">
        <f>G52+G53</f>
        <v>55</v>
      </c>
      <c r="H51" s="212">
        <f t="shared" si="2"/>
        <v>98.214285714285708</v>
      </c>
      <c r="I51" s="2051"/>
      <c r="J51" s="1256"/>
    </row>
    <row r="52" spans="1:10" s="1219" customFormat="1" ht="14.25" customHeight="1" x14ac:dyDescent="0.2">
      <c r="A52" s="1280"/>
      <c r="B52" s="268"/>
      <c r="C52" s="1178" t="s">
        <v>838</v>
      </c>
      <c r="D52" s="312" t="s">
        <v>1415</v>
      </c>
      <c r="E52" s="124">
        <v>80</v>
      </c>
      <c r="F52" s="314">
        <v>51</v>
      </c>
      <c r="G52" s="316">
        <v>50</v>
      </c>
      <c r="H52" s="1184">
        <f t="shared" si="2"/>
        <v>98.039215686274503</v>
      </c>
      <c r="I52" s="147"/>
      <c r="J52" s="2028"/>
    </row>
    <row r="53" spans="1:10" s="1219" customFormat="1" ht="14.25" customHeight="1" x14ac:dyDescent="0.2">
      <c r="A53" s="1280"/>
      <c r="B53" s="268"/>
      <c r="C53" s="1178" t="s">
        <v>746</v>
      </c>
      <c r="D53" s="166" t="s">
        <v>747</v>
      </c>
      <c r="E53" s="124"/>
      <c r="F53" s="314">
        <v>5</v>
      </c>
      <c r="G53" s="316">
        <v>5</v>
      </c>
      <c r="H53" s="1184">
        <f t="shared" si="2"/>
        <v>100</v>
      </c>
      <c r="I53" s="147"/>
      <c r="J53" s="2028"/>
    </row>
    <row r="54" spans="1:10" s="2050" customFormat="1" ht="14.25" customHeight="1" x14ac:dyDescent="0.25">
      <c r="A54" s="1280">
        <v>4399</v>
      </c>
      <c r="B54" s="268">
        <v>5213</v>
      </c>
      <c r="C54" s="2052"/>
      <c r="D54" s="1191" t="s">
        <v>359</v>
      </c>
      <c r="E54" s="60"/>
      <c r="F54" s="315">
        <f>F55+F56</f>
        <v>248</v>
      </c>
      <c r="G54" s="315">
        <f>G55+G56</f>
        <v>248</v>
      </c>
      <c r="H54" s="212">
        <f>(G54/F54)*100</f>
        <v>100</v>
      </c>
      <c r="I54" s="2051"/>
      <c r="J54" s="1256"/>
    </row>
    <row r="55" spans="1:10" s="2050" customFormat="1" ht="14.25" customHeight="1" x14ac:dyDescent="0.25">
      <c r="A55" s="1280"/>
      <c r="B55" s="268"/>
      <c r="C55" s="1195" t="s">
        <v>272</v>
      </c>
      <c r="D55" s="1173" t="s">
        <v>348</v>
      </c>
      <c r="E55" s="60"/>
      <c r="F55" s="314">
        <v>194</v>
      </c>
      <c r="G55" s="316">
        <v>194</v>
      </c>
      <c r="H55" s="1184">
        <f>(G55/F55)*100</f>
        <v>100</v>
      </c>
      <c r="I55" s="2051"/>
      <c r="J55" s="1256"/>
    </row>
    <row r="56" spans="1:10" s="1219" customFormat="1" ht="14.25" customHeight="1" x14ac:dyDescent="0.2">
      <c r="A56" s="1280"/>
      <c r="B56" s="268"/>
      <c r="C56" s="1195" t="s">
        <v>1350</v>
      </c>
      <c r="D56" s="1173" t="s">
        <v>1737</v>
      </c>
      <c r="E56" s="124"/>
      <c r="F56" s="314">
        <v>54</v>
      </c>
      <c r="G56" s="316">
        <v>54</v>
      </c>
      <c r="H56" s="1184">
        <f>(G56/F56)*100</f>
        <v>100</v>
      </c>
      <c r="I56" s="147"/>
      <c r="J56" s="2028"/>
    </row>
    <row r="57" spans="1:10" s="2050" customFormat="1" ht="14.25" customHeight="1" x14ac:dyDescent="0.25">
      <c r="A57" s="1280">
        <v>4399</v>
      </c>
      <c r="B57" s="268">
        <v>5221</v>
      </c>
      <c r="C57" s="2052"/>
      <c r="D57" s="2772" t="s">
        <v>765</v>
      </c>
      <c r="E57" s="60"/>
      <c r="F57" s="315">
        <f>F59+F60</f>
        <v>1660</v>
      </c>
      <c r="G57" s="315">
        <f>G59+G60</f>
        <v>1660</v>
      </c>
      <c r="H57" s="212">
        <f>(G57/F57)*100</f>
        <v>100</v>
      </c>
      <c r="I57" s="2051"/>
      <c r="J57" s="1256"/>
    </row>
    <row r="58" spans="1:10" s="1219" customFormat="1" ht="14.25" customHeight="1" x14ac:dyDescent="0.2">
      <c r="A58" s="1280"/>
      <c r="B58" s="268"/>
      <c r="C58" s="1179"/>
      <c r="D58" s="2772"/>
      <c r="E58" s="124"/>
      <c r="F58" s="314"/>
      <c r="G58" s="316"/>
      <c r="H58" s="1184"/>
      <c r="I58" s="147"/>
      <c r="J58" s="2028"/>
    </row>
    <row r="59" spans="1:10" s="1219" customFormat="1" ht="14.25" customHeight="1" x14ac:dyDescent="0.2">
      <c r="A59" s="1280"/>
      <c r="B59" s="1616"/>
      <c r="C59" s="1195" t="s">
        <v>272</v>
      </c>
      <c r="D59" s="1173" t="s">
        <v>348</v>
      </c>
      <c r="E59" s="124"/>
      <c r="F59" s="314">
        <v>1580</v>
      </c>
      <c r="G59" s="316">
        <v>1580</v>
      </c>
      <c r="H59" s="1184">
        <f t="shared" ref="H59:H73" si="3">(G59/F59)*100</f>
        <v>100</v>
      </c>
      <c r="I59" s="147"/>
      <c r="J59" s="2028"/>
    </row>
    <row r="60" spans="1:10" s="1219" customFormat="1" ht="14.25" customHeight="1" x14ac:dyDescent="0.2">
      <c r="A60" s="1280"/>
      <c r="B60" s="1616"/>
      <c r="C60" s="1195" t="s">
        <v>1350</v>
      </c>
      <c r="D60" s="1173" t="s">
        <v>1737</v>
      </c>
      <c r="E60" s="124"/>
      <c r="F60" s="314">
        <v>80</v>
      </c>
      <c r="G60" s="316">
        <v>80</v>
      </c>
      <c r="H60" s="1184">
        <f t="shared" si="3"/>
        <v>100</v>
      </c>
      <c r="I60" s="147"/>
      <c r="J60" s="2028"/>
    </row>
    <row r="61" spans="1:10" s="2050" customFormat="1" ht="14.25" customHeight="1" x14ac:dyDescent="0.25">
      <c r="A61" s="1280">
        <v>4399</v>
      </c>
      <c r="B61" s="268">
        <v>5222</v>
      </c>
      <c r="C61" s="2052"/>
      <c r="D61" s="1279" t="s">
        <v>358</v>
      </c>
      <c r="E61" s="60"/>
      <c r="F61" s="315">
        <f>F62+F63</f>
        <v>1907</v>
      </c>
      <c r="G61" s="315">
        <f>G62+G63</f>
        <v>1897</v>
      </c>
      <c r="H61" s="212">
        <f t="shared" si="3"/>
        <v>99.47561615102255</v>
      </c>
      <c r="I61" s="2051"/>
      <c r="J61" s="1256"/>
    </row>
    <row r="62" spans="1:10" s="1219" customFormat="1" ht="14.25" customHeight="1" x14ac:dyDescent="0.2">
      <c r="A62" s="1280"/>
      <c r="B62" s="268"/>
      <c r="C62" s="1195" t="s">
        <v>272</v>
      </c>
      <c r="D62" s="1173" t="s">
        <v>348</v>
      </c>
      <c r="E62" s="124"/>
      <c r="F62" s="314">
        <v>980</v>
      </c>
      <c r="G62" s="316">
        <v>980</v>
      </c>
      <c r="H62" s="1184">
        <f t="shared" si="3"/>
        <v>100</v>
      </c>
      <c r="I62" s="147"/>
      <c r="J62" s="2028"/>
    </row>
    <row r="63" spans="1:10" s="1219" customFormat="1" ht="14.25" customHeight="1" x14ac:dyDescent="0.2">
      <c r="A63" s="1280"/>
      <c r="B63" s="268"/>
      <c r="C63" s="1195" t="s">
        <v>1350</v>
      </c>
      <c r="D63" s="1173" t="s">
        <v>1737</v>
      </c>
      <c r="E63" s="124"/>
      <c r="F63" s="314">
        <v>927</v>
      </c>
      <c r="G63" s="316">
        <v>917</v>
      </c>
      <c r="H63" s="1184">
        <f t="shared" si="3"/>
        <v>98.921251348435817</v>
      </c>
      <c r="I63" s="147"/>
      <c r="J63" s="2028"/>
    </row>
    <row r="64" spans="1:10" s="2050" customFormat="1" ht="14.25" customHeight="1" x14ac:dyDescent="0.25">
      <c r="A64" s="1280">
        <v>4399</v>
      </c>
      <c r="B64" s="268">
        <v>5229</v>
      </c>
      <c r="C64" s="2052"/>
      <c r="D64" s="87" t="s">
        <v>70</v>
      </c>
      <c r="E64" s="60"/>
      <c r="F64" s="313">
        <v>80</v>
      </c>
      <c r="G64" s="315">
        <v>80</v>
      </c>
      <c r="H64" s="212">
        <f t="shared" si="3"/>
        <v>100</v>
      </c>
      <c r="I64" s="2051"/>
      <c r="J64" s="1256"/>
    </row>
    <row r="65" spans="1:21" s="1219" customFormat="1" ht="14.25" customHeight="1" x14ac:dyDescent="0.2">
      <c r="A65" s="1280"/>
      <c r="B65" s="268"/>
      <c r="C65" s="1195" t="s">
        <v>272</v>
      </c>
      <c r="D65" s="1173" t="s">
        <v>348</v>
      </c>
      <c r="E65" s="124"/>
      <c r="F65" s="314">
        <v>80</v>
      </c>
      <c r="G65" s="316">
        <v>80</v>
      </c>
      <c r="H65" s="1184">
        <f t="shared" si="3"/>
        <v>100</v>
      </c>
      <c r="I65" s="147"/>
      <c r="J65" s="2028"/>
    </row>
    <row r="66" spans="1:21" s="2050" customFormat="1" ht="14.25" customHeight="1" x14ac:dyDescent="0.25">
      <c r="A66" s="1280">
        <v>4399</v>
      </c>
      <c r="B66" s="268">
        <v>5493</v>
      </c>
      <c r="C66" s="2052"/>
      <c r="D66" s="309" t="s">
        <v>768</v>
      </c>
      <c r="E66" s="60"/>
      <c r="F66" s="313">
        <v>69</v>
      </c>
      <c r="G66" s="315">
        <v>69</v>
      </c>
      <c r="H66" s="212">
        <f t="shared" si="3"/>
        <v>100</v>
      </c>
      <c r="I66" s="2051"/>
      <c r="J66" s="1256"/>
    </row>
    <row r="67" spans="1:21" s="1219" customFormat="1" ht="14.25" customHeight="1" thickBot="1" x14ac:dyDescent="0.25">
      <c r="A67" s="1280"/>
      <c r="B67" s="268"/>
      <c r="C67" s="1195" t="s">
        <v>1350</v>
      </c>
      <c r="D67" s="1173" t="s">
        <v>1737</v>
      </c>
      <c r="E67" s="124"/>
      <c r="F67" s="314">
        <v>69</v>
      </c>
      <c r="G67" s="316">
        <v>69</v>
      </c>
      <c r="H67" s="1184">
        <f t="shared" si="3"/>
        <v>100</v>
      </c>
      <c r="I67" s="147"/>
      <c r="J67" s="2028"/>
    </row>
    <row r="68" spans="1:21" s="1219" customFormat="1" ht="14.25" customHeight="1" thickTop="1" x14ac:dyDescent="0.2">
      <c r="A68" s="1617"/>
      <c r="B68" s="1617"/>
      <c r="C68" s="2074"/>
      <c r="D68" s="2075"/>
      <c r="E68" s="1620"/>
      <c r="F68" s="1618"/>
      <c r="G68" s="1618"/>
      <c r="H68" s="1619"/>
      <c r="I68" s="147"/>
      <c r="J68" s="2028"/>
    </row>
    <row r="69" spans="1:21" s="1219" customFormat="1" ht="14.25" customHeight="1" x14ac:dyDescent="0.2">
      <c r="A69" s="268"/>
      <c r="B69" s="268"/>
      <c r="C69" s="1523"/>
      <c r="D69" s="1173"/>
      <c r="E69" s="123"/>
      <c r="F69" s="314"/>
      <c r="G69" s="314"/>
      <c r="H69" s="1314"/>
      <c r="I69" s="147"/>
      <c r="J69" s="2028"/>
    </row>
    <row r="70" spans="1:21" ht="15" thickBot="1" x14ac:dyDescent="0.25">
      <c r="H70" s="2025" t="s">
        <v>179</v>
      </c>
    </row>
    <row r="71" spans="1:21" s="107" customFormat="1" ht="20.25" customHeight="1" thickTop="1" thickBot="1" x14ac:dyDescent="0.25">
      <c r="A71" s="657" t="s">
        <v>180</v>
      </c>
      <c r="B71" s="658" t="s">
        <v>181</v>
      </c>
      <c r="C71" s="702" t="s">
        <v>783</v>
      </c>
      <c r="D71" s="660" t="s">
        <v>182</v>
      </c>
      <c r="E71" s="660" t="s">
        <v>183</v>
      </c>
      <c r="F71" s="660" t="s">
        <v>985</v>
      </c>
      <c r="G71" s="660" t="s">
        <v>986</v>
      </c>
      <c r="H71" s="661" t="s">
        <v>987</v>
      </c>
    </row>
    <row r="72" spans="1:21" s="386" customFormat="1" ht="13.5" thickTop="1" thickBot="1" x14ac:dyDescent="0.25">
      <c r="A72" s="592">
        <v>1</v>
      </c>
      <c r="B72" s="593">
        <v>2</v>
      </c>
      <c r="C72" s="593">
        <v>3</v>
      </c>
      <c r="D72" s="593">
        <v>4</v>
      </c>
      <c r="E72" s="593">
        <v>5</v>
      </c>
      <c r="F72" s="567">
        <v>6</v>
      </c>
      <c r="G72" s="567">
        <v>7</v>
      </c>
      <c r="H72" s="662" t="s">
        <v>61</v>
      </c>
      <c r="I72" s="107"/>
    </row>
    <row r="73" spans="1:21" s="2050" customFormat="1" ht="14.25" customHeight="1" thickTop="1" x14ac:dyDescent="0.25">
      <c r="A73" s="1490">
        <v>6172</v>
      </c>
      <c r="B73" s="85">
        <v>5161</v>
      </c>
      <c r="C73" s="2052"/>
      <c r="D73" s="87" t="s">
        <v>324</v>
      </c>
      <c r="E73" s="71">
        <v>5</v>
      </c>
      <c r="F73" s="313">
        <v>5</v>
      </c>
      <c r="G73" s="315">
        <v>1</v>
      </c>
      <c r="H73" s="212">
        <f t="shared" si="3"/>
        <v>20</v>
      </c>
      <c r="I73" s="2048"/>
      <c r="J73" s="2048"/>
      <c r="K73" s="2048"/>
      <c r="L73" s="2048"/>
      <c r="M73" s="2048"/>
      <c r="N73" s="2048"/>
      <c r="O73" s="2048"/>
      <c r="P73" s="2048"/>
      <c r="Q73" s="2048"/>
      <c r="R73" s="2048"/>
      <c r="S73" s="2048"/>
      <c r="T73" s="2048"/>
      <c r="U73" s="2048"/>
    </row>
    <row r="74" spans="1:21" s="2050" customFormat="1" ht="14.25" customHeight="1" x14ac:dyDescent="0.25">
      <c r="A74" s="1490">
        <v>6172</v>
      </c>
      <c r="B74" s="85">
        <v>5169</v>
      </c>
      <c r="C74" s="2052"/>
      <c r="D74" s="87" t="s">
        <v>955</v>
      </c>
      <c r="E74" s="71">
        <v>10</v>
      </c>
      <c r="F74" s="313">
        <v>0</v>
      </c>
      <c r="G74" s="315">
        <v>0</v>
      </c>
      <c r="H74" s="212">
        <v>0</v>
      </c>
      <c r="I74" s="2048"/>
      <c r="J74" s="2048"/>
      <c r="K74" s="2048"/>
      <c r="L74" s="2048"/>
      <c r="M74" s="2048"/>
      <c r="N74" s="2048"/>
      <c r="O74" s="2048"/>
      <c r="P74" s="2048"/>
      <c r="Q74" s="2048"/>
      <c r="R74" s="2048"/>
      <c r="S74" s="2048"/>
      <c r="T74" s="2048"/>
      <c r="U74" s="2048"/>
    </row>
    <row r="75" spans="1:21" s="2050" customFormat="1" ht="14.25" customHeight="1" thickBot="1" x14ac:dyDescent="0.3">
      <c r="A75" s="1628">
        <v>6172</v>
      </c>
      <c r="B75" s="1270">
        <v>5192</v>
      </c>
      <c r="C75" s="2053"/>
      <c r="D75" s="1271" t="s">
        <v>1380</v>
      </c>
      <c r="E75" s="1235">
        <v>20</v>
      </c>
      <c r="F75" s="460">
        <v>0</v>
      </c>
      <c r="G75" s="458">
        <v>0</v>
      </c>
      <c r="H75" s="267">
        <v>0</v>
      </c>
      <c r="I75" s="2048"/>
      <c r="J75" s="2048"/>
      <c r="K75" s="2048"/>
      <c r="L75" s="2048"/>
      <c r="M75" s="2048"/>
      <c r="N75" s="2048"/>
      <c r="O75" s="2048"/>
      <c r="P75" s="2048"/>
      <c r="Q75" s="2048"/>
      <c r="R75" s="2048"/>
      <c r="S75" s="2048"/>
      <c r="T75" s="2048"/>
      <c r="U75" s="2048"/>
    </row>
    <row r="76" spans="1:21" s="1104" customFormat="1" ht="35.25" customHeight="1" thickTop="1" thickBot="1" x14ac:dyDescent="0.3">
      <c r="A76" s="1065" t="s">
        <v>266</v>
      </c>
      <c r="B76" s="2054"/>
      <c r="C76" s="2055"/>
      <c r="D76" s="2054"/>
      <c r="E76" s="2056">
        <f>E12+E13+E35+E44+E51+E73+E74+E75</f>
        <v>9583</v>
      </c>
      <c r="F76" s="2056">
        <f>F12+F13+F17+F20+F26+F31+F40+F43+F44+F51+F54+F57+F61+F64+F66+F73+F74+F75</f>
        <v>22899</v>
      </c>
      <c r="G76" s="2056">
        <f>G12+G13+G17+G20+G26+G31+G40+G43+G44+G51+G54+G57+G61+G64+G66+G73+G74+G75</f>
        <v>20492</v>
      </c>
      <c r="H76" s="2057">
        <f>(G76/F76)*100</f>
        <v>89.488623957378053</v>
      </c>
    </row>
    <row r="77" spans="1:21" ht="15" thickTop="1" x14ac:dyDescent="0.2"/>
    <row r="81" spans="1:21" s="558" customFormat="1" ht="15.75" x14ac:dyDescent="0.25">
      <c r="A81" s="33" t="s">
        <v>1403</v>
      </c>
      <c r="B81" s="33"/>
      <c r="C81" s="691"/>
      <c r="E81" s="1417"/>
      <c r="F81" s="1417"/>
      <c r="G81" s="1417"/>
      <c r="H81" s="692"/>
    </row>
    <row r="82" spans="1:21" s="558" customFormat="1" ht="13.5" thickBot="1" x14ac:dyDescent="0.25">
      <c r="A82" s="726"/>
      <c r="B82" s="726"/>
      <c r="C82" s="691"/>
      <c r="E82" s="1417"/>
      <c r="F82" s="1417"/>
      <c r="G82" s="1417"/>
      <c r="H82" s="692" t="s">
        <v>179</v>
      </c>
    </row>
    <row r="83" spans="1:21" s="107" customFormat="1" ht="20.25" customHeight="1" thickTop="1" thickBot="1" x14ac:dyDescent="0.25">
      <c r="A83" s="657" t="s">
        <v>180</v>
      </c>
      <c r="B83" s="658" t="s">
        <v>181</v>
      </c>
      <c r="C83" s="702" t="s">
        <v>783</v>
      </c>
      <c r="D83" s="660" t="s">
        <v>182</v>
      </c>
      <c r="E83" s="660" t="s">
        <v>183</v>
      </c>
      <c r="F83" s="660" t="s">
        <v>985</v>
      </c>
      <c r="G83" s="660" t="s">
        <v>986</v>
      </c>
      <c r="H83" s="661" t="s">
        <v>987</v>
      </c>
    </row>
    <row r="84" spans="1:21" s="386" customFormat="1" ht="13.5" thickTop="1" thickBot="1" x14ac:dyDescent="0.25">
      <c r="A84" s="592">
        <v>1</v>
      </c>
      <c r="B84" s="593">
        <v>2</v>
      </c>
      <c r="C84" s="593">
        <v>3</v>
      </c>
      <c r="D84" s="593">
        <v>4</v>
      </c>
      <c r="E84" s="593">
        <v>5</v>
      </c>
      <c r="F84" s="567">
        <v>6</v>
      </c>
      <c r="G84" s="567">
        <v>7</v>
      </c>
      <c r="H84" s="662" t="s">
        <v>61</v>
      </c>
      <c r="I84" s="107"/>
    </row>
    <row r="85" spans="1:21" s="386" customFormat="1" ht="18" customHeight="1" thickTop="1" x14ac:dyDescent="0.25">
      <c r="A85" s="50">
        <v>4399</v>
      </c>
      <c r="B85" s="31">
        <v>6322</v>
      </c>
      <c r="C85" s="1226"/>
      <c r="D85" s="1514" t="s">
        <v>1290</v>
      </c>
      <c r="E85" s="1622"/>
      <c r="F85" s="1326">
        <v>500</v>
      </c>
      <c r="G85" s="415">
        <v>500</v>
      </c>
      <c r="H85" s="203">
        <f t="shared" ref="H85:H88" si="4">G85/F85*100</f>
        <v>100</v>
      </c>
      <c r="I85" s="107"/>
    </row>
    <row r="86" spans="1:21" s="386" customFormat="1" x14ac:dyDescent="0.2">
      <c r="A86" s="50"/>
      <c r="B86" s="31"/>
      <c r="C86" s="1195" t="s">
        <v>272</v>
      </c>
      <c r="D86" s="1173" t="s">
        <v>348</v>
      </c>
      <c r="E86" s="1623"/>
      <c r="F86" s="1624">
        <v>500</v>
      </c>
      <c r="G86" s="1545">
        <v>500</v>
      </c>
      <c r="H86" s="1175">
        <f t="shared" si="4"/>
        <v>100</v>
      </c>
      <c r="I86" s="107"/>
    </row>
    <row r="87" spans="1:21" s="1166" customFormat="1" ht="13.5" customHeight="1" x14ac:dyDescent="0.25">
      <c r="A87" s="50">
        <v>4399</v>
      </c>
      <c r="B87" s="31">
        <v>6341</v>
      </c>
      <c r="C87" s="1226"/>
      <c r="D87" s="87" t="s">
        <v>271</v>
      </c>
      <c r="E87" s="60"/>
      <c r="F87" s="313">
        <v>385</v>
      </c>
      <c r="G87" s="315">
        <v>385</v>
      </c>
      <c r="H87" s="203">
        <f t="shared" si="4"/>
        <v>100</v>
      </c>
      <c r="I87" s="1219"/>
      <c r="J87" s="1219"/>
      <c r="K87" s="1219"/>
      <c r="L87" s="1219"/>
      <c r="M87" s="1219"/>
      <c r="N87" s="1219"/>
      <c r="O87" s="1219"/>
      <c r="P87" s="1219"/>
      <c r="Q87" s="1219"/>
      <c r="R87" s="1219"/>
      <c r="S87" s="1219"/>
      <c r="T87" s="1219"/>
      <c r="U87" s="1219"/>
    </row>
    <row r="88" spans="1:21" s="1166" customFormat="1" ht="13.5" customHeight="1" thickBot="1" x14ac:dyDescent="0.3">
      <c r="A88" s="50"/>
      <c r="B88" s="31"/>
      <c r="C88" s="1230" t="s">
        <v>385</v>
      </c>
      <c r="D88" s="1209" t="s">
        <v>996</v>
      </c>
      <c r="E88" s="60"/>
      <c r="F88" s="314">
        <v>385</v>
      </c>
      <c r="G88" s="316">
        <v>385</v>
      </c>
      <c r="H88" s="1175">
        <f t="shared" si="4"/>
        <v>100</v>
      </c>
      <c r="I88" s="1219"/>
      <c r="J88" s="1219"/>
      <c r="K88" s="1219"/>
      <c r="L88" s="1219"/>
      <c r="M88" s="1219"/>
      <c r="N88" s="1219"/>
      <c r="O88" s="1219"/>
      <c r="P88" s="1219"/>
      <c r="Q88" s="1219"/>
      <c r="R88" s="1219"/>
      <c r="S88" s="1219"/>
      <c r="T88" s="1219"/>
      <c r="U88" s="1219"/>
    </row>
    <row r="89" spans="1:21" s="362" customFormat="1" ht="33.75" customHeight="1" thickTop="1" thickBot="1" x14ac:dyDescent="0.3">
      <c r="A89" s="663" t="s">
        <v>267</v>
      </c>
      <c r="B89" s="666"/>
      <c r="C89" s="707"/>
      <c r="D89" s="666"/>
      <c r="E89" s="832"/>
      <c r="F89" s="832">
        <f>F85+F87</f>
        <v>885</v>
      </c>
      <c r="G89" s="832">
        <f>G85+G87</f>
        <v>885</v>
      </c>
      <c r="H89" s="1258">
        <f>(G89/F89)*100</f>
        <v>100</v>
      </c>
      <c r="J89" s="725"/>
      <c r="K89" s="725"/>
      <c r="L89" s="725"/>
      <c r="M89" s="725"/>
    </row>
    <row r="90" spans="1:21" ht="15" thickTop="1" x14ac:dyDescent="0.2"/>
    <row r="96" spans="1:21" s="439" customFormat="1" ht="15.75" x14ac:dyDescent="0.25">
      <c r="A96" s="701" t="s">
        <v>691</v>
      </c>
      <c r="B96" s="2046"/>
      <c r="C96" s="863"/>
      <c r="E96" s="511"/>
      <c r="F96" s="511"/>
      <c r="G96" s="511"/>
      <c r="H96" s="850"/>
    </row>
    <row r="97" spans="1:9" ht="15" x14ac:dyDescent="0.2">
      <c r="A97" s="2024"/>
    </row>
    <row r="98" spans="1:9" s="439" customFormat="1" ht="15.75" x14ac:dyDescent="0.25">
      <c r="A98" s="727" t="s">
        <v>1469</v>
      </c>
      <c r="B98" s="2046"/>
      <c r="C98" s="863"/>
      <c r="E98" s="511" t="s">
        <v>1468</v>
      </c>
      <c r="F98" s="511"/>
      <c r="G98" s="511"/>
      <c r="H98" s="850"/>
    </row>
    <row r="99" spans="1:9" ht="15" thickBot="1" x14ac:dyDescent="0.25">
      <c r="A99" s="2019"/>
      <c r="H99" s="2025" t="s">
        <v>179</v>
      </c>
    </row>
    <row r="100" spans="1:9" s="735" customFormat="1" ht="20.25" customHeight="1" thickTop="1" thickBot="1" x14ac:dyDescent="0.25">
      <c r="A100" s="813" t="s">
        <v>180</v>
      </c>
      <c r="B100" s="730" t="s">
        <v>181</v>
      </c>
      <c r="C100" s="731" t="s">
        <v>783</v>
      </c>
      <c r="D100" s="732" t="s">
        <v>182</v>
      </c>
      <c r="E100" s="733" t="s">
        <v>183</v>
      </c>
      <c r="F100" s="733" t="s">
        <v>985</v>
      </c>
      <c r="G100" s="733" t="s">
        <v>986</v>
      </c>
      <c r="H100" s="734" t="s">
        <v>987</v>
      </c>
    </row>
    <row r="101" spans="1:9" s="386" customFormat="1" ht="13.5" thickTop="1" thickBot="1" x14ac:dyDescent="0.25">
      <c r="A101" s="592">
        <v>1</v>
      </c>
      <c r="B101" s="593">
        <v>2</v>
      </c>
      <c r="C101" s="593">
        <v>3</v>
      </c>
      <c r="D101" s="593">
        <v>4</v>
      </c>
      <c r="E101" s="593">
        <v>5</v>
      </c>
      <c r="F101" s="567">
        <v>6</v>
      </c>
      <c r="G101" s="567">
        <v>7</v>
      </c>
      <c r="H101" s="662" t="s">
        <v>61</v>
      </c>
      <c r="I101" s="107"/>
    </row>
    <row r="102" spans="1:9" s="439" customFormat="1" ht="15.75" thickTop="1" x14ac:dyDescent="0.25">
      <c r="A102" s="2058">
        <v>4357</v>
      </c>
      <c r="B102" s="2059">
        <v>5331</v>
      </c>
      <c r="C102" s="2060"/>
      <c r="D102" s="650" t="s">
        <v>259</v>
      </c>
      <c r="E102" s="752">
        <f>E103+E104</f>
        <v>2343</v>
      </c>
      <c r="F102" s="752">
        <f>F103+F104</f>
        <v>3714</v>
      </c>
      <c r="G102" s="752">
        <f>G103+G104</f>
        <v>3714</v>
      </c>
      <c r="H102" s="739">
        <f>G102/F102*100</f>
        <v>100</v>
      </c>
    </row>
    <row r="103" spans="1:9" x14ac:dyDescent="0.2">
      <c r="A103" s="2029"/>
      <c r="B103" s="2030"/>
      <c r="C103" s="743" t="s">
        <v>641</v>
      </c>
      <c r="D103" s="1550" t="s">
        <v>1416</v>
      </c>
      <c r="E103" s="771">
        <v>373</v>
      </c>
      <c r="F103" s="771">
        <v>373</v>
      </c>
      <c r="G103" s="771">
        <v>373</v>
      </c>
      <c r="H103" s="855">
        <f>(G103/F103)*100</f>
        <v>100</v>
      </c>
    </row>
    <row r="104" spans="1:9" ht="15" thickBot="1" x14ac:dyDescent="0.25">
      <c r="A104" s="2029"/>
      <c r="B104" s="2031"/>
      <c r="C104" s="578" t="s">
        <v>636</v>
      </c>
      <c r="D104" s="758" t="s">
        <v>1220</v>
      </c>
      <c r="E104" s="771">
        <v>1970</v>
      </c>
      <c r="F104" s="771">
        <v>3341</v>
      </c>
      <c r="G104" s="771">
        <v>3341</v>
      </c>
      <c r="H104" s="855">
        <f>(G104/F104)*100</f>
        <v>100</v>
      </c>
    </row>
    <row r="105" spans="1:9" s="369" customFormat="1" ht="18" thickTop="1" thickBot="1" x14ac:dyDescent="0.3">
      <c r="A105" s="744" t="s">
        <v>1246</v>
      </c>
      <c r="B105" s="745"/>
      <c r="C105" s="746"/>
      <c r="D105" s="747"/>
      <c r="E105" s="759">
        <f>SUM(E102)</f>
        <v>2343</v>
      </c>
      <c r="F105" s="759">
        <f>F102</f>
        <v>3714</v>
      </c>
      <c r="G105" s="759">
        <f>G102</f>
        <v>3714</v>
      </c>
      <c r="H105" s="857">
        <f>G105/F105*100</f>
        <v>100</v>
      </c>
    </row>
    <row r="106" spans="1:9" s="439" customFormat="1" ht="15.75" thickTop="1" x14ac:dyDescent="0.25">
      <c r="A106" s="2058">
        <v>4357</v>
      </c>
      <c r="B106" s="2059">
        <v>6351</v>
      </c>
      <c r="C106" s="2060"/>
      <c r="D106" s="650" t="s">
        <v>1320</v>
      </c>
      <c r="E106" s="752">
        <v>70</v>
      </c>
      <c r="F106" s="752">
        <v>72</v>
      </c>
      <c r="G106" s="752">
        <v>72</v>
      </c>
      <c r="H106" s="739">
        <f>G106/F106*100</f>
        <v>100</v>
      </c>
    </row>
    <row r="107" spans="1:9" ht="15" thickBot="1" x14ac:dyDescent="0.25">
      <c r="A107" s="2029"/>
      <c r="B107" s="2030"/>
      <c r="C107" s="1179" t="s">
        <v>1536</v>
      </c>
      <c r="D107" s="2010" t="s">
        <v>1537</v>
      </c>
      <c r="E107" s="771">
        <v>70</v>
      </c>
      <c r="F107" s="771">
        <v>72</v>
      </c>
      <c r="G107" s="864">
        <v>72</v>
      </c>
      <c r="H107" s="855">
        <f>(G107/F107)*100</f>
        <v>100</v>
      </c>
    </row>
    <row r="108" spans="1:9" s="369" customFormat="1" ht="20.25" customHeight="1" thickTop="1" thickBot="1" x14ac:dyDescent="0.3">
      <c r="A108" s="744" t="s">
        <v>1247</v>
      </c>
      <c r="B108" s="745"/>
      <c r="C108" s="746"/>
      <c r="D108" s="747"/>
      <c r="E108" s="759">
        <f>E106</f>
        <v>70</v>
      </c>
      <c r="F108" s="759">
        <f>SUM(F106)</f>
        <v>72</v>
      </c>
      <c r="G108" s="759">
        <f>SUM(G106)</f>
        <v>72</v>
      </c>
      <c r="H108" s="857">
        <f>SUM(H106)</f>
        <v>100</v>
      </c>
    </row>
    <row r="109" spans="1:9" s="369" customFormat="1" ht="17.25" thickTop="1" x14ac:dyDescent="0.25">
      <c r="A109" s="363"/>
      <c r="B109" s="364"/>
      <c r="C109" s="365"/>
      <c r="D109" s="366"/>
      <c r="E109" s="367"/>
      <c r="F109" s="367"/>
      <c r="G109" s="367"/>
      <c r="H109" s="368"/>
    </row>
    <row r="110" spans="1:9" s="369" customFormat="1" ht="27.75" customHeight="1" thickBot="1" x14ac:dyDescent="0.3">
      <c r="A110" s="817" t="s">
        <v>1471</v>
      </c>
      <c r="B110" s="764"/>
      <c r="C110" s="765"/>
      <c r="D110" s="766"/>
      <c r="E110" s="861">
        <f>SUM(E105,E108)</f>
        <v>2413</v>
      </c>
      <c r="F110" s="861">
        <f>SUM(F105,F108)</f>
        <v>3786</v>
      </c>
      <c r="G110" s="861">
        <f>SUM(G105,G108)</f>
        <v>3786</v>
      </c>
      <c r="H110" s="822">
        <f>(G110/F110)*100</f>
        <v>100</v>
      </c>
    </row>
    <row r="111" spans="1:9" ht="15" thickTop="1" x14ac:dyDescent="0.2"/>
    <row r="114" spans="1:12" s="439" customFormat="1" ht="15.75" x14ac:dyDescent="0.25">
      <c r="A114" s="727" t="s">
        <v>317</v>
      </c>
      <c r="B114" s="2046"/>
      <c r="C114" s="863"/>
      <c r="E114" s="511" t="s">
        <v>1470</v>
      </c>
      <c r="F114" s="511"/>
      <c r="G114" s="511"/>
      <c r="H114" s="850"/>
    </row>
    <row r="115" spans="1:12" ht="15" thickBot="1" x14ac:dyDescent="0.25">
      <c r="A115" s="2019"/>
      <c r="H115" s="2025" t="s">
        <v>179</v>
      </c>
    </row>
    <row r="116" spans="1:12" s="735" customFormat="1" ht="20.25" customHeight="1" thickTop="1" thickBot="1" x14ac:dyDescent="0.25">
      <c r="A116" s="813" t="s">
        <v>180</v>
      </c>
      <c r="B116" s="730" t="s">
        <v>181</v>
      </c>
      <c r="C116" s="731" t="s">
        <v>783</v>
      </c>
      <c r="D116" s="732" t="s">
        <v>182</v>
      </c>
      <c r="E116" s="733" t="s">
        <v>183</v>
      </c>
      <c r="F116" s="733" t="s">
        <v>985</v>
      </c>
      <c r="G116" s="733" t="s">
        <v>986</v>
      </c>
      <c r="H116" s="734" t="s">
        <v>987</v>
      </c>
    </row>
    <row r="117" spans="1:12" s="386" customFormat="1" ht="13.5" thickTop="1" thickBot="1" x14ac:dyDescent="0.25">
      <c r="A117" s="592">
        <v>1</v>
      </c>
      <c r="B117" s="593">
        <v>2</v>
      </c>
      <c r="C117" s="593">
        <v>3</v>
      </c>
      <c r="D117" s="593">
        <v>4</v>
      </c>
      <c r="E117" s="593">
        <v>5</v>
      </c>
      <c r="F117" s="567">
        <v>6</v>
      </c>
      <c r="G117" s="567">
        <v>7</v>
      </c>
      <c r="H117" s="662" t="s">
        <v>61</v>
      </c>
      <c r="I117" s="107"/>
    </row>
    <row r="118" spans="1:12" s="439" customFormat="1" ht="15.75" thickTop="1" x14ac:dyDescent="0.25">
      <c r="A118" s="2058">
        <v>4357</v>
      </c>
      <c r="B118" s="2059">
        <v>5331</v>
      </c>
      <c r="C118" s="2060"/>
      <c r="D118" s="650" t="s">
        <v>259</v>
      </c>
      <c r="E118" s="752">
        <f>E119+E120</f>
        <v>3848</v>
      </c>
      <c r="F118" s="752">
        <f>F119+F120</f>
        <v>6632</v>
      </c>
      <c r="G118" s="752">
        <f>G119+G120</f>
        <v>6632</v>
      </c>
      <c r="H118" s="739">
        <f>G118/F118*100</f>
        <v>100</v>
      </c>
    </row>
    <row r="119" spans="1:12" x14ac:dyDescent="0.2">
      <c r="A119" s="2029"/>
      <c r="B119" s="2030"/>
      <c r="C119" s="743" t="s">
        <v>641</v>
      </c>
      <c r="D119" s="1550" t="s">
        <v>1416</v>
      </c>
      <c r="E119" s="771">
        <v>278</v>
      </c>
      <c r="F119" s="771">
        <v>423</v>
      </c>
      <c r="G119" s="771">
        <v>423</v>
      </c>
      <c r="H119" s="855">
        <f>(G119/F119)*100</f>
        <v>100</v>
      </c>
    </row>
    <row r="120" spans="1:12" ht="15" thickBot="1" x14ac:dyDescent="0.25">
      <c r="A120" s="2029"/>
      <c r="B120" s="2031"/>
      <c r="C120" s="578" t="s">
        <v>636</v>
      </c>
      <c r="D120" s="758" t="s">
        <v>1220</v>
      </c>
      <c r="E120" s="771">
        <v>3570</v>
      </c>
      <c r="F120" s="771">
        <v>6209</v>
      </c>
      <c r="G120" s="771">
        <v>6209</v>
      </c>
      <c r="H120" s="855">
        <f>(G120/F120)*100</f>
        <v>100</v>
      </c>
    </row>
    <row r="121" spans="1:12" s="369" customFormat="1" ht="20.25" customHeight="1" thickTop="1" thickBot="1" x14ac:dyDescent="0.3">
      <c r="A121" s="744" t="s">
        <v>1246</v>
      </c>
      <c r="B121" s="745"/>
      <c r="C121" s="746"/>
      <c r="D121" s="747"/>
      <c r="E121" s="759">
        <f>SUM(E118)</f>
        <v>3848</v>
      </c>
      <c r="F121" s="759">
        <f>F118</f>
        <v>6632</v>
      </c>
      <c r="G121" s="759">
        <f>G118</f>
        <v>6632</v>
      </c>
      <c r="H121" s="857">
        <f>(G121/F121)*100</f>
        <v>100</v>
      </c>
      <c r="J121" s="862"/>
      <c r="K121" s="862"/>
      <c r="L121" s="862"/>
    </row>
    <row r="122" spans="1:12" s="439" customFormat="1" ht="15.75" thickTop="1" x14ac:dyDescent="0.25">
      <c r="A122" s="2058">
        <v>4357</v>
      </c>
      <c r="B122" s="2059">
        <v>6351</v>
      </c>
      <c r="C122" s="2060"/>
      <c r="D122" s="650" t="s">
        <v>1320</v>
      </c>
      <c r="E122" s="752">
        <f>E123+E124</f>
        <v>250</v>
      </c>
      <c r="F122" s="752">
        <f>F123+F124</f>
        <v>820</v>
      </c>
      <c r="G122" s="752">
        <f>G123+G124</f>
        <v>820</v>
      </c>
      <c r="H122" s="739">
        <f>G122/F122*100</f>
        <v>100</v>
      </c>
    </row>
    <row r="123" spans="1:12" x14ac:dyDescent="0.2">
      <c r="A123" s="2029"/>
      <c r="B123" s="2030"/>
      <c r="C123" s="754" t="s">
        <v>839</v>
      </c>
      <c r="D123" s="119" t="s">
        <v>995</v>
      </c>
      <c r="E123" s="771"/>
      <c r="F123" s="771">
        <v>570</v>
      </c>
      <c r="G123" s="864">
        <v>570</v>
      </c>
      <c r="H123" s="855">
        <f>(G123/F123)*100</f>
        <v>100</v>
      </c>
    </row>
    <row r="124" spans="1:12" ht="15" thickBot="1" x14ac:dyDescent="0.25">
      <c r="A124" s="2029"/>
      <c r="B124" s="2030"/>
      <c r="C124" s="1179" t="s">
        <v>1536</v>
      </c>
      <c r="D124" s="2010" t="s">
        <v>1537</v>
      </c>
      <c r="E124" s="771">
        <v>250</v>
      </c>
      <c r="F124" s="771">
        <v>250</v>
      </c>
      <c r="G124" s="864">
        <v>250</v>
      </c>
      <c r="H124" s="855">
        <f>(G124/F124)*100</f>
        <v>100</v>
      </c>
    </row>
    <row r="125" spans="1:12" s="369" customFormat="1" ht="20.25" customHeight="1" thickTop="1" thickBot="1" x14ac:dyDescent="0.3">
      <c r="A125" s="744" t="s">
        <v>1247</v>
      </c>
      <c r="B125" s="745"/>
      <c r="C125" s="746"/>
      <c r="D125" s="747"/>
      <c r="E125" s="759">
        <f>E122</f>
        <v>250</v>
      </c>
      <c r="F125" s="759">
        <f>SUM(F122)</f>
        <v>820</v>
      </c>
      <c r="G125" s="759">
        <f>SUM(G122)</f>
        <v>820</v>
      </c>
      <c r="H125" s="857">
        <f>SUM(H122)</f>
        <v>100</v>
      </c>
    </row>
    <row r="126" spans="1:12" ht="15" thickTop="1" x14ac:dyDescent="0.2">
      <c r="A126" s="2019"/>
    </row>
    <row r="127" spans="1:12" s="369" customFormat="1" ht="27.75" customHeight="1" thickBot="1" x14ac:dyDescent="0.3">
      <c r="A127" s="817" t="s">
        <v>318</v>
      </c>
      <c r="B127" s="764"/>
      <c r="C127" s="765"/>
      <c r="D127" s="766"/>
      <c r="E127" s="861">
        <f>SUM(E121,E125)</f>
        <v>4098</v>
      </c>
      <c r="F127" s="861">
        <f>SUM(F121,F125)</f>
        <v>7452</v>
      </c>
      <c r="G127" s="861">
        <f>SUM(G121,G125)</f>
        <v>7452</v>
      </c>
      <c r="H127" s="822">
        <f>(G127/F127)*100</f>
        <v>100</v>
      </c>
    </row>
    <row r="128" spans="1:12" ht="15" thickTop="1" x14ac:dyDescent="0.2"/>
    <row r="132" spans="1:9" s="525" customFormat="1" ht="15.75" x14ac:dyDescent="0.25">
      <c r="A132" s="727" t="s">
        <v>1339</v>
      </c>
      <c r="B132" s="778"/>
      <c r="C132" s="863"/>
      <c r="E132" s="511" t="s">
        <v>1472</v>
      </c>
      <c r="F132" s="511"/>
      <c r="G132" s="511"/>
      <c r="H132" s="850"/>
    </row>
    <row r="133" spans="1:9" ht="15" thickBot="1" x14ac:dyDescent="0.25">
      <c r="A133" s="2019"/>
      <c r="H133" s="2025" t="s">
        <v>179</v>
      </c>
    </row>
    <row r="134" spans="1:9" s="735" customFormat="1" ht="20.25" customHeight="1" thickTop="1" thickBot="1" x14ac:dyDescent="0.25">
      <c r="A134" s="813" t="s">
        <v>180</v>
      </c>
      <c r="B134" s="730" t="s">
        <v>181</v>
      </c>
      <c r="C134" s="731" t="s">
        <v>783</v>
      </c>
      <c r="D134" s="732" t="s">
        <v>182</v>
      </c>
      <c r="E134" s="733" t="s">
        <v>183</v>
      </c>
      <c r="F134" s="733" t="s">
        <v>985</v>
      </c>
      <c r="G134" s="733" t="s">
        <v>986</v>
      </c>
      <c r="H134" s="734" t="s">
        <v>987</v>
      </c>
    </row>
    <row r="135" spans="1:9" s="386" customFormat="1" ht="13.5" thickTop="1" thickBot="1" x14ac:dyDescent="0.25">
      <c r="A135" s="592">
        <v>1</v>
      </c>
      <c r="B135" s="593">
        <v>2</v>
      </c>
      <c r="C135" s="593">
        <v>3</v>
      </c>
      <c r="D135" s="593">
        <v>4</v>
      </c>
      <c r="E135" s="593">
        <v>5</v>
      </c>
      <c r="F135" s="567">
        <v>6</v>
      </c>
      <c r="G135" s="567">
        <v>7</v>
      </c>
      <c r="H135" s="662" t="s">
        <v>61</v>
      </c>
      <c r="I135" s="107"/>
    </row>
    <row r="136" spans="1:9" s="439" customFormat="1" ht="15.75" thickTop="1" x14ac:dyDescent="0.25">
      <c r="A136" s="2058">
        <v>4357</v>
      </c>
      <c r="B136" s="2059">
        <v>5331</v>
      </c>
      <c r="C136" s="2060"/>
      <c r="D136" s="650" t="s">
        <v>259</v>
      </c>
      <c r="E136" s="752">
        <f>E137+E138</f>
        <v>4207</v>
      </c>
      <c r="F136" s="752">
        <f>F137+F138</f>
        <v>7002</v>
      </c>
      <c r="G136" s="752">
        <f>G137+G138</f>
        <v>7002</v>
      </c>
      <c r="H136" s="739">
        <f>G136/F136*100</f>
        <v>100</v>
      </c>
    </row>
    <row r="137" spans="1:9" x14ac:dyDescent="0.2">
      <c r="A137" s="2029"/>
      <c r="B137" s="2030"/>
      <c r="C137" s="743" t="s">
        <v>641</v>
      </c>
      <c r="D137" s="1550" t="s">
        <v>1416</v>
      </c>
      <c r="E137" s="771">
        <v>951</v>
      </c>
      <c r="F137" s="771">
        <v>1029</v>
      </c>
      <c r="G137" s="771">
        <v>1029</v>
      </c>
      <c r="H137" s="855">
        <f>(G137/F137)*100</f>
        <v>100</v>
      </c>
    </row>
    <row r="138" spans="1:9" ht="15" thickBot="1" x14ac:dyDescent="0.25">
      <c r="A138" s="2029"/>
      <c r="B138" s="2031"/>
      <c r="C138" s="578" t="s">
        <v>636</v>
      </c>
      <c r="D138" s="758" t="s">
        <v>1220</v>
      </c>
      <c r="E138" s="771">
        <v>3256</v>
      </c>
      <c r="F138" s="771">
        <v>5973</v>
      </c>
      <c r="G138" s="771">
        <v>5973</v>
      </c>
      <c r="H138" s="855">
        <f>(G138/F138)*100</f>
        <v>100</v>
      </c>
    </row>
    <row r="139" spans="1:9" s="369" customFormat="1" ht="20.25" customHeight="1" thickTop="1" thickBot="1" x14ac:dyDescent="0.3">
      <c r="A139" s="744" t="s">
        <v>1246</v>
      </c>
      <c r="B139" s="745"/>
      <c r="C139" s="746"/>
      <c r="D139" s="747"/>
      <c r="E139" s="759">
        <f>SUM(E136)</f>
        <v>4207</v>
      </c>
      <c r="F139" s="759">
        <f>F136</f>
        <v>7002</v>
      </c>
      <c r="G139" s="759">
        <f>G136</f>
        <v>7002</v>
      </c>
      <c r="H139" s="857">
        <f>(G139/F139)*100</f>
        <v>100</v>
      </c>
    </row>
    <row r="140" spans="1:9" s="439" customFormat="1" ht="15.75" thickTop="1" x14ac:dyDescent="0.25">
      <c r="A140" s="2058">
        <v>4357</v>
      </c>
      <c r="B140" s="2059">
        <v>6351</v>
      </c>
      <c r="C140" s="2060"/>
      <c r="D140" s="650" t="s">
        <v>1320</v>
      </c>
      <c r="E140" s="752">
        <v>949</v>
      </c>
      <c r="F140" s="752">
        <v>924</v>
      </c>
      <c r="G140" s="752">
        <v>924</v>
      </c>
      <c r="H140" s="739">
        <f>G140/F140*100</f>
        <v>100</v>
      </c>
    </row>
    <row r="141" spans="1:9" ht="15" thickBot="1" x14ac:dyDescent="0.25">
      <c r="A141" s="2029"/>
      <c r="B141" s="2030"/>
      <c r="C141" s="1179" t="s">
        <v>1536</v>
      </c>
      <c r="D141" s="2010" t="s">
        <v>1537</v>
      </c>
      <c r="E141" s="771">
        <v>949</v>
      </c>
      <c r="F141" s="771">
        <v>924</v>
      </c>
      <c r="G141" s="864">
        <v>924</v>
      </c>
      <c r="H141" s="855">
        <f>(G141/F141)*100</f>
        <v>100</v>
      </c>
    </row>
    <row r="142" spans="1:9" s="369" customFormat="1" ht="20.25" customHeight="1" thickTop="1" thickBot="1" x14ac:dyDescent="0.3">
      <c r="A142" s="744" t="s">
        <v>1247</v>
      </c>
      <c r="B142" s="745"/>
      <c r="C142" s="746"/>
      <c r="D142" s="747"/>
      <c r="E142" s="759">
        <f>E140</f>
        <v>949</v>
      </c>
      <c r="F142" s="759">
        <f>SUM(F140)</f>
        <v>924</v>
      </c>
      <c r="G142" s="759">
        <f>SUM(G140)</f>
        <v>924</v>
      </c>
      <c r="H142" s="857">
        <f>SUM(H140)</f>
        <v>100</v>
      </c>
    </row>
    <row r="143" spans="1:9" s="860" customFormat="1" ht="20.25" customHeight="1" thickTop="1" x14ac:dyDescent="0.25">
      <c r="A143" s="2032"/>
      <c r="B143" s="2033"/>
      <c r="C143" s="2034"/>
      <c r="D143" s="2035"/>
      <c r="E143" s="2036"/>
      <c r="F143" s="2036"/>
      <c r="G143" s="2036"/>
      <c r="H143" s="2037"/>
    </row>
    <row r="144" spans="1:9" s="369" customFormat="1" ht="27.75" customHeight="1" thickBot="1" x14ac:dyDescent="0.3">
      <c r="A144" s="817" t="s">
        <v>1340</v>
      </c>
      <c r="B144" s="764"/>
      <c r="C144" s="765"/>
      <c r="D144" s="766"/>
      <c r="E144" s="861">
        <f>SUM(E139,E142)</f>
        <v>5156</v>
      </c>
      <c r="F144" s="861">
        <f>SUM(F139,F142)</f>
        <v>7926</v>
      </c>
      <c r="G144" s="861">
        <f>SUM(G139,G142)</f>
        <v>7926</v>
      </c>
      <c r="H144" s="822">
        <f>(G144/F144)*100</f>
        <v>100</v>
      </c>
    </row>
    <row r="145" spans="1:9" s="860" customFormat="1" ht="15" customHeight="1" thickTop="1" x14ac:dyDescent="0.25">
      <c r="A145" s="2032"/>
      <c r="B145" s="2033"/>
      <c r="C145" s="2034"/>
      <c r="D145" s="2035"/>
      <c r="E145" s="2036"/>
      <c r="F145" s="2036"/>
      <c r="G145" s="2036"/>
      <c r="H145" s="2037"/>
    </row>
    <row r="146" spans="1:9" s="860" customFormat="1" ht="15" customHeight="1" x14ac:dyDescent="0.25">
      <c r="A146" s="2032"/>
      <c r="B146" s="2033"/>
      <c r="C146" s="2034"/>
      <c r="D146" s="2035"/>
      <c r="E146" s="2036"/>
      <c r="F146" s="2036"/>
      <c r="G146" s="2036"/>
      <c r="H146" s="2037"/>
    </row>
    <row r="147" spans="1:9" s="860" customFormat="1" ht="15" customHeight="1" x14ac:dyDescent="0.25">
      <c r="A147" s="2032"/>
      <c r="B147" s="2033"/>
      <c r="C147" s="2034"/>
      <c r="D147" s="2035"/>
      <c r="E147" s="2036"/>
      <c r="F147" s="2036"/>
      <c r="G147" s="2036"/>
      <c r="H147" s="2037"/>
    </row>
    <row r="148" spans="1:9" s="439" customFormat="1" ht="15.75" x14ac:dyDescent="0.25">
      <c r="A148" s="727" t="s">
        <v>1341</v>
      </c>
      <c r="B148" s="2046"/>
      <c r="C148" s="863"/>
      <c r="E148" s="511" t="s">
        <v>1473</v>
      </c>
      <c r="F148" s="511"/>
      <c r="G148" s="511"/>
      <c r="H148" s="850"/>
    </row>
    <row r="149" spans="1:9" ht="15" thickBot="1" x14ac:dyDescent="0.25">
      <c r="A149" s="2019"/>
      <c r="H149" s="2025" t="s">
        <v>179</v>
      </c>
    </row>
    <row r="150" spans="1:9" s="735" customFormat="1" ht="20.25" customHeight="1" thickTop="1" thickBot="1" x14ac:dyDescent="0.25">
      <c r="A150" s="813" t="s">
        <v>180</v>
      </c>
      <c r="B150" s="730" t="s">
        <v>181</v>
      </c>
      <c r="C150" s="731" t="s">
        <v>783</v>
      </c>
      <c r="D150" s="732" t="s">
        <v>182</v>
      </c>
      <c r="E150" s="733" t="s">
        <v>183</v>
      </c>
      <c r="F150" s="733" t="s">
        <v>985</v>
      </c>
      <c r="G150" s="733" t="s">
        <v>986</v>
      </c>
      <c r="H150" s="734" t="s">
        <v>987</v>
      </c>
    </row>
    <row r="151" spans="1:9" s="386" customFormat="1" ht="13.5" thickTop="1" thickBot="1" x14ac:dyDescent="0.25">
      <c r="A151" s="592">
        <v>1</v>
      </c>
      <c r="B151" s="593">
        <v>2</v>
      </c>
      <c r="C151" s="593">
        <v>3</v>
      </c>
      <c r="D151" s="593">
        <v>4</v>
      </c>
      <c r="E151" s="593">
        <v>5</v>
      </c>
      <c r="F151" s="567">
        <v>6</v>
      </c>
      <c r="G151" s="567">
        <v>7</v>
      </c>
      <c r="H151" s="662" t="s">
        <v>61</v>
      </c>
      <c r="I151" s="107"/>
    </row>
    <row r="152" spans="1:9" s="439" customFormat="1" ht="15.75" thickTop="1" x14ac:dyDescent="0.25">
      <c r="A152" s="2058">
        <v>4351</v>
      </c>
      <c r="B152" s="2059">
        <v>5331</v>
      </c>
      <c r="C152" s="2060"/>
      <c r="D152" s="650" t="s">
        <v>259</v>
      </c>
      <c r="E152" s="752">
        <f>E153+E154</f>
        <v>430</v>
      </c>
      <c r="F152" s="752">
        <f>F153+F154</f>
        <v>280</v>
      </c>
      <c r="G152" s="752">
        <f>G153+G154</f>
        <v>280</v>
      </c>
      <c r="H152" s="739">
        <f>G152/F152*100</f>
        <v>100</v>
      </c>
    </row>
    <row r="153" spans="1:9" x14ac:dyDescent="0.2">
      <c r="A153" s="2029"/>
      <c r="B153" s="2030"/>
      <c r="C153" s="743" t="s">
        <v>641</v>
      </c>
      <c r="D153" s="1550" t="s">
        <v>1416</v>
      </c>
      <c r="E153" s="771">
        <v>59</v>
      </c>
      <c r="F153" s="771">
        <v>59</v>
      </c>
      <c r="G153" s="771">
        <v>59</v>
      </c>
      <c r="H153" s="855">
        <f>(G153/F153)*100</f>
        <v>100</v>
      </c>
    </row>
    <row r="154" spans="1:9" ht="15" thickBot="1" x14ac:dyDescent="0.25">
      <c r="A154" s="2029"/>
      <c r="B154" s="2030"/>
      <c r="C154" s="578" t="s">
        <v>636</v>
      </c>
      <c r="D154" s="758" t="s">
        <v>1220</v>
      </c>
      <c r="E154" s="771">
        <v>371</v>
      </c>
      <c r="F154" s="771">
        <v>221</v>
      </c>
      <c r="G154" s="771">
        <v>221</v>
      </c>
      <c r="H154" s="855">
        <f>(G154/F154)*100</f>
        <v>100</v>
      </c>
    </row>
    <row r="155" spans="1:9" s="369" customFormat="1" ht="20.25" customHeight="1" thickTop="1" thickBot="1" x14ac:dyDescent="0.3">
      <c r="A155" s="744" t="s">
        <v>1246</v>
      </c>
      <c r="B155" s="745"/>
      <c r="C155" s="746"/>
      <c r="D155" s="747"/>
      <c r="E155" s="759">
        <f>SUM(E152)</f>
        <v>430</v>
      </c>
      <c r="F155" s="759">
        <f>SUM(F152)</f>
        <v>280</v>
      </c>
      <c r="G155" s="759">
        <f>SUM(G152)</f>
        <v>280</v>
      </c>
      <c r="H155" s="857">
        <f>(G155/F155)*100</f>
        <v>100</v>
      </c>
    </row>
    <row r="156" spans="1:9" s="439" customFormat="1" ht="15.75" thickTop="1" x14ac:dyDescent="0.25">
      <c r="A156" s="2046"/>
      <c r="B156" s="2046"/>
      <c r="C156" s="863"/>
      <c r="E156" s="511"/>
      <c r="F156" s="511"/>
      <c r="G156" s="511"/>
      <c r="H156" s="850"/>
    </row>
    <row r="157" spans="1:9" s="369" customFormat="1" ht="27.75" customHeight="1" thickBot="1" x14ac:dyDescent="0.3">
      <c r="A157" s="817" t="s">
        <v>440</v>
      </c>
      <c r="B157" s="764"/>
      <c r="C157" s="765"/>
      <c r="D157" s="766"/>
      <c r="E157" s="861">
        <f>SUM(E155)</f>
        <v>430</v>
      </c>
      <c r="F157" s="861">
        <f>SUM(F155)</f>
        <v>280</v>
      </c>
      <c r="G157" s="861">
        <f>SUM(G155)</f>
        <v>280</v>
      </c>
      <c r="H157" s="822">
        <f>(G157/F157)*100</f>
        <v>100</v>
      </c>
    </row>
    <row r="158" spans="1:9" s="860" customFormat="1" ht="14.25" customHeight="1" thickTop="1" x14ac:dyDescent="0.25">
      <c r="A158" s="2032"/>
      <c r="B158" s="2033"/>
      <c r="C158" s="2034"/>
      <c r="D158" s="2035"/>
      <c r="E158" s="2036"/>
      <c r="F158" s="2036"/>
      <c r="G158" s="2036"/>
      <c r="H158" s="2037"/>
    </row>
    <row r="159" spans="1:9" s="860" customFormat="1" ht="14.25" customHeight="1" x14ac:dyDescent="0.25">
      <c r="A159" s="2032"/>
      <c r="B159" s="2033"/>
      <c r="C159" s="2034"/>
      <c r="D159" s="2035"/>
      <c r="E159" s="2036"/>
      <c r="F159" s="2036"/>
      <c r="G159" s="2036"/>
      <c r="H159" s="2037"/>
    </row>
    <row r="160" spans="1:9" s="860" customFormat="1" ht="14.25" customHeight="1" x14ac:dyDescent="0.25">
      <c r="A160" s="2032"/>
      <c r="B160" s="2033"/>
      <c r="C160" s="2034"/>
      <c r="D160" s="2035"/>
      <c r="E160" s="2036"/>
      <c r="F160" s="2036"/>
      <c r="G160" s="2036"/>
      <c r="H160" s="2037"/>
    </row>
    <row r="161" spans="1:9" s="525" customFormat="1" ht="15.75" x14ac:dyDescent="0.25">
      <c r="A161" s="727" t="s">
        <v>442</v>
      </c>
      <c r="B161" s="778"/>
      <c r="C161" s="863"/>
      <c r="E161" s="511" t="s">
        <v>1474</v>
      </c>
      <c r="F161" s="511"/>
      <c r="G161" s="511"/>
      <c r="H161" s="850"/>
    </row>
    <row r="162" spans="1:9" ht="15" thickBot="1" x14ac:dyDescent="0.25">
      <c r="A162" s="2019"/>
      <c r="H162" s="2025" t="s">
        <v>179</v>
      </c>
    </row>
    <row r="163" spans="1:9" s="735" customFormat="1" ht="20.25" customHeight="1" thickTop="1" thickBot="1" x14ac:dyDescent="0.25">
      <c r="A163" s="813" t="s">
        <v>180</v>
      </c>
      <c r="B163" s="730" t="s">
        <v>181</v>
      </c>
      <c r="C163" s="731" t="s">
        <v>783</v>
      </c>
      <c r="D163" s="732" t="s">
        <v>182</v>
      </c>
      <c r="E163" s="733" t="s">
        <v>183</v>
      </c>
      <c r="F163" s="733" t="s">
        <v>985</v>
      </c>
      <c r="G163" s="733" t="s">
        <v>986</v>
      </c>
      <c r="H163" s="734" t="s">
        <v>987</v>
      </c>
    </row>
    <row r="164" spans="1:9" s="386" customFormat="1" ht="13.5" thickTop="1" thickBot="1" x14ac:dyDescent="0.25">
      <c r="A164" s="592">
        <v>1</v>
      </c>
      <c r="B164" s="593">
        <v>2</v>
      </c>
      <c r="C164" s="593">
        <v>3</v>
      </c>
      <c r="D164" s="593">
        <v>4</v>
      </c>
      <c r="E164" s="593">
        <v>5</v>
      </c>
      <c r="F164" s="567">
        <v>6</v>
      </c>
      <c r="G164" s="567">
        <v>7</v>
      </c>
      <c r="H164" s="662" t="s">
        <v>61</v>
      </c>
      <c r="I164" s="107"/>
    </row>
    <row r="165" spans="1:9" s="439" customFormat="1" ht="15.75" thickTop="1" x14ac:dyDescent="0.25">
      <c r="A165" s="2058">
        <v>4357</v>
      </c>
      <c r="B165" s="2059">
        <v>5331</v>
      </c>
      <c r="C165" s="2060"/>
      <c r="D165" s="650" t="s">
        <v>259</v>
      </c>
      <c r="E165" s="752">
        <f>E166+E167</f>
        <v>6602</v>
      </c>
      <c r="F165" s="752">
        <f>F166+F167</f>
        <v>10443</v>
      </c>
      <c r="G165" s="752">
        <f>G166+G167</f>
        <v>10443</v>
      </c>
      <c r="H165" s="739">
        <f>G165/F165*100</f>
        <v>100</v>
      </c>
    </row>
    <row r="166" spans="1:9" x14ac:dyDescent="0.2">
      <c r="A166" s="2029"/>
      <c r="B166" s="2030"/>
      <c r="C166" s="743" t="s">
        <v>641</v>
      </c>
      <c r="D166" s="1550" t="s">
        <v>1416</v>
      </c>
      <c r="E166" s="771">
        <v>800</v>
      </c>
      <c r="F166" s="771">
        <v>862</v>
      </c>
      <c r="G166" s="771">
        <v>862</v>
      </c>
      <c r="H166" s="855">
        <f>(G166/F166)*100</f>
        <v>100</v>
      </c>
    </row>
    <row r="167" spans="1:9" ht="15" thickBot="1" x14ac:dyDescent="0.25">
      <c r="A167" s="2029"/>
      <c r="B167" s="2030"/>
      <c r="C167" s="578" t="s">
        <v>636</v>
      </c>
      <c r="D167" s="758" t="s">
        <v>1220</v>
      </c>
      <c r="E167" s="771">
        <v>5802</v>
      </c>
      <c r="F167" s="771">
        <v>9581</v>
      </c>
      <c r="G167" s="771">
        <v>9581</v>
      </c>
      <c r="H167" s="855">
        <f>(G167/F167)*100</f>
        <v>100</v>
      </c>
    </row>
    <row r="168" spans="1:9" s="369" customFormat="1" ht="20.25" customHeight="1" thickTop="1" thickBot="1" x14ac:dyDescent="0.3">
      <c r="A168" s="744" t="s">
        <v>1246</v>
      </c>
      <c r="B168" s="745"/>
      <c r="C168" s="746"/>
      <c r="D168" s="747"/>
      <c r="E168" s="759">
        <f>SUM(E165)</f>
        <v>6602</v>
      </c>
      <c r="F168" s="759">
        <f>SUM(F165)</f>
        <v>10443</v>
      </c>
      <c r="G168" s="759">
        <f>SUM(G165)</f>
        <v>10443</v>
      </c>
      <c r="H168" s="857">
        <f>(G168/F168)*100</f>
        <v>100</v>
      </c>
    </row>
    <row r="169" spans="1:9" s="439" customFormat="1" ht="15.75" thickTop="1" x14ac:dyDescent="0.25">
      <c r="A169" s="2058">
        <v>4357</v>
      </c>
      <c r="B169" s="2059">
        <v>6351</v>
      </c>
      <c r="C169" s="2060"/>
      <c r="D169" s="650" t="s">
        <v>1320</v>
      </c>
      <c r="E169" s="752">
        <v>625</v>
      </c>
      <c r="F169" s="752">
        <v>613</v>
      </c>
      <c r="G169" s="752">
        <v>613</v>
      </c>
      <c r="H169" s="739">
        <f>G169/F169*100</f>
        <v>100</v>
      </c>
    </row>
    <row r="170" spans="1:9" ht="15" thickBot="1" x14ac:dyDescent="0.25">
      <c r="A170" s="2029"/>
      <c r="B170" s="2030"/>
      <c r="C170" s="1179" t="s">
        <v>1536</v>
      </c>
      <c r="D170" s="2010" t="s">
        <v>1537</v>
      </c>
      <c r="E170" s="771">
        <v>625</v>
      </c>
      <c r="F170" s="771">
        <v>613</v>
      </c>
      <c r="G170" s="864">
        <v>613</v>
      </c>
      <c r="H170" s="855">
        <f>(G170/F170)*100</f>
        <v>100</v>
      </c>
    </row>
    <row r="171" spans="1:9" s="369" customFormat="1" ht="20.25" customHeight="1" thickTop="1" thickBot="1" x14ac:dyDescent="0.3">
      <c r="A171" s="744" t="s">
        <v>1247</v>
      </c>
      <c r="B171" s="745"/>
      <c r="C171" s="746"/>
      <c r="D171" s="747"/>
      <c r="E171" s="759">
        <f>E169</f>
        <v>625</v>
      </c>
      <c r="F171" s="759">
        <f>SUM(F169)</f>
        <v>613</v>
      </c>
      <c r="G171" s="759">
        <f>SUM(G169)</f>
        <v>613</v>
      </c>
      <c r="H171" s="857">
        <f>SUM(H169)</f>
        <v>100</v>
      </c>
    </row>
    <row r="172" spans="1:9" s="439" customFormat="1" ht="14.25" customHeight="1" thickTop="1" x14ac:dyDescent="0.25">
      <c r="A172" s="363"/>
      <c r="B172" s="364"/>
      <c r="C172" s="865"/>
      <c r="D172" s="366"/>
      <c r="E172" s="866"/>
      <c r="F172" s="866"/>
      <c r="G172" s="866"/>
      <c r="H172" s="824"/>
    </row>
    <row r="173" spans="1:9" s="369" customFormat="1" ht="27.75" customHeight="1" thickBot="1" x14ac:dyDescent="0.3">
      <c r="A173" s="817" t="s">
        <v>443</v>
      </c>
      <c r="B173" s="764"/>
      <c r="C173" s="765"/>
      <c r="D173" s="766"/>
      <c r="E173" s="861">
        <f>E168+E171</f>
        <v>7227</v>
      </c>
      <c r="F173" s="861">
        <f>F168+F171</f>
        <v>11056</v>
      </c>
      <c r="G173" s="861">
        <f>G168+G171</f>
        <v>11056</v>
      </c>
      <c r="H173" s="822">
        <f>(G173/F173)*100</f>
        <v>100</v>
      </c>
    </row>
    <row r="174" spans="1:9" ht="15" thickTop="1" x14ac:dyDescent="0.2">
      <c r="A174" s="2019"/>
    </row>
    <row r="175" spans="1:9" x14ac:dyDescent="0.2">
      <c r="A175" s="2019"/>
    </row>
    <row r="176" spans="1:9" x14ac:dyDescent="0.2">
      <c r="A176" s="2019"/>
    </row>
    <row r="177" spans="1:9" s="525" customFormat="1" ht="15.75" x14ac:dyDescent="0.25">
      <c r="A177" s="727" t="s">
        <v>1545</v>
      </c>
      <c r="B177" s="778"/>
      <c r="C177" s="863"/>
      <c r="E177" s="511" t="s">
        <v>1343</v>
      </c>
      <c r="F177" s="511"/>
      <c r="G177" s="511"/>
      <c r="H177" s="850"/>
    </row>
    <row r="178" spans="1:9" ht="15" thickBot="1" x14ac:dyDescent="0.25">
      <c r="A178" s="2019"/>
      <c r="H178" s="2025" t="s">
        <v>179</v>
      </c>
    </row>
    <row r="179" spans="1:9" s="735" customFormat="1" ht="20.25" customHeight="1" thickTop="1" thickBot="1" x14ac:dyDescent="0.25">
      <c r="A179" s="813" t="s">
        <v>180</v>
      </c>
      <c r="B179" s="730" t="s">
        <v>181</v>
      </c>
      <c r="C179" s="731" t="s">
        <v>783</v>
      </c>
      <c r="D179" s="732" t="s">
        <v>182</v>
      </c>
      <c r="E179" s="733" t="s">
        <v>183</v>
      </c>
      <c r="F179" s="733" t="s">
        <v>985</v>
      </c>
      <c r="G179" s="733" t="s">
        <v>986</v>
      </c>
      <c r="H179" s="734" t="s">
        <v>987</v>
      </c>
    </row>
    <row r="180" spans="1:9" s="386" customFormat="1" ht="13.5" thickTop="1" thickBot="1" x14ac:dyDescent="0.25">
      <c r="A180" s="592">
        <v>1</v>
      </c>
      <c r="B180" s="593">
        <v>2</v>
      </c>
      <c r="C180" s="593">
        <v>3</v>
      </c>
      <c r="D180" s="593">
        <v>4</v>
      </c>
      <c r="E180" s="593">
        <v>5</v>
      </c>
      <c r="F180" s="567">
        <v>6</v>
      </c>
      <c r="G180" s="567">
        <v>7</v>
      </c>
      <c r="H180" s="662" t="s">
        <v>61</v>
      </c>
      <c r="I180" s="107"/>
    </row>
    <row r="181" spans="1:9" s="439" customFormat="1" ht="15.75" thickTop="1" x14ac:dyDescent="0.25">
      <c r="A181" s="2058">
        <v>4357</v>
      </c>
      <c r="B181" s="2059">
        <v>5331</v>
      </c>
      <c r="C181" s="2060"/>
      <c r="D181" s="650" t="s">
        <v>259</v>
      </c>
      <c r="E181" s="752">
        <f>E182+E183</f>
        <v>971</v>
      </c>
      <c r="F181" s="752">
        <f>F182+F183</f>
        <v>1512</v>
      </c>
      <c r="G181" s="752">
        <f>G182+G183</f>
        <v>1512</v>
      </c>
      <c r="H181" s="739">
        <f>G181/F181*100</f>
        <v>100</v>
      </c>
    </row>
    <row r="182" spans="1:9" x14ac:dyDescent="0.2">
      <c r="A182" s="2029"/>
      <c r="B182" s="2030"/>
      <c r="C182" s="743" t="s">
        <v>641</v>
      </c>
      <c r="D182" s="1550" t="s">
        <v>1416</v>
      </c>
      <c r="E182" s="771">
        <v>133</v>
      </c>
      <c r="F182" s="771">
        <v>162</v>
      </c>
      <c r="G182" s="771">
        <v>162</v>
      </c>
      <c r="H182" s="855">
        <f>(G182/F182)*100</f>
        <v>100</v>
      </c>
    </row>
    <row r="183" spans="1:9" ht="15" thickBot="1" x14ac:dyDescent="0.25">
      <c r="A183" s="2029"/>
      <c r="B183" s="2030"/>
      <c r="C183" s="578" t="s">
        <v>636</v>
      </c>
      <c r="D183" s="758" t="s">
        <v>1220</v>
      </c>
      <c r="E183" s="771">
        <v>838</v>
      </c>
      <c r="F183" s="771">
        <v>1350</v>
      </c>
      <c r="G183" s="771">
        <v>1350</v>
      </c>
      <c r="H183" s="855">
        <f>(G183/F183)*100</f>
        <v>100</v>
      </c>
    </row>
    <row r="184" spans="1:9" s="369" customFormat="1" ht="20.25" customHeight="1" thickTop="1" thickBot="1" x14ac:dyDescent="0.3">
      <c r="A184" s="744" t="s">
        <v>1246</v>
      </c>
      <c r="B184" s="745"/>
      <c r="C184" s="746"/>
      <c r="D184" s="747"/>
      <c r="E184" s="759">
        <f>SUM(E181)</f>
        <v>971</v>
      </c>
      <c r="F184" s="759">
        <f>SUM(F181)</f>
        <v>1512</v>
      </c>
      <c r="G184" s="759">
        <f>SUM(G181)</f>
        <v>1512</v>
      </c>
      <c r="H184" s="857">
        <f>(G184/F184)*100</f>
        <v>100</v>
      </c>
    </row>
    <row r="185" spans="1:9" s="439" customFormat="1" ht="15.75" thickTop="1" x14ac:dyDescent="0.25">
      <c r="A185" s="2058">
        <v>4357</v>
      </c>
      <c r="B185" s="2059">
        <v>6351</v>
      </c>
      <c r="C185" s="2060"/>
      <c r="D185" s="650" t="s">
        <v>1320</v>
      </c>
      <c r="E185" s="752">
        <v>250</v>
      </c>
      <c r="F185" s="752">
        <v>221</v>
      </c>
      <c r="G185" s="752">
        <v>221</v>
      </c>
      <c r="H185" s="739">
        <f>G185/F185*100</f>
        <v>100</v>
      </c>
    </row>
    <row r="186" spans="1:9" ht="15" thickBot="1" x14ac:dyDescent="0.25">
      <c r="A186" s="2029"/>
      <c r="B186" s="2030"/>
      <c r="C186" s="1179" t="s">
        <v>1536</v>
      </c>
      <c r="D186" s="2010" t="s">
        <v>1537</v>
      </c>
      <c r="E186" s="771">
        <v>250</v>
      </c>
      <c r="F186" s="771">
        <v>221</v>
      </c>
      <c r="G186" s="864">
        <v>221</v>
      </c>
      <c r="H186" s="855">
        <f>(G186/F186)*100</f>
        <v>100</v>
      </c>
    </row>
    <row r="187" spans="1:9" s="369" customFormat="1" ht="20.25" customHeight="1" thickTop="1" thickBot="1" x14ac:dyDescent="0.3">
      <c r="A187" s="744" t="s">
        <v>1247</v>
      </c>
      <c r="B187" s="745"/>
      <c r="C187" s="746"/>
      <c r="D187" s="747"/>
      <c r="E187" s="759">
        <f>E185</f>
        <v>250</v>
      </c>
      <c r="F187" s="759">
        <f>SUM(F185)</f>
        <v>221</v>
      </c>
      <c r="G187" s="759">
        <f>SUM(G185)</f>
        <v>221</v>
      </c>
      <c r="H187" s="857">
        <f>SUM(H185)</f>
        <v>100</v>
      </c>
    </row>
    <row r="188" spans="1:9" s="860" customFormat="1" ht="20.25" customHeight="1" thickTop="1" x14ac:dyDescent="0.25">
      <c r="A188" s="2032"/>
      <c r="B188" s="2033"/>
      <c r="C188" s="2034"/>
      <c r="D188" s="2035"/>
      <c r="E188" s="2036"/>
      <c r="F188" s="2036"/>
      <c r="G188" s="2036"/>
      <c r="H188" s="2037"/>
    </row>
    <row r="189" spans="1:9" s="369" customFormat="1" ht="27.75" customHeight="1" thickBot="1" x14ac:dyDescent="0.3">
      <c r="A189" s="817" t="s">
        <v>1546</v>
      </c>
      <c r="B189" s="764"/>
      <c r="C189" s="765"/>
      <c r="D189" s="766"/>
      <c r="E189" s="861">
        <f>SUM(E184,E187)</f>
        <v>1221</v>
      </c>
      <c r="F189" s="861">
        <f>SUM(F184,F187)</f>
        <v>1733</v>
      </c>
      <c r="G189" s="861">
        <f>SUM(G184,G187)</f>
        <v>1733</v>
      </c>
      <c r="H189" s="822">
        <f>(G189/F189)*100</f>
        <v>100</v>
      </c>
    </row>
    <row r="190" spans="1:9" s="880" customFormat="1" ht="15.75" thickTop="1" x14ac:dyDescent="0.2">
      <c r="F190" s="2018"/>
      <c r="G190" s="2018"/>
      <c r="H190" s="825"/>
    </row>
    <row r="191" spans="1:9" s="880" customFormat="1" ht="15" x14ac:dyDescent="0.2">
      <c r="F191" s="2018"/>
      <c r="G191" s="2018"/>
      <c r="H191" s="825"/>
    </row>
    <row r="192" spans="1:9" s="525" customFormat="1" ht="15.75" x14ac:dyDescent="0.25">
      <c r="A192" s="727" t="s">
        <v>444</v>
      </c>
      <c r="B192" s="778"/>
      <c r="C192" s="863"/>
      <c r="E192" s="511" t="s">
        <v>1344</v>
      </c>
      <c r="F192" s="511"/>
      <c r="G192" s="511"/>
      <c r="H192" s="850"/>
    </row>
    <row r="193" spans="1:9" ht="15" thickBot="1" x14ac:dyDescent="0.25">
      <c r="A193" s="2019"/>
      <c r="H193" s="2025" t="s">
        <v>179</v>
      </c>
    </row>
    <row r="194" spans="1:9" s="735" customFormat="1" ht="20.25" customHeight="1" thickTop="1" thickBot="1" x14ac:dyDescent="0.25">
      <c r="A194" s="813" t="s">
        <v>180</v>
      </c>
      <c r="B194" s="730" t="s">
        <v>181</v>
      </c>
      <c r="C194" s="731" t="s">
        <v>783</v>
      </c>
      <c r="D194" s="732" t="s">
        <v>182</v>
      </c>
      <c r="E194" s="733" t="s">
        <v>183</v>
      </c>
      <c r="F194" s="733" t="s">
        <v>985</v>
      </c>
      <c r="G194" s="733" t="s">
        <v>986</v>
      </c>
      <c r="H194" s="734" t="s">
        <v>987</v>
      </c>
    </row>
    <row r="195" spans="1:9" s="386" customFormat="1" ht="13.5" thickTop="1" thickBot="1" x14ac:dyDescent="0.25">
      <c r="A195" s="592">
        <v>1</v>
      </c>
      <c r="B195" s="593">
        <v>2</v>
      </c>
      <c r="C195" s="593">
        <v>3</v>
      </c>
      <c r="D195" s="593">
        <v>4</v>
      </c>
      <c r="E195" s="593">
        <v>5</v>
      </c>
      <c r="F195" s="567">
        <v>6</v>
      </c>
      <c r="G195" s="567">
        <v>7</v>
      </c>
      <c r="H195" s="662" t="s">
        <v>61</v>
      </c>
      <c r="I195" s="107"/>
    </row>
    <row r="196" spans="1:9" s="439" customFormat="1" ht="15.75" thickTop="1" x14ac:dyDescent="0.25">
      <c r="A196" s="2058">
        <v>4357</v>
      </c>
      <c r="B196" s="2059">
        <v>5331</v>
      </c>
      <c r="C196" s="2060"/>
      <c r="D196" s="650" t="s">
        <v>259</v>
      </c>
      <c r="E196" s="752">
        <f>E197+E198</f>
        <v>3889</v>
      </c>
      <c r="F196" s="752">
        <f>F197+F198</f>
        <v>6277</v>
      </c>
      <c r="G196" s="752">
        <f>G197+G198</f>
        <v>6277</v>
      </c>
      <c r="H196" s="739">
        <f>G196/F196*100</f>
        <v>100</v>
      </c>
    </row>
    <row r="197" spans="1:9" x14ac:dyDescent="0.2">
      <c r="A197" s="2029"/>
      <c r="B197" s="2030"/>
      <c r="C197" s="743" t="s">
        <v>641</v>
      </c>
      <c r="D197" s="1550" t="s">
        <v>1416</v>
      </c>
      <c r="E197" s="771">
        <v>851</v>
      </c>
      <c r="F197" s="771">
        <v>1100</v>
      </c>
      <c r="G197" s="771">
        <v>1100</v>
      </c>
      <c r="H197" s="855">
        <f>(G197/F197)*100</f>
        <v>100</v>
      </c>
    </row>
    <row r="198" spans="1:9" ht="15" thickBot="1" x14ac:dyDescent="0.25">
      <c r="A198" s="2029"/>
      <c r="B198" s="2031"/>
      <c r="C198" s="578" t="s">
        <v>636</v>
      </c>
      <c r="D198" s="758" t="s">
        <v>1220</v>
      </c>
      <c r="E198" s="771">
        <v>3038</v>
      </c>
      <c r="F198" s="771">
        <v>5177</v>
      </c>
      <c r="G198" s="771">
        <v>5177</v>
      </c>
      <c r="H198" s="855">
        <f>(G198/F198)*100</f>
        <v>100</v>
      </c>
    </row>
    <row r="199" spans="1:9" s="369" customFormat="1" ht="20.25" customHeight="1" thickTop="1" thickBot="1" x14ac:dyDescent="0.3">
      <c r="A199" s="744" t="s">
        <v>1246</v>
      </c>
      <c r="B199" s="745"/>
      <c r="C199" s="746"/>
      <c r="D199" s="747"/>
      <c r="E199" s="759">
        <f>SUM(E196)</f>
        <v>3889</v>
      </c>
      <c r="F199" s="759">
        <f>SUM(F196)</f>
        <v>6277</v>
      </c>
      <c r="G199" s="759">
        <f>SUM(G196)</f>
        <v>6277</v>
      </c>
      <c r="H199" s="857">
        <f>(G199/F199)*100</f>
        <v>100</v>
      </c>
    </row>
    <row r="200" spans="1:9" s="439" customFormat="1" ht="15.75" thickTop="1" x14ac:dyDescent="0.25">
      <c r="A200" s="2058">
        <v>4357</v>
      </c>
      <c r="B200" s="2059">
        <v>6351</v>
      </c>
      <c r="C200" s="2060"/>
      <c r="D200" s="650" t="s">
        <v>1320</v>
      </c>
      <c r="E200" s="752">
        <v>570</v>
      </c>
      <c r="F200" s="752">
        <v>488</v>
      </c>
      <c r="G200" s="752">
        <v>488</v>
      </c>
      <c r="H200" s="739">
        <f>G200/F200*100</f>
        <v>100</v>
      </c>
    </row>
    <row r="201" spans="1:9" ht="12.75" customHeight="1" thickBot="1" x14ac:dyDescent="0.25">
      <c r="A201" s="2029"/>
      <c r="B201" s="2030"/>
      <c r="C201" s="1179" t="s">
        <v>1536</v>
      </c>
      <c r="D201" s="2010" t="s">
        <v>1537</v>
      </c>
      <c r="E201" s="858"/>
      <c r="F201" s="858">
        <v>488</v>
      </c>
      <c r="G201" s="859">
        <v>488</v>
      </c>
      <c r="H201" s="855">
        <f>(G201/F201)*100</f>
        <v>100</v>
      </c>
    </row>
    <row r="202" spans="1:9" s="369" customFormat="1" ht="20.25" customHeight="1" thickTop="1" thickBot="1" x14ac:dyDescent="0.3">
      <c r="A202" s="744" t="s">
        <v>1247</v>
      </c>
      <c r="B202" s="745"/>
      <c r="C202" s="746"/>
      <c r="D202" s="747"/>
      <c r="E202" s="759">
        <f>E200</f>
        <v>570</v>
      </c>
      <c r="F202" s="759">
        <f>F200</f>
        <v>488</v>
      </c>
      <c r="G202" s="759">
        <f>G200</f>
        <v>488</v>
      </c>
      <c r="H202" s="857">
        <f>SUM(H200)</f>
        <v>100</v>
      </c>
    </row>
    <row r="203" spans="1:9" s="369" customFormat="1" ht="20.25" customHeight="1" thickTop="1" x14ac:dyDescent="0.25">
      <c r="A203" s="363"/>
      <c r="B203" s="364"/>
      <c r="C203" s="365"/>
      <c r="D203" s="366"/>
      <c r="E203" s="367"/>
      <c r="F203" s="367"/>
      <c r="G203" s="367"/>
      <c r="H203" s="368"/>
    </row>
    <row r="204" spans="1:9" s="369" customFormat="1" ht="27.75" customHeight="1" thickBot="1" x14ac:dyDescent="0.3">
      <c r="A204" s="817" t="s">
        <v>798</v>
      </c>
      <c r="B204" s="764"/>
      <c r="C204" s="765"/>
      <c r="D204" s="766"/>
      <c r="E204" s="861">
        <f>SUM(E199,E202)</f>
        <v>4459</v>
      </c>
      <c r="F204" s="861">
        <f>SUM(F199,F202)</f>
        <v>6765</v>
      </c>
      <c r="G204" s="861">
        <f>SUM(G199,G202)</f>
        <v>6765</v>
      </c>
      <c r="H204" s="822">
        <f>(G204/F204)*100</f>
        <v>100</v>
      </c>
    </row>
    <row r="205" spans="1:9" ht="15" thickTop="1" x14ac:dyDescent="0.2"/>
    <row r="207" spans="1:9" s="525" customFormat="1" ht="15.75" x14ac:dyDescent="0.25">
      <c r="A207" s="727" t="s">
        <v>484</v>
      </c>
      <c r="B207" s="778"/>
      <c r="C207" s="863"/>
      <c r="E207" s="511" t="s">
        <v>485</v>
      </c>
      <c r="F207" s="511"/>
      <c r="G207" s="511"/>
      <c r="H207" s="850"/>
    </row>
    <row r="208" spans="1:9" ht="15" thickBot="1" x14ac:dyDescent="0.25">
      <c r="A208" s="2019"/>
      <c r="H208" s="2025" t="s">
        <v>179</v>
      </c>
    </row>
    <row r="209" spans="1:9" s="735" customFormat="1" ht="20.25" customHeight="1" thickTop="1" thickBot="1" x14ac:dyDescent="0.25">
      <c r="A209" s="813" t="s">
        <v>180</v>
      </c>
      <c r="B209" s="730" t="s">
        <v>181</v>
      </c>
      <c r="C209" s="731" t="s">
        <v>783</v>
      </c>
      <c r="D209" s="732" t="s">
        <v>182</v>
      </c>
      <c r="E209" s="733" t="s">
        <v>183</v>
      </c>
      <c r="F209" s="733" t="s">
        <v>985</v>
      </c>
      <c r="G209" s="733" t="s">
        <v>986</v>
      </c>
      <c r="H209" s="734" t="s">
        <v>987</v>
      </c>
    </row>
    <row r="210" spans="1:9" s="386" customFormat="1" ht="13.5" thickTop="1" thickBot="1" x14ac:dyDescent="0.25">
      <c r="A210" s="592">
        <v>1</v>
      </c>
      <c r="B210" s="593">
        <v>2</v>
      </c>
      <c r="C210" s="593">
        <v>3</v>
      </c>
      <c r="D210" s="593">
        <v>4</v>
      </c>
      <c r="E210" s="593">
        <v>5</v>
      </c>
      <c r="F210" s="567">
        <v>6</v>
      </c>
      <c r="G210" s="567">
        <v>7</v>
      </c>
      <c r="H210" s="662" t="s">
        <v>61</v>
      </c>
      <c r="I210" s="107"/>
    </row>
    <row r="211" spans="1:9" s="439" customFormat="1" ht="15.75" thickTop="1" x14ac:dyDescent="0.25">
      <c r="A211" s="2058">
        <v>4357</v>
      </c>
      <c r="B211" s="2059">
        <v>5331</v>
      </c>
      <c r="C211" s="2060"/>
      <c r="D211" s="650" t="s">
        <v>259</v>
      </c>
      <c r="E211" s="752">
        <f>E212+E213</f>
        <v>12647</v>
      </c>
      <c r="F211" s="752">
        <f>F212+F213</f>
        <v>18776</v>
      </c>
      <c r="G211" s="752">
        <f>G212+G213</f>
        <v>18776</v>
      </c>
      <c r="H211" s="739">
        <f>G211/F211*100</f>
        <v>100</v>
      </c>
    </row>
    <row r="212" spans="1:9" x14ac:dyDescent="0.2">
      <c r="A212" s="2029"/>
      <c r="B212" s="2030"/>
      <c r="C212" s="743" t="s">
        <v>641</v>
      </c>
      <c r="D212" s="1550" t="s">
        <v>1416</v>
      </c>
      <c r="E212" s="771">
        <v>1299</v>
      </c>
      <c r="F212" s="771">
        <v>1931</v>
      </c>
      <c r="G212" s="771">
        <v>1931</v>
      </c>
      <c r="H212" s="855">
        <f>(G212/F212)*100</f>
        <v>100</v>
      </c>
    </row>
    <row r="213" spans="1:9" ht="15" thickBot="1" x14ac:dyDescent="0.25">
      <c r="A213" s="2029"/>
      <c r="B213" s="2030"/>
      <c r="C213" s="578" t="s">
        <v>636</v>
      </c>
      <c r="D213" s="758" t="s">
        <v>1220</v>
      </c>
      <c r="E213" s="771">
        <v>11348</v>
      </c>
      <c r="F213" s="771">
        <v>16845</v>
      </c>
      <c r="G213" s="771">
        <v>16845</v>
      </c>
      <c r="H213" s="855">
        <f>(G213/F213)*100</f>
        <v>100</v>
      </c>
    </row>
    <row r="214" spans="1:9" s="369" customFormat="1" ht="20.25" customHeight="1" thickTop="1" thickBot="1" x14ac:dyDescent="0.3">
      <c r="A214" s="744" t="s">
        <v>1246</v>
      </c>
      <c r="B214" s="745"/>
      <c r="C214" s="746"/>
      <c r="D214" s="747"/>
      <c r="E214" s="759">
        <f>SUM(E211)</f>
        <v>12647</v>
      </c>
      <c r="F214" s="759">
        <f>SUM(F211)</f>
        <v>18776</v>
      </c>
      <c r="G214" s="759">
        <f>SUM(G211)</f>
        <v>18776</v>
      </c>
      <c r="H214" s="857">
        <f>(G214/F214)*100</f>
        <v>100</v>
      </c>
    </row>
    <row r="215" spans="1:9" s="439" customFormat="1" ht="15.75" thickTop="1" x14ac:dyDescent="0.25">
      <c r="A215" s="2058">
        <v>4357</v>
      </c>
      <c r="B215" s="2059">
        <v>6351</v>
      </c>
      <c r="C215" s="2060"/>
      <c r="D215" s="650" t="s">
        <v>1320</v>
      </c>
      <c r="E215" s="752">
        <v>1680</v>
      </c>
      <c r="F215" s="752">
        <v>1580</v>
      </c>
      <c r="G215" s="752">
        <v>1580</v>
      </c>
      <c r="H215" s="739">
        <f>G215/F215*100</f>
        <v>100</v>
      </c>
    </row>
    <row r="216" spans="1:9" ht="12.75" customHeight="1" thickBot="1" x14ac:dyDescent="0.25">
      <c r="A216" s="2029"/>
      <c r="B216" s="2030"/>
      <c r="C216" s="1179" t="s">
        <v>1536</v>
      </c>
      <c r="D216" s="2010" t="s">
        <v>1537</v>
      </c>
      <c r="E216" s="858">
        <v>1680</v>
      </c>
      <c r="F216" s="858">
        <v>1580</v>
      </c>
      <c r="G216" s="859">
        <v>1580</v>
      </c>
      <c r="H216" s="855">
        <f>(G216/F216)*100</f>
        <v>100</v>
      </c>
    </row>
    <row r="217" spans="1:9" s="369" customFormat="1" ht="20.25" customHeight="1" thickTop="1" thickBot="1" x14ac:dyDescent="0.3">
      <c r="A217" s="744" t="s">
        <v>1247</v>
      </c>
      <c r="B217" s="745"/>
      <c r="C217" s="746"/>
      <c r="D217" s="747"/>
      <c r="E217" s="759">
        <f>E215</f>
        <v>1680</v>
      </c>
      <c r="F217" s="759">
        <f>SUM(F215)</f>
        <v>1580</v>
      </c>
      <c r="G217" s="759">
        <f>SUM(G215)</f>
        <v>1580</v>
      </c>
      <c r="H217" s="857">
        <f>SUM(H215)</f>
        <v>100</v>
      </c>
    </row>
    <row r="218" spans="1:9" s="439" customFormat="1" ht="15.75" thickTop="1" x14ac:dyDescent="0.25">
      <c r="A218" s="812"/>
      <c r="B218" s="2046"/>
      <c r="C218" s="863"/>
      <c r="E218" s="511"/>
      <c r="F218" s="511"/>
      <c r="G218" s="511"/>
      <c r="H218" s="850"/>
    </row>
    <row r="219" spans="1:9" s="369" customFormat="1" ht="27.75" customHeight="1" thickBot="1" x14ac:dyDescent="0.3">
      <c r="A219" s="817" t="s">
        <v>1480</v>
      </c>
      <c r="B219" s="764"/>
      <c r="C219" s="765"/>
      <c r="D219" s="766"/>
      <c r="E219" s="861">
        <f>SUM(E214,E217)</f>
        <v>14327</v>
      </c>
      <c r="F219" s="861">
        <f>F214+F217</f>
        <v>20356</v>
      </c>
      <c r="G219" s="861">
        <f>G214+G217</f>
        <v>20356</v>
      </c>
      <c r="H219" s="822">
        <f>(G219/F219)*100</f>
        <v>100</v>
      </c>
    </row>
    <row r="220" spans="1:9" s="860" customFormat="1" ht="14.25" customHeight="1" thickTop="1" x14ac:dyDescent="0.25">
      <c r="A220" s="2032"/>
      <c r="B220" s="2033"/>
      <c r="C220" s="2038"/>
      <c r="D220" s="2035"/>
      <c r="E220" s="864"/>
      <c r="F220" s="864"/>
      <c r="G220" s="864"/>
      <c r="H220" s="2039"/>
    </row>
    <row r="221" spans="1:9" s="860" customFormat="1" ht="14.25" customHeight="1" x14ac:dyDescent="0.25">
      <c r="A221" s="2032"/>
      <c r="B221" s="2033"/>
      <c r="C221" s="2038"/>
      <c r="D221" s="2035"/>
      <c r="E221" s="864"/>
      <c r="F221" s="864"/>
      <c r="G221" s="864"/>
      <c r="H221" s="2039"/>
    </row>
    <row r="222" spans="1:9" s="525" customFormat="1" ht="15.75" x14ac:dyDescent="0.25">
      <c r="A222" s="727" t="s">
        <v>73</v>
      </c>
      <c r="B222" s="2061"/>
      <c r="C222" s="2061"/>
      <c r="D222" s="2061"/>
      <c r="E222" s="511" t="s">
        <v>486</v>
      </c>
      <c r="F222" s="511"/>
      <c r="G222" s="511"/>
      <c r="H222" s="850"/>
    </row>
    <row r="223" spans="1:9" ht="15" thickBot="1" x14ac:dyDescent="0.25">
      <c r="A223" s="2019"/>
      <c r="H223" s="2025" t="s">
        <v>179</v>
      </c>
    </row>
    <row r="224" spans="1:9" s="735" customFormat="1" ht="20.25" customHeight="1" thickTop="1" thickBot="1" x14ac:dyDescent="0.25">
      <c r="A224" s="813" t="s">
        <v>180</v>
      </c>
      <c r="B224" s="730" t="s">
        <v>181</v>
      </c>
      <c r="C224" s="731" t="s">
        <v>783</v>
      </c>
      <c r="D224" s="732" t="s">
        <v>182</v>
      </c>
      <c r="E224" s="733" t="s">
        <v>183</v>
      </c>
      <c r="F224" s="733" t="s">
        <v>985</v>
      </c>
      <c r="G224" s="733" t="s">
        <v>986</v>
      </c>
      <c r="H224" s="734" t="s">
        <v>987</v>
      </c>
    </row>
    <row r="225" spans="1:12" s="386" customFormat="1" ht="13.5" thickTop="1" thickBot="1" x14ac:dyDescent="0.25">
      <c r="A225" s="592">
        <v>1</v>
      </c>
      <c r="B225" s="593">
        <v>2</v>
      </c>
      <c r="C225" s="593">
        <v>3</v>
      </c>
      <c r="D225" s="593">
        <v>4</v>
      </c>
      <c r="E225" s="593">
        <v>5</v>
      </c>
      <c r="F225" s="567">
        <v>6</v>
      </c>
      <c r="G225" s="567">
        <v>7</v>
      </c>
      <c r="H225" s="662" t="s">
        <v>61</v>
      </c>
      <c r="I225" s="107"/>
    </row>
    <row r="226" spans="1:12" s="439" customFormat="1" ht="15.75" thickTop="1" x14ac:dyDescent="0.25">
      <c r="A226" s="2058">
        <v>4351</v>
      </c>
      <c r="B226" s="2059">
        <v>5331</v>
      </c>
      <c r="C226" s="2060"/>
      <c r="D226" s="650" t="s">
        <v>259</v>
      </c>
      <c r="E226" s="752">
        <f>E227+E228</f>
        <v>8752</v>
      </c>
      <c r="F226" s="752">
        <f>F227+F228+F229</f>
        <v>11037</v>
      </c>
      <c r="G226" s="752">
        <f>G227+G228+G229</f>
        <v>11037</v>
      </c>
      <c r="H226" s="739">
        <f>G226/F226*100</f>
        <v>100</v>
      </c>
    </row>
    <row r="227" spans="1:12" x14ac:dyDescent="0.2">
      <c r="A227" s="2029"/>
      <c r="B227" s="2030"/>
      <c r="C227" s="743" t="s">
        <v>641</v>
      </c>
      <c r="D227" s="1550" t="s">
        <v>1416</v>
      </c>
      <c r="E227" s="771">
        <v>1412</v>
      </c>
      <c r="F227" s="771">
        <v>1424</v>
      </c>
      <c r="G227" s="771">
        <v>1424</v>
      </c>
      <c r="H227" s="855">
        <f>(G227/F227)*100</f>
        <v>100</v>
      </c>
    </row>
    <row r="228" spans="1:12" x14ac:dyDescent="0.2">
      <c r="A228" s="2029"/>
      <c r="B228" s="2030"/>
      <c r="C228" s="578" t="s">
        <v>636</v>
      </c>
      <c r="D228" s="758" t="s">
        <v>1220</v>
      </c>
      <c r="E228" s="771">
        <v>7340</v>
      </c>
      <c r="F228" s="771">
        <v>9588</v>
      </c>
      <c r="G228" s="771">
        <v>9588</v>
      </c>
      <c r="H228" s="855">
        <f>(G228/F228)*100</f>
        <v>100</v>
      </c>
    </row>
    <row r="229" spans="1:12" ht="15" thickBot="1" x14ac:dyDescent="0.25">
      <c r="A229" s="2029"/>
      <c r="B229" s="2030"/>
      <c r="C229" s="578" t="s">
        <v>378</v>
      </c>
      <c r="D229" s="758" t="s">
        <v>1742</v>
      </c>
      <c r="E229" s="771"/>
      <c r="F229" s="771">
        <v>25</v>
      </c>
      <c r="G229" s="771">
        <v>25</v>
      </c>
      <c r="H229" s="855">
        <f>(G229/F229)*100</f>
        <v>100</v>
      </c>
    </row>
    <row r="230" spans="1:12" s="369" customFormat="1" ht="20.25" customHeight="1" thickTop="1" thickBot="1" x14ac:dyDescent="0.3">
      <c r="A230" s="744" t="s">
        <v>1246</v>
      </c>
      <c r="B230" s="745"/>
      <c r="C230" s="746"/>
      <c r="D230" s="747"/>
      <c r="E230" s="759">
        <f>SUM(E226)</f>
        <v>8752</v>
      </c>
      <c r="F230" s="759">
        <f>SUM(F226)</f>
        <v>11037</v>
      </c>
      <c r="G230" s="759">
        <f>SUM(G226)</f>
        <v>11037</v>
      </c>
      <c r="H230" s="857">
        <f>(G230/F230)*100</f>
        <v>100</v>
      </c>
    </row>
    <row r="231" spans="1:12" s="439" customFormat="1" ht="15.75" thickTop="1" x14ac:dyDescent="0.25">
      <c r="A231" s="2058">
        <v>4351</v>
      </c>
      <c r="B231" s="2059">
        <v>6351</v>
      </c>
      <c r="C231" s="2060"/>
      <c r="D231" s="650" t="s">
        <v>1320</v>
      </c>
      <c r="E231" s="752">
        <v>2259</v>
      </c>
      <c r="F231" s="752">
        <v>2157</v>
      </c>
      <c r="G231" s="752">
        <v>2157</v>
      </c>
      <c r="H231" s="739">
        <f>G231/F231*100</f>
        <v>100</v>
      </c>
    </row>
    <row r="232" spans="1:12" ht="12.75" customHeight="1" thickBot="1" x14ac:dyDescent="0.25">
      <c r="A232" s="2029"/>
      <c r="B232" s="2030"/>
      <c r="C232" s="1179" t="s">
        <v>1536</v>
      </c>
      <c r="D232" s="2010" t="s">
        <v>1537</v>
      </c>
      <c r="E232" s="858">
        <v>2259</v>
      </c>
      <c r="F232" s="858">
        <v>2157</v>
      </c>
      <c r="G232" s="859">
        <v>2157</v>
      </c>
      <c r="H232" s="855">
        <f>(G232/F232)*100</f>
        <v>100</v>
      </c>
    </row>
    <row r="233" spans="1:12" s="369" customFormat="1" ht="20.25" customHeight="1" thickTop="1" thickBot="1" x14ac:dyDescent="0.3">
      <c r="A233" s="744" t="s">
        <v>1247</v>
      </c>
      <c r="B233" s="745"/>
      <c r="C233" s="746"/>
      <c r="D233" s="747"/>
      <c r="E233" s="759">
        <f>E231</f>
        <v>2259</v>
      </c>
      <c r="F233" s="759">
        <f>SUM(F231)</f>
        <v>2157</v>
      </c>
      <c r="G233" s="759">
        <f>SUM(G231)</f>
        <v>2157</v>
      </c>
      <c r="H233" s="857">
        <f>SUM(H231)</f>
        <v>100</v>
      </c>
    </row>
    <row r="234" spans="1:12" ht="15" thickTop="1" x14ac:dyDescent="0.2">
      <c r="A234" s="2019"/>
    </row>
    <row r="235" spans="1:12" s="369" customFormat="1" ht="27.75" customHeight="1" thickBot="1" x14ac:dyDescent="0.3">
      <c r="A235" s="817" t="s">
        <v>74</v>
      </c>
      <c r="B235" s="764"/>
      <c r="C235" s="765"/>
      <c r="D235" s="766"/>
      <c r="E235" s="861">
        <f>SUM(E230,E233)</f>
        <v>11011</v>
      </c>
      <c r="F235" s="861">
        <f>SUM(F230,F233)</f>
        <v>13194</v>
      </c>
      <c r="G235" s="861">
        <f>SUM(G230,G233)</f>
        <v>13194</v>
      </c>
      <c r="H235" s="822">
        <f>(G235/F235)*100</f>
        <v>100</v>
      </c>
      <c r="J235" s="862"/>
      <c r="K235" s="862"/>
      <c r="L235" s="862"/>
    </row>
    <row r="236" spans="1:12" s="860" customFormat="1" ht="14.25" customHeight="1" thickTop="1" x14ac:dyDescent="0.25">
      <c r="A236" s="2032"/>
      <c r="B236" s="2033"/>
      <c r="C236" s="2034"/>
      <c r="D236" s="2035"/>
      <c r="E236" s="2036"/>
      <c r="F236" s="2036"/>
      <c r="G236" s="2036"/>
      <c r="H236" s="2037"/>
      <c r="J236" s="871"/>
      <c r="K236" s="871"/>
      <c r="L236" s="871"/>
    </row>
    <row r="237" spans="1:12" s="860" customFormat="1" ht="14.25" customHeight="1" x14ac:dyDescent="0.25">
      <c r="A237" s="2032"/>
      <c r="B237" s="2033"/>
      <c r="C237" s="2034"/>
      <c r="D237" s="2035"/>
      <c r="E237" s="2036"/>
      <c r="F237" s="2036"/>
      <c r="G237" s="2036"/>
      <c r="H237" s="2037"/>
      <c r="J237" s="871"/>
      <c r="K237" s="871"/>
      <c r="L237" s="871"/>
    </row>
    <row r="238" spans="1:12" s="860" customFormat="1" ht="14.25" customHeight="1" x14ac:dyDescent="0.25">
      <c r="A238" s="2032"/>
      <c r="B238" s="2033"/>
      <c r="C238" s="2034"/>
      <c r="D238" s="2035"/>
      <c r="E238" s="2036"/>
      <c r="F238" s="2036"/>
      <c r="G238" s="2036"/>
      <c r="H238" s="2037"/>
      <c r="J238" s="871"/>
      <c r="K238" s="871"/>
      <c r="L238" s="871"/>
    </row>
    <row r="239" spans="1:12" s="525" customFormat="1" ht="14.25" customHeight="1" x14ac:dyDescent="0.25">
      <c r="A239" s="727" t="s">
        <v>277</v>
      </c>
      <c r="B239" s="778"/>
      <c r="C239" s="863"/>
      <c r="E239" s="511" t="s">
        <v>1481</v>
      </c>
      <c r="F239" s="511"/>
      <c r="G239" s="511"/>
      <c r="H239" s="850"/>
    </row>
    <row r="240" spans="1:12" ht="15" thickBot="1" x14ac:dyDescent="0.25">
      <c r="A240" s="2019"/>
      <c r="H240" s="2025" t="s">
        <v>179</v>
      </c>
    </row>
    <row r="241" spans="1:9" s="735" customFormat="1" ht="20.25" customHeight="1" thickTop="1" thickBot="1" x14ac:dyDescent="0.25">
      <c r="A241" s="813" t="s">
        <v>180</v>
      </c>
      <c r="B241" s="730" t="s">
        <v>181</v>
      </c>
      <c r="C241" s="731" t="s">
        <v>783</v>
      </c>
      <c r="D241" s="732" t="s">
        <v>182</v>
      </c>
      <c r="E241" s="733" t="s">
        <v>183</v>
      </c>
      <c r="F241" s="733" t="s">
        <v>985</v>
      </c>
      <c r="G241" s="733" t="s">
        <v>986</v>
      </c>
      <c r="H241" s="734" t="s">
        <v>987</v>
      </c>
    </row>
    <row r="242" spans="1:9" s="386" customFormat="1" ht="13.5" thickTop="1" thickBot="1" x14ac:dyDescent="0.25">
      <c r="A242" s="592">
        <v>1</v>
      </c>
      <c r="B242" s="593">
        <v>2</v>
      </c>
      <c r="C242" s="593">
        <v>3</v>
      </c>
      <c r="D242" s="593">
        <v>4</v>
      </c>
      <c r="E242" s="593">
        <v>5</v>
      </c>
      <c r="F242" s="567">
        <v>6</v>
      </c>
      <c r="G242" s="567">
        <v>7</v>
      </c>
      <c r="H242" s="662" t="s">
        <v>61</v>
      </c>
      <c r="I242" s="107"/>
    </row>
    <row r="243" spans="1:9" s="439" customFormat="1" ht="15.75" thickTop="1" x14ac:dyDescent="0.25">
      <c r="A243" s="2058">
        <v>4357</v>
      </c>
      <c r="B243" s="2059">
        <v>5331</v>
      </c>
      <c r="C243" s="2060"/>
      <c r="D243" s="650" t="s">
        <v>259</v>
      </c>
      <c r="E243" s="752">
        <f>E244+E245</f>
        <v>13000</v>
      </c>
      <c r="F243" s="752">
        <f>F244+F245</f>
        <v>20909</v>
      </c>
      <c r="G243" s="752">
        <f>G244+G245</f>
        <v>20909</v>
      </c>
      <c r="H243" s="739">
        <f>G243/F243*100</f>
        <v>100</v>
      </c>
    </row>
    <row r="244" spans="1:9" x14ac:dyDescent="0.2">
      <c r="A244" s="2029"/>
      <c r="B244" s="2030"/>
      <c r="C244" s="743" t="s">
        <v>641</v>
      </c>
      <c r="D244" s="1550" t="s">
        <v>1416</v>
      </c>
      <c r="E244" s="771">
        <v>1004</v>
      </c>
      <c r="F244" s="771">
        <v>1101</v>
      </c>
      <c r="G244" s="771">
        <v>1101</v>
      </c>
      <c r="H244" s="855">
        <f>(G244/F244)*100</f>
        <v>100</v>
      </c>
    </row>
    <row r="245" spans="1:9" ht="15" thickBot="1" x14ac:dyDescent="0.25">
      <c r="A245" s="2029"/>
      <c r="B245" s="2030"/>
      <c r="C245" s="578" t="s">
        <v>636</v>
      </c>
      <c r="D245" s="758" t="s">
        <v>1220</v>
      </c>
      <c r="E245" s="771">
        <v>11996</v>
      </c>
      <c r="F245" s="771">
        <v>19808</v>
      </c>
      <c r="G245" s="771">
        <v>19808</v>
      </c>
      <c r="H245" s="855">
        <f>(G245/F245)*100</f>
        <v>100</v>
      </c>
    </row>
    <row r="246" spans="1:9" s="369" customFormat="1" ht="20.25" customHeight="1" thickTop="1" thickBot="1" x14ac:dyDescent="0.3">
      <c r="A246" s="744" t="s">
        <v>1246</v>
      </c>
      <c r="B246" s="745"/>
      <c r="C246" s="746"/>
      <c r="D246" s="747"/>
      <c r="E246" s="759">
        <f>SUM(E243)</f>
        <v>13000</v>
      </c>
      <c r="F246" s="759">
        <f>SUM(F243)</f>
        <v>20909</v>
      </c>
      <c r="G246" s="759">
        <f>SUM(G243)</f>
        <v>20909</v>
      </c>
      <c r="H246" s="857">
        <f>(G246/F246)*100</f>
        <v>100</v>
      </c>
    </row>
    <row r="247" spans="1:9" s="439" customFormat="1" ht="15.75" thickTop="1" x14ac:dyDescent="0.25">
      <c r="A247" s="2058">
        <v>4357</v>
      </c>
      <c r="B247" s="2059">
        <v>6351</v>
      </c>
      <c r="C247" s="2060"/>
      <c r="D247" s="650" t="s">
        <v>1320</v>
      </c>
      <c r="E247" s="752">
        <v>200</v>
      </c>
      <c r="F247" s="752">
        <v>200</v>
      </c>
      <c r="G247" s="752">
        <v>200</v>
      </c>
      <c r="H247" s="739">
        <f>G247/F247*100</f>
        <v>100</v>
      </c>
    </row>
    <row r="248" spans="1:9" ht="12.75" customHeight="1" thickBot="1" x14ac:dyDescent="0.25">
      <c r="A248" s="2029"/>
      <c r="B248" s="2030"/>
      <c r="C248" s="1179" t="s">
        <v>1536</v>
      </c>
      <c r="D248" s="2010" t="s">
        <v>1537</v>
      </c>
      <c r="E248" s="858">
        <v>200</v>
      </c>
      <c r="F248" s="858">
        <v>200</v>
      </c>
      <c r="G248" s="859">
        <v>200</v>
      </c>
      <c r="H248" s="855">
        <f>(G248/F248)*100</f>
        <v>100</v>
      </c>
    </row>
    <row r="249" spans="1:9" s="369" customFormat="1" ht="20.25" customHeight="1" thickTop="1" thickBot="1" x14ac:dyDescent="0.3">
      <c r="A249" s="744" t="s">
        <v>1247</v>
      </c>
      <c r="B249" s="745"/>
      <c r="C249" s="746"/>
      <c r="D249" s="747"/>
      <c r="E249" s="759">
        <f>E247</f>
        <v>200</v>
      </c>
      <c r="F249" s="759">
        <f>SUM(F247)</f>
        <v>200</v>
      </c>
      <c r="G249" s="759">
        <f>SUM(G247)</f>
        <v>200</v>
      </c>
      <c r="H249" s="857">
        <f>SUM(H247)</f>
        <v>100</v>
      </c>
    </row>
    <row r="250" spans="1:9" s="439" customFormat="1" ht="15.75" thickTop="1" x14ac:dyDescent="0.25">
      <c r="A250" s="812"/>
      <c r="B250" s="2046"/>
      <c r="C250" s="863"/>
      <c r="E250" s="511"/>
      <c r="F250" s="511"/>
      <c r="G250" s="511"/>
      <c r="H250" s="850"/>
    </row>
    <row r="251" spans="1:9" s="369" customFormat="1" ht="27.75" customHeight="1" thickBot="1" x14ac:dyDescent="0.3">
      <c r="A251" s="817" t="s">
        <v>278</v>
      </c>
      <c r="B251" s="764"/>
      <c r="C251" s="765"/>
      <c r="D251" s="766"/>
      <c r="E251" s="861">
        <f>SUM(E246,E249)</f>
        <v>13200</v>
      </c>
      <c r="F251" s="861">
        <f>SUM(F246,F249)</f>
        <v>21109</v>
      </c>
      <c r="G251" s="861">
        <f>SUM(G246,G249)</f>
        <v>21109</v>
      </c>
      <c r="H251" s="822">
        <f>(G251/F251)*100</f>
        <v>100</v>
      </c>
    </row>
    <row r="252" spans="1:9" s="860" customFormat="1" ht="19.5" customHeight="1" thickTop="1" x14ac:dyDescent="0.25">
      <c r="A252" s="2032"/>
      <c r="B252" s="2033"/>
      <c r="C252" s="2034"/>
      <c r="D252" s="2035"/>
      <c r="E252" s="2036"/>
      <c r="F252" s="2036"/>
      <c r="G252" s="2036"/>
      <c r="H252" s="2037"/>
    </row>
    <row r="253" spans="1:9" s="439" customFormat="1" ht="15.75" x14ac:dyDescent="0.25">
      <c r="A253" s="727" t="s">
        <v>1482</v>
      </c>
      <c r="B253" s="778"/>
      <c r="C253" s="863"/>
      <c r="D253" s="525"/>
      <c r="E253" s="511" t="s">
        <v>1483</v>
      </c>
      <c r="F253" s="511"/>
      <c r="G253" s="511"/>
      <c r="H253" s="850"/>
    </row>
    <row r="254" spans="1:9" ht="15.75" thickBot="1" x14ac:dyDescent="0.25">
      <c r="A254" s="1650"/>
      <c r="B254" s="879"/>
      <c r="D254" s="880"/>
      <c r="H254" s="2025" t="s">
        <v>179</v>
      </c>
    </row>
    <row r="255" spans="1:9" s="735" customFormat="1" ht="20.25" customHeight="1" thickTop="1" thickBot="1" x14ac:dyDescent="0.25">
      <c r="A255" s="813" t="s">
        <v>180</v>
      </c>
      <c r="B255" s="730" t="s">
        <v>181</v>
      </c>
      <c r="C255" s="731" t="s">
        <v>783</v>
      </c>
      <c r="D255" s="732" t="s">
        <v>182</v>
      </c>
      <c r="E255" s="733" t="s">
        <v>183</v>
      </c>
      <c r="F255" s="733" t="s">
        <v>985</v>
      </c>
      <c r="G255" s="733" t="s">
        <v>986</v>
      </c>
      <c r="H255" s="734" t="s">
        <v>987</v>
      </c>
    </row>
    <row r="256" spans="1:9" s="386" customFormat="1" ht="13.5" thickTop="1" thickBot="1" x14ac:dyDescent="0.25">
      <c r="A256" s="592">
        <v>1</v>
      </c>
      <c r="B256" s="593">
        <v>2</v>
      </c>
      <c r="C256" s="593">
        <v>3</v>
      </c>
      <c r="D256" s="593">
        <v>4</v>
      </c>
      <c r="E256" s="593">
        <v>5</v>
      </c>
      <c r="F256" s="567">
        <v>6</v>
      </c>
      <c r="G256" s="567">
        <v>7</v>
      </c>
      <c r="H256" s="662" t="s">
        <v>61</v>
      </c>
      <c r="I256" s="107"/>
    </row>
    <row r="257" spans="1:9" s="439" customFormat="1" ht="15.75" thickTop="1" x14ac:dyDescent="0.25">
      <c r="A257" s="2058">
        <v>4356</v>
      </c>
      <c r="B257" s="2059">
        <v>5331</v>
      </c>
      <c r="C257" s="2060"/>
      <c r="D257" s="650" t="s">
        <v>259</v>
      </c>
      <c r="E257" s="752">
        <f>E258+E259</f>
        <v>5694</v>
      </c>
      <c r="F257" s="752">
        <f>F258+F259+F260</f>
        <v>7106</v>
      </c>
      <c r="G257" s="752">
        <f>G258+G259+G260</f>
        <v>7106</v>
      </c>
      <c r="H257" s="739">
        <f>G257/F257*100</f>
        <v>100</v>
      </c>
    </row>
    <row r="258" spans="1:9" x14ac:dyDescent="0.2">
      <c r="A258" s="2029"/>
      <c r="B258" s="2030"/>
      <c r="C258" s="743" t="s">
        <v>641</v>
      </c>
      <c r="D258" s="1550" t="s">
        <v>1416</v>
      </c>
      <c r="E258" s="771">
        <v>802</v>
      </c>
      <c r="F258" s="771">
        <v>780</v>
      </c>
      <c r="G258" s="771">
        <v>780</v>
      </c>
      <c r="H258" s="855">
        <f t="shared" ref="H258:H263" si="5">(G258/F258)*100</f>
        <v>100</v>
      </c>
    </row>
    <row r="259" spans="1:9" x14ac:dyDescent="0.2">
      <c r="A259" s="2029"/>
      <c r="B259" s="2030"/>
      <c r="C259" s="578" t="s">
        <v>636</v>
      </c>
      <c r="D259" s="595" t="s">
        <v>1220</v>
      </c>
      <c r="E259" s="771">
        <v>4892</v>
      </c>
      <c r="F259" s="771">
        <v>6199</v>
      </c>
      <c r="G259" s="771">
        <v>6199</v>
      </c>
      <c r="H259" s="855">
        <f t="shared" si="5"/>
        <v>100</v>
      </c>
    </row>
    <row r="260" spans="1:9" x14ac:dyDescent="0.2">
      <c r="A260" s="2029"/>
      <c r="B260" s="2030"/>
      <c r="C260" s="578" t="s">
        <v>1268</v>
      </c>
      <c r="D260" s="595" t="s">
        <v>1277</v>
      </c>
      <c r="E260" s="771"/>
      <c r="F260" s="771">
        <v>127</v>
      </c>
      <c r="G260" s="771">
        <v>127</v>
      </c>
      <c r="H260" s="855">
        <f t="shared" si="5"/>
        <v>100</v>
      </c>
    </row>
    <row r="261" spans="1:9" s="439" customFormat="1" ht="15" x14ac:dyDescent="0.25">
      <c r="A261" s="2062">
        <v>4399</v>
      </c>
      <c r="B261" s="2063">
        <v>5331</v>
      </c>
      <c r="C261" s="2064"/>
      <c r="D261" s="429" t="s">
        <v>259</v>
      </c>
      <c r="E261" s="1610">
        <v>0</v>
      </c>
      <c r="F261" s="1610">
        <v>30</v>
      </c>
      <c r="G261" s="1610">
        <v>30</v>
      </c>
      <c r="H261" s="868">
        <f t="shared" si="5"/>
        <v>100</v>
      </c>
    </row>
    <row r="262" spans="1:9" ht="15" thickBot="1" x14ac:dyDescent="0.25">
      <c r="A262" s="2029"/>
      <c r="B262" s="2030"/>
      <c r="C262" s="1195" t="s">
        <v>1350</v>
      </c>
      <c r="D262" s="1841" t="s">
        <v>1737</v>
      </c>
      <c r="E262" s="771"/>
      <c r="F262" s="771">
        <v>30</v>
      </c>
      <c r="G262" s="771">
        <v>30</v>
      </c>
      <c r="H262" s="855">
        <f t="shared" si="5"/>
        <v>100</v>
      </c>
    </row>
    <row r="263" spans="1:9" s="369" customFormat="1" ht="20.25" customHeight="1" thickTop="1" thickBot="1" x14ac:dyDescent="0.3">
      <c r="A263" s="744" t="s">
        <v>1246</v>
      </c>
      <c r="B263" s="745"/>
      <c r="C263" s="746"/>
      <c r="D263" s="747"/>
      <c r="E263" s="759">
        <f>E257</f>
        <v>5694</v>
      </c>
      <c r="F263" s="759">
        <f>SUM(F257,F261)</f>
        <v>7136</v>
      </c>
      <c r="G263" s="759">
        <f>SUM(G257,G261)</f>
        <v>7136</v>
      </c>
      <c r="H263" s="857">
        <f t="shared" si="5"/>
        <v>100</v>
      </c>
    </row>
    <row r="264" spans="1:9" s="369" customFormat="1" ht="20.25" customHeight="1" thickTop="1" x14ac:dyDescent="0.25">
      <c r="A264" s="363"/>
      <c r="B264" s="364"/>
      <c r="C264" s="365"/>
      <c r="D264" s="366"/>
      <c r="E264" s="367"/>
      <c r="F264" s="367"/>
      <c r="G264" s="367"/>
      <c r="H264" s="368"/>
    </row>
    <row r="265" spans="1:9" s="369" customFormat="1" ht="27.75" customHeight="1" thickBot="1" x14ac:dyDescent="0.3">
      <c r="A265" s="817" t="s">
        <v>1484</v>
      </c>
      <c r="B265" s="764"/>
      <c r="C265" s="765"/>
      <c r="D265" s="766"/>
      <c r="E265" s="861">
        <f>SUM(E263)</f>
        <v>5694</v>
      </c>
      <c r="F265" s="861">
        <f>SUM(F263)</f>
        <v>7136</v>
      </c>
      <c r="G265" s="861">
        <f>SUM(G263)</f>
        <v>7136</v>
      </c>
      <c r="H265" s="822">
        <f>(G265/F265)*100</f>
        <v>100</v>
      </c>
    </row>
    <row r="266" spans="1:9" s="860" customFormat="1" ht="15.75" customHeight="1" thickTop="1" x14ac:dyDescent="0.25">
      <c r="A266" s="2032"/>
      <c r="B266" s="2033"/>
      <c r="C266" s="2034"/>
      <c r="D266" s="2035"/>
      <c r="E266" s="2036"/>
      <c r="F266" s="2036"/>
      <c r="G266" s="2036"/>
      <c r="H266" s="2037"/>
    </row>
    <row r="267" spans="1:9" s="860" customFormat="1" ht="15.75" customHeight="1" x14ac:dyDescent="0.25">
      <c r="A267" s="2032"/>
      <c r="B267" s="2033"/>
      <c r="C267" s="2034"/>
      <c r="D267" s="2035"/>
      <c r="E267" s="2036"/>
      <c r="F267" s="2036"/>
      <c r="G267" s="2036"/>
      <c r="H267" s="2037"/>
    </row>
    <row r="268" spans="1:9" s="860" customFormat="1" ht="12.75" customHeight="1" x14ac:dyDescent="0.25">
      <c r="A268" s="2032"/>
      <c r="B268" s="2033"/>
      <c r="C268" s="2034"/>
      <c r="D268" s="2035"/>
      <c r="E268" s="2036"/>
      <c r="F268" s="2036"/>
      <c r="G268" s="2036"/>
      <c r="H268" s="2037"/>
    </row>
    <row r="269" spans="1:9" s="525" customFormat="1" ht="15.75" x14ac:dyDescent="0.25">
      <c r="A269" s="727" t="s">
        <v>1486</v>
      </c>
      <c r="B269" s="778"/>
      <c r="C269" s="863"/>
      <c r="E269" s="511" t="s">
        <v>1485</v>
      </c>
      <c r="F269" s="511"/>
      <c r="G269" s="511"/>
    </row>
    <row r="270" spans="1:9" s="880" customFormat="1" ht="15.75" thickBot="1" x14ac:dyDescent="0.25">
      <c r="A270" s="1650"/>
      <c r="B270" s="879"/>
      <c r="C270" s="691"/>
      <c r="E270" s="2018"/>
      <c r="F270" s="2018"/>
      <c r="G270" s="2018"/>
      <c r="H270" s="2025" t="s">
        <v>179</v>
      </c>
    </row>
    <row r="271" spans="1:9" s="735" customFormat="1" ht="20.25" customHeight="1" thickTop="1" thickBot="1" x14ac:dyDescent="0.25">
      <c r="A271" s="813" t="s">
        <v>180</v>
      </c>
      <c r="B271" s="730" t="s">
        <v>181</v>
      </c>
      <c r="C271" s="731" t="s">
        <v>783</v>
      </c>
      <c r="D271" s="732" t="s">
        <v>182</v>
      </c>
      <c r="E271" s="733" t="s">
        <v>183</v>
      </c>
      <c r="F271" s="733" t="s">
        <v>985</v>
      </c>
      <c r="G271" s="733" t="s">
        <v>986</v>
      </c>
      <c r="H271" s="734" t="s">
        <v>987</v>
      </c>
    </row>
    <row r="272" spans="1:9" s="386" customFormat="1" ht="13.5" thickTop="1" thickBot="1" x14ac:dyDescent="0.25">
      <c r="A272" s="592">
        <v>1</v>
      </c>
      <c r="B272" s="593">
        <v>2</v>
      </c>
      <c r="C272" s="593">
        <v>3</v>
      </c>
      <c r="D272" s="593">
        <v>4</v>
      </c>
      <c r="E272" s="593">
        <v>5</v>
      </c>
      <c r="F272" s="567">
        <v>6</v>
      </c>
      <c r="G272" s="567">
        <v>7</v>
      </c>
      <c r="H272" s="662" t="s">
        <v>61</v>
      </c>
      <c r="I272" s="107"/>
    </row>
    <row r="273" spans="1:11" s="439" customFormat="1" ht="15.75" thickTop="1" x14ac:dyDescent="0.25">
      <c r="A273" s="2058">
        <v>4357</v>
      </c>
      <c r="B273" s="2059">
        <v>5331</v>
      </c>
      <c r="C273" s="2060"/>
      <c r="D273" s="650" t="s">
        <v>259</v>
      </c>
      <c r="E273" s="752">
        <f>E274+E275</f>
        <v>11566</v>
      </c>
      <c r="F273" s="752">
        <f>F274+F275</f>
        <v>19624</v>
      </c>
      <c r="G273" s="752">
        <f>G274+G275</f>
        <v>19624</v>
      </c>
      <c r="H273" s="739">
        <f>G273/F273*100</f>
        <v>100</v>
      </c>
    </row>
    <row r="274" spans="1:11" x14ac:dyDescent="0.2">
      <c r="A274" s="2029"/>
      <c r="B274" s="2030"/>
      <c r="C274" s="743" t="s">
        <v>641</v>
      </c>
      <c r="D274" s="1550" t="s">
        <v>1416</v>
      </c>
      <c r="E274" s="771">
        <v>2073</v>
      </c>
      <c r="F274" s="771">
        <v>2088</v>
      </c>
      <c r="G274" s="771">
        <v>2088</v>
      </c>
      <c r="H274" s="855">
        <f>(G274/F274)*100</f>
        <v>100</v>
      </c>
    </row>
    <row r="275" spans="1:11" x14ac:dyDescent="0.2">
      <c r="A275" s="2029"/>
      <c r="B275" s="2030"/>
      <c r="C275" s="578" t="s">
        <v>636</v>
      </c>
      <c r="D275" s="758" t="s">
        <v>1220</v>
      </c>
      <c r="E275" s="771">
        <v>9493</v>
      </c>
      <c r="F275" s="771">
        <v>17536</v>
      </c>
      <c r="G275" s="771">
        <v>17536</v>
      </c>
      <c r="H275" s="855">
        <f>(G275/F275)*100</f>
        <v>100</v>
      </c>
    </row>
    <row r="276" spans="1:11" s="439" customFormat="1" ht="15" x14ac:dyDescent="0.25">
      <c r="A276" s="2062">
        <v>4357</v>
      </c>
      <c r="B276" s="2063">
        <v>5336</v>
      </c>
      <c r="C276" s="2065"/>
      <c r="D276" s="2011" t="s">
        <v>1657</v>
      </c>
      <c r="E276" s="1610"/>
      <c r="F276" s="1610">
        <v>65</v>
      </c>
      <c r="G276" s="1610">
        <v>65</v>
      </c>
      <c r="H276" s="868">
        <f t="shared" ref="H276:H277" si="6">(G276/F276)*100</f>
        <v>100</v>
      </c>
    </row>
    <row r="277" spans="1:11" ht="15" thickBot="1" x14ac:dyDescent="0.25">
      <c r="A277" s="2029"/>
      <c r="B277" s="2030"/>
      <c r="C277" s="578" t="s">
        <v>1720</v>
      </c>
      <c r="D277" s="582" t="s">
        <v>1743</v>
      </c>
      <c r="E277" s="771"/>
      <c r="F277" s="771">
        <v>65</v>
      </c>
      <c r="G277" s="771">
        <v>65</v>
      </c>
      <c r="H277" s="855">
        <f t="shared" si="6"/>
        <v>100</v>
      </c>
    </row>
    <row r="278" spans="1:11" s="369" customFormat="1" ht="20.25" customHeight="1" thickTop="1" thickBot="1" x14ac:dyDescent="0.3">
      <c r="A278" s="744" t="s">
        <v>1246</v>
      </c>
      <c r="B278" s="745"/>
      <c r="C278" s="746"/>
      <c r="D278" s="747"/>
      <c r="E278" s="759">
        <f>SUM(E273)</f>
        <v>11566</v>
      </c>
      <c r="F278" s="759">
        <f>SUM(F273,F276)</f>
        <v>19689</v>
      </c>
      <c r="G278" s="759">
        <f>SUM(G273,G276)</f>
        <v>19689</v>
      </c>
      <c r="H278" s="857">
        <f>(G278/F278)*100</f>
        <v>100</v>
      </c>
      <c r="J278" s="862"/>
      <c r="K278" s="862"/>
    </row>
    <row r="279" spans="1:11" s="439" customFormat="1" ht="15.75" thickTop="1" x14ac:dyDescent="0.25">
      <c r="A279" s="2058">
        <v>4357</v>
      </c>
      <c r="B279" s="2059">
        <v>6351</v>
      </c>
      <c r="C279" s="2060"/>
      <c r="D279" s="650" t="s">
        <v>1320</v>
      </c>
      <c r="E279" s="752">
        <v>980</v>
      </c>
      <c r="F279" s="752">
        <v>975</v>
      </c>
      <c r="G279" s="752">
        <v>975</v>
      </c>
      <c r="H279" s="739">
        <f>G279/F279*100</f>
        <v>100</v>
      </c>
    </row>
    <row r="280" spans="1:11" ht="12.75" customHeight="1" thickBot="1" x14ac:dyDescent="0.25">
      <c r="A280" s="2029"/>
      <c r="B280" s="2030"/>
      <c r="C280" s="1179" t="s">
        <v>1536</v>
      </c>
      <c r="D280" s="2010" t="s">
        <v>1537</v>
      </c>
      <c r="E280" s="858">
        <v>980</v>
      </c>
      <c r="F280" s="858">
        <v>975</v>
      </c>
      <c r="G280" s="859">
        <v>975</v>
      </c>
      <c r="H280" s="855">
        <f>(G280/F280)*100</f>
        <v>100</v>
      </c>
    </row>
    <row r="281" spans="1:11" s="369" customFormat="1" ht="20.25" customHeight="1" thickTop="1" thickBot="1" x14ac:dyDescent="0.3">
      <c r="A281" s="744" t="s">
        <v>1247</v>
      </c>
      <c r="B281" s="745"/>
      <c r="C281" s="746"/>
      <c r="D281" s="747"/>
      <c r="E281" s="759">
        <f>E279</f>
        <v>980</v>
      </c>
      <c r="F281" s="759">
        <f>SUM(F279)</f>
        <v>975</v>
      </c>
      <c r="G281" s="759">
        <f>SUM(G279)</f>
        <v>975</v>
      </c>
      <c r="H281" s="857">
        <f>SUM(H279)</f>
        <v>100</v>
      </c>
    </row>
    <row r="282" spans="1:11" s="369" customFormat="1" ht="20.25" customHeight="1" thickTop="1" x14ac:dyDescent="0.25">
      <c r="A282" s="363"/>
      <c r="B282" s="364"/>
      <c r="C282" s="365"/>
      <c r="D282" s="366"/>
      <c r="E282" s="367"/>
      <c r="F282" s="367"/>
      <c r="G282" s="367"/>
      <c r="H282" s="368"/>
      <c r="J282" s="862"/>
      <c r="K282" s="862"/>
    </row>
    <row r="283" spans="1:11" s="369" customFormat="1" ht="20.25" customHeight="1" thickBot="1" x14ac:dyDescent="0.3">
      <c r="A283" s="817" t="s">
        <v>1487</v>
      </c>
      <c r="B283" s="764"/>
      <c r="C283" s="765"/>
      <c r="D283" s="766"/>
      <c r="E283" s="861">
        <f>SUM(E278,E281)</f>
        <v>12546</v>
      </c>
      <c r="F283" s="861">
        <f>SUM(F278,F281)</f>
        <v>20664</v>
      </c>
      <c r="G283" s="861">
        <f>SUM(G278,G281)</f>
        <v>20664</v>
      </c>
      <c r="H283" s="822">
        <f>(G283/F283)*100</f>
        <v>100</v>
      </c>
    </row>
    <row r="284" spans="1:11" s="860" customFormat="1" ht="20.25" customHeight="1" thickTop="1" x14ac:dyDescent="0.25">
      <c r="A284" s="2032"/>
      <c r="B284" s="2033"/>
      <c r="C284" s="2034"/>
      <c r="D284" s="2035"/>
      <c r="E284" s="2036"/>
      <c r="F284" s="2036"/>
      <c r="G284" s="2036"/>
      <c r="H284" s="2037"/>
    </row>
    <row r="285" spans="1:11" s="860" customFormat="1" ht="16.5" customHeight="1" x14ac:dyDescent="0.25">
      <c r="A285" s="2032"/>
      <c r="B285" s="2033"/>
      <c r="C285" s="2034"/>
      <c r="D285" s="2035"/>
      <c r="E285" s="2036"/>
      <c r="F285" s="2036"/>
      <c r="G285" s="2036"/>
      <c r="H285" s="2037"/>
    </row>
    <row r="286" spans="1:11" ht="12.75" customHeight="1" x14ac:dyDescent="0.2"/>
    <row r="287" spans="1:11" s="525" customFormat="1" ht="13.5" customHeight="1" x14ac:dyDescent="0.25">
      <c r="A287" s="727" t="s">
        <v>280</v>
      </c>
      <c r="B287" s="778"/>
      <c r="C287" s="863"/>
      <c r="E287" s="511" t="s">
        <v>1491</v>
      </c>
      <c r="F287" s="511"/>
      <c r="G287" s="511"/>
      <c r="H287" s="850"/>
    </row>
    <row r="288" spans="1:11" ht="13.5" customHeight="1" thickBot="1" x14ac:dyDescent="0.25">
      <c r="A288" s="2019"/>
      <c r="H288" s="2025" t="s">
        <v>179</v>
      </c>
    </row>
    <row r="289" spans="1:9" s="735" customFormat="1" ht="20.25" customHeight="1" thickTop="1" thickBot="1" x14ac:dyDescent="0.25">
      <c r="A289" s="813" t="s">
        <v>180</v>
      </c>
      <c r="B289" s="730" t="s">
        <v>181</v>
      </c>
      <c r="C289" s="731" t="s">
        <v>783</v>
      </c>
      <c r="D289" s="732" t="s">
        <v>182</v>
      </c>
      <c r="E289" s="733" t="s">
        <v>183</v>
      </c>
      <c r="F289" s="733" t="s">
        <v>985</v>
      </c>
      <c r="G289" s="733" t="s">
        <v>986</v>
      </c>
      <c r="H289" s="734" t="s">
        <v>987</v>
      </c>
    </row>
    <row r="290" spans="1:9" s="386" customFormat="1" ht="13.5" thickTop="1" thickBot="1" x14ac:dyDescent="0.25">
      <c r="A290" s="592">
        <v>1</v>
      </c>
      <c r="B290" s="593">
        <v>2</v>
      </c>
      <c r="C290" s="593">
        <v>3</v>
      </c>
      <c r="D290" s="593">
        <v>4</v>
      </c>
      <c r="E290" s="593">
        <v>5</v>
      </c>
      <c r="F290" s="567">
        <v>6</v>
      </c>
      <c r="G290" s="567">
        <v>7</v>
      </c>
      <c r="H290" s="662" t="s">
        <v>61</v>
      </c>
      <c r="I290" s="107"/>
    </row>
    <row r="291" spans="1:9" s="439" customFormat="1" ht="15.75" thickTop="1" x14ac:dyDescent="0.25">
      <c r="A291" s="2058">
        <v>4372</v>
      </c>
      <c r="B291" s="2059">
        <v>5331</v>
      </c>
      <c r="C291" s="2060"/>
      <c r="D291" s="650" t="s">
        <v>259</v>
      </c>
      <c r="E291" s="752">
        <f>E292+E293+E294</f>
        <v>7280</v>
      </c>
      <c r="F291" s="752">
        <f>F292+F293+F294</f>
        <v>9122</v>
      </c>
      <c r="G291" s="752">
        <f>G292+G293+G294</f>
        <v>9122</v>
      </c>
      <c r="H291" s="739">
        <f>G291/F291*100</f>
        <v>100</v>
      </c>
    </row>
    <row r="292" spans="1:9" x14ac:dyDescent="0.2">
      <c r="A292" s="2029"/>
      <c r="B292" s="2030"/>
      <c r="C292" s="743" t="s">
        <v>641</v>
      </c>
      <c r="D292" s="1550" t="s">
        <v>1416</v>
      </c>
      <c r="E292" s="771">
        <v>141</v>
      </c>
      <c r="F292" s="771">
        <v>280</v>
      </c>
      <c r="G292" s="771">
        <v>280</v>
      </c>
      <c r="H292" s="855">
        <f>(G292/F292)*100</f>
        <v>100</v>
      </c>
    </row>
    <row r="293" spans="1:9" x14ac:dyDescent="0.2">
      <c r="A293" s="2029"/>
      <c r="B293" s="2030"/>
      <c r="C293" s="578" t="s">
        <v>636</v>
      </c>
      <c r="D293" s="758" t="s">
        <v>1220</v>
      </c>
      <c r="E293" s="771">
        <v>7139</v>
      </c>
      <c r="F293" s="771">
        <v>6754</v>
      </c>
      <c r="G293" s="771">
        <v>6754</v>
      </c>
      <c r="H293" s="855">
        <f>(G293/F293)*100</f>
        <v>100</v>
      </c>
    </row>
    <row r="294" spans="1:9" x14ac:dyDescent="0.2">
      <c r="A294" s="2029"/>
      <c r="B294" s="2030"/>
      <c r="C294" s="578" t="s">
        <v>642</v>
      </c>
      <c r="D294" s="2770" t="s">
        <v>643</v>
      </c>
      <c r="E294" s="469"/>
      <c r="F294" s="461">
        <v>2088</v>
      </c>
      <c r="G294" s="461">
        <v>2088</v>
      </c>
      <c r="H294" s="580">
        <f>G294/F294*100</f>
        <v>100</v>
      </c>
    </row>
    <row r="295" spans="1:9" ht="15" thickBot="1" x14ac:dyDescent="0.25">
      <c r="A295" s="2041"/>
      <c r="B295" s="2042"/>
      <c r="C295" s="757"/>
      <c r="D295" s="2771"/>
      <c r="E295" s="468"/>
      <c r="F295" s="468"/>
      <c r="G295" s="468"/>
      <c r="H295" s="870"/>
    </row>
    <row r="296" spans="1:9" s="369" customFormat="1" ht="20.25" customHeight="1" thickTop="1" thickBot="1" x14ac:dyDescent="0.3">
      <c r="A296" s="744" t="s">
        <v>1246</v>
      </c>
      <c r="B296" s="745"/>
      <c r="C296" s="746"/>
      <c r="D296" s="869"/>
      <c r="E296" s="759">
        <f>SUM(E291)</f>
        <v>7280</v>
      </c>
      <c r="F296" s="759">
        <f>SUM(F291)</f>
        <v>9122</v>
      </c>
      <c r="G296" s="759">
        <f>SUM(G291)</f>
        <v>9122</v>
      </c>
      <c r="H296" s="857">
        <f>(G296/F296)*100</f>
        <v>100</v>
      </c>
    </row>
    <row r="297" spans="1:9" s="439" customFormat="1" ht="15.75" thickTop="1" x14ac:dyDescent="0.25">
      <c r="A297" s="812"/>
      <c r="B297" s="2046"/>
      <c r="C297" s="863"/>
      <c r="E297" s="511"/>
      <c r="F297" s="511"/>
      <c r="G297" s="511"/>
      <c r="H297" s="850"/>
    </row>
    <row r="298" spans="1:9" s="369" customFormat="1" ht="27.75" customHeight="1" thickBot="1" x14ac:dyDescent="0.3">
      <c r="A298" s="817" t="s">
        <v>3</v>
      </c>
      <c r="B298" s="764"/>
      <c r="C298" s="765"/>
      <c r="D298" s="766"/>
      <c r="E298" s="861">
        <f>SUM(E296)</f>
        <v>7280</v>
      </c>
      <c r="F298" s="861">
        <f>F296</f>
        <v>9122</v>
      </c>
      <c r="G298" s="861">
        <f>G296</f>
        <v>9122</v>
      </c>
      <c r="H298" s="822">
        <f>(G298/F298)*100</f>
        <v>100</v>
      </c>
    </row>
    <row r="299" spans="1:9" ht="15" thickTop="1" x14ac:dyDescent="0.2"/>
    <row r="302" spans="1:9" s="525" customFormat="1" ht="15.75" x14ac:dyDescent="0.25">
      <c r="A302" s="727" t="s">
        <v>12</v>
      </c>
      <c r="B302" s="778"/>
      <c r="C302" s="863"/>
      <c r="E302" s="511" t="s">
        <v>1488</v>
      </c>
      <c r="F302" s="511"/>
      <c r="G302" s="511"/>
      <c r="H302" s="850"/>
    </row>
    <row r="303" spans="1:9" ht="15" thickBot="1" x14ac:dyDescent="0.25">
      <c r="A303" s="2019"/>
      <c r="H303" s="2025" t="s">
        <v>179</v>
      </c>
    </row>
    <row r="304" spans="1:9" s="735" customFormat="1" ht="20.25" customHeight="1" thickTop="1" thickBot="1" x14ac:dyDescent="0.25">
      <c r="A304" s="813" t="s">
        <v>180</v>
      </c>
      <c r="B304" s="730" t="s">
        <v>181</v>
      </c>
      <c r="C304" s="731" t="s">
        <v>783</v>
      </c>
      <c r="D304" s="732" t="s">
        <v>182</v>
      </c>
      <c r="E304" s="733" t="s">
        <v>183</v>
      </c>
      <c r="F304" s="733" t="s">
        <v>985</v>
      </c>
      <c r="G304" s="733" t="s">
        <v>986</v>
      </c>
      <c r="H304" s="734" t="s">
        <v>987</v>
      </c>
    </row>
    <row r="305" spans="1:19" s="386" customFormat="1" ht="13.5" thickTop="1" thickBot="1" x14ac:dyDescent="0.25">
      <c r="A305" s="592">
        <v>1</v>
      </c>
      <c r="B305" s="593">
        <v>2</v>
      </c>
      <c r="C305" s="593">
        <v>3</v>
      </c>
      <c r="D305" s="593">
        <v>4</v>
      </c>
      <c r="E305" s="593">
        <v>5</v>
      </c>
      <c r="F305" s="567">
        <v>6</v>
      </c>
      <c r="G305" s="567">
        <v>7</v>
      </c>
      <c r="H305" s="662" t="s">
        <v>61</v>
      </c>
      <c r="I305" s="107"/>
    </row>
    <row r="306" spans="1:19" s="439" customFormat="1" ht="15.75" thickTop="1" x14ac:dyDescent="0.25">
      <c r="A306" s="2058">
        <v>4357</v>
      </c>
      <c r="B306" s="2059">
        <v>5331</v>
      </c>
      <c r="C306" s="2060"/>
      <c r="D306" s="650" t="s">
        <v>259</v>
      </c>
      <c r="E306" s="752">
        <f>E307+E308</f>
        <v>7352</v>
      </c>
      <c r="F306" s="752">
        <f>F307+F308</f>
        <v>10066</v>
      </c>
      <c r="G306" s="752">
        <f>G307+G308</f>
        <v>10066</v>
      </c>
      <c r="H306" s="739">
        <f>G306/F306*100</f>
        <v>100</v>
      </c>
    </row>
    <row r="307" spans="1:19" x14ac:dyDescent="0.2">
      <c r="A307" s="2029"/>
      <c r="B307" s="2030"/>
      <c r="C307" s="743" t="s">
        <v>641</v>
      </c>
      <c r="D307" s="1550" t="s">
        <v>1416</v>
      </c>
      <c r="E307" s="771">
        <v>1737</v>
      </c>
      <c r="F307" s="771">
        <v>1754</v>
      </c>
      <c r="G307" s="771">
        <v>1754</v>
      </c>
      <c r="H307" s="855">
        <f>(G307/F307)*100</f>
        <v>100</v>
      </c>
    </row>
    <row r="308" spans="1:19" ht="15" thickBot="1" x14ac:dyDescent="0.25">
      <c r="A308" s="2029"/>
      <c r="B308" s="2030"/>
      <c r="C308" s="578" t="s">
        <v>636</v>
      </c>
      <c r="D308" s="582" t="s">
        <v>1220</v>
      </c>
      <c r="E308" s="771">
        <v>5615</v>
      </c>
      <c r="F308" s="771">
        <v>8312</v>
      </c>
      <c r="G308" s="771">
        <v>8312</v>
      </c>
      <c r="H308" s="855">
        <f>(G308/F308)*100</f>
        <v>100</v>
      </c>
    </row>
    <row r="309" spans="1:19" s="369" customFormat="1" ht="20.25" customHeight="1" thickTop="1" thickBot="1" x14ac:dyDescent="0.3">
      <c r="A309" s="744" t="s">
        <v>1246</v>
      </c>
      <c r="B309" s="745"/>
      <c r="C309" s="746"/>
      <c r="D309" s="869"/>
      <c r="E309" s="759">
        <f>SUM(E306)</f>
        <v>7352</v>
      </c>
      <c r="F309" s="759">
        <f>SUM(F306)</f>
        <v>10066</v>
      </c>
      <c r="G309" s="759">
        <f>SUM(G306)</f>
        <v>10066</v>
      </c>
      <c r="H309" s="857">
        <f>(G309/F309)*100</f>
        <v>100</v>
      </c>
    </row>
    <row r="310" spans="1:19" s="439" customFormat="1" ht="15.75" thickTop="1" x14ac:dyDescent="0.25">
      <c r="A310" s="2058">
        <v>4357</v>
      </c>
      <c r="B310" s="2059">
        <v>6351</v>
      </c>
      <c r="C310" s="2060"/>
      <c r="D310" s="650" t="s">
        <v>1320</v>
      </c>
      <c r="E310" s="752">
        <v>2050</v>
      </c>
      <c r="F310" s="752">
        <v>1917</v>
      </c>
      <c r="G310" s="752">
        <v>1917</v>
      </c>
      <c r="H310" s="868">
        <f>(G310/F310)*100</f>
        <v>100</v>
      </c>
    </row>
    <row r="311" spans="1:19" ht="15" thickBot="1" x14ac:dyDescent="0.25">
      <c r="A311" s="2029"/>
      <c r="B311" s="2030"/>
      <c r="C311" s="1179" t="s">
        <v>1536</v>
      </c>
      <c r="D311" s="2010" t="s">
        <v>1537</v>
      </c>
      <c r="E311" s="771">
        <v>2050</v>
      </c>
      <c r="F311" s="771">
        <v>1917</v>
      </c>
      <c r="G311" s="771">
        <v>1917</v>
      </c>
      <c r="H311" s="855">
        <f>(G311/F311)*100</f>
        <v>100</v>
      </c>
    </row>
    <row r="312" spans="1:19" s="369" customFormat="1" ht="20.25" customHeight="1" thickTop="1" thickBot="1" x14ac:dyDescent="0.3">
      <c r="A312" s="744" t="s">
        <v>1247</v>
      </c>
      <c r="B312" s="745"/>
      <c r="C312" s="746"/>
      <c r="D312" s="747"/>
      <c r="E312" s="759">
        <f>E310</f>
        <v>2050</v>
      </c>
      <c r="F312" s="759">
        <f>SUM(F310)</f>
        <v>1917</v>
      </c>
      <c r="G312" s="759">
        <f>SUM(G310)</f>
        <v>1917</v>
      </c>
      <c r="H312" s="857">
        <f>SUM(H310)</f>
        <v>100</v>
      </c>
      <c r="S312" s="369">
        <v>0</v>
      </c>
    </row>
    <row r="313" spans="1:19" s="439" customFormat="1" ht="15.75" thickTop="1" x14ac:dyDescent="0.25">
      <c r="A313" s="812"/>
      <c r="B313" s="2046"/>
      <c r="C313" s="863"/>
      <c r="E313" s="511"/>
      <c r="F313" s="511"/>
      <c r="G313" s="511"/>
      <c r="H313" s="850"/>
    </row>
    <row r="314" spans="1:19" s="369" customFormat="1" ht="27.75" customHeight="1" thickBot="1" x14ac:dyDescent="0.3">
      <c r="A314" s="817" t="s">
        <v>13</v>
      </c>
      <c r="B314" s="764"/>
      <c r="C314" s="765"/>
      <c r="D314" s="766"/>
      <c r="E314" s="861">
        <f>SUM(E309,E310)</f>
        <v>9402</v>
      </c>
      <c r="F314" s="861">
        <f>SUM(F309,F310)</f>
        <v>11983</v>
      </c>
      <c r="G314" s="861">
        <f>SUM(G309,G310)</f>
        <v>11983</v>
      </c>
      <c r="H314" s="822">
        <f>(G314/F314)*100</f>
        <v>100</v>
      </c>
    </row>
    <row r="315" spans="1:19" ht="13.5" customHeight="1" thickTop="1" x14ac:dyDescent="0.2"/>
    <row r="316" spans="1:19" s="525" customFormat="1" ht="14.25" customHeight="1" x14ac:dyDescent="0.25">
      <c r="A316" s="727" t="s">
        <v>14</v>
      </c>
      <c r="B316" s="778"/>
      <c r="C316" s="863"/>
      <c r="E316" s="511" t="s">
        <v>1489</v>
      </c>
      <c r="F316" s="511"/>
      <c r="G316" s="511"/>
      <c r="H316" s="850"/>
    </row>
    <row r="317" spans="1:19" ht="15" thickBot="1" x14ac:dyDescent="0.25">
      <c r="A317" s="2019"/>
      <c r="H317" s="2025" t="s">
        <v>179</v>
      </c>
    </row>
    <row r="318" spans="1:19" s="735" customFormat="1" ht="20.25" customHeight="1" thickTop="1" thickBot="1" x14ac:dyDescent="0.25">
      <c r="A318" s="813" t="s">
        <v>180</v>
      </c>
      <c r="B318" s="730" t="s">
        <v>181</v>
      </c>
      <c r="C318" s="731" t="s">
        <v>783</v>
      </c>
      <c r="D318" s="732" t="s">
        <v>182</v>
      </c>
      <c r="E318" s="733" t="s">
        <v>183</v>
      </c>
      <c r="F318" s="733" t="s">
        <v>985</v>
      </c>
      <c r="G318" s="733" t="s">
        <v>986</v>
      </c>
      <c r="H318" s="734" t="s">
        <v>987</v>
      </c>
    </row>
    <row r="319" spans="1:19" s="386" customFormat="1" ht="13.5" thickTop="1" thickBot="1" x14ac:dyDescent="0.25">
      <c r="A319" s="592">
        <v>1</v>
      </c>
      <c r="B319" s="593">
        <v>2</v>
      </c>
      <c r="C319" s="593">
        <v>3</v>
      </c>
      <c r="D319" s="593">
        <v>4</v>
      </c>
      <c r="E319" s="593">
        <v>5</v>
      </c>
      <c r="F319" s="567">
        <v>6</v>
      </c>
      <c r="G319" s="567">
        <v>7</v>
      </c>
      <c r="H319" s="662" t="s">
        <v>61</v>
      </c>
      <c r="I319" s="107"/>
    </row>
    <row r="320" spans="1:19" s="439" customFormat="1" ht="15.75" thickTop="1" x14ac:dyDescent="0.25">
      <c r="A320" s="2058">
        <v>4357</v>
      </c>
      <c r="B320" s="2059">
        <v>5331</v>
      </c>
      <c r="C320" s="2060"/>
      <c r="D320" s="650" t="s">
        <v>259</v>
      </c>
      <c r="E320" s="752">
        <f>E321+E322</f>
        <v>3010</v>
      </c>
      <c r="F320" s="752">
        <f>F321+F322</f>
        <v>6586</v>
      </c>
      <c r="G320" s="752">
        <f>G321+G322</f>
        <v>6586</v>
      </c>
      <c r="H320" s="739">
        <f>G320/F320*100</f>
        <v>100</v>
      </c>
    </row>
    <row r="321" spans="1:19" x14ac:dyDescent="0.2">
      <c r="A321" s="2029"/>
      <c r="B321" s="2030"/>
      <c r="C321" s="743" t="s">
        <v>641</v>
      </c>
      <c r="D321" s="1550" t="s">
        <v>1416</v>
      </c>
      <c r="E321" s="771">
        <v>145</v>
      </c>
      <c r="F321" s="771">
        <v>203</v>
      </c>
      <c r="G321" s="771">
        <v>203</v>
      </c>
      <c r="H321" s="855">
        <f>(G321/F321)*100</f>
        <v>100</v>
      </c>
    </row>
    <row r="322" spans="1:19" ht="15" thickBot="1" x14ac:dyDescent="0.25">
      <c r="A322" s="2029"/>
      <c r="B322" s="2030"/>
      <c r="C322" s="578" t="s">
        <v>636</v>
      </c>
      <c r="D322" s="582" t="s">
        <v>1220</v>
      </c>
      <c r="E322" s="771">
        <v>2865</v>
      </c>
      <c r="F322" s="771">
        <v>6383</v>
      </c>
      <c r="G322" s="771">
        <v>6383</v>
      </c>
      <c r="H322" s="855">
        <f>(G322/F322)*100</f>
        <v>100</v>
      </c>
    </row>
    <row r="323" spans="1:19" s="369" customFormat="1" ht="20.25" customHeight="1" thickTop="1" thickBot="1" x14ac:dyDescent="0.3">
      <c r="A323" s="744" t="s">
        <v>1246</v>
      </c>
      <c r="B323" s="745"/>
      <c r="C323" s="746"/>
      <c r="D323" s="747"/>
      <c r="E323" s="759">
        <f>E320</f>
        <v>3010</v>
      </c>
      <c r="F323" s="759">
        <f>F320</f>
        <v>6586</v>
      </c>
      <c r="G323" s="759">
        <f>G320</f>
        <v>6586</v>
      </c>
      <c r="H323" s="857">
        <f>(G323/F323)*100</f>
        <v>100</v>
      </c>
    </row>
    <row r="324" spans="1:19" s="439" customFormat="1" ht="15.75" thickTop="1" x14ac:dyDescent="0.25">
      <c r="A324" s="2058">
        <v>4357</v>
      </c>
      <c r="B324" s="2059">
        <v>6351</v>
      </c>
      <c r="C324" s="2060"/>
      <c r="D324" s="650" t="s">
        <v>1320</v>
      </c>
      <c r="E324" s="752">
        <v>150</v>
      </c>
      <c r="F324" s="752">
        <v>150</v>
      </c>
      <c r="G324" s="752">
        <v>150</v>
      </c>
      <c r="H324" s="868">
        <f>(G324/F324)*100</f>
        <v>100</v>
      </c>
    </row>
    <row r="325" spans="1:19" ht="15" thickBot="1" x14ac:dyDescent="0.25">
      <c r="A325" s="2029"/>
      <c r="B325" s="2030"/>
      <c r="C325" s="1179" t="s">
        <v>1536</v>
      </c>
      <c r="D325" s="2010" t="s">
        <v>1537</v>
      </c>
      <c r="E325" s="771">
        <v>150</v>
      </c>
      <c r="F325" s="771">
        <v>150</v>
      </c>
      <c r="G325" s="771">
        <v>150</v>
      </c>
      <c r="H325" s="855">
        <f>(G325/F325)*100</f>
        <v>100</v>
      </c>
    </row>
    <row r="326" spans="1:19" s="369" customFormat="1" ht="20.25" customHeight="1" thickTop="1" thickBot="1" x14ac:dyDescent="0.3">
      <c r="A326" s="744" t="s">
        <v>1247</v>
      </c>
      <c r="B326" s="745"/>
      <c r="C326" s="746"/>
      <c r="D326" s="747"/>
      <c r="E326" s="759">
        <f>E324</f>
        <v>150</v>
      </c>
      <c r="F326" s="759">
        <f>SUM(F324)</f>
        <v>150</v>
      </c>
      <c r="G326" s="759">
        <f>SUM(G324)</f>
        <v>150</v>
      </c>
      <c r="H326" s="857">
        <f>SUM(H324)</f>
        <v>100</v>
      </c>
      <c r="S326" s="369">
        <v>0</v>
      </c>
    </row>
    <row r="327" spans="1:19" s="439" customFormat="1" ht="15.75" thickTop="1" x14ac:dyDescent="0.25">
      <c r="A327" s="812"/>
      <c r="B327" s="2046"/>
      <c r="C327" s="863"/>
      <c r="E327" s="511"/>
      <c r="F327" s="511"/>
      <c r="G327" s="511"/>
      <c r="H327" s="850"/>
    </row>
    <row r="328" spans="1:19" s="369" customFormat="1" ht="27.75" customHeight="1" thickBot="1" x14ac:dyDescent="0.3">
      <c r="A328" s="817" t="s">
        <v>15</v>
      </c>
      <c r="B328" s="764"/>
      <c r="C328" s="765"/>
      <c r="D328" s="766"/>
      <c r="E328" s="861">
        <f>E323+E326</f>
        <v>3160</v>
      </c>
      <c r="F328" s="861">
        <f>F323+F326</f>
        <v>6736</v>
      </c>
      <c r="G328" s="861">
        <f>G323+G326</f>
        <v>6736</v>
      </c>
      <c r="H328" s="822">
        <f>(G328/F328)*100</f>
        <v>100</v>
      </c>
    </row>
    <row r="329" spans="1:19" s="860" customFormat="1" ht="16.5" customHeight="1" thickTop="1" x14ac:dyDescent="0.25">
      <c r="A329" s="2032"/>
      <c r="B329" s="2033"/>
      <c r="C329" s="2034"/>
      <c r="D329" s="2035"/>
      <c r="E329" s="2036"/>
      <c r="F329" s="2036"/>
      <c r="G329" s="2036"/>
      <c r="H329" s="2037"/>
    </row>
    <row r="330" spans="1:19" s="860" customFormat="1" ht="16.5" customHeight="1" x14ac:dyDescent="0.25">
      <c r="A330" s="2032"/>
      <c r="B330" s="2033"/>
      <c r="C330" s="2034"/>
      <c r="D330" s="2035"/>
      <c r="E330" s="2036"/>
      <c r="F330" s="2036"/>
      <c r="G330" s="2036"/>
      <c r="H330" s="2037"/>
    </row>
    <row r="331" spans="1:19" s="860" customFormat="1" ht="16.5" customHeight="1" x14ac:dyDescent="0.25">
      <c r="A331" s="2032"/>
      <c r="B331" s="2033"/>
      <c r="C331" s="2034"/>
      <c r="D331" s="2035"/>
      <c r="E331" s="2036"/>
      <c r="F331" s="2036"/>
      <c r="G331" s="2036"/>
      <c r="H331" s="2037"/>
    </row>
    <row r="332" spans="1:19" s="860" customFormat="1" ht="16.5" customHeight="1" x14ac:dyDescent="0.25">
      <c r="A332" s="2032"/>
      <c r="B332" s="2033"/>
      <c r="C332" s="2034"/>
      <c r="D332" s="2035"/>
      <c r="E332" s="2036"/>
      <c r="F332" s="2036"/>
      <c r="G332" s="2036"/>
      <c r="H332" s="2037"/>
    </row>
    <row r="333" spans="1:19" s="525" customFormat="1" ht="15.75" x14ac:dyDescent="0.25">
      <c r="A333" s="727" t="s">
        <v>16</v>
      </c>
      <c r="B333" s="778"/>
      <c r="C333" s="863"/>
      <c r="E333" s="511" t="s">
        <v>1490</v>
      </c>
      <c r="F333" s="511"/>
      <c r="G333" s="511"/>
      <c r="H333" s="850"/>
    </row>
    <row r="334" spans="1:19" ht="15" thickBot="1" x14ac:dyDescent="0.25">
      <c r="A334" s="2019"/>
      <c r="H334" s="2025" t="s">
        <v>179</v>
      </c>
    </row>
    <row r="335" spans="1:19" s="735" customFormat="1" ht="20.25" customHeight="1" thickTop="1" thickBot="1" x14ac:dyDescent="0.25">
      <c r="A335" s="813" t="s">
        <v>180</v>
      </c>
      <c r="B335" s="730" t="s">
        <v>181</v>
      </c>
      <c r="C335" s="731" t="s">
        <v>783</v>
      </c>
      <c r="D335" s="732" t="s">
        <v>182</v>
      </c>
      <c r="E335" s="733" t="s">
        <v>183</v>
      </c>
      <c r="F335" s="733" t="s">
        <v>985</v>
      </c>
      <c r="G335" s="733" t="s">
        <v>986</v>
      </c>
      <c r="H335" s="734" t="s">
        <v>987</v>
      </c>
    </row>
    <row r="336" spans="1:19" s="386" customFormat="1" ht="13.5" thickTop="1" thickBot="1" x14ac:dyDescent="0.25">
      <c r="A336" s="592">
        <v>1</v>
      </c>
      <c r="B336" s="593">
        <v>2</v>
      </c>
      <c r="C336" s="593">
        <v>3</v>
      </c>
      <c r="D336" s="593">
        <v>4</v>
      </c>
      <c r="E336" s="593">
        <v>5</v>
      </c>
      <c r="F336" s="567">
        <v>6</v>
      </c>
      <c r="G336" s="567">
        <v>7</v>
      </c>
      <c r="H336" s="662" t="s">
        <v>61</v>
      </c>
      <c r="I336" s="107"/>
    </row>
    <row r="337" spans="1:13" s="439" customFormat="1" ht="15.75" thickTop="1" x14ac:dyDescent="0.25">
      <c r="A337" s="2058">
        <v>4357</v>
      </c>
      <c r="B337" s="2059">
        <v>5331</v>
      </c>
      <c r="C337" s="2060"/>
      <c r="D337" s="650" t="s">
        <v>259</v>
      </c>
      <c r="E337" s="752">
        <f>E338+E339</f>
        <v>6552</v>
      </c>
      <c r="F337" s="752">
        <f>F338+F339</f>
        <v>11970</v>
      </c>
      <c r="G337" s="752">
        <f>G338+G339</f>
        <v>11970</v>
      </c>
      <c r="H337" s="739">
        <f>G337/F337*100</f>
        <v>100</v>
      </c>
    </row>
    <row r="338" spans="1:13" x14ac:dyDescent="0.2">
      <c r="A338" s="2029"/>
      <c r="B338" s="2030"/>
      <c r="C338" s="743" t="s">
        <v>641</v>
      </c>
      <c r="D338" s="1550" t="s">
        <v>1416</v>
      </c>
      <c r="E338" s="771">
        <v>1012</v>
      </c>
      <c r="F338" s="771">
        <v>1001</v>
      </c>
      <c r="G338" s="771">
        <v>1001</v>
      </c>
      <c r="H338" s="855">
        <f>(G338/F338)*100</f>
        <v>100</v>
      </c>
    </row>
    <row r="339" spans="1:13" ht="15" thickBot="1" x14ac:dyDescent="0.25">
      <c r="A339" s="2029"/>
      <c r="B339" s="2030"/>
      <c r="C339" s="578" t="s">
        <v>636</v>
      </c>
      <c r="D339" s="582" t="s">
        <v>1220</v>
      </c>
      <c r="E339" s="771">
        <v>5540</v>
      </c>
      <c r="F339" s="771">
        <v>10969</v>
      </c>
      <c r="G339" s="771">
        <v>10969</v>
      </c>
      <c r="H339" s="855">
        <f>(G339/F339)*100</f>
        <v>100</v>
      </c>
    </row>
    <row r="340" spans="1:13" s="860" customFormat="1" ht="20.25" customHeight="1" thickTop="1" thickBot="1" x14ac:dyDescent="0.3">
      <c r="A340" s="744" t="s">
        <v>1246</v>
      </c>
      <c r="B340" s="745"/>
      <c r="C340" s="746"/>
      <c r="D340" s="869"/>
      <c r="E340" s="759">
        <f>SUM(E337)</f>
        <v>6552</v>
      </c>
      <c r="F340" s="759">
        <f>SUM(F337)</f>
        <v>11970</v>
      </c>
      <c r="G340" s="759">
        <f>SUM(G337)</f>
        <v>11970</v>
      </c>
      <c r="H340" s="857">
        <f>(G340/F340)*100</f>
        <v>100</v>
      </c>
      <c r="J340" s="385">
        <f>E340+E323+E309+E296+E278+E263+E246+E230+E214+E199+E184+E168+E155+E139+E121+E105</f>
        <v>98143</v>
      </c>
      <c r="K340" s="385">
        <f>F340+F323+F309+F296+F278+F263+F246+F230+F214+F199+F184+F168+F155+F139+F121+F105</f>
        <v>151151</v>
      </c>
      <c r="L340" s="385">
        <f>G340+G323+G309+G296+G278+G263+G246+G230+G214+G199+G184+G168+G155+G139+G121+G105</f>
        <v>151151</v>
      </c>
      <c r="M340" s="384" t="s">
        <v>711</v>
      </c>
    </row>
    <row r="341" spans="1:13" ht="15" thickTop="1" x14ac:dyDescent="0.2">
      <c r="A341" s="2019"/>
      <c r="J341" s="385">
        <f>E171+E202+E217+E233+E312+E108+E125+E142+E187+E249+E326+E281</f>
        <v>10033</v>
      </c>
      <c r="K341" s="385">
        <f>F171+F202+F217+F233+F312+F108+F125+F142+F187+F249+F326+F281</f>
        <v>10117</v>
      </c>
      <c r="L341" s="385">
        <f>G171+G202+G217+G233+G312+G108+G125+G142+G187+G249+G326+G281</f>
        <v>10117</v>
      </c>
      <c r="M341" s="384" t="s">
        <v>655</v>
      </c>
    </row>
    <row r="342" spans="1:13" s="369" customFormat="1" ht="27.75" customHeight="1" thickBot="1" x14ac:dyDescent="0.3">
      <c r="A342" s="817" t="s">
        <v>17</v>
      </c>
      <c r="B342" s="764"/>
      <c r="C342" s="765"/>
      <c r="D342" s="766"/>
      <c r="E342" s="861">
        <f>E340</f>
        <v>6552</v>
      </c>
      <c r="F342" s="861">
        <f>F340</f>
        <v>11970</v>
      </c>
      <c r="G342" s="861">
        <f>G340</f>
        <v>11970</v>
      </c>
      <c r="H342" s="822">
        <f>(G342/F342)*100</f>
        <v>100</v>
      </c>
    </row>
    <row r="343" spans="1:13" s="860" customFormat="1" ht="15.75" customHeight="1" thickTop="1" x14ac:dyDescent="0.25">
      <c r="A343" s="2032"/>
      <c r="B343" s="2033"/>
      <c r="C343" s="2038"/>
      <c r="D343" s="2035"/>
      <c r="E343" s="864"/>
      <c r="F343" s="864"/>
      <c r="G343" s="864"/>
      <c r="H343" s="2039"/>
    </row>
    <row r="344" spans="1:13" s="860" customFormat="1" ht="15.75" customHeight="1" x14ac:dyDescent="0.25">
      <c r="A344" s="2032"/>
      <c r="B344" s="2033"/>
      <c r="C344" s="2038"/>
      <c r="D344" s="2035"/>
      <c r="E344" s="864"/>
      <c r="F344" s="864"/>
      <c r="G344" s="864"/>
      <c r="H344" s="2039"/>
    </row>
    <row r="345" spans="1:13" s="860" customFormat="1" ht="15.75" customHeight="1" x14ac:dyDescent="0.25">
      <c r="A345" s="2032"/>
      <c r="B345" s="2033"/>
      <c r="C345" s="2038"/>
      <c r="D345" s="2035"/>
      <c r="E345" s="864"/>
      <c r="F345" s="864"/>
      <c r="G345" s="864"/>
      <c r="H345" s="2039"/>
    </row>
    <row r="346" spans="1:13" s="860" customFormat="1" ht="15.75" customHeight="1" x14ac:dyDescent="0.25">
      <c r="A346" s="2032"/>
      <c r="B346" s="2033"/>
      <c r="C346" s="2038"/>
      <c r="D346" s="2035"/>
      <c r="E346" s="864"/>
      <c r="F346" s="864"/>
      <c r="G346" s="864"/>
      <c r="H346" s="2039"/>
    </row>
    <row r="347" spans="1:13" s="525" customFormat="1" ht="15.75" x14ac:dyDescent="0.25">
      <c r="A347" s="727" t="s">
        <v>919</v>
      </c>
      <c r="B347" s="778"/>
      <c r="C347" s="863"/>
      <c r="E347" s="511" t="s">
        <v>1492</v>
      </c>
      <c r="F347" s="511"/>
      <c r="G347" s="511"/>
      <c r="H347" s="850"/>
    </row>
    <row r="348" spans="1:13" ht="15" thickBot="1" x14ac:dyDescent="0.25">
      <c r="A348" s="2019"/>
      <c r="H348" s="2025" t="s">
        <v>179</v>
      </c>
    </row>
    <row r="349" spans="1:13" s="735" customFormat="1" ht="20.25" customHeight="1" thickTop="1" thickBot="1" x14ac:dyDescent="0.25">
      <c r="A349" s="813" t="s">
        <v>180</v>
      </c>
      <c r="B349" s="730" t="s">
        <v>181</v>
      </c>
      <c r="C349" s="731" t="s">
        <v>783</v>
      </c>
      <c r="D349" s="732" t="s">
        <v>182</v>
      </c>
      <c r="E349" s="733" t="s">
        <v>183</v>
      </c>
      <c r="F349" s="733" t="s">
        <v>985</v>
      </c>
      <c r="G349" s="733" t="s">
        <v>986</v>
      </c>
      <c r="H349" s="734" t="s">
        <v>987</v>
      </c>
    </row>
    <row r="350" spans="1:13" s="386" customFormat="1" ht="13.5" thickTop="1" thickBot="1" x14ac:dyDescent="0.25">
      <c r="A350" s="592">
        <v>1</v>
      </c>
      <c r="B350" s="593">
        <v>2</v>
      </c>
      <c r="C350" s="593">
        <v>3</v>
      </c>
      <c r="D350" s="593">
        <v>4</v>
      </c>
      <c r="E350" s="593">
        <v>5</v>
      </c>
      <c r="F350" s="567">
        <v>6</v>
      </c>
      <c r="G350" s="567">
        <v>7</v>
      </c>
      <c r="H350" s="662" t="s">
        <v>61</v>
      </c>
      <c r="I350" s="107"/>
    </row>
    <row r="351" spans="1:13" s="439" customFormat="1" ht="15.75" thickTop="1" x14ac:dyDescent="0.25">
      <c r="A351" s="2058">
        <v>4354</v>
      </c>
      <c r="B351" s="2059">
        <v>5331</v>
      </c>
      <c r="C351" s="2060"/>
      <c r="D351" s="650" t="s">
        <v>259</v>
      </c>
      <c r="E351" s="752">
        <f>E352+E353</f>
        <v>2779</v>
      </c>
      <c r="F351" s="752">
        <f>F352+F353</f>
        <v>3238</v>
      </c>
      <c r="G351" s="752">
        <f>G352+G353</f>
        <v>3238</v>
      </c>
      <c r="H351" s="739">
        <f>G351/F351*100</f>
        <v>100</v>
      </c>
    </row>
    <row r="352" spans="1:13" x14ac:dyDescent="0.2">
      <c r="A352" s="2029"/>
      <c r="B352" s="2030"/>
      <c r="C352" s="743" t="s">
        <v>641</v>
      </c>
      <c r="D352" s="1550" t="s">
        <v>1416</v>
      </c>
      <c r="E352" s="771">
        <v>182</v>
      </c>
      <c r="F352" s="771">
        <v>204</v>
      </c>
      <c r="G352" s="771">
        <v>204</v>
      </c>
      <c r="H352" s="855">
        <f>(G352/F352)*100</f>
        <v>100</v>
      </c>
    </row>
    <row r="353" spans="1:9" ht="15" thickBot="1" x14ac:dyDescent="0.25">
      <c r="A353" s="2029"/>
      <c r="B353" s="2030"/>
      <c r="C353" s="578" t="s">
        <v>636</v>
      </c>
      <c r="D353" s="758" t="s">
        <v>1220</v>
      </c>
      <c r="E353" s="771">
        <v>2597</v>
      </c>
      <c r="F353" s="771">
        <v>3034</v>
      </c>
      <c r="G353" s="771">
        <v>3034</v>
      </c>
      <c r="H353" s="855">
        <f>(G353/F353)*100</f>
        <v>100</v>
      </c>
    </row>
    <row r="354" spans="1:9" s="369" customFormat="1" ht="20.25" customHeight="1" thickTop="1" thickBot="1" x14ac:dyDescent="0.3">
      <c r="A354" s="744" t="s">
        <v>1246</v>
      </c>
      <c r="B354" s="745"/>
      <c r="C354" s="746"/>
      <c r="D354" s="747"/>
      <c r="E354" s="759">
        <f>SUM(E351)</f>
        <v>2779</v>
      </c>
      <c r="F354" s="759">
        <f>SUM(F351)</f>
        <v>3238</v>
      </c>
      <c r="G354" s="759">
        <f>SUM(G351)</f>
        <v>3238</v>
      </c>
      <c r="H354" s="857">
        <f>(G354/F354)*100</f>
        <v>100</v>
      </c>
    </row>
    <row r="355" spans="1:9" s="439" customFormat="1" ht="15.75" thickTop="1" x14ac:dyDescent="0.25">
      <c r="A355" s="2046"/>
      <c r="B355" s="2046"/>
      <c r="C355" s="863"/>
      <c r="E355" s="511"/>
      <c r="F355" s="511"/>
      <c r="G355" s="511"/>
      <c r="H355" s="850"/>
    </row>
    <row r="356" spans="1:9" s="369" customFormat="1" ht="27.75" customHeight="1" thickBot="1" x14ac:dyDescent="0.3">
      <c r="A356" s="817" t="s">
        <v>920</v>
      </c>
      <c r="B356" s="764"/>
      <c r="C356" s="765"/>
      <c r="D356" s="766"/>
      <c r="E356" s="861">
        <f>E351</f>
        <v>2779</v>
      </c>
      <c r="F356" s="861">
        <f>F351</f>
        <v>3238</v>
      </c>
      <c r="G356" s="861">
        <f>G351</f>
        <v>3238</v>
      </c>
      <c r="H356" s="822">
        <f>(G356/F356)*100</f>
        <v>100</v>
      </c>
    </row>
    <row r="357" spans="1:9" s="860" customFormat="1" ht="13.5" customHeight="1" thickTop="1" x14ac:dyDescent="0.25">
      <c r="A357" s="2032"/>
      <c r="B357" s="2033"/>
      <c r="C357" s="2038"/>
      <c r="D357" s="2035"/>
      <c r="E357" s="864"/>
      <c r="F357" s="864"/>
      <c r="G357" s="864"/>
      <c r="H357" s="2039"/>
    </row>
    <row r="358" spans="1:9" s="860" customFormat="1" ht="13.5" customHeight="1" x14ac:dyDescent="0.25">
      <c r="A358" s="2032"/>
      <c r="B358" s="2033"/>
      <c r="C358" s="2038"/>
      <c r="D358" s="2035"/>
      <c r="E358" s="864"/>
      <c r="F358" s="864"/>
      <c r="G358" s="864"/>
      <c r="H358" s="2039"/>
    </row>
    <row r="359" spans="1:9" s="860" customFormat="1" ht="13.5" customHeight="1" x14ac:dyDescent="0.25">
      <c r="A359" s="2032"/>
      <c r="B359" s="2033"/>
      <c r="C359" s="2038"/>
      <c r="D359" s="2035"/>
      <c r="E359" s="864"/>
      <c r="F359" s="864"/>
      <c r="G359" s="864"/>
      <c r="H359" s="2039"/>
    </row>
    <row r="360" spans="1:9" s="860" customFormat="1" ht="12.75" customHeight="1" x14ac:dyDescent="0.25">
      <c r="A360" s="2032"/>
      <c r="B360" s="2033"/>
      <c r="C360" s="2038"/>
      <c r="D360" s="2035"/>
      <c r="E360" s="864"/>
      <c r="F360" s="864"/>
      <c r="G360" s="864"/>
      <c r="H360" s="2039"/>
    </row>
    <row r="361" spans="1:9" s="525" customFormat="1" ht="15.75" x14ac:dyDescent="0.25">
      <c r="A361" s="727" t="s">
        <v>732</v>
      </c>
      <c r="B361" s="778"/>
      <c r="C361" s="863"/>
      <c r="E361" s="511" t="s">
        <v>449</v>
      </c>
      <c r="F361" s="511"/>
      <c r="G361" s="511"/>
      <c r="H361" s="850"/>
    </row>
    <row r="362" spans="1:9" ht="15" thickBot="1" x14ac:dyDescent="0.25">
      <c r="A362" s="2019"/>
      <c r="H362" s="2025" t="s">
        <v>179</v>
      </c>
    </row>
    <row r="363" spans="1:9" s="735" customFormat="1" ht="20.25" customHeight="1" thickTop="1" thickBot="1" x14ac:dyDescent="0.25">
      <c r="A363" s="813" t="s">
        <v>180</v>
      </c>
      <c r="B363" s="730" t="s">
        <v>181</v>
      </c>
      <c r="C363" s="731" t="s">
        <v>783</v>
      </c>
      <c r="D363" s="732" t="s">
        <v>182</v>
      </c>
      <c r="E363" s="733" t="s">
        <v>183</v>
      </c>
      <c r="F363" s="733" t="s">
        <v>985</v>
      </c>
      <c r="G363" s="733" t="s">
        <v>986</v>
      </c>
      <c r="H363" s="734" t="s">
        <v>987</v>
      </c>
    </row>
    <row r="364" spans="1:9" s="386" customFormat="1" ht="13.5" thickTop="1" thickBot="1" x14ac:dyDescent="0.25">
      <c r="A364" s="592">
        <v>1</v>
      </c>
      <c r="B364" s="593">
        <v>2</v>
      </c>
      <c r="C364" s="593">
        <v>3</v>
      </c>
      <c r="D364" s="593">
        <v>4</v>
      </c>
      <c r="E364" s="593">
        <v>5</v>
      </c>
      <c r="F364" s="567">
        <v>6</v>
      </c>
      <c r="G364" s="567">
        <v>7</v>
      </c>
      <c r="H364" s="662" t="s">
        <v>61</v>
      </c>
      <c r="I364" s="107"/>
    </row>
    <row r="365" spans="1:9" s="439" customFormat="1" ht="15.75" thickTop="1" x14ac:dyDescent="0.25">
      <c r="A365" s="2058">
        <v>4354</v>
      </c>
      <c r="B365" s="2059">
        <v>5331</v>
      </c>
      <c r="C365" s="2060"/>
      <c r="D365" s="650" t="s">
        <v>259</v>
      </c>
      <c r="E365" s="752">
        <f>E366+E367</f>
        <v>748</v>
      </c>
      <c r="F365" s="752">
        <f>F366+F367</f>
        <v>639</v>
      </c>
      <c r="G365" s="752">
        <f>G366+G367</f>
        <v>639</v>
      </c>
      <c r="H365" s="739">
        <f>G365/F365*100</f>
        <v>100</v>
      </c>
    </row>
    <row r="366" spans="1:9" x14ac:dyDescent="0.2">
      <c r="A366" s="2029"/>
      <c r="B366" s="2030"/>
      <c r="C366" s="743" t="s">
        <v>641</v>
      </c>
      <c r="D366" s="1550" t="s">
        <v>1416</v>
      </c>
      <c r="E366" s="771">
        <v>193</v>
      </c>
      <c r="F366" s="771">
        <v>194</v>
      </c>
      <c r="G366" s="771">
        <v>194</v>
      </c>
      <c r="H366" s="855">
        <f>(G366/F366)*100</f>
        <v>100</v>
      </c>
    </row>
    <row r="367" spans="1:9" ht="15" thickBot="1" x14ac:dyDescent="0.25">
      <c r="A367" s="2029"/>
      <c r="B367" s="2030"/>
      <c r="C367" s="578" t="s">
        <v>636</v>
      </c>
      <c r="D367" s="758" t="s">
        <v>1220</v>
      </c>
      <c r="E367" s="771">
        <v>555</v>
      </c>
      <c r="F367" s="771">
        <v>445</v>
      </c>
      <c r="G367" s="771">
        <v>445</v>
      </c>
      <c r="H367" s="855">
        <f>(G367/F367)*100</f>
        <v>100</v>
      </c>
    </row>
    <row r="368" spans="1:9" s="369" customFormat="1" ht="20.25" customHeight="1" thickTop="1" thickBot="1" x14ac:dyDescent="0.3">
      <c r="A368" s="744" t="s">
        <v>1246</v>
      </c>
      <c r="B368" s="745"/>
      <c r="C368" s="746"/>
      <c r="D368" s="747"/>
      <c r="E368" s="759">
        <f>SUM(E365)</f>
        <v>748</v>
      </c>
      <c r="F368" s="759">
        <f>SUM(F365)</f>
        <v>639</v>
      </c>
      <c r="G368" s="759">
        <f>SUM(G365)</f>
        <v>639</v>
      </c>
      <c r="H368" s="857">
        <f>(G368/F368)*100</f>
        <v>100</v>
      </c>
    </row>
    <row r="369" spans="1:19" s="439" customFormat="1" ht="15.75" thickTop="1" x14ac:dyDescent="0.25">
      <c r="A369" s="812"/>
      <c r="B369" s="2046"/>
      <c r="C369" s="863"/>
      <c r="E369" s="511"/>
      <c r="F369" s="511"/>
      <c r="G369" s="511"/>
      <c r="H369" s="850"/>
      <c r="S369" s="439">
        <v>0</v>
      </c>
    </row>
    <row r="370" spans="1:19" s="369" customFormat="1" ht="27.75" customHeight="1" thickBot="1" x14ac:dyDescent="0.3">
      <c r="A370" s="817" t="s">
        <v>733</v>
      </c>
      <c r="B370" s="764"/>
      <c r="C370" s="765"/>
      <c r="D370" s="766"/>
      <c r="E370" s="861">
        <f>E368</f>
        <v>748</v>
      </c>
      <c r="F370" s="861">
        <f>F368</f>
        <v>639</v>
      </c>
      <c r="G370" s="861">
        <f>G368</f>
        <v>639</v>
      </c>
      <c r="H370" s="822">
        <f>(G370/F370)*100</f>
        <v>100</v>
      </c>
    </row>
    <row r="371" spans="1:19" s="860" customFormat="1" ht="15.75" customHeight="1" thickTop="1" x14ac:dyDescent="0.25">
      <c r="A371" s="2032"/>
      <c r="B371" s="2033"/>
      <c r="C371" s="2038"/>
      <c r="D371" s="2035"/>
      <c r="E371" s="864"/>
      <c r="F371" s="864"/>
      <c r="G371" s="864"/>
      <c r="H371" s="2039"/>
    </row>
    <row r="372" spans="1:19" s="860" customFormat="1" ht="15.75" customHeight="1" x14ac:dyDescent="0.25">
      <c r="A372" s="2032"/>
      <c r="B372" s="2033"/>
      <c r="C372" s="2038"/>
      <c r="D372" s="2035"/>
      <c r="E372" s="864"/>
      <c r="F372" s="864"/>
      <c r="G372" s="864"/>
      <c r="H372" s="2039"/>
    </row>
    <row r="373" spans="1:19" s="860" customFormat="1" ht="15.75" customHeight="1" x14ac:dyDescent="0.25">
      <c r="A373" s="2032"/>
      <c r="B373" s="2033"/>
      <c r="C373" s="2038"/>
      <c r="D373" s="2035"/>
      <c r="E373" s="864"/>
      <c r="F373" s="864"/>
      <c r="G373" s="864"/>
      <c r="H373" s="2039"/>
    </row>
    <row r="374" spans="1:19" s="860" customFormat="1" ht="15.75" customHeight="1" x14ac:dyDescent="0.25">
      <c r="A374" s="2032"/>
      <c r="B374" s="2033"/>
      <c r="C374" s="2038"/>
      <c r="D374" s="2035"/>
      <c r="E374" s="864"/>
      <c r="F374" s="864"/>
      <c r="G374" s="864"/>
      <c r="H374" s="2039"/>
    </row>
    <row r="375" spans="1:19" s="860" customFormat="1" ht="15.75" customHeight="1" x14ac:dyDescent="0.25">
      <c r="A375" s="2032"/>
      <c r="B375" s="2033"/>
      <c r="C375" s="2038"/>
      <c r="D375" s="2035"/>
      <c r="E375" s="864"/>
      <c r="F375" s="864"/>
      <c r="G375" s="864"/>
      <c r="H375" s="2039"/>
    </row>
    <row r="376" spans="1:19" s="525" customFormat="1" ht="15.75" x14ac:dyDescent="0.25">
      <c r="A376" s="727" t="s">
        <v>451</v>
      </c>
      <c r="B376" s="778"/>
      <c r="C376" s="863"/>
      <c r="E376" s="511" t="s">
        <v>450</v>
      </c>
      <c r="F376" s="511"/>
      <c r="G376" s="511"/>
      <c r="H376" s="850"/>
    </row>
    <row r="377" spans="1:19" ht="15" thickBot="1" x14ac:dyDescent="0.25">
      <c r="A377" s="2019"/>
      <c r="H377" s="2025" t="s">
        <v>179</v>
      </c>
    </row>
    <row r="378" spans="1:19" s="735" customFormat="1" ht="20.25" customHeight="1" thickTop="1" thickBot="1" x14ac:dyDescent="0.25">
      <c r="A378" s="813" t="s">
        <v>180</v>
      </c>
      <c r="B378" s="730" t="s">
        <v>181</v>
      </c>
      <c r="C378" s="731" t="s">
        <v>783</v>
      </c>
      <c r="D378" s="732" t="s">
        <v>182</v>
      </c>
      <c r="E378" s="733" t="s">
        <v>183</v>
      </c>
      <c r="F378" s="733" t="s">
        <v>985</v>
      </c>
      <c r="G378" s="733" t="s">
        <v>986</v>
      </c>
      <c r="H378" s="734" t="s">
        <v>987</v>
      </c>
    </row>
    <row r="379" spans="1:19" s="386" customFormat="1" ht="13.5" thickTop="1" thickBot="1" x14ac:dyDescent="0.25">
      <c r="A379" s="592">
        <v>1</v>
      </c>
      <c r="B379" s="593">
        <v>2</v>
      </c>
      <c r="C379" s="593">
        <v>3</v>
      </c>
      <c r="D379" s="593">
        <v>4</v>
      </c>
      <c r="E379" s="593">
        <v>5</v>
      </c>
      <c r="F379" s="567">
        <v>6</v>
      </c>
      <c r="G379" s="567">
        <v>7</v>
      </c>
      <c r="H379" s="662" t="s">
        <v>61</v>
      </c>
      <c r="I379" s="107"/>
    </row>
    <row r="380" spans="1:19" s="439" customFormat="1" ht="15.75" thickTop="1" x14ac:dyDescent="0.25">
      <c r="A380" s="2058">
        <v>4357</v>
      </c>
      <c r="B380" s="2059">
        <v>5331</v>
      </c>
      <c r="C380" s="2060"/>
      <c r="D380" s="650" t="s">
        <v>259</v>
      </c>
      <c r="E380" s="752">
        <f>E381+E382</f>
        <v>3113</v>
      </c>
      <c r="F380" s="752">
        <f>F381+F382</f>
        <v>5700</v>
      </c>
      <c r="G380" s="752">
        <f>G381+G382</f>
        <v>5700</v>
      </c>
      <c r="H380" s="739">
        <f>G380/F380*100</f>
        <v>100</v>
      </c>
    </row>
    <row r="381" spans="1:19" x14ac:dyDescent="0.2">
      <c r="A381" s="2029"/>
      <c r="B381" s="2030"/>
      <c r="C381" s="743" t="s">
        <v>641</v>
      </c>
      <c r="D381" s="1550" t="s">
        <v>1416</v>
      </c>
      <c r="E381" s="771">
        <v>300</v>
      </c>
      <c r="F381" s="771">
        <v>380</v>
      </c>
      <c r="G381" s="771">
        <v>380</v>
      </c>
      <c r="H381" s="855">
        <f>(G381/F381)*100</f>
        <v>100</v>
      </c>
    </row>
    <row r="382" spans="1:19" ht="15" thickBot="1" x14ac:dyDescent="0.25">
      <c r="A382" s="2029"/>
      <c r="B382" s="2030"/>
      <c r="C382" s="578" t="s">
        <v>636</v>
      </c>
      <c r="D382" s="582" t="s">
        <v>1220</v>
      </c>
      <c r="E382" s="771">
        <v>2813</v>
      </c>
      <c r="F382" s="771">
        <v>5320</v>
      </c>
      <c r="G382" s="771">
        <v>5320</v>
      </c>
      <c r="H382" s="855">
        <f>(G382/F382)*100</f>
        <v>100</v>
      </c>
    </row>
    <row r="383" spans="1:19" s="369" customFormat="1" ht="20.25" customHeight="1" thickTop="1" thickBot="1" x14ac:dyDescent="0.3">
      <c r="A383" s="744" t="s">
        <v>1246</v>
      </c>
      <c r="B383" s="745"/>
      <c r="C383" s="746"/>
      <c r="D383" s="869"/>
      <c r="E383" s="759">
        <f>SUM(E380)</f>
        <v>3113</v>
      </c>
      <c r="F383" s="759">
        <f>SUM(F380)</f>
        <v>5700</v>
      </c>
      <c r="G383" s="759">
        <f>SUM(G380)</f>
        <v>5700</v>
      </c>
      <c r="H383" s="857">
        <f>(G383/F383)*100</f>
        <v>100</v>
      </c>
    </row>
    <row r="384" spans="1:19" s="439" customFormat="1" ht="15.75" thickTop="1" x14ac:dyDescent="0.25">
      <c r="A384" s="2058">
        <v>4357</v>
      </c>
      <c r="B384" s="2059">
        <v>6351</v>
      </c>
      <c r="C384" s="2060"/>
      <c r="D384" s="650" t="s">
        <v>1320</v>
      </c>
      <c r="E384" s="752">
        <v>990</v>
      </c>
      <c r="F384" s="752">
        <v>984</v>
      </c>
      <c r="G384" s="752">
        <v>984</v>
      </c>
      <c r="H384" s="868">
        <f>(G384/F384)*100</f>
        <v>100</v>
      </c>
    </row>
    <row r="385" spans="1:19" ht="15" thickBot="1" x14ac:dyDescent="0.25">
      <c r="A385" s="2029"/>
      <c r="B385" s="2030"/>
      <c r="C385" s="1179" t="s">
        <v>1536</v>
      </c>
      <c r="D385" s="2010" t="s">
        <v>1537</v>
      </c>
      <c r="E385" s="771">
        <v>990</v>
      </c>
      <c r="F385" s="771">
        <v>984</v>
      </c>
      <c r="G385" s="771">
        <v>984</v>
      </c>
      <c r="H385" s="855">
        <f>(G385/F385)*100</f>
        <v>100</v>
      </c>
    </row>
    <row r="386" spans="1:19" s="369" customFormat="1" ht="20.25" customHeight="1" thickTop="1" thickBot="1" x14ac:dyDescent="0.3">
      <c r="A386" s="744" t="s">
        <v>1247</v>
      </c>
      <c r="B386" s="745"/>
      <c r="C386" s="746"/>
      <c r="D386" s="747"/>
      <c r="E386" s="759">
        <f>E384</f>
        <v>990</v>
      </c>
      <c r="F386" s="759">
        <f>SUM(F384)</f>
        <v>984</v>
      </c>
      <c r="G386" s="759">
        <f>SUM(G384)</f>
        <v>984</v>
      </c>
      <c r="H386" s="857">
        <f>SUM(H384)</f>
        <v>100</v>
      </c>
      <c r="S386" s="369">
        <v>0</v>
      </c>
    </row>
    <row r="387" spans="1:19" s="439" customFormat="1" ht="15.75" thickTop="1" x14ac:dyDescent="0.25">
      <c r="A387" s="812"/>
      <c r="B387" s="2046"/>
      <c r="C387" s="863"/>
      <c r="E387" s="511"/>
      <c r="F387" s="511"/>
      <c r="G387" s="511"/>
      <c r="H387" s="850"/>
    </row>
    <row r="388" spans="1:19" s="369" customFormat="1" ht="27.75" customHeight="1" thickBot="1" x14ac:dyDescent="0.3">
      <c r="A388" s="817" t="s">
        <v>452</v>
      </c>
      <c r="B388" s="764"/>
      <c r="C388" s="765"/>
      <c r="D388" s="766"/>
      <c r="E388" s="861">
        <f>E383+E386</f>
        <v>4103</v>
      </c>
      <c r="F388" s="861">
        <f>F383+F386</f>
        <v>6684</v>
      </c>
      <c r="G388" s="861">
        <f>G383+G386</f>
        <v>6684</v>
      </c>
      <c r="H388" s="822">
        <f>(G388/F388)*100</f>
        <v>100</v>
      </c>
    </row>
    <row r="389" spans="1:19" s="860" customFormat="1" ht="15.75" customHeight="1" thickTop="1" x14ac:dyDescent="0.25">
      <c r="A389" s="2032"/>
      <c r="B389" s="2033"/>
      <c r="C389" s="2038"/>
      <c r="D389" s="2035"/>
      <c r="E389" s="864"/>
      <c r="F389" s="864"/>
      <c r="G389" s="864"/>
      <c r="H389" s="2039"/>
    </row>
    <row r="390" spans="1:19" s="860" customFormat="1" ht="15.75" customHeight="1" x14ac:dyDescent="0.25">
      <c r="A390" s="2032"/>
      <c r="B390" s="2033"/>
      <c r="C390" s="2038"/>
      <c r="D390" s="2035"/>
      <c r="E390" s="864"/>
      <c r="F390" s="864"/>
      <c r="G390" s="864"/>
      <c r="H390" s="2039"/>
    </row>
    <row r="391" spans="1:19" s="860" customFormat="1" ht="15.75" customHeight="1" x14ac:dyDescent="0.25">
      <c r="A391" s="2032"/>
      <c r="B391" s="2033"/>
      <c r="C391" s="2038"/>
      <c r="D391" s="2035"/>
      <c r="E391" s="864"/>
      <c r="F391" s="864"/>
      <c r="G391" s="864"/>
      <c r="H391" s="2039"/>
    </row>
    <row r="392" spans="1:19" s="525" customFormat="1" ht="15.75" x14ac:dyDescent="0.25">
      <c r="A392" s="727" t="s">
        <v>1547</v>
      </c>
      <c r="B392" s="778"/>
      <c r="C392" s="863"/>
      <c r="E392" s="511" t="s">
        <v>453</v>
      </c>
      <c r="F392" s="511"/>
      <c r="G392" s="511"/>
      <c r="H392" s="850"/>
    </row>
    <row r="393" spans="1:19" ht="15" thickBot="1" x14ac:dyDescent="0.25">
      <c r="A393" s="2019"/>
      <c r="H393" s="2025" t="s">
        <v>179</v>
      </c>
    </row>
    <row r="394" spans="1:19" s="735" customFormat="1" ht="20.25" customHeight="1" thickTop="1" thickBot="1" x14ac:dyDescent="0.25">
      <c r="A394" s="813" t="s">
        <v>180</v>
      </c>
      <c r="B394" s="730" t="s">
        <v>181</v>
      </c>
      <c r="C394" s="731" t="s">
        <v>783</v>
      </c>
      <c r="D394" s="732" t="s">
        <v>182</v>
      </c>
      <c r="E394" s="733" t="s">
        <v>183</v>
      </c>
      <c r="F394" s="733" t="s">
        <v>985</v>
      </c>
      <c r="G394" s="733" t="s">
        <v>986</v>
      </c>
      <c r="H394" s="734" t="s">
        <v>987</v>
      </c>
    </row>
    <row r="395" spans="1:19" s="386" customFormat="1" ht="13.5" thickTop="1" thickBot="1" x14ac:dyDescent="0.25">
      <c r="A395" s="592">
        <v>1</v>
      </c>
      <c r="B395" s="593">
        <v>2</v>
      </c>
      <c r="C395" s="593">
        <v>3</v>
      </c>
      <c r="D395" s="593">
        <v>4</v>
      </c>
      <c r="E395" s="593">
        <v>5</v>
      </c>
      <c r="F395" s="567">
        <v>6</v>
      </c>
      <c r="G395" s="567">
        <v>7</v>
      </c>
      <c r="H395" s="662" t="s">
        <v>61</v>
      </c>
      <c r="I395" s="107"/>
    </row>
    <row r="396" spans="1:19" s="439" customFormat="1" ht="15.75" thickTop="1" x14ac:dyDescent="0.25">
      <c r="A396" s="2058">
        <v>4356</v>
      </c>
      <c r="B396" s="2059">
        <v>5331</v>
      </c>
      <c r="C396" s="2060"/>
      <c r="D396" s="650" t="s">
        <v>259</v>
      </c>
      <c r="E396" s="752">
        <f>E397+E398</f>
        <v>1393</v>
      </c>
      <c r="F396" s="752">
        <f>F397+F398</f>
        <v>2255</v>
      </c>
      <c r="G396" s="752">
        <f>G397+G398</f>
        <v>2255</v>
      </c>
      <c r="H396" s="739">
        <f>G396/F396*100</f>
        <v>100</v>
      </c>
    </row>
    <row r="397" spans="1:19" x14ac:dyDescent="0.2">
      <c r="A397" s="2029"/>
      <c r="B397" s="2030"/>
      <c r="C397" s="743" t="s">
        <v>641</v>
      </c>
      <c r="D397" s="1550" t="s">
        <v>1416</v>
      </c>
      <c r="E397" s="771">
        <v>86</v>
      </c>
      <c r="F397" s="771">
        <v>85</v>
      </c>
      <c r="G397" s="771">
        <v>85</v>
      </c>
      <c r="H397" s="855">
        <f>(G397/F397)*100</f>
        <v>100</v>
      </c>
    </row>
    <row r="398" spans="1:19" ht="15" thickBot="1" x14ac:dyDescent="0.25">
      <c r="A398" s="2029"/>
      <c r="B398" s="2030"/>
      <c r="C398" s="578" t="s">
        <v>636</v>
      </c>
      <c r="D398" s="758" t="s">
        <v>1220</v>
      </c>
      <c r="E398" s="771">
        <v>1307</v>
      </c>
      <c r="F398" s="771">
        <v>2170</v>
      </c>
      <c r="G398" s="771">
        <v>2170</v>
      </c>
      <c r="H398" s="855">
        <f>(G398/F398)*100</f>
        <v>100</v>
      </c>
    </row>
    <row r="399" spans="1:19" s="369" customFormat="1" ht="20.25" customHeight="1" thickTop="1" thickBot="1" x14ac:dyDescent="0.3">
      <c r="A399" s="744" t="s">
        <v>1246</v>
      </c>
      <c r="B399" s="745"/>
      <c r="C399" s="746"/>
      <c r="D399" s="747"/>
      <c r="E399" s="759">
        <f>SUM(E396)</f>
        <v>1393</v>
      </c>
      <c r="F399" s="759">
        <f>SUM(F396)</f>
        <v>2255</v>
      </c>
      <c r="G399" s="759">
        <f>SUM(G396)</f>
        <v>2255</v>
      </c>
      <c r="H399" s="857">
        <f>(G399/F399)*100</f>
        <v>100</v>
      </c>
    </row>
    <row r="400" spans="1:19" s="439" customFormat="1" ht="15.75" thickTop="1" x14ac:dyDescent="0.25">
      <c r="A400" s="812"/>
      <c r="B400" s="2046"/>
      <c r="C400" s="863"/>
      <c r="E400" s="511"/>
      <c r="F400" s="511"/>
      <c r="G400" s="511"/>
      <c r="H400" s="850"/>
    </row>
    <row r="401" spans="1:19" s="369" customFormat="1" ht="22.5" customHeight="1" thickBot="1" x14ac:dyDescent="0.3">
      <c r="A401" s="1613" t="s">
        <v>1548</v>
      </c>
      <c r="B401" s="1613"/>
      <c r="C401" s="1613"/>
      <c r="D401" s="1613"/>
      <c r="E401" s="1614">
        <f>SUM(E399)</f>
        <v>1393</v>
      </c>
      <c r="F401" s="1614">
        <f>SUM(F399)</f>
        <v>2255</v>
      </c>
      <c r="G401" s="1614">
        <f>SUM(G399)</f>
        <v>2255</v>
      </c>
      <c r="H401" s="1615">
        <f>(G401/F401)*100</f>
        <v>100</v>
      </c>
    </row>
    <row r="402" spans="1:19" s="860" customFormat="1" ht="16.5" customHeight="1" thickTop="1" x14ac:dyDescent="0.25">
      <c r="A402" s="2032"/>
      <c r="B402" s="2033"/>
      <c r="C402" s="2034"/>
      <c r="D402" s="2035"/>
      <c r="E402" s="2036"/>
      <c r="F402" s="2036"/>
      <c r="G402" s="2036"/>
      <c r="H402" s="2037"/>
    </row>
    <row r="403" spans="1:19" s="860" customFormat="1" ht="16.5" customHeight="1" x14ac:dyDescent="0.25">
      <c r="A403" s="2032"/>
      <c r="B403" s="2033"/>
      <c r="C403" s="2034"/>
      <c r="D403" s="2035"/>
      <c r="E403" s="2036"/>
      <c r="F403" s="2036"/>
      <c r="G403" s="2036"/>
      <c r="H403" s="2037"/>
    </row>
    <row r="404" spans="1:19" s="860" customFormat="1" ht="16.5" customHeight="1" x14ac:dyDescent="0.25">
      <c r="A404" s="2032"/>
      <c r="B404" s="2033"/>
      <c r="C404" s="2034"/>
      <c r="D404" s="2035"/>
      <c r="E404" s="2036"/>
      <c r="F404" s="2036"/>
      <c r="G404" s="2036"/>
      <c r="H404" s="2037"/>
    </row>
    <row r="405" spans="1:19" s="525" customFormat="1" ht="15.75" x14ac:dyDescent="0.25">
      <c r="A405" s="727" t="s">
        <v>518</v>
      </c>
      <c r="B405" s="778"/>
      <c r="C405" s="863"/>
      <c r="E405" s="511" t="s">
        <v>454</v>
      </c>
      <c r="F405" s="511"/>
      <c r="G405" s="511"/>
      <c r="H405" s="850"/>
    </row>
    <row r="406" spans="1:19" ht="15" thickBot="1" x14ac:dyDescent="0.25">
      <c r="A406" s="2019"/>
      <c r="H406" s="2025" t="s">
        <v>179</v>
      </c>
    </row>
    <row r="407" spans="1:19" s="735" customFormat="1" ht="20.25" customHeight="1" thickTop="1" thickBot="1" x14ac:dyDescent="0.25">
      <c r="A407" s="813" t="s">
        <v>180</v>
      </c>
      <c r="B407" s="730" t="s">
        <v>181</v>
      </c>
      <c r="C407" s="731" t="s">
        <v>783</v>
      </c>
      <c r="D407" s="732" t="s">
        <v>182</v>
      </c>
      <c r="E407" s="733" t="s">
        <v>183</v>
      </c>
      <c r="F407" s="733" t="s">
        <v>985</v>
      </c>
      <c r="G407" s="733" t="s">
        <v>986</v>
      </c>
      <c r="H407" s="734" t="s">
        <v>987</v>
      </c>
    </row>
    <row r="408" spans="1:19" s="386" customFormat="1" ht="13.5" thickTop="1" thickBot="1" x14ac:dyDescent="0.25">
      <c r="A408" s="592">
        <v>1</v>
      </c>
      <c r="B408" s="593">
        <v>2</v>
      </c>
      <c r="C408" s="593">
        <v>3</v>
      </c>
      <c r="D408" s="593">
        <v>4</v>
      </c>
      <c r="E408" s="593">
        <v>5</v>
      </c>
      <c r="F408" s="567">
        <v>6</v>
      </c>
      <c r="G408" s="567">
        <v>7</v>
      </c>
      <c r="H408" s="662" t="s">
        <v>61</v>
      </c>
      <c r="I408" s="107"/>
    </row>
    <row r="409" spans="1:19" s="439" customFormat="1" ht="15.75" thickTop="1" x14ac:dyDescent="0.25">
      <c r="A409" s="2058">
        <v>4357</v>
      </c>
      <c r="B409" s="2059">
        <v>5331</v>
      </c>
      <c r="C409" s="2060"/>
      <c r="D409" s="650" t="s">
        <v>259</v>
      </c>
      <c r="E409" s="752">
        <f>E410+E411</f>
        <v>11085</v>
      </c>
      <c r="F409" s="752">
        <f>F410+F411</f>
        <v>15314</v>
      </c>
      <c r="G409" s="752">
        <f>G410+G411</f>
        <v>15314</v>
      </c>
      <c r="H409" s="739">
        <f>G409/F409*100</f>
        <v>100</v>
      </c>
    </row>
    <row r="410" spans="1:19" x14ac:dyDescent="0.2">
      <c r="A410" s="2029"/>
      <c r="B410" s="2030"/>
      <c r="C410" s="578" t="s">
        <v>641</v>
      </c>
      <c r="D410" s="1550" t="s">
        <v>1416</v>
      </c>
      <c r="E410" s="1492">
        <v>782</v>
      </c>
      <c r="F410" s="771">
        <v>965</v>
      </c>
      <c r="G410" s="771">
        <v>965</v>
      </c>
      <c r="H410" s="855">
        <f>(G410/F410)*100</f>
        <v>100</v>
      </c>
    </row>
    <row r="411" spans="1:19" ht="15" thickBot="1" x14ac:dyDescent="0.25">
      <c r="A411" s="2029"/>
      <c r="B411" s="2030"/>
      <c r="C411" s="578" t="s">
        <v>636</v>
      </c>
      <c r="D411" s="582" t="s">
        <v>1220</v>
      </c>
      <c r="E411" s="771">
        <v>10303</v>
      </c>
      <c r="F411" s="771">
        <v>14349</v>
      </c>
      <c r="G411" s="771">
        <v>14349</v>
      </c>
      <c r="H411" s="855">
        <f>(G411/F411)*100</f>
        <v>100</v>
      </c>
    </row>
    <row r="412" spans="1:19" s="369" customFormat="1" ht="20.25" customHeight="1" thickTop="1" thickBot="1" x14ac:dyDescent="0.3">
      <c r="A412" s="744" t="s">
        <v>1246</v>
      </c>
      <c r="B412" s="745"/>
      <c r="C412" s="746"/>
      <c r="D412" s="869"/>
      <c r="E412" s="759">
        <f>E409</f>
        <v>11085</v>
      </c>
      <c r="F412" s="759">
        <f>SUM(F409)</f>
        <v>15314</v>
      </c>
      <c r="G412" s="759">
        <f>SUM(G409)</f>
        <v>15314</v>
      </c>
      <c r="H412" s="857">
        <f>(G412/F412)*100</f>
        <v>100</v>
      </c>
    </row>
    <row r="413" spans="1:19" s="439" customFormat="1" ht="15.75" thickTop="1" x14ac:dyDescent="0.25">
      <c r="A413" s="2058">
        <v>4357</v>
      </c>
      <c r="B413" s="2059">
        <v>6351</v>
      </c>
      <c r="C413" s="2060"/>
      <c r="D413" s="650" t="s">
        <v>1320</v>
      </c>
      <c r="E413" s="752">
        <v>420</v>
      </c>
      <c r="F413" s="752">
        <v>283</v>
      </c>
      <c r="G413" s="752">
        <v>283</v>
      </c>
      <c r="H413" s="868">
        <f>(G413/F413)*100</f>
        <v>100</v>
      </c>
    </row>
    <row r="414" spans="1:19" ht="15" thickBot="1" x14ac:dyDescent="0.25">
      <c r="A414" s="2029"/>
      <c r="B414" s="2030"/>
      <c r="C414" s="1179" t="s">
        <v>1536</v>
      </c>
      <c r="D414" s="2010" t="s">
        <v>1537</v>
      </c>
      <c r="E414" s="771">
        <v>420</v>
      </c>
      <c r="F414" s="771">
        <v>283</v>
      </c>
      <c r="G414" s="771">
        <v>283</v>
      </c>
      <c r="H414" s="855">
        <f>(G414/F414)*100</f>
        <v>100</v>
      </c>
    </row>
    <row r="415" spans="1:19" s="369" customFormat="1" ht="20.25" customHeight="1" thickTop="1" thickBot="1" x14ac:dyDescent="0.3">
      <c r="A415" s="744" t="s">
        <v>1247</v>
      </c>
      <c r="B415" s="745"/>
      <c r="C415" s="746"/>
      <c r="D415" s="747"/>
      <c r="E415" s="759">
        <f>E413</f>
        <v>420</v>
      </c>
      <c r="F415" s="759">
        <f>SUM(F413)</f>
        <v>283</v>
      </c>
      <c r="G415" s="759">
        <f>SUM(G413)</f>
        <v>283</v>
      </c>
      <c r="H415" s="857">
        <f>SUM(H413)</f>
        <v>100</v>
      </c>
      <c r="S415" s="369">
        <v>0</v>
      </c>
    </row>
    <row r="416" spans="1:19" s="439" customFormat="1" ht="15.75" thickTop="1" x14ac:dyDescent="0.25">
      <c r="A416" s="812"/>
      <c r="B416" s="2046"/>
      <c r="C416" s="863"/>
      <c r="E416" s="511"/>
      <c r="F416" s="511"/>
      <c r="G416" s="511"/>
      <c r="H416" s="850"/>
    </row>
    <row r="417" spans="1:19" s="369" customFormat="1" ht="22.5" customHeight="1" thickBot="1" x14ac:dyDescent="0.3">
      <c r="A417" s="817" t="s">
        <v>519</v>
      </c>
      <c r="B417" s="764"/>
      <c r="C417" s="765"/>
      <c r="D417" s="766"/>
      <c r="E417" s="861">
        <f>SUM(E412,E415)</f>
        <v>11505</v>
      </c>
      <c r="F417" s="861">
        <f>SUM(F412,F415)</f>
        <v>15597</v>
      </c>
      <c r="G417" s="861">
        <f>SUM(G412,G415)</f>
        <v>15597</v>
      </c>
      <c r="H417" s="822">
        <f>(G417/F417)*100</f>
        <v>100</v>
      </c>
    </row>
    <row r="418" spans="1:19" s="860" customFormat="1" ht="15" customHeight="1" thickTop="1" x14ac:dyDescent="0.25">
      <c r="A418" s="2032"/>
      <c r="B418" s="2033"/>
      <c r="C418" s="2038"/>
      <c r="D418" s="2035"/>
      <c r="E418" s="864"/>
      <c r="F418" s="864"/>
      <c r="G418" s="864"/>
      <c r="H418" s="2039"/>
    </row>
    <row r="419" spans="1:19" s="860" customFormat="1" ht="15" customHeight="1" x14ac:dyDescent="0.25">
      <c r="A419" s="2032"/>
      <c r="B419" s="2033"/>
      <c r="C419" s="2038"/>
      <c r="D419" s="2035"/>
      <c r="E419" s="864"/>
      <c r="F419" s="864"/>
      <c r="G419" s="864"/>
      <c r="H419" s="2039"/>
    </row>
    <row r="420" spans="1:19" s="860" customFormat="1" ht="15" customHeight="1" x14ac:dyDescent="0.25">
      <c r="A420" s="2032"/>
      <c r="B420" s="2033"/>
      <c r="C420" s="2038"/>
      <c r="D420" s="2035"/>
      <c r="E420" s="864"/>
      <c r="F420" s="864"/>
      <c r="G420" s="864"/>
      <c r="H420" s="2039"/>
    </row>
    <row r="421" spans="1:19" s="525" customFormat="1" ht="15.75" x14ac:dyDescent="0.25">
      <c r="A421" s="727" t="s">
        <v>520</v>
      </c>
      <c r="B421" s="778"/>
      <c r="C421" s="863"/>
      <c r="E421" s="511" t="s">
        <v>455</v>
      </c>
      <c r="F421" s="511"/>
      <c r="G421" s="511"/>
      <c r="H421" s="850"/>
    </row>
    <row r="422" spans="1:19" ht="15" thickBot="1" x14ac:dyDescent="0.25">
      <c r="A422" s="2019"/>
      <c r="H422" s="2025" t="s">
        <v>179</v>
      </c>
    </row>
    <row r="423" spans="1:19" s="735" customFormat="1" ht="20.25" customHeight="1" thickTop="1" thickBot="1" x14ac:dyDescent="0.25">
      <c r="A423" s="813" t="s">
        <v>180</v>
      </c>
      <c r="B423" s="730" t="s">
        <v>181</v>
      </c>
      <c r="C423" s="731" t="s">
        <v>783</v>
      </c>
      <c r="D423" s="732" t="s">
        <v>182</v>
      </c>
      <c r="E423" s="733" t="s">
        <v>183</v>
      </c>
      <c r="F423" s="733" t="s">
        <v>985</v>
      </c>
      <c r="G423" s="733" t="s">
        <v>986</v>
      </c>
      <c r="H423" s="734" t="s">
        <v>987</v>
      </c>
    </row>
    <row r="424" spans="1:19" s="386" customFormat="1" ht="13.5" thickTop="1" thickBot="1" x14ac:dyDescent="0.25">
      <c r="A424" s="592">
        <v>1</v>
      </c>
      <c r="B424" s="593">
        <v>2</v>
      </c>
      <c r="C424" s="593">
        <v>3</v>
      </c>
      <c r="D424" s="593">
        <v>4</v>
      </c>
      <c r="E424" s="593">
        <v>5</v>
      </c>
      <c r="F424" s="567">
        <v>6</v>
      </c>
      <c r="G424" s="567">
        <v>7</v>
      </c>
      <c r="H424" s="662" t="s">
        <v>61</v>
      </c>
      <c r="I424" s="107"/>
    </row>
    <row r="425" spans="1:19" s="439" customFormat="1" ht="15.75" thickTop="1" x14ac:dyDescent="0.25">
      <c r="A425" s="2058">
        <v>4357</v>
      </c>
      <c r="B425" s="2059">
        <v>5331</v>
      </c>
      <c r="C425" s="2060"/>
      <c r="D425" s="650" t="s">
        <v>259</v>
      </c>
      <c r="E425" s="752">
        <f>E426+E427</f>
        <v>1499</v>
      </c>
      <c r="F425" s="752">
        <f>F426+F427</f>
        <v>3190</v>
      </c>
      <c r="G425" s="752">
        <f>G426+G427</f>
        <v>3190</v>
      </c>
      <c r="H425" s="739">
        <f>G425/F425*100</f>
        <v>100</v>
      </c>
    </row>
    <row r="426" spans="1:19" x14ac:dyDescent="0.2">
      <c r="A426" s="2029"/>
      <c r="B426" s="2030"/>
      <c r="C426" s="743" t="s">
        <v>641</v>
      </c>
      <c r="D426" s="1550" t="s">
        <v>1416</v>
      </c>
      <c r="E426" s="771">
        <v>173</v>
      </c>
      <c r="F426" s="771">
        <v>286</v>
      </c>
      <c r="G426" s="771">
        <v>286</v>
      </c>
      <c r="H426" s="855">
        <f>(G426/F426)*100</f>
        <v>100</v>
      </c>
    </row>
    <row r="427" spans="1:19" ht="15" thickBot="1" x14ac:dyDescent="0.25">
      <c r="A427" s="2029"/>
      <c r="B427" s="2030"/>
      <c r="C427" s="578" t="s">
        <v>636</v>
      </c>
      <c r="D427" s="574" t="s">
        <v>1220</v>
      </c>
      <c r="E427" s="771">
        <v>1326</v>
      </c>
      <c r="F427" s="771">
        <v>2904</v>
      </c>
      <c r="G427" s="771">
        <v>2904</v>
      </c>
      <c r="H427" s="855">
        <f>(G427/F427)*100</f>
        <v>100</v>
      </c>
    </row>
    <row r="428" spans="1:19" s="369" customFormat="1" ht="20.25" customHeight="1" thickTop="1" thickBot="1" x14ac:dyDescent="0.3">
      <c r="A428" s="744" t="s">
        <v>1246</v>
      </c>
      <c r="B428" s="745"/>
      <c r="C428" s="746"/>
      <c r="D428" s="747"/>
      <c r="E428" s="759">
        <f>SUM(E425)</f>
        <v>1499</v>
      </c>
      <c r="F428" s="759">
        <f>SUM(F425)</f>
        <v>3190</v>
      </c>
      <c r="G428" s="759">
        <f>SUM(G425)</f>
        <v>3190</v>
      </c>
      <c r="H428" s="857">
        <f>(G428/F428)*100</f>
        <v>100</v>
      </c>
    </row>
    <row r="429" spans="1:19" s="439" customFormat="1" ht="15.75" thickTop="1" x14ac:dyDescent="0.25">
      <c r="A429" s="2058">
        <v>4357</v>
      </c>
      <c r="B429" s="2059">
        <v>6351</v>
      </c>
      <c r="C429" s="2060"/>
      <c r="D429" s="650" t="s">
        <v>1320</v>
      </c>
      <c r="E429" s="752">
        <v>150</v>
      </c>
      <c r="F429" s="752">
        <v>61</v>
      </c>
      <c r="G429" s="752">
        <v>61</v>
      </c>
      <c r="H429" s="868">
        <f>(G429/F429)*100</f>
        <v>100</v>
      </c>
    </row>
    <row r="430" spans="1:19" ht="15" thickBot="1" x14ac:dyDescent="0.25">
      <c r="A430" s="2029"/>
      <c r="B430" s="2030"/>
      <c r="C430" s="1179" t="s">
        <v>1536</v>
      </c>
      <c r="D430" s="2010" t="s">
        <v>1537</v>
      </c>
      <c r="E430" s="771">
        <v>150</v>
      </c>
      <c r="F430" s="771">
        <v>61</v>
      </c>
      <c r="G430" s="771">
        <v>61</v>
      </c>
      <c r="H430" s="855">
        <f>(G430/F430)*100</f>
        <v>100</v>
      </c>
    </row>
    <row r="431" spans="1:19" s="369" customFormat="1" ht="20.25" customHeight="1" thickTop="1" thickBot="1" x14ac:dyDescent="0.3">
      <c r="A431" s="744" t="s">
        <v>1247</v>
      </c>
      <c r="B431" s="745"/>
      <c r="C431" s="746"/>
      <c r="D431" s="747"/>
      <c r="E431" s="759">
        <f>E429</f>
        <v>150</v>
      </c>
      <c r="F431" s="759">
        <f>SUM(F429)</f>
        <v>61</v>
      </c>
      <c r="G431" s="759">
        <f>SUM(G429)</f>
        <v>61</v>
      </c>
      <c r="H431" s="857">
        <f>SUM(H429)</f>
        <v>100</v>
      </c>
      <c r="S431" s="369">
        <v>0</v>
      </c>
    </row>
    <row r="432" spans="1:19" s="369" customFormat="1" ht="20.25" customHeight="1" thickTop="1" x14ac:dyDescent="0.25">
      <c r="A432" s="363"/>
      <c r="B432" s="364"/>
      <c r="C432" s="365"/>
      <c r="D432" s="366"/>
      <c r="E432" s="367"/>
      <c r="F432" s="367"/>
      <c r="G432" s="367"/>
      <c r="H432" s="368"/>
    </row>
    <row r="433" spans="1:19" s="369" customFormat="1" ht="22.5" customHeight="1" thickBot="1" x14ac:dyDescent="0.3">
      <c r="A433" s="817" t="s">
        <v>1497</v>
      </c>
      <c r="B433" s="764"/>
      <c r="C433" s="765"/>
      <c r="D433" s="766"/>
      <c r="E433" s="861">
        <f>SUM(E428,E431)</f>
        <v>1649</v>
      </c>
      <c r="F433" s="861">
        <f>SUM(F428,F431)</f>
        <v>3251</v>
      </c>
      <c r="G433" s="861">
        <f>SUM(G428,G431)</f>
        <v>3251</v>
      </c>
      <c r="H433" s="822">
        <f>(G433/F433)*100</f>
        <v>100</v>
      </c>
    </row>
    <row r="434" spans="1:19" s="860" customFormat="1" ht="14.25" customHeight="1" thickTop="1" x14ac:dyDescent="0.25">
      <c r="A434" s="2032"/>
      <c r="B434" s="2033"/>
      <c r="C434" s="2038"/>
      <c r="D434" s="2035"/>
      <c r="E434" s="864"/>
      <c r="F434" s="864"/>
      <c r="G434" s="864"/>
      <c r="H434" s="2039"/>
    </row>
    <row r="435" spans="1:19" s="860" customFormat="1" ht="14.25" customHeight="1" x14ac:dyDescent="0.25">
      <c r="A435" s="2032"/>
      <c r="B435" s="2033"/>
      <c r="C435" s="2038"/>
      <c r="D435" s="2035"/>
      <c r="E435" s="864"/>
      <c r="F435" s="864"/>
      <c r="G435" s="864"/>
      <c r="H435" s="2039"/>
    </row>
    <row r="436" spans="1:19" s="860" customFormat="1" ht="14.25" customHeight="1" x14ac:dyDescent="0.25">
      <c r="A436" s="2032"/>
      <c r="B436" s="2033"/>
      <c r="C436" s="2038"/>
      <c r="D436" s="2035"/>
      <c r="E436" s="864"/>
      <c r="F436" s="864"/>
      <c r="G436" s="864"/>
      <c r="H436" s="2039"/>
    </row>
    <row r="437" spans="1:19" s="860" customFormat="1" ht="14.25" customHeight="1" x14ac:dyDescent="0.25">
      <c r="A437" s="2032"/>
      <c r="B437" s="2033"/>
      <c r="C437" s="2038"/>
      <c r="D437" s="2035"/>
      <c r="E437" s="864"/>
      <c r="F437" s="864"/>
      <c r="G437" s="864"/>
      <c r="H437" s="2039"/>
    </row>
    <row r="438" spans="1:19" s="525" customFormat="1" ht="15.75" x14ac:dyDescent="0.25">
      <c r="A438" s="727" t="s">
        <v>4</v>
      </c>
      <c r="B438" s="778"/>
      <c r="C438" s="863"/>
      <c r="E438" s="511" t="s">
        <v>456</v>
      </c>
      <c r="F438" s="511"/>
      <c r="G438" s="511"/>
      <c r="H438" s="850"/>
    </row>
    <row r="439" spans="1:19" ht="15" thickBot="1" x14ac:dyDescent="0.25">
      <c r="A439" s="2019"/>
      <c r="H439" s="2025" t="s">
        <v>179</v>
      </c>
    </row>
    <row r="440" spans="1:19" s="735" customFormat="1" ht="20.25" customHeight="1" thickTop="1" thickBot="1" x14ac:dyDescent="0.25">
      <c r="A440" s="813" t="s">
        <v>180</v>
      </c>
      <c r="B440" s="730" t="s">
        <v>181</v>
      </c>
      <c r="C440" s="731" t="s">
        <v>783</v>
      </c>
      <c r="D440" s="732" t="s">
        <v>182</v>
      </c>
      <c r="E440" s="733" t="s">
        <v>183</v>
      </c>
      <c r="F440" s="733" t="s">
        <v>985</v>
      </c>
      <c r="G440" s="733" t="s">
        <v>986</v>
      </c>
      <c r="H440" s="734" t="s">
        <v>987</v>
      </c>
    </row>
    <row r="441" spans="1:19" s="386" customFormat="1" ht="13.5" thickTop="1" thickBot="1" x14ac:dyDescent="0.25">
      <c r="A441" s="592">
        <v>1</v>
      </c>
      <c r="B441" s="593">
        <v>2</v>
      </c>
      <c r="C441" s="593">
        <v>3</v>
      </c>
      <c r="D441" s="593">
        <v>4</v>
      </c>
      <c r="E441" s="593">
        <v>5</v>
      </c>
      <c r="F441" s="567">
        <v>6</v>
      </c>
      <c r="G441" s="567">
        <v>7</v>
      </c>
      <c r="H441" s="662" t="s">
        <v>61</v>
      </c>
      <c r="I441" s="107"/>
    </row>
    <row r="442" spans="1:19" s="439" customFormat="1" ht="15.75" thickTop="1" x14ac:dyDescent="0.25">
      <c r="A442" s="2058">
        <v>4357</v>
      </c>
      <c r="B442" s="2059">
        <v>5331</v>
      </c>
      <c r="C442" s="2060"/>
      <c r="D442" s="650" t="s">
        <v>259</v>
      </c>
      <c r="E442" s="752">
        <f>E443+E444</f>
        <v>7935</v>
      </c>
      <c r="F442" s="752">
        <f>F443+F444</f>
        <v>9233</v>
      </c>
      <c r="G442" s="752">
        <f>G443+G444</f>
        <v>9233</v>
      </c>
      <c r="H442" s="739">
        <f>G442/F442*100</f>
        <v>100</v>
      </c>
    </row>
    <row r="443" spans="1:19" x14ac:dyDescent="0.2">
      <c r="A443" s="2029"/>
      <c r="B443" s="2030"/>
      <c r="C443" s="743" t="s">
        <v>641</v>
      </c>
      <c r="D443" s="1550" t="s">
        <v>1416</v>
      </c>
      <c r="E443" s="771">
        <v>1134</v>
      </c>
      <c r="F443" s="771">
        <v>1146</v>
      </c>
      <c r="G443" s="771">
        <v>1146</v>
      </c>
      <c r="H443" s="855">
        <f>(G443/F443)*100</f>
        <v>100</v>
      </c>
    </row>
    <row r="444" spans="1:19" ht="15" thickBot="1" x14ac:dyDescent="0.25">
      <c r="A444" s="2029"/>
      <c r="B444" s="2030"/>
      <c r="C444" s="578" t="s">
        <v>636</v>
      </c>
      <c r="D444" s="574" t="s">
        <v>1220</v>
      </c>
      <c r="E444" s="1492">
        <v>6801</v>
      </c>
      <c r="F444" s="771">
        <v>8087</v>
      </c>
      <c r="G444" s="771">
        <v>8087</v>
      </c>
      <c r="H444" s="855">
        <f>(G444/F444)*100</f>
        <v>100</v>
      </c>
    </row>
    <row r="445" spans="1:19" s="369" customFormat="1" ht="20.25" customHeight="1" thickTop="1" thickBot="1" x14ac:dyDescent="0.3">
      <c r="A445" s="744" t="s">
        <v>1246</v>
      </c>
      <c r="B445" s="745"/>
      <c r="C445" s="746"/>
      <c r="D445" s="747"/>
      <c r="E445" s="759">
        <f>SUM(E442)</f>
        <v>7935</v>
      </c>
      <c r="F445" s="759">
        <f>SUM(F442)</f>
        <v>9233</v>
      </c>
      <c r="G445" s="759">
        <f>SUM(G442)</f>
        <v>9233</v>
      </c>
      <c r="H445" s="857">
        <f>(G445/F445)*100</f>
        <v>100</v>
      </c>
    </row>
    <row r="446" spans="1:19" s="439" customFormat="1" ht="15.75" thickTop="1" x14ac:dyDescent="0.25">
      <c r="A446" s="2058">
        <v>4357</v>
      </c>
      <c r="B446" s="2059">
        <v>6351</v>
      </c>
      <c r="C446" s="2060"/>
      <c r="D446" s="650" t="s">
        <v>1320</v>
      </c>
      <c r="E446" s="752">
        <v>570</v>
      </c>
      <c r="F446" s="752">
        <v>533</v>
      </c>
      <c r="G446" s="752">
        <v>533</v>
      </c>
      <c r="H446" s="868">
        <v>0</v>
      </c>
    </row>
    <row r="447" spans="1:19" ht="15" thickBot="1" x14ac:dyDescent="0.25">
      <c r="A447" s="2029"/>
      <c r="B447" s="2030"/>
      <c r="C447" s="1179" t="s">
        <v>1536</v>
      </c>
      <c r="D447" s="2010" t="s">
        <v>1537</v>
      </c>
      <c r="E447" s="771">
        <v>570</v>
      </c>
      <c r="F447" s="771">
        <v>533</v>
      </c>
      <c r="G447" s="771">
        <v>533</v>
      </c>
      <c r="H447" s="855">
        <v>0</v>
      </c>
    </row>
    <row r="448" spans="1:19" s="369" customFormat="1" ht="20.25" customHeight="1" thickTop="1" thickBot="1" x14ac:dyDescent="0.3">
      <c r="A448" s="744" t="s">
        <v>1247</v>
      </c>
      <c r="B448" s="745"/>
      <c r="C448" s="746"/>
      <c r="D448" s="747"/>
      <c r="E448" s="759">
        <f>E446</f>
        <v>570</v>
      </c>
      <c r="F448" s="759">
        <f>SUM(F446)</f>
        <v>533</v>
      </c>
      <c r="G448" s="759">
        <f>SUM(G446)</f>
        <v>533</v>
      </c>
      <c r="H448" s="857">
        <f>SUM(H446)</f>
        <v>0</v>
      </c>
      <c r="S448" s="369">
        <v>0</v>
      </c>
    </row>
    <row r="449" spans="1:9" s="439" customFormat="1" ht="15.75" thickTop="1" x14ac:dyDescent="0.25">
      <c r="A449" s="812"/>
      <c r="B449" s="2046"/>
      <c r="C449" s="863"/>
      <c r="E449" s="511"/>
      <c r="F449" s="511"/>
      <c r="G449" s="511"/>
      <c r="H449" s="850"/>
    </row>
    <row r="450" spans="1:9" s="369" customFormat="1" ht="27.75" customHeight="1" thickBot="1" x14ac:dyDescent="0.3">
      <c r="A450" s="817" t="s">
        <v>6</v>
      </c>
      <c r="B450" s="764"/>
      <c r="C450" s="765"/>
      <c r="D450" s="766"/>
      <c r="E450" s="861">
        <f>SUM(E445,E448)</f>
        <v>8505</v>
      </c>
      <c r="F450" s="861">
        <f>SUM(F445,F448)</f>
        <v>9766</v>
      </c>
      <c r="G450" s="861">
        <f>SUM(G445,G448)</f>
        <v>9766</v>
      </c>
      <c r="H450" s="822">
        <f>(G450/F450)*100</f>
        <v>100</v>
      </c>
    </row>
    <row r="451" spans="1:9" s="860" customFormat="1" ht="15" customHeight="1" thickTop="1" x14ac:dyDescent="0.25">
      <c r="A451" s="2032"/>
      <c r="B451" s="2033"/>
      <c r="C451" s="2038"/>
      <c r="D451" s="2035"/>
      <c r="E451" s="864"/>
      <c r="F451" s="864"/>
      <c r="G451" s="864"/>
      <c r="H451" s="2039"/>
    </row>
    <row r="452" spans="1:9" s="860" customFormat="1" ht="15" customHeight="1" x14ac:dyDescent="0.25">
      <c r="A452" s="2032"/>
      <c r="B452" s="2033"/>
      <c r="C452" s="2038"/>
      <c r="D452" s="2035"/>
      <c r="E452" s="864"/>
      <c r="F452" s="864"/>
      <c r="G452" s="864"/>
      <c r="H452" s="2039"/>
    </row>
    <row r="453" spans="1:9" s="860" customFormat="1" ht="15" customHeight="1" x14ac:dyDescent="0.25">
      <c r="A453" s="2032"/>
      <c r="B453" s="2033"/>
      <c r="C453" s="2038"/>
      <c r="D453" s="2035"/>
      <c r="E453" s="864"/>
      <c r="F453" s="864"/>
      <c r="G453" s="864"/>
      <c r="H453" s="2039"/>
    </row>
    <row r="454" spans="1:9" s="860" customFormat="1" ht="15" customHeight="1" x14ac:dyDescent="0.25">
      <c r="A454" s="2032"/>
      <c r="B454" s="2033"/>
      <c r="C454" s="2038"/>
      <c r="D454" s="2035"/>
      <c r="E454" s="864"/>
      <c r="F454" s="864"/>
      <c r="G454" s="864"/>
      <c r="H454" s="2039"/>
    </row>
    <row r="455" spans="1:9" s="525" customFormat="1" ht="15.75" x14ac:dyDescent="0.25">
      <c r="A455" s="727" t="s">
        <v>1158</v>
      </c>
      <c r="B455" s="778"/>
      <c r="C455" s="863"/>
      <c r="E455" s="511" t="s">
        <v>457</v>
      </c>
      <c r="F455" s="511"/>
      <c r="G455" s="511"/>
      <c r="H455" s="850"/>
    </row>
    <row r="456" spans="1:9" ht="15" thickBot="1" x14ac:dyDescent="0.25">
      <c r="A456" s="2019"/>
      <c r="H456" s="2025" t="s">
        <v>179</v>
      </c>
    </row>
    <row r="457" spans="1:9" s="735" customFormat="1" ht="20.25" customHeight="1" thickTop="1" thickBot="1" x14ac:dyDescent="0.25">
      <c r="A457" s="813" t="s">
        <v>180</v>
      </c>
      <c r="B457" s="730" t="s">
        <v>181</v>
      </c>
      <c r="C457" s="731" t="s">
        <v>783</v>
      </c>
      <c r="D457" s="732" t="s">
        <v>182</v>
      </c>
      <c r="E457" s="733" t="s">
        <v>183</v>
      </c>
      <c r="F457" s="733" t="s">
        <v>985</v>
      </c>
      <c r="G457" s="733" t="s">
        <v>986</v>
      </c>
      <c r="H457" s="734" t="s">
        <v>987</v>
      </c>
    </row>
    <row r="458" spans="1:9" s="386" customFormat="1" ht="13.5" thickTop="1" thickBot="1" x14ac:dyDescent="0.25">
      <c r="A458" s="592">
        <v>1</v>
      </c>
      <c r="B458" s="593">
        <v>2</v>
      </c>
      <c r="C458" s="593">
        <v>3</v>
      </c>
      <c r="D458" s="593">
        <v>4</v>
      </c>
      <c r="E458" s="593">
        <v>5</v>
      </c>
      <c r="F458" s="567">
        <v>6</v>
      </c>
      <c r="G458" s="567">
        <v>7</v>
      </c>
      <c r="H458" s="662" t="s">
        <v>61</v>
      </c>
      <c r="I458" s="107"/>
    </row>
    <row r="459" spans="1:9" s="439" customFormat="1" ht="15.75" thickTop="1" x14ac:dyDescent="0.25">
      <c r="A459" s="2058">
        <v>4351</v>
      </c>
      <c r="B459" s="2059">
        <v>5331</v>
      </c>
      <c r="C459" s="2060"/>
      <c r="D459" s="650" t="s">
        <v>259</v>
      </c>
      <c r="E459" s="752">
        <f>E460+E461</f>
        <v>2171</v>
      </c>
      <c r="F459" s="752">
        <f>F460+F461</f>
        <v>2198</v>
      </c>
      <c r="G459" s="752">
        <f>G460+G461</f>
        <v>2198</v>
      </c>
      <c r="H459" s="739">
        <f>G459/F459*100</f>
        <v>100</v>
      </c>
    </row>
    <row r="460" spans="1:9" x14ac:dyDescent="0.2">
      <c r="A460" s="2029"/>
      <c r="B460" s="2030"/>
      <c r="C460" s="743" t="s">
        <v>641</v>
      </c>
      <c r="D460" s="1550" t="s">
        <v>1416</v>
      </c>
      <c r="E460" s="771">
        <v>194</v>
      </c>
      <c r="F460" s="771">
        <v>221</v>
      </c>
      <c r="G460" s="771">
        <v>221</v>
      </c>
      <c r="H460" s="855">
        <f>(G460/F460)*100</f>
        <v>100</v>
      </c>
    </row>
    <row r="461" spans="1:9" ht="15" thickBot="1" x14ac:dyDescent="0.25">
      <c r="A461" s="2029"/>
      <c r="B461" s="2030"/>
      <c r="C461" s="578" t="s">
        <v>636</v>
      </c>
      <c r="D461" s="582" t="s">
        <v>1220</v>
      </c>
      <c r="E461" s="771">
        <v>1977</v>
      </c>
      <c r="F461" s="771">
        <v>1977</v>
      </c>
      <c r="G461" s="771">
        <v>1977</v>
      </c>
      <c r="H461" s="855">
        <f>(G461/F461)*100</f>
        <v>100</v>
      </c>
    </row>
    <row r="462" spans="1:9" s="369" customFormat="1" ht="20.25" customHeight="1" thickTop="1" thickBot="1" x14ac:dyDescent="0.3">
      <c r="A462" s="744" t="s">
        <v>1246</v>
      </c>
      <c r="B462" s="745"/>
      <c r="C462" s="746"/>
      <c r="D462" s="869"/>
      <c r="E462" s="759">
        <f>SUM(E459)</f>
        <v>2171</v>
      </c>
      <c r="F462" s="759">
        <f>SUM(F459)</f>
        <v>2198</v>
      </c>
      <c r="G462" s="759">
        <f>SUM(G459)</f>
        <v>2198</v>
      </c>
      <c r="H462" s="857">
        <f>(G462/F462)*100</f>
        <v>100</v>
      </c>
    </row>
    <row r="463" spans="1:9" s="439" customFormat="1" ht="15.75" thickTop="1" x14ac:dyDescent="0.25">
      <c r="A463" s="2058">
        <v>4351</v>
      </c>
      <c r="B463" s="2059">
        <v>6351</v>
      </c>
      <c r="C463" s="2060"/>
      <c r="D463" s="650" t="s">
        <v>1320</v>
      </c>
      <c r="E463" s="752">
        <v>800</v>
      </c>
      <c r="F463" s="752">
        <v>683</v>
      </c>
      <c r="G463" s="752">
        <v>683</v>
      </c>
      <c r="H463" s="868">
        <v>0</v>
      </c>
    </row>
    <row r="464" spans="1:9" ht="15" thickBot="1" x14ac:dyDescent="0.25">
      <c r="A464" s="2029"/>
      <c r="B464" s="2030"/>
      <c r="C464" s="1179" t="s">
        <v>1536</v>
      </c>
      <c r="D464" s="2010" t="s">
        <v>1537</v>
      </c>
      <c r="E464" s="771">
        <v>800</v>
      </c>
      <c r="F464" s="771">
        <v>683</v>
      </c>
      <c r="G464" s="771">
        <v>683</v>
      </c>
      <c r="H464" s="855">
        <v>0</v>
      </c>
    </row>
    <row r="465" spans="1:19" s="369" customFormat="1" ht="20.25" customHeight="1" thickTop="1" thickBot="1" x14ac:dyDescent="0.3">
      <c r="A465" s="744" t="s">
        <v>1247</v>
      </c>
      <c r="B465" s="745"/>
      <c r="C465" s="746"/>
      <c r="D465" s="747"/>
      <c r="E465" s="759">
        <f>E463</f>
        <v>800</v>
      </c>
      <c r="F465" s="759">
        <f>SUM(F463)</f>
        <v>683</v>
      </c>
      <c r="G465" s="759">
        <f>SUM(G463)</f>
        <v>683</v>
      </c>
      <c r="H465" s="857">
        <f>SUM(H463)</f>
        <v>0</v>
      </c>
      <c r="S465" s="369">
        <v>0</v>
      </c>
    </row>
    <row r="466" spans="1:19" s="860" customFormat="1" ht="20.25" customHeight="1" thickTop="1" x14ac:dyDescent="0.25">
      <c r="A466" s="2032"/>
      <c r="B466" s="2033"/>
      <c r="C466" s="2034"/>
      <c r="D466" s="2035"/>
      <c r="E466" s="2036"/>
      <c r="F466" s="2036"/>
      <c r="G466" s="2036"/>
      <c r="H466" s="2037"/>
    </row>
    <row r="467" spans="1:19" s="369" customFormat="1" ht="27.75" customHeight="1" thickBot="1" x14ac:dyDescent="0.3">
      <c r="A467" s="817" t="s">
        <v>1498</v>
      </c>
      <c r="B467" s="764"/>
      <c r="C467" s="765"/>
      <c r="D467" s="766"/>
      <c r="E467" s="861">
        <f>SUM(E462)</f>
        <v>2171</v>
      </c>
      <c r="F467" s="861">
        <f>SUM(F462)</f>
        <v>2198</v>
      </c>
      <c r="G467" s="861">
        <f>SUM(G462)</f>
        <v>2198</v>
      </c>
      <c r="H467" s="822">
        <f>(G467/F467)*100</f>
        <v>100</v>
      </c>
    </row>
    <row r="468" spans="1:19" s="860" customFormat="1" ht="16.5" customHeight="1" thickTop="1" x14ac:dyDescent="0.25">
      <c r="A468" s="2032"/>
      <c r="B468" s="2033"/>
      <c r="C468" s="2034"/>
      <c r="D468" s="2035"/>
      <c r="E468" s="2036"/>
      <c r="F468" s="2036"/>
      <c r="G468" s="2036"/>
      <c r="H468" s="2037"/>
    </row>
    <row r="469" spans="1:19" s="860" customFormat="1" ht="16.5" customHeight="1" x14ac:dyDescent="0.25">
      <c r="A469" s="2032"/>
      <c r="B469" s="2033"/>
      <c r="C469" s="2034"/>
      <c r="D469" s="2035"/>
      <c r="E469" s="2036"/>
      <c r="F469" s="2036"/>
      <c r="G469" s="2036"/>
      <c r="H469" s="2037"/>
    </row>
    <row r="470" spans="1:19" s="860" customFormat="1" ht="14.25" customHeight="1" x14ac:dyDescent="0.25">
      <c r="A470" s="2032"/>
      <c r="B470" s="2033"/>
      <c r="C470" s="2034"/>
      <c r="D470" s="2035"/>
      <c r="E470" s="2036"/>
      <c r="F470" s="2036"/>
      <c r="G470" s="2036"/>
      <c r="H470" s="2037"/>
    </row>
    <row r="471" spans="1:19" s="860" customFormat="1" ht="15" customHeight="1" x14ac:dyDescent="0.25">
      <c r="A471" s="2032"/>
      <c r="B471" s="2033"/>
      <c r="C471" s="2034"/>
      <c r="D471" s="2035"/>
      <c r="E471" s="2036"/>
      <c r="F471" s="2036"/>
      <c r="G471" s="2036"/>
      <c r="H471" s="2037"/>
    </row>
    <row r="472" spans="1:19" s="525" customFormat="1" ht="15.75" x14ac:dyDescent="0.25">
      <c r="A472" s="727" t="s">
        <v>1385</v>
      </c>
      <c r="B472" s="778"/>
      <c r="C472" s="863"/>
      <c r="E472" s="511" t="s">
        <v>458</v>
      </c>
      <c r="F472" s="511"/>
      <c r="G472" s="511"/>
      <c r="H472" s="850"/>
    </row>
    <row r="473" spans="1:19" ht="15" thickBot="1" x14ac:dyDescent="0.25">
      <c r="A473" s="2019"/>
      <c r="H473" s="2025" t="s">
        <v>179</v>
      </c>
    </row>
    <row r="474" spans="1:19" s="735" customFormat="1" ht="20.25" customHeight="1" thickTop="1" thickBot="1" x14ac:dyDescent="0.25">
      <c r="A474" s="813" t="s">
        <v>180</v>
      </c>
      <c r="B474" s="730" t="s">
        <v>181</v>
      </c>
      <c r="C474" s="731" t="s">
        <v>783</v>
      </c>
      <c r="D474" s="732" t="s">
        <v>182</v>
      </c>
      <c r="E474" s="733" t="s">
        <v>183</v>
      </c>
      <c r="F474" s="733" t="s">
        <v>985</v>
      </c>
      <c r="G474" s="733" t="s">
        <v>986</v>
      </c>
      <c r="H474" s="734" t="s">
        <v>987</v>
      </c>
    </row>
    <row r="475" spans="1:19" s="386" customFormat="1" ht="13.5" thickTop="1" thickBot="1" x14ac:dyDescent="0.25">
      <c r="A475" s="592">
        <v>1</v>
      </c>
      <c r="B475" s="593">
        <v>2</v>
      </c>
      <c r="C475" s="593">
        <v>3</v>
      </c>
      <c r="D475" s="593">
        <v>4</v>
      </c>
      <c r="E475" s="593">
        <v>5</v>
      </c>
      <c r="F475" s="567">
        <v>6</v>
      </c>
      <c r="G475" s="567">
        <v>7</v>
      </c>
      <c r="H475" s="662" t="s">
        <v>61</v>
      </c>
      <c r="I475" s="107"/>
    </row>
    <row r="476" spans="1:19" s="439" customFormat="1" ht="15.75" thickTop="1" x14ac:dyDescent="0.25">
      <c r="A476" s="2058">
        <v>4357</v>
      </c>
      <c r="B476" s="2059">
        <v>5331</v>
      </c>
      <c r="C476" s="2060"/>
      <c r="D476" s="650" t="s">
        <v>259</v>
      </c>
      <c r="E476" s="752">
        <f>E477+E478</f>
        <v>13480</v>
      </c>
      <c r="F476" s="752">
        <f>F477+F478</f>
        <v>18748</v>
      </c>
      <c r="G476" s="752">
        <f>G477+G478</f>
        <v>18748</v>
      </c>
      <c r="H476" s="739">
        <f>G476/F476*100</f>
        <v>100</v>
      </c>
    </row>
    <row r="477" spans="1:19" x14ac:dyDescent="0.2">
      <c r="A477" s="2029"/>
      <c r="B477" s="2030"/>
      <c r="C477" s="743" t="s">
        <v>641</v>
      </c>
      <c r="D477" s="1550" t="s">
        <v>1416</v>
      </c>
      <c r="E477" s="771">
        <v>3879</v>
      </c>
      <c r="F477" s="771">
        <v>3879</v>
      </c>
      <c r="G477" s="771">
        <v>3879</v>
      </c>
      <c r="H477" s="855">
        <f>(G477/F477)*100</f>
        <v>100</v>
      </c>
    </row>
    <row r="478" spans="1:19" x14ac:dyDescent="0.2">
      <c r="A478" s="2029"/>
      <c r="B478" s="2030"/>
      <c r="C478" s="578" t="s">
        <v>636</v>
      </c>
      <c r="D478" s="574" t="s">
        <v>1220</v>
      </c>
      <c r="E478" s="771">
        <v>9601</v>
      </c>
      <c r="F478" s="1492">
        <v>14869</v>
      </c>
      <c r="G478" s="771">
        <v>14869</v>
      </c>
      <c r="H478" s="855">
        <f>(G478/F478)*100</f>
        <v>100</v>
      </c>
    </row>
    <row r="479" spans="1:19" s="439" customFormat="1" ht="15" x14ac:dyDescent="0.25">
      <c r="A479" s="2062">
        <v>4357</v>
      </c>
      <c r="B479" s="2063">
        <v>5336</v>
      </c>
      <c r="C479" s="2065"/>
      <c r="D479" s="2012" t="s">
        <v>1657</v>
      </c>
      <c r="E479" s="1610"/>
      <c r="F479" s="2013">
        <v>65</v>
      </c>
      <c r="G479" s="1610">
        <v>65</v>
      </c>
      <c r="H479" s="868">
        <f t="shared" ref="H479:H480" si="7">(G479/F479)*100</f>
        <v>100</v>
      </c>
    </row>
    <row r="480" spans="1:19" ht="15" thickBot="1" x14ac:dyDescent="0.25">
      <c r="A480" s="2029"/>
      <c r="B480" s="2030"/>
      <c r="C480" s="578" t="s">
        <v>1720</v>
      </c>
      <c r="D480" s="582" t="s">
        <v>1743</v>
      </c>
      <c r="E480" s="771"/>
      <c r="F480" s="1492">
        <v>65</v>
      </c>
      <c r="G480" s="771">
        <v>65</v>
      </c>
      <c r="H480" s="855">
        <f t="shared" si="7"/>
        <v>100</v>
      </c>
    </row>
    <row r="481" spans="1:19" s="369" customFormat="1" ht="20.25" customHeight="1" thickTop="1" thickBot="1" x14ac:dyDescent="0.3">
      <c r="A481" s="744" t="s">
        <v>1246</v>
      </c>
      <c r="B481" s="745"/>
      <c r="C481" s="746"/>
      <c r="D481" s="869"/>
      <c r="E481" s="759">
        <f>SUM(E476)</f>
        <v>13480</v>
      </c>
      <c r="F481" s="759">
        <f>SUM(F476,F479)</f>
        <v>18813</v>
      </c>
      <c r="G481" s="759">
        <f>SUM(G476,G479)</f>
        <v>18813</v>
      </c>
      <c r="H481" s="857">
        <f>(G481/F481)*100</f>
        <v>100</v>
      </c>
    </row>
    <row r="482" spans="1:19" s="439" customFormat="1" ht="15.75" thickTop="1" x14ac:dyDescent="0.25">
      <c r="A482" s="2058">
        <v>4357</v>
      </c>
      <c r="B482" s="2059">
        <v>6351</v>
      </c>
      <c r="C482" s="2060"/>
      <c r="D482" s="650" t="s">
        <v>1320</v>
      </c>
      <c r="E482" s="752">
        <v>300</v>
      </c>
      <c r="F482" s="752">
        <v>300</v>
      </c>
      <c r="G482" s="752">
        <v>300</v>
      </c>
      <c r="H482" s="868">
        <f>(G482/F482)*100</f>
        <v>100</v>
      </c>
    </row>
    <row r="483" spans="1:19" ht="15" thickBot="1" x14ac:dyDescent="0.25">
      <c r="A483" s="2029"/>
      <c r="B483" s="2030"/>
      <c r="C483" s="1179" t="s">
        <v>1536</v>
      </c>
      <c r="D483" s="2010" t="s">
        <v>1537</v>
      </c>
      <c r="E483" s="771">
        <v>300</v>
      </c>
      <c r="F483" s="771">
        <v>300</v>
      </c>
      <c r="G483" s="771">
        <v>300</v>
      </c>
      <c r="H483" s="855">
        <f>(G483/F483)*100</f>
        <v>100</v>
      </c>
    </row>
    <row r="484" spans="1:19" s="369" customFormat="1" ht="20.25" customHeight="1" thickTop="1" thickBot="1" x14ac:dyDescent="0.3">
      <c r="A484" s="744" t="s">
        <v>1247</v>
      </c>
      <c r="B484" s="745"/>
      <c r="C484" s="746"/>
      <c r="D484" s="747"/>
      <c r="E484" s="759">
        <f>E482</f>
        <v>300</v>
      </c>
      <c r="F484" s="759">
        <f>SUM(F482)</f>
        <v>300</v>
      </c>
      <c r="G484" s="759">
        <f>SUM(G482)</f>
        <v>300</v>
      </c>
      <c r="H484" s="857">
        <f>SUM(H482)</f>
        <v>100</v>
      </c>
      <c r="S484" s="369">
        <v>0</v>
      </c>
    </row>
    <row r="485" spans="1:19" s="369" customFormat="1" ht="20.25" customHeight="1" thickTop="1" x14ac:dyDescent="0.25">
      <c r="A485" s="363"/>
      <c r="B485" s="364"/>
      <c r="C485" s="365"/>
      <c r="D485" s="366"/>
      <c r="E485" s="367"/>
      <c r="F485" s="367"/>
      <c r="G485" s="367"/>
      <c r="H485" s="368"/>
    </row>
    <row r="486" spans="1:19" s="369" customFormat="1" ht="27.75" customHeight="1" thickBot="1" x14ac:dyDescent="0.3">
      <c r="A486" s="817" t="s">
        <v>1386</v>
      </c>
      <c r="B486" s="764"/>
      <c r="C486" s="765"/>
      <c r="D486" s="766"/>
      <c r="E486" s="861">
        <f>SUM(E481,E484)</f>
        <v>13780</v>
      </c>
      <c r="F486" s="861">
        <f>SUM(F481,F484)</f>
        <v>19113</v>
      </c>
      <c r="G486" s="861">
        <f>SUM(G481,G484)</f>
        <v>19113</v>
      </c>
      <c r="H486" s="822">
        <f>(G486/F486)*100</f>
        <v>100</v>
      </c>
    </row>
    <row r="487" spans="1:19" s="860" customFormat="1" ht="14.25" customHeight="1" thickTop="1" x14ac:dyDescent="0.25">
      <c r="A487" s="2032"/>
      <c r="B487" s="2033"/>
      <c r="C487" s="2038"/>
      <c r="D487" s="2035"/>
      <c r="E487" s="864"/>
      <c r="F487" s="864"/>
      <c r="G487" s="864"/>
      <c r="H487" s="2039"/>
    </row>
    <row r="488" spans="1:19" s="860" customFormat="1" ht="14.25" customHeight="1" x14ac:dyDescent="0.25">
      <c r="A488" s="2032"/>
      <c r="B488" s="2033"/>
      <c r="C488" s="2038"/>
      <c r="D488" s="2035"/>
      <c r="E488" s="864"/>
      <c r="F488" s="864"/>
      <c r="G488" s="864"/>
      <c r="H488" s="2039"/>
    </row>
    <row r="489" spans="1:19" s="860" customFormat="1" ht="14.25" customHeight="1" x14ac:dyDescent="0.25">
      <c r="A489" s="2032"/>
      <c r="B489" s="2033"/>
      <c r="C489" s="2038"/>
      <c r="D489" s="2035"/>
      <c r="E489" s="864"/>
      <c r="F489" s="864"/>
      <c r="G489" s="864"/>
      <c r="H489" s="2039"/>
    </row>
    <row r="490" spans="1:19" s="860" customFormat="1" ht="14.25" customHeight="1" x14ac:dyDescent="0.25">
      <c r="A490" s="2032"/>
      <c r="B490" s="2033"/>
      <c r="C490" s="2038"/>
      <c r="D490" s="2035"/>
      <c r="E490" s="864"/>
      <c r="F490" s="864"/>
      <c r="G490" s="864"/>
      <c r="H490" s="2039"/>
    </row>
    <row r="491" spans="1:19" s="860" customFormat="1" ht="14.25" customHeight="1" x14ac:dyDescent="0.25">
      <c r="A491" s="2032"/>
      <c r="B491" s="2033"/>
      <c r="C491" s="2038"/>
      <c r="D491" s="2035"/>
      <c r="E491" s="864"/>
      <c r="F491" s="864"/>
      <c r="G491" s="864"/>
      <c r="H491" s="2039"/>
    </row>
    <row r="492" spans="1:19" s="860" customFormat="1" ht="14.25" customHeight="1" x14ac:dyDescent="0.25">
      <c r="A492" s="2032"/>
      <c r="B492" s="2033"/>
      <c r="C492" s="2038"/>
      <c r="D492" s="2035"/>
      <c r="E492" s="864"/>
      <c r="F492" s="864"/>
      <c r="G492" s="864"/>
      <c r="H492" s="2039"/>
    </row>
    <row r="493" spans="1:19" s="860" customFormat="1" ht="14.25" customHeight="1" x14ac:dyDescent="0.25">
      <c r="A493" s="2032"/>
      <c r="B493" s="2033"/>
      <c r="C493" s="2038"/>
      <c r="D493" s="2035"/>
      <c r="E493" s="864"/>
      <c r="F493" s="864"/>
      <c r="G493" s="864"/>
      <c r="H493" s="2039"/>
    </row>
    <row r="494" spans="1:19" s="860" customFormat="1" ht="14.25" customHeight="1" x14ac:dyDescent="0.25">
      <c r="A494" s="2032"/>
      <c r="B494" s="2033"/>
      <c r="C494" s="2038"/>
      <c r="D494" s="2035"/>
      <c r="E494" s="864"/>
      <c r="F494" s="864"/>
      <c r="G494" s="864"/>
      <c r="H494" s="2039"/>
    </row>
    <row r="495" spans="1:19" s="860" customFormat="1" ht="14.25" customHeight="1" x14ac:dyDescent="0.25">
      <c r="A495" s="2032"/>
      <c r="B495" s="2033"/>
      <c r="C495" s="2038"/>
      <c r="D495" s="2035"/>
      <c r="E495" s="864"/>
      <c r="F495" s="864"/>
      <c r="G495" s="864"/>
      <c r="H495" s="2039"/>
    </row>
    <row r="496" spans="1:19" s="860" customFormat="1" ht="14.25" customHeight="1" x14ac:dyDescent="0.25">
      <c r="A496" s="2032"/>
      <c r="B496" s="2033"/>
      <c r="C496" s="2038"/>
      <c r="D496" s="2035"/>
      <c r="E496" s="864"/>
      <c r="F496" s="864"/>
      <c r="G496" s="864"/>
      <c r="H496" s="2039"/>
    </row>
    <row r="497" spans="1:19" s="860" customFormat="1" ht="14.25" customHeight="1" x14ac:dyDescent="0.25">
      <c r="A497" s="2032"/>
      <c r="B497" s="2033"/>
      <c r="C497" s="2038"/>
      <c r="D497" s="2035"/>
      <c r="E497" s="864"/>
      <c r="F497" s="864"/>
      <c r="G497" s="864"/>
      <c r="H497" s="2039"/>
    </row>
    <row r="498" spans="1:19" s="860" customFormat="1" ht="14.25" customHeight="1" x14ac:dyDescent="0.25">
      <c r="A498" s="2032"/>
      <c r="B498" s="2033"/>
      <c r="C498" s="2038"/>
      <c r="D498" s="2035"/>
      <c r="E498" s="864"/>
      <c r="F498" s="864"/>
      <c r="G498" s="864"/>
      <c r="H498" s="2039"/>
    </row>
    <row r="499" spans="1:19" s="525" customFormat="1" ht="15.75" x14ac:dyDescent="0.25">
      <c r="A499" s="727" t="s">
        <v>421</v>
      </c>
      <c r="B499" s="778"/>
      <c r="C499" s="863"/>
      <c r="E499" s="511" t="s">
        <v>459</v>
      </c>
      <c r="F499" s="511"/>
      <c r="G499" s="511"/>
      <c r="H499" s="850"/>
    </row>
    <row r="500" spans="1:19" ht="15" thickBot="1" x14ac:dyDescent="0.25">
      <c r="A500" s="2019"/>
      <c r="H500" s="2025" t="s">
        <v>179</v>
      </c>
    </row>
    <row r="501" spans="1:19" s="735" customFormat="1" ht="20.25" customHeight="1" thickTop="1" thickBot="1" x14ac:dyDescent="0.25">
      <c r="A501" s="813" t="s">
        <v>180</v>
      </c>
      <c r="B501" s="730" t="s">
        <v>181</v>
      </c>
      <c r="C501" s="731" t="s">
        <v>783</v>
      </c>
      <c r="D501" s="732" t="s">
        <v>182</v>
      </c>
      <c r="E501" s="733" t="s">
        <v>183</v>
      </c>
      <c r="F501" s="733" t="s">
        <v>985</v>
      </c>
      <c r="G501" s="733" t="s">
        <v>986</v>
      </c>
      <c r="H501" s="734" t="s">
        <v>987</v>
      </c>
    </row>
    <row r="502" spans="1:19" s="386" customFormat="1" ht="13.5" thickTop="1" thickBot="1" x14ac:dyDescent="0.25">
      <c r="A502" s="592">
        <v>1</v>
      </c>
      <c r="B502" s="593">
        <v>2</v>
      </c>
      <c r="C502" s="593">
        <v>3</v>
      </c>
      <c r="D502" s="593">
        <v>4</v>
      </c>
      <c r="E502" s="593">
        <v>5</v>
      </c>
      <c r="F502" s="567">
        <v>6</v>
      </c>
      <c r="G502" s="567">
        <v>7</v>
      </c>
      <c r="H502" s="662" t="s">
        <v>61</v>
      </c>
      <c r="I502" s="107"/>
    </row>
    <row r="503" spans="1:19" s="439" customFormat="1" ht="15.75" thickTop="1" x14ac:dyDescent="0.25">
      <c r="A503" s="2058">
        <v>4357</v>
      </c>
      <c r="B503" s="2059">
        <v>5331</v>
      </c>
      <c r="C503" s="2060"/>
      <c r="D503" s="650" t="s">
        <v>259</v>
      </c>
      <c r="E503" s="752">
        <f>E504+E505</f>
        <v>2731</v>
      </c>
      <c r="F503" s="752">
        <f>F504+F505</f>
        <v>2694</v>
      </c>
      <c r="G503" s="752">
        <f>G504+G505</f>
        <v>2694</v>
      </c>
      <c r="H503" s="739">
        <f>G503/F503*100</f>
        <v>100</v>
      </c>
    </row>
    <row r="504" spans="1:19" x14ac:dyDescent="0.2">
      <c r="A504" s="2029"/>
      <c r="B504" s="2030"/>
      <c r="C504" s="743" t="s">
        <v>641</v>
      </c>
      <c r="D504" s="1550" t="s">
        <v>1416</v>
      </c>
      <c r="E504" s="771">
        <v>650</v>
      </c>
      <c r="F504" s="771">
        <v>613</v>
      </c>
      <c r="G504" s="771">
        <v>613</v>
      </c>
      <c r="H504" s="855">
        <f t="shared" ref="H504:H510" si="8">(G504/F504)*100</f>
        <v>100</v>
      </c>
    </row>
    <row r="505" spans="1:19" ht="15" thickBot="1" x14ac:dyDescent="0.25">
      <c r="A505" s="2029"/>
      <c r="B505" s="2030"/>
      <c r="C505" s="578" t="s">
        <v>636</v>
      </c>
      <c r="D505" s="582" t="s">
        <v>1220</v>
      </c>
      <c r="E505" s="771">
        <v>2081</v>
      </c>
      <c r="F505" s="771">
        <v>2081</v>
      </c>
      <c r="G505" s="771">
        <v>2081</v>
      </c>
      <c r="H505" s="855">
        <f t="shared" si="8"/>
        <v>100</v>
      </c>
    </row>
    <row r="506" spans="1:19" s="369" customFormat="1" ht="20.25" customHeight="1" thickTop="1" thickBot="1" x14ac:dyDescent="0.3">
      <c r="A506" s="744" t="s">
        <v>1246</v>
      </c>
      <c r="B506" s="745"/>
      <c r="C506" s="746"/>
      <c r="D506" s="869"/>
      <c r="E506" s="759">
        <f>SUM(E503)</f>
        <v>2731</v>
      </c>
      <c r="F506" s="759">
        <f>SUM(F503)</f>
        <v>2694</v>
      </c>
      <c r="G506" s="759">
        <f>SUM(G503)</f>
        <v>2694</v>
      </c>
      <c r="H506" s="857">
        <f t="shared" si="8"/>
        <v>100</v>
      </c>
    </row>
    <row r="507" spans="1:19" s="439" customFormat="1" ht="15.75" thickTop="1" x14ac:dyDescent="0.25">
      <c r="A507" s="2058">
        <v>4357</v>
      </c>
      <c r="B507" s="2059">
        <v>6351</v>
      </c>
      <c r="C507" s="2060"/>
      <c r="D507" s="650" t="s">
        <v>1320</v>
      </c>
      <c r="E507" s="867">
        <v>600</v>
      </c>
      <c r="F507" s="752">
        <v>673</v>
      </c>
      <c r="G507" s="752">
        <v>673</v>
      </c>
      <c r="H507" s="868">
        <f t="shared" si="8"/>
        <v>100</v>
      </c>
    </row>
    <row r="508" spans="1:19" x14ac:dyDescent="0.2">
      <c r="A508" s="2029"/>
      <c r="B508" s="2030"/>
      <c r="C508" s="754" t="s">
        <v>839</v>
      </c>
      <c r="D508" s="828" t="s">
        <v>995</v>
      </c>
      <c r="E508" s="1492"/>
      <c r="F508" s="771">
        <v>76</v>
      </c>
      <c r="G508" s="771">
        <v>76</v>
      </c>
      <c r="H508" s="855">
        <f t="shared" si="8"/>
        <v>100</v>
      </c>
    </row>
    <row r="509" spans="1:19" ht="15" thickBot="1" x14ac:dyDescent="0.25">
      <c r="A509" s="2029"/>
      <c r="B509" s="2030"/>
      <c r="C509" s="1179" t="s">
        <v>1536</v>
      </c>
      <c r="D509" s="2016" t="s">
        <v>1537</v>
      </c>
      <c r="E509" s="1492">
        <v>600</v>
      </c>
      <c r="F509" s="771">
        <v>597</v>
      </c>
      <c r="G509" s="771">
        <v>597</v>
      </c>
      <c r="H509" s="855">
        <f t="shared" si="8"/>
        <v>100</v>
      </c>
    </row>
    <row r="510" spans="1:19" s="369" customFormat="1" ht="20.25" customHeight="1" thickTop="1" thickBot="1" x14ac:dyDescent="0.3">
      <c r="A510" s="744" t="s">
        <v>1247</v>
      </c>
      <c r="B510" s="745"/>
      <c r="C510" s="746"/>
      <c r="D510" s="869"/>
      <c r="E510" s="759">
        <f>E507</f>
        <v>600</v>
      </c>
      <c r="F510" s="759">
        <f>SUM(F507)</f>
        <v>673</v>
      </c>
      <c r="G510" s="759">
        <f>SUM(G507)</f>
        <v>673</v>
      </c>
      <c r="H510" s="857">
        <f t="shared" si="8"/>
        <v>100</v>
      </c>
      <c r="S510" s="369">
        <v>0</v>
      </c>
    </row>
    <row r="511" spans="1:19" ht="15" thickTop="1" x14ac:dyDescent="0.2">
      <c r="A511" s="2019"/>
    </row>
    <row r="512" spans="1:19" s="369" customFormat="1" ht="24.75" customHeight="1" thickBot="1" x14ac:dyDescent="0.3">
      <c r="A512" s="817" t="s">
        <v>538</v>
      </c>
      <c r="B512" s="764"/>
      <c r="C512" s="765"/>
      <c r="D512" s="766"/>
      <c r="E512" s="861">
        <f>SUM(E506,E510)</f>
        <v>3331</v>
      </c>
      <c r="F512" s="861">
        <f>SUM(F506,F510)</f>
        <v>3367</v>
      </c>
      <c r="G512" s="861">
        <f>SUM(G506,G510)</f>
        <v>3367</v>
      </c>
      <c r="H512" s="822">
        <f>(G512/F512)*100</f>
        <v>100</v>
      </c>
    </row>
    <row r="513" spans="1:9" s="860" customFormat="1" ht="17.25" customHeight="1" thickTop="1" x14ac:dyDescent="0.25">
      <c r="A513" s="2032"/>
      <c r="B513" s="2033"/>
      <c r="C513" s="2038"/>
      <c r="D513" s="2035"/>
      <c r="E513" s="864"/>
      <c r="F513" s="864"/>
      <c r="G513" s="864"/>
      <c r="H513" s="2039"/>
    </row>
    <row r="514" spans="1:9" s="860" customFormat="1" ht="17.25" customHeight="1" x14ac:dyDescent="0.25">
      <c r="A514" s="2032"/>
      <c r="B514" s="2033"/>
      <c r="C514" s="2038"/>
      <c r="D514" s="2035"/>
      <c r="E514" s="864"/>
      <c r="F514" s="864"/>
      <c r="G514" s="864"/>
      <c r="H514" s="2039"/>
    </row>
    <row r="515" spans="1:9" s="860" customFormat="1" ht="17.25" customHeight="1" x14ac:dyDescent="0.25">
      <c r="A515" s="2032"/>
      <c r="B515" s="2033"/>
      <c r="C515" s="2038"/>
      <c r="D515" s="2035"/>
      <c r="E515" s="864"/>
      <c r="F515" s="864"/>
      <c r="G515" s="864"/>
      <c r="H515" s="2039"/>
    </row>
    <row r="516" spans="1:9" s="525" customFormat="1" ht="15.75" x14ac:dyDescent="0.25">
      <c r="A516" s="727" t="s">
        <v>461</v>
      </c>
      <c r="B516" s="778"/>
      <c r="C516" s="863"/>
      <c r="E516" s="511" t="s">
        <v>460</v>
      </c>
      <c r="F516" s="511"/>
      <c r="G516" s="511"/>
      <c r="H516" s="850"/>
    </row>
    <row r="517" spans="1:9" ht="15" thickBot="1" x14ac:dyDescent="0.25">
      <c r="A517" s="2019"/>
      <c r="H517" s="2025" t="s">
        <v>179</v>
      </c>
    </row>
    <row r="518" spans="1:9" s="735" customFormat="1" ht="20.25" customHeight="1" thickTop="1" thickBot="1" x14ac:dyDescent="0.25">
      <c r="A518" s="813" t="s">
        <v>180</v>
      </c>
      <c r="B518" s="730" t="s">
        <v>181</v>
      </c>
      <c r="C518" s="731" t="s">
        <v>783</v>
      </c>
      <c r="D518" s="732" t="s">
        <v>182</v>
      </c>
      <c r="E518" s="733" t="s">
        <v>183</v>
      </c>
      <c r="F518" s="733" t="s">
        <v>985</v>
      </c>
      <c r="G518" s="733" t="s">
        <v>986</v>
      </c>
      <c r="H518" s="734" t="s">
        <v>987</v>
      </c>
    </row>
    <row r="519" spans="1:9" s="386" customFormat="1" ht="13.5" thickTop="1" thickBot="1" x14ac:dyDescent="0.25">
      <c r="A519" s="592">
        <v>1</v>
      </c>
      <c r="B519" s="593">
        <v>2</v>
      </c>
      <c r="C519" s="593">
        <v>3</v>
      </c>
      <c r="D519" s="593">
        <v>4</v>
      </c>
      <c r="E519" s="593">
        <v>5</v>
      </c>
      <c r="F519" s="567">
        <v>6</v>
      </c>
      <c r="G519" s="567">
        <v>7</v>
      </c>
      <c r="H519" s="662" t="s">
        <v>61</v>
      </c>
      <c r="I519" s="107"/>
    </row>
    <row r="520" spans="1:9" s="439" customFormat="1" ht="15.75" thickTop="1" x14ac:dyDescent="0.25">
      <c r="A520" s="2058">
        <v>4357</v>
      </c>
      <c r="B520" s="2059">
        <v>5331</v>
      </c>
      <c r="C520" s="2060"/>
      <c r="D520" s="650" t="s">
        <v>259</v>
      </c>
      <c r="E520" s="752">
        <f>E521+E522</f>
        <v>6322</v>
      </c>
      <c r="F520" s="752">
        <f>F521+F522</f>
        <v>8744</v>
      </c>
      <c r="G520" s="752">
        <f>G521+G522</f>
        <v>8744</v>
      </c>
      <c r="H520" s="739">
        <f>G520/F520*100</f>
        <v>100</v>
      </c>
    </row>
    <row r="521" spans="1:9" x14ac:dyDescent="0.2">
      <c r="A521" s="2029"/>
      <c r="B521" s="2030"/>
      <c r="C521" s="578" t="s">
        <v>641</v>
      </c>
      <c r="D521" s="1550" t="s">
        <v>1416</v>
      </c>
      <c r="E521" s="1492">
        <v>487</v>
      </c>
      <c r="F521" s="771">
        <v>488</v>
      </c>
      <c r="G521" s="771">
        <v>488</v>
      </c>
      <c r="H521" s="855">
        <f>(G521/F521)*100</f>
        <v>100</v>
      </c>
    </row>
    <row r="522" spans="1:9" ht="15" thickBot="1" x14ac:dyDescent="0.25">
      <c r="A522" s="2029"/>
      <c r="B522" s="2030"/>
      <c r="C522" s="578" t="s">
        <v>636</v>
      </c>
      <c r="D522" s="582" t="s">
        <v>1220</v>
      </c>
      <c r="E522" s="771">
        <v>5835</v>
      </c>
      <c r="F522" s="771">
        <v>8256</v>
      </c>
      <c r="G522" s="771">
        <v>8256</v>
      </c>
      <c r="H522" s="855">
        <f>(G522/F522)*100</f>
        <v>100</v>
      </c>
    </row>
    <row r="523" spans="1:9" s="369" customFormat="1" ht="20.25" customHeight="1" thickTop="1" thickBot="1" x14ac:dyDescent="0.3">
      <c r="A523" s="744" t="s">
        <v>1246</v>
      </c>
      <c r="B523" s="745"/>
      <c r="C523" s="746"/>
      <c r="D523" s="869"/>
      <c r="E523" s="759">
        <f>SUM(E520)</f>
        <v>6322</v>
      </c>
      <c r="F523" s="759">
        <f>SUM(F520)</f>
        <v>8744</v>
      </c>
      <c r="G523" s="759">
        <f>SUM(G520)</f>
        <v>8744</v>
      </c>
      <c r="H523" s="857">
        <f>(G523/F523)*100</f>
        <v>100</v>
      </c>
    </row>
    <row r="524" spans="1:9" s="439" customFormat="1" ht="15.75" thickTop="1" x14ac:dyDescent="0.25">
      <c r="A524" s="812"/>
      <c r="B524" s="2046"/>
      <c r="C524" s="863"/>
      <c r="E524" s="511"/>
      <c r="F524" s="511"/>
      <c r="G524" s="511"/>
      <c r="H524" s="850"/>
    </row>
    <row r="525" spans="1:9" s="369" customFormat="1" ht="24.75" customHeight="1" thickBot="1" x14ac:dyDescent="0.3">
      <c r="A525" s="817" t="s">
        <v>647</v>
      </c>
      <c r="B525" s="764"/>
      <c r="C525" s="765"/>
      <c r="D525" s="766"/>
      <c r="E525" s="861">
        <f>E523</f>
        <v>6322</v>
      </c>
      <c r="F525" s="861">
        <f>F523</f>
        <v>8744</v>
      </c>
      <c r="G525" s="861">
        <f>G523</f>
        <v>8744</v>
      </c>
      <c r="H525" s="822">
        <f>(G525/F525)*100</f>
        <v>100</v>
      </c>
    </row>
    <row r="526" spans="1:9" s="860" customFormat="1" ht="14.25" customHeight="1" thickTop="1" x14ac:dyDescent="0.25">
      <c r="A526" s="2032"/>
      <c r="B526" s="2033"/>
      <c r="C526" s="2038"/>
      <c r="D526" s="2035"/>
      <c r="E526" s="864"/>
      <c r="F526" s="864"/>
      <c r="G526" s="864"/>
      <c r="H526" s="2039"/>
    </row>
    <row r="527" spans="1:9" s="860" customFormat="1" ht="14.25" customHeight="1" x14ac:dyDescent="0.25">
      <c r="A527" s="2032"/>
      <c r="B527" s="2033"/>
      <c r="C527" s="2038"/>
      <c r="D527" s="2035"/>
      <c r="E527" s="864"/>
      <c r="F527" s="864"/>
      <c r="G527" s="864"/>
      <c r="H527" s="2039"/>
    </row>
    <row r="528" spans="1:9" s="525" customFormat="1" ht="15.75" x14ac:dyDescent="0.25">
      <c r="A528" s="727" t="s">
        <v>5</v>
      </c>
      <c r="B528" s="778"/>
      <c r="C528" s="863"/>
      <c r="E528" s="511" t="s">
        <v>648</v>
      </c>
      <c r="F528" s="511"/>
      <c r="G528" s="511"/>
      <c r="H528" s="850"/>
    </row>
    <row r="529" spans="1:19" ht="11.25" customHeight="1" thickBot="1" x14ac:dyDescent="0.25">
      <c r="A529" s="2019"/>
      <c r="H529" s="2025" t="s">
        <v>179</v>
      </c>
    </row>
    <row r="530" spans="1:19" s="735" customFormat="1" ht="20.25" customHeight="1" thickTop="1" thickBot="1" x14ac:dyDescent="0.25">
      <c r="A530" s="813" t="s">
        <v>180</v>
      </c>
      <c r="B530" s="730" t="s">
        <v>181</v>
      </c>
      <c r="C530" s="731" t="s">
        <v>783</v>
      </c>
      <c r="D530" s="732" t="s">
        <v>182</v>
      </c>
      <c r="E530" s="733" t="s">
        <v>183</v>
      </c>
      <c r="F530" s="733" t="s">
        <v>985</v>
      </c>
      <c r="G530" s="733" t="s">
        <v>986</v>
      </c>
      <c r="H530" s="734" t="s">
        <v>987</v>
      </c>
    </row>
    <row r="531" spans="1:19" s="386" customFormat="1" ht="13.5" thickTop="1" thickBot="1" x14ac:dyDescent="0.25">
      <c r="A531" s="592">
        <v>1</v>
      </c>
      <c r="B531" s="593">
        <v>2</v>
      </c>
      <c r="C531" s="593">
        <v>3</v>
      </c>
      <c r="D531" s="593">
        <v>4</v>
      </c>
      <c r="E531" s="593">
        <v>5</v>
      </c>
      <c r="F531" s="567">
        <v>6</v>
      </c>
      <c r="G531" s="567">
        <v>7</v>
      </c>
      <c r="H531" s="662" t="s">
        <v>61</v>
      </c>
      <c r="I531" s="107"/>
    </row>
    <row r="532" spans="1:19" s="439" customFormat="1" ht="15.75" thickTop="1" x14ac:dyDescent="0.25">
      <c r="A532" s="2058">
        <v>4357</v>
      </c>
      <c r="B532" s="2059">
        <v>5331</v>
      </c>
      <c r="C532" s="2060"/>
      <c r="D532" s="650" t="s">
        <v>259</v>
      </c>
      <c r="E532" s="752">
        <f>E533+E534+E535+E536</f>
        <v>5667</v>
      </c>
      <c r="F532" s="752">
        <f>F533+F534+F535+F536</f>
        <v>7655</v>
      </c>
      <c r="G532" s="752">
        <f>G533+G534+G535+G536</f>
        <v>7655</v>
      </c>
      <c r="H532" s="739">
        <f>G532/F532*100</f>
        <v>100</v>
      </c>
    </row>
    <row r="533" spans="1:19" x14ac:dyDescent="0.2">
      <c r="A533" s="2029"/>
      <c r="B533" s="2030"/>
      <c r="C533" s="743" t="s">
        <v>641</v>
      </c>
      <c r="D533" s="1550" t="s">
        <v>1416</v>
      </c>
      <c r="E533" s="771">
        <v>2332</v>
      </c>
      <c r="F533" s="771">
        <v>2376</v>
      </c>
      <c r="G533" s="771">
        <v>2376</v>
      </c>
      <c r="H533" s="855">
        <f t="shared" ref="H533:H544" si="9">(G533/F533)*100</f>
        <v>100</v>
      </c>
    </row>
    <row r="534" spans="1:19" x14ac:dyDescent="0.2">
      <c r="A534" s="2029"/>
      <c r="B534" s="2030"/>
      <c r="C534" s="578" t="s">
        <v>636</v>
      </c>
      <c r="D534" s="574" t="s">
        <v>1220</v>
      </c>
      <c r="E534" s="771">
        <v>3335</v>
      </c>
      <c r="F534" s="771">
        <v>4565</v>
      </c>
      <c r="G534" s="771">
        <v>4565</v>
      </c>
      <c r="H534" s="855">
        <f t="shared" si="9"/>
        <v>100</v>
      </c>
    </row>
    <row r="535" spans="1:19" x14ac:dyDescent="0.2">
      <c r="A535" s="2029"/>
      <c r="B535" s="2030"/>
      <c r="C535" s="1565" t="s">
        <v>1541</v>
      </c>
      <c r="D535" s="2043" t="s">
        <v>1542</v>
      </c>
      <c r="E535" s="771"/>
      <c r="F535" s="771">
        <v>107</v>
      </c>
      <c r="G535" s="771">
        <v>107</v>
      </c>
      <c r="H535" s="855">
        <f t="shared" si="9"/>
        <v>100</v>
      </c>
    </row>
    <row r="536" spans="1:19" x14ac:dyDescent="0.2">
      <c r="A536" s="2029"/>
      <c r="B536" s="2030"/>
      <c r="C536" s="1565" t="s">
        <v>1543</v>
      </c>
      <c r="D536" s="2043" t="s">
        <v>1544</v>
      </c>
      <c r="E536" s="771"/>
      <c r="F536" s="771">
        <v>607</v>
      </c>
      <c r="G536" s="771">
        <v>607</v>
      </c>
      <c r="H536" s="855">
        <f t="shared" si="9"/>
        <v>100</v>
      </c>
    </row>
    <row r="537" spans="1:19" s="439" customFormat="1" ht="15" x14ac:dyDescent="0.25">
      <c r="A537" s="2062">
        <v>4357</v>
      </c>
      <c r="B537" s="2063">
        <v>5336</v>
      </c>
      <c r="C537" s="2066"/>
      <c r="D537" s="2011" t="s">
        <v>1657</v>
      </c>
      <c r="E537" s="1610"/>
      <c r="F537" s="1610">
        <v>65</v>
      </c>
      <c r="G537" s="1610">
        <v>65</v>
      </c>
      <c r="H537" s="868">
        <f t="shared" si="9"/>
        <v>100</v>
      </c>
    </row>
    <row r="538" spans="1:19" ht="15" thickBot="1" x14ac:dyDescent="0.25">
      <c r="A538" s="2029"/>
      <c r="B538" s="2030"/>
      <c r="C538" s="578" t="s">
        <v>1720</v>
      </c>
      <c r="D538" s="582" t="s">
        <v>1743</v>
      </c>
      <c r="E538" s="771"/>
      <c r="F538" s="771">
        <v>65</v>
      </c>
      <c r="G538" s="771">
        <v>65</v>
      </c>
      <c r="H538" s="855">
        <f t="shared" si="9"/>
        <v>100</v>
      </c>
    </row>
    <row r="539" spans="1:19" s="369" customFormat="1" ht="20.25" customHeight="1" thickTop="1" thickBot="1" x14ac:dyDescent="0.3">
      <c r="A539" s="744" t="s">
        <v>1246</v>
      </c>
      <c r="B539" s="745"/>
      <c r="C539" s="746"/>
      <c r="D539" s="747"/>
      <c r="E539" s="759">
        <f>SUM(E532)</f>
        <v>5667</v>
      </c>
      <c r="F539" s="759">
        <f>SUM(F532,F537)</f>
        <v>7720</v>
      </c>
      <c r="G539" s="759">
        <f>SUM(G532,G537)</f>
        <v>7720</v>
      </c>
      <c r="H539" s="857">
        <f t="shared" si="9"/>
        <v>100</v>
      </c>
      <c r="J539" s="862"/>
      <c r="K539" s="862"/>
    </row>
    <row r="540" spans="1:19" s="439" customFormat="1" ht="15.75" thickTop="1" x14ac:dyDescent="0.25">
      <c r="A540" s="2058">
        <v>4357</v>
      </c>
      <c r="B540" s="2059">
        <v>6351</v>
      </c>
      <c r="C540" s="2060"/>
      <c r="D540" s="650" t="s">
        <v>1320</v>
      </c>
      <c r="E540" s="752">
        <v>700</v>
      </c>
      <c r="F540" s="752">
        <v>565</v>
      </c>
      <c r="G540" s="752">
        <v>565</v>
      </c>
      <c r="H540" s="868">
        <f>(G540/F540)*100</f>
        <v>100</v>
      </c>
    </row>
    <row r="541" spans="1:19" ht="15" thickBot="1" x14ac:dyDescent="0.25">
      <c r="A541" s="2029"/>
      <c r="B541" s="2030"/>
      <c r="C541" s="1179" t="s">
        <v>1536</v>
      </c>
      <c r="D541" s="2016" t="s">
        <v>1537</v>
      </c>
      <c r="E541" s="771">
        <v>700</v>
      </c>
      <c r="F541" s="771">
        <v>565</v>
      </c>
      <c r="G541" s="771">
        <v>565</v>
      </c>
      <c r="H541" s="855">
        <f>(G541/F541)*100</f>
        <v>100</v>
      </c>
    </row>
    <row r="542" spans="1:19" s="369" customFormat="1" ht="20.25" customHeight="1" thickTop="1" thickBot="1" x14ac:dyDescent="0.3">
      <c r="A542" s="744" t="s">
        <v>1247</v>
      </c>
      <c r="B542" s="745"/>
      <c r="C542" s="746"/>
      <c r="D542" s="747"/>
      <c r="E542" s="759">
        <f>E540</f>
        <v>700</v>
      </c>
      <c r="F542" s="759">
        <f>SUM(F540)</f>
        <v>565</v>
      </c>
      <c r="G542" s="759">
        <f>SUM(G540)</f>
        <v>565</v>
      </c>
      <c r="H542" s="857">
        <f>SUM(H540)</f>
        <v>100</v>
      </c>
      <c r="S542" s="369">
        <v>0</v>
      </c>
    </row>
    <row r="543" spans="1:19" s="369" customFormat="1" ht="20.25" customHeight="1" thickTop="1" x14ac:dyDescent="0.25">
      <c r="A543" s="772"/>
      <c r="B543" s="1263"/>
      <c r="C543" s="1264"/>
      <c r="D543" s="1265"/>
      <c r="E543" s="1611"/>
      <c r="F543" s="1611"/>
      <c r="G543" s="1611"/>
      <c r="H543" s="1612"/>
    </row>
    <row r="544" spans="1:19" s="369" customFormat="1" ht="26.25" customHeight="1" thickBot="1" x14ac:dyDescent="0.3">
      <c r="A544" s="763" t="s">
        <v>7</v>
      </c>
      <c r="B544" s="1259"/>
      <c r="C544" s="1260"/>
      <c r="D544" s="1261"/>
      <c r="E544" s="872">
        <f>SUM(E539,E542)</f>
        <v>6367</v>
      </c>
      <c r="F544" s="872">
        <f>SUM(F539,F542)</f>
        <v>8285</v>
      </c>
      <c r="G544" s="872">
        <f>SUM(G539,G542)</f>
        <v>8285</v>
      </c>
      <c r="H544" s="873">
        <f t="shared" si="9"/>
        <v>100</v>
      </c>
    </row>
    <row r="545" spans="1:19" s="860" customFormat="1" ht="14.25" customHeight="1" thickTop="1" x14ac:dyDescent="0.25">
      <c r="A545" s="2032"/>
      <c r="B545" s="2033"/>
      <c r="C545" s="2038"/>
      <c r="D545" s="2035"/>
      <c r="E545" s="864"/>
      <c r="F545" s="864"/>
      <c r="G545" s="864"/>
      <c r="H545" s="2039"/>
    </row>
    <row r="546" spans="1:19" s="860" customFormat="1" ht="14.25" customHeight="1" x14ac:dyDescent="0.25">
      <c r="A546" s="2032"/>
      <c r="B546" s="2033"/>
      <c r="C546" s="2038"/>
      <c r="D546" s="2035"/>
      <c r="E546" s="864"/>
      <c r="F546" s="864"/>
      <c r="G546" s="864"/>
      <c r="H546" s="2039"/>
    </row>
    <row r="547" spans="1:19" s="525" customFormat="1" ht="15.75" x14ac:dyDescent="0.25">
      <c r="A547" s="727" t="s">
        <v>422</v>
      </c>
      <c r="B547" s="778"/>
      <c r="C547" s="863"/>
      <c r="E547" s="511" t="s">
        <v>649</v>
      </c>
      <c r="F547" s="511"/>
      <c r="G547" s="511"/>
      <c r="H547" s="850"/>
    </row>
    <row r="548" spans="1:19" ht="15" thickBot="1" x14ac:dyDescent="0.25">
      <c r="A548" s="2019"/>
      <c r="H548" s="2025" t="s">
        <v>179</v>
      </c>
    </row>
    <row r="549" spans="1:19" s="735" customFormat="1" ht="20.25" customHeight="1" thickTop="1" thickBot="1" x14ac:dyDescent="0.25">
      <c r="A549" s="813" t="s">
        <v>180</v>
      </c>
      <c r="B549" s="730" t="s">
        <v>181</v>
      </c>
      <c r="C549" s="731" t="s">
        <v>783</v>
      </c>
      <c r="D549" s="732" t="s">
        <v>182</v>
      </c>
      <c r="E549" s="733" t="s">
        <v>183</v>
      </c>
      <c r="F549" s="733" t="s">
        <v>985</v>
      </c>
      <c r="G549" s="733" t="s">
        <v>986</v>
      </c>
      <c r="H549" s="734" t="s">
        <v>987</v>
      </c>
    </row>
    <row r="550" spans="1:19" s="386" customFormat="1" ht="13.5" thickTop="1" thickBot="1" x14ac:dyDescent="0.25">
      <c r="A550" s="592">
        <v>1</v>
      </c>
      <c r="B550" s="593">
        <v>2</v>
      </c>
      <c r="C550" s="593">
        <v>3</v>
      </c>
      <c r="D550" s="593">
        <v>4</v>
      </c>
      <c r="E550" s="593">
        <v>5</v>
      </c>
      <c r="F550" s="567">
        <v>6</v>
      </c>
      <c r="G550" s="567">
        <v>7</v>
      </c>
      <c r="H550" s="662" t="s">
        <v>61</v>
      </c>
      <c r="I550" s="107"/>
    </row>
    <row r="551" spans="1:19" s="439" customFormat="1" ht="15.75" thickTop="1" x14ac:dyDescent="0.25">
      <c r="A551" s="2058">
        <v>4357</v>
      </c>
      <c r="B551" s="2059">
        <v>5331</v>
      </c>
      <c r="C551" s="2060"/>
      <c r="D551" s="650" t="s">
        <v>259</v>
      </c>
      <c r="E551" s="752">
        <f>E552+E553</f>
        <v>3496</v>
      </c>
      <c r="F551" s="752">
        <f>F552+F553</f>
        <v>4515</v>
      </c>
      <c r="G551" s="752">
        <f>G552+G553</f>
        <v>4515</v>
      </c>
      <c r="H551" s="739">
        <f>G551/F551*100</f>
        <v>100</v>
      </c>
    </row>
    <row r="552" spans="1:19" x14ac:dyDescent="0.2">
      <c r="A552" s="2029"/>
      <c r="B552" s="2030"/>
      <c r="C552" s="743" t="s">
        <v>641</v>
      </c>
      <c r="D552" s="1550" t="s">
        <v>1416</v>
      </c>
      <c r="E552" s="771">
        <v>418</v>
      </c>
      <c r="F552" s="771">
        <v>505</v>
      </c>
      <c r="G552" s="771">
        <v>505</v>
      </c>
      <c r="H552" s="855">
        <f>(G552/F552)*100</f>
        <v>100</v>
      </c>
    </row>
    <row r="553" spans="1:19" ht="15" thickBot="1" x14ac:dyDescent="0.25">
      <c r="A553" s="2029"/>
      <c r="B553" s="2030"/>
      <c r="C553" s="578" t="s">
        <v>636</v>
      </c>
      <c r="D553" s="582" t="s">
        <v>1220</v>
      </c>
      <c r="E553" s="771">
        <v>3078</v>
      </c>
      <c r="F553" s="771">
        <v>4010</v>
      </c>
      <c r="G553" s="771">
        <v>4010</v>
      </c>
      <c r="H553" s="855">
        <f>(G553/F553)*100</f>
        <v>100</v>
      </c>
    </row>
    <row r="554" spans="1:19" s="369" customFormat="1" ht="20.25" customHeight="1" thickTop="1" thickBot="1" x14ac:dyDescent="0.3">
      <c r="A554" s="744" t="s">
        <v>1246</v>
      </c>
      <c r="B554" s="745"/>
      <c r="C554" s="746"/>
      <c r="D554" s="869"/>
      <c r="E554" s="759">
        <f>SUM(E551)</f>
        <v>3496</v>
      </c>
      <c r="F554" s="759">
        <f>SUM(F551)</f>
        <v>4515</v>
      </c>
      <c r="G554" s="759">
        <f>SUM(G551)</f>
        <v>4515</v>
      </c>
      <c r="H554" s="857">
        <f>(G554/F554)*100</f>
        <v>100</v>
      </c>
    </row>
    <row r="555" spans="1:19" s="439" customFormat="1" ht="15.75" thickTop="1" x14ac:dyDescent="0.25">
      <c r="A555" s="2058">
        <v>4357</v>
      </c>
      <c r="B555" s="2059">
        <v>6351</v>
      </c>
      <c r="C555" s="2060"/>
      <c r="D555" s="650" t="s">
        <v>1320</v>
      </c>
      <c r="E555" s="752">
        <v>550</v>
      </c>
      <c r="F555" s="752">
        <v>456</v>
      </c>
      <c r="G555" s="752">
        <v>456</v>
      </c>
      <c r="H555" s="868">
        <f>(G555/F555)*100</f>
        <v>100</v>
      </c>
    </row>
    <row r="556" spans="1:19" ht="15" thickBot="1" x14ac:dyDescent="0.25">
      <c r="A556" s="2029"/>
      <c r="B556" s="2030"/>
      <c r="C556" s="1179" t="s">
        <v>1536</v>
      </c>
      <c r="D556" s="2016" t="s">
        <v>1537</v>
      </c>
      <c r="E556" s="771">
        <v>550</v>
      </c>
      <c r="F556" s="771">
        <v>456</v>
      </c>
      <c r="G556" s="771">
        <v>456</v>
      </c>
      <c r="H556" s="855">
        <f>(G556/F556)*100</f>
        <v>100</v>
      </c>
    </row>
    <row r="557" spans="1:19" s="369" customFormat="1" ht="20.25" customHeight="1" thickTop="1" thickBot="1" x14ac:dyDescent="0.3">
      <c r="A557" s="744" t="s">
        <v>1247</v>
      </c>
      <c r="B557" s="745"/>
      <c r="C557" s="746"/>
      <c r="D557" s="747"/>
      <c r="E557" s="759">
        <f>E555</f>
        <v>550</v>
      </c>
      <c r="F557" s="759">
        <f>SUM(F555)</f>
        <v>456</v>
      </c>
      <c r="G557" s="759">
        <f>SUM(G555)</f>
        <v>456</v>
      </c>
      <c r="H557" s="857">
        <f>SUM(H555)</f>
        <v>100</v>
      </c>
      <c r="S557" s="369">
        <v>0</v>
      </c>
    </row>
    <row r="558" spans="1:19" s="369" customFormat="1" ht="20.25" customHeight="1" thickTop="1" x14ac:dyDescent="0.25">
      <c r="A558" s="363"/>
      <c r="B558" s="364"/>
      <c r="C558" s="365"/>
      <c r="D558" s="366"/>
      <c r="E558" s="367"/>
      <c r="F558" s="367"/>
      <c r="G558" s="367"/>
      <c r="H558" s="368"/>
    </row>
    <row r="559" spans="1:19" s="369" customFormat="1" ht="29.25" customHeight="1" thickBot="1" x14ac:dyDescent="0.3">
      <c r="A559" s="817" t="s">
        <v>423</v>
      </c>
      <c r="B559" s="764"/>
      <c r="C559" s="765"/>
      <c r="D559" s="766"/>
      <c r="E559" s="861">
        <f>SUM(E554,E557)</f>
        <v>4046</v>
      </c>
      <c r="F559" s="861">
        <f>SUM(F554,F557)</f>
        <v>4971</v>
      </c>
      <c r="G559" s="861">
        <f>G554+G557</f>
        <v>4971</v>
      </c>
      <c r="H559" s="822">
        <f>(G559/F559)*100</f>
        <v>100</v>
      </c>
    </row>
    <row r="560" spans="1:19" s="860" customFormat="1" ht="18.75" customHeight="1" thickTop="1" x14ac:dyDescent="0.25">
      <c r="A560" s="2032"/>
      <c r="B560" s="2033"/>
      <c r="C560" s="2034"/>
      <c r="D560" s="2035"/>
      <c r="E560" s="2036"/>
      <c r="F560" s="2036"/>
      <c r="G560" s="2036"/>
      <c r="H560" s="2037"/>
    </row>
    <row r="561" spans="1:19" s="525" customFormat="1" ht="15.75" x14ac:dyDescent="0.25">
      <c r="A561" s="727" t="s">
        <v>650</v>
      </c>
      <c r="B561" s="778"/>
      <c r="C561" s="863"/>
      <c r="E561" s="511" t="s">
        <v>651</v>
      </c>
      <c r="F561" s="511"/>
      <c r="G561" s="511"/>
      <c r="H561" s="850"/>
    </row>
    <row r="562" spans="1:19" ht="11.25" customHeight="1" thickBot="1" x14ac:dyDescent="0.25">
      <c r="A562" s="2019"/>
      <c r="H562" s="2025" t="s">
        <v>179</v>
      </c>
    </row>
    <row r="563" spans="1:19" s="735" customFormat="1" ht="20.25" customHeight="1" thickTop="1" thickBot="1" x14ac:dyDescent="0.25">
      <c r="A563" s="813" t="s">
        <v>180</v>
      </c>
      <c r="B563" s="730" t="s">
        <v>181</v>
      </c>
      <c r="C563" s="731" t="s">
        <v>783</v>
      </c>
      <c r="D563" s="732" t="s">
        <v>182</v>
      </c>
      <c r="E563" s="733" t="s">
        <v>183</v>
      </c>
      <c r="F563" s="733" t="s">
        <v>985</v>
      </c>
      <c r="G563" s="733" t="s">
        <v>986</v>
      </c>
      <c r="H563" s="734" t="s">
        <v>987</v>
      </c>
    </row>
    <row r="564" spans="1:19" s="386" customFormat="1" ht="13.5" thickTop="1" thickBot="1" x14ac:dyDescent="0.25">
      <c r="A564" s="592">
        <v>1</v>
      </c>
      <c r="B564" s="593">
        <v>2</v>
      </c>
      <c r="C564" s="593">
        <v>3</v>
      </c>
      <c r="D564" s="593">
        <v>4</v>
      </c>
      <c r="E564" s="593">
        <v>5</v>
      </c>
      <c r="F564" s="567">
        <v>6</v>
      </c>
      <c r="G564" s="567">
        <v>7</v>
      </c>
      <c r="H564" s="662" t="s">
        <v>61</v>
      </c>
      <c r="I564" s="107"/>
    </row>
    <row r="565" spans="1:19" s="439" customFormat="1" ht="15.75" thickTop="1" x14ac:dyDescent="0.25">
      <c r="A565" s="2058">
        <v>4357</v>
      </c>
      <c r="B565" s="2059">
        <v>5331</v>
      </c>
      <c r="C565" s="2060"/>
      <c r="D565" s="650" t="s">
        <v>259</v>
      </c>
      <c r="E565" s="752">
        <f>E566+E567</f>
        <v>4143</v>
      </c>
      <c r="F565" s="752">
        <f>F566+F567</f>
        <v>5300</v>
      </c>
      <c r="G565" s="752">
        <f>G566+G567</f>
        <v>5300</v>
      </c>
      <c r="H565" s="739">
        <f>G565/F565*100</f>
        <v>100</v>
      </c>
    </row>
    <row r="566" spans="1:19" x14ac:dyDescent="0.2">
      <c r="A566" s="2029"/>
      <c r="B566" s="2030"/>
      <c r="C566" s="743" t="s">
        <v>641</v>
      </c>
      <c r="D566" s="1550" t="s">
        <v>1416</v>
      </c>
      <c r="E566" s="771">
        <v>1108</v>
      </c>
      <c r="F566" s="771">
        <v>1200</v>
      </c>
      <c r="G566" s="771">
        <v>1200</v>
      </c>
      <c r="H566" s="855">
        <f>(G566/F566)*100</f>
        <v>100</v>
      </c>
    </row>
    <row r="567" spans="1:19" ht="15" thickBot="1" x14ac:dyDescent="0.25">
      <c r="A567" s="2029"/>
      <c r="B567" s="2030"/>
      <c r="C567" s="578" t="s">
        <v>636</v>
      </c>
      <c r="D567" s="582" t="s">
        <v>1220</v>
      </c>
      <c r="E567" s="771">
        <v>3035</v>
      </c>
      <c r="F567" s="771">
        <v>4100</v>
      </c>
      <c r="G567" s="771">
        <v>4100</v>
      </c>
      <c r="H567" s="855">
        <f>(G567/F567)*100</f>
        <v>100</v>
      </c>
    </row>
    <row r="568" spans="1:19" s="369" customFormat="1" ht="20.25" customHeight="1" thickTop="1" thickBot="1" x14ac:dyDescent="0.3">
      <c r="A568" s="744" t="s">
        <v>1246</v>
      </c>
      <c r="B568" s="745"/>
      <c r="C568" s="746"/>
      <c r="D568" s="869"/>
      <c r="E568" s="759">
        <f>SUM(E565)</f>
        <v>4143</v>
      </c>
      <c r="F568" s="759">
        <f>SUM(F565)</f>
        <v>5300</v>
      </c>
      <c r="G568" s="759">
        <f>SUM(G565)</f>
        <v>5300</v>
      </c>
      <c r="H568" s="857">
        <f>(G568/F568)*100</f>
        <v>100</v>
      </c>
    </row>
    <row r="569" spans="1:19" s="439" customFormat="1" ht="15.75" thickTop="1" x14ac:dyDescent="0.25">
      <c r="A569" s="2058">
        <v>4357</v>
      </c>
      <c r="B569" s="2059">
        <v>6351</v>
      </c>
      <c r="C569" s="2060"/>
      <c r="D569" s="650" t="s">
        <v>1320</v>
      </c>
      <c r="E569" s="752">
        <v>300</v>
      </c>
      <c r="F569" s="752">
        <v>225</v>
      </c>
      <c r="G569" s="752">
        <v>225</v>
      </c>
      <c r="H569" s="868">
        <f>(G569/F569)*100</f>
        <v>100</v>
      </c>
    </row>
    <row r="570" spans="1:19" ht="15" thickBot="1" x14ac:dyDescent="0.25">
      <c r="A570" s="2029"/>
      <c r="B570" s="2030"/>
      <c r="C570" s="1179" t="s">
        <v>1536</v>
      </c>
      <c r="D570" s="2016" t="s">
        <v>1537</v>
      </c>
      <c r="E570" s="771">
        <v>300</v>
      </c>
      <c r="F570" s="771">
        <v>225</v>
      </c>
      <c r="G570" s="771">
        <v>225</v>
      </c>
      <c r="H570" s="855">
        <f>(G570/F570)*100</f>
        <v>100</v>
      </c>
    </row>
    <row r="571" spans="1:19" s="369" customFormat="1" ht="20.25" customHeight="1" thickTop="1" thickBot="1" x14ac:dyDescent="0.3">
      <c r="A571" s="744" t="s">
        <v>1247</v>
      </c>
      <c r="B571" s="745"/>
      <c r="C571" s="746"/>
      <c r="D571" s="747"/>
      <c r="E571" s="759">
        <f>E569</f>
        <v>300</v>
      </c>
      <c r="F571" s="759">
        <f>SUM(F569)</f>
        <v>225</v>
      </c>
      <c r="G571" s="759">
        <f>SUM(G569)</f>
        <v>225</v>
      </c>
      <c r="H571" s="857">
        <f>SUM(H569)</f>
        <v>100</v>
      </c>
      <c r="S571" s="369">
        <v>0</v>
      </c>
    </row>
    <row r="572" spans="1:19" s="439" customFormat="1" ht="15.75" thickTop="1" x14ac:dyDescent="0.25">
      <c r="A572" s="812"/>
      <c r="B572" s="2046"/>
      <c r="C572" s="863"/>
      <c r="E572" s="511"/>
      <c r="F572" s="511"/>
      <c r="G572" s="511"/>
      <c r="H572" s="850"/>
    </row>
    <row r="573" spans="1:19" s="369" customFormat="1" ht="27" customHeight="1" thickBot="1" x14ac:dyDescent="0.3">
      <c r="A573" s="817" t="s">
        <v>652</v>
      </c>
      <c r="B573" s="764"/>
      <c r="C573" s="765"/>
      <c r="D573" s="766"/>
      <c r="E573" s="861">
        <f>SUM(E568,E571)</f>
        <v>4443</v>
      </c>
      <c r="F573" s="861">
        <f>SUM(F568,F571)</f>
        <v>5525</v>
      </c>
      <c r="G573" s="861">
        <f>SUM(G568,G571)</f>
        <v>5525</v>
      </c>
      <c r="H573" s="822">
        <f>(G573/F573)*100</f>
        <v>100</v>
      </c>
    </row>
    <row r="574" spans="1:19" s="860" customFormat="1" ht="15" customHeight="1" thickTop="1" x14ac:dyDescent="0.25">
      <c r="A574" s="2032"/>
      <c r="B574" s="2033"/>
      <c r="C574" s="2038"/>
      <c r="D574" s="2035"/>
      <c r="E574" s="864"/>
      <c r="F574" s="864"/>
      <c r="G574" s="864"/>
      <c r="H574" s="2039"/>
    </row>
    <row r="575" spans="1:19" s="860" customFormat="1" ht="15" customHeight="1" x14ac:dyDescent="0.25">
      <c r="A575" s="2032"/>
      <c r="B575" s="2033"/>
      <c r="C575" s="2038"/>
      <c r="D575" s="2035"/>
      <c r="E575" s="864"/>
      <c r="F575" s="864"/>
      <c r="G575" s="864"/>
      <c r="H575" s="2039"/>
    </row>
    <row r="576" spans="1:19" s="860" customFormat="1" ht="15" customHeight="1" x14ac:dyDescent="0.25">
      <c r="A576" s="2032"/>
      <c r="B576" s="2033"/>
      <c r="C576" s="2038"/>
      <c r="D576" s="2035"/>
      <c r="E576" s="864"/>
      <c r="F576" s="864"/>
      <c r="G576" s="864"/>
      <c r="H576" s="2039"/>
    </row>
    <row r="577" spans="1:19" s="525" customFormat="1" ht="15.75" x14ac:dyDescent="0.25">
      <c r="A577" s="874" t="s">
        <v>8</v>
      </c>
      <c r="B577" s="1714"/>
      <c r="C577" s="1714"/>
      <c r="D577" s="1714"/>
      <c r="E577" s="511" t="s">
        <v>653</v>
      </c>
      <c r="F577" s="511"/>
      <c r="G577" s="511"/>
      <c r="H577" s="850"/>
    </row>
    <row r="578" spans="1:19" ht="15" thickBot="1" x14ac:dyDescent="0.25">
      <c r="A578" s="2019"/>
      <c r="H578" s="2025" t="s">
        <v>179</v>
      </c>
    </row>
    <row r="579" spans="1:19" s="735" customFormat="1" ht="20.25" customHeight="1" thickTop="1" thickBot="1" x14ac:dyDescent="0.25">
      <c r="A579" s="813" t="s">
        <v>180</v>
      </c>
      <c r="B579" s="730" t="s">
        <v>181</v>
      </c>
      <c r="C579" s="731" t="s">
        <v>783</v>
      </c>
      <c r="D579" s="732" t="s">
        <v>182</v>
      </c>
      <c r="E579" s="733" t="s">
        <v>183</v>
      </c>
      <c r="F579" s="733" t="s">
        <v>985</v>
      </c>
      <c r="G579" s="733" t="s">
        <v>986</v>
      </c>
      <c r="H579" s="734" t="s">
        <v>987</v>
      </c>
    </row>
    <row r="580" spans="1:19" s="386" customFormat="1" ht="13.5" thickTop="1" thickBot="1" x14ac:dyDescent="0.25">
      <c r="A580" s="592">
        <v>1</v>
      </c>
      <c r="B580" s="593">
        <v>2</v>
      </c>
      <c r="C580" s="593">
        <v>3</v>
      </c>
      <c r="D580" s="593">
        <v>4</v>
      </c>
      <c r="E580" s="593">
        <v>5</v>
      </c>
      <c r="F580" s="567">
        <v>6</v>
      </c>
      <c r="G580" s="567">
        <v>7</v>
      </c>
      <c r="H580" s="662" t="s">
        <v>61</v>
      </c>
      <c r="I580" s="107"/>
    </row>
    <row r="581" spans="1:19" s="439" customFormat="1" ht="15.75" thickTop="1" x14ac:dyDescent="0.25">
      <c r="A581" s="2058">
        <v>4357</v>
      </c>
      <c r="B581" s="2059">
        <v>5331</v>
      </c>
      <c r="C581" s="2060"/>
      <c r="D581" s="650" t="s">
        <v>259</v>
      </c>
      <c r="E581" s="752">
        <f>E583+E582</f>
        <v>5035</v>
      </c>
      <c r="F581" s="752">
        <f>F583+F582</f>
        <v>6964</v>
      </c>
      <c r="G581" s="752">
        <f>G583+G582</f>
        <v>6964</v>
      </c>
      <c r="H581" s="739">
        <f>G581/F581*100</f>
        <v>100</v>
      </c>
    </row>
    <row r="582" spans="1:19" x14ac:dyDescent="0.2">
      <c r="A582" s="2029"/>
      <c r="B582" s="2030"/>
      <c r="C582" s="578" t="s">
        <v>641</v>
      </c>
      <c r="D582" s="1550" t="s">
        <v>1416</v>
      </c>
      <c r="E582" s="1492">
        <v>1200</v>
      </c>
      <c r="F582" s="771">
        <v>1083</v>
      </c>
      <c r="G582" s="771">
        <v>1083</v>
      </c>
      <c r="H582" s="855">
        <f>(G582/F582)*100</f>
        <v>100</v>
      </c>
    </row>
    <row r="583" spans="1:19" ht="15" thickBot="1" x14ac:dyDescent="0.25">
      <c r="A583" s="2029"/>
      <c r="B583" s="2030"/>
      <c r="C583" s="578" t="s">
        <v>636</v>
      </c>
      <c r="D583" s="582" t="s">
        <v>1220</v>
      </c>
      <c r="E583" s="771">
        <v>3835</v>
      </c>
      <c r="F583" s="771">
        <v>5881</v>
      </c>
      <c r="G583" s="771">
        <v>5881</v>
      </c>
      <c r="H583" s="855">
        <f>(G583/F583)*100</f>
        <v>100</v>
      </c>
    </row>
    <row r="584" spans="1:19" s="369" customFormat="1" ht="20.25" customHeight="1" thickTop="1" thickBot="1" x14ac:dyDescent="0.3">
      <c r="A584" s="744" t="s">
        <v>1246</v>
      </c>
      <c r="B584" s="745"/>
      <c r="C584" s="746"/>
      <c r="D584" s="869"/>
      <c r="E584" s="759">
        <f>SUM(E581)</f>
        <v>5035</v>
      </c>
      <c r="F584" s="759">
        <f>SUM(F581)</f>
        <v>6964</v>
      </c>
      <c r="G584" s="759">
        <f>SUM(G581)</f>
        <v>6964</v>
      </c>
      <c r="H584" s="857">
        <f>(G584/F584)*100</f>
        <v>100</v>
      </c>
    </row>
    <row r="585" spans="1:19" s="439" customFormat="1" ht="15.75" thickTop="1" x14ac:dyDescent="0.25">
      <c r="A585" s="2058">
        <v>4357</v>
      </c>
      <c r="B585" s="2059">
        <v>6351</v>
      </c>
      <c r="C585" s="2060"/>
      <c r="D585" s="650" t="s">
        <v>1320</v>
      </c>
      <c r="E585" s="752">
        <v>480</v>
      </c>
      <c r="F585" s="752">
        <v>391</v>
      </c>
      <c r="G585" s="752">
        <v>391</v>
      </c>
      <c r="H585" s="868">
        <f>(G585/F585)*100</f>
        <v>100</v>
      </c>
    </row>
    <row r="586" spans="1:19" ht="15" thickBot="1" x14ac:dyDescent="0.25">
      <c r="A586" s="2029"/>
      <c r="B586" s="2030"/>
      <c r="C586" s="1179" t="s">
        <v>1536</v>
      </c>
      <c r="D586" s="2016" t="s">
        <v>1537</v>
      </c>
      <c r="E586" s="771">
        <v>480</v>
      </c>
      <c r="F586" s="771">
        <v>391</v>
      </c>
      <c r="G586" s="771">
        <v>391</v>
      </c>
      <c r="H586" s="855">
        <v>0</v>
      </c>
    </row>
    <row r="587" spans="1:19" s="369" customFormat="1" ht="20.25" customHeight="1" thickTop="1" thickBot="1" x14ac:dyDescent="0.3">
      <c r="A587" s="744" t="s">
        <v>1247</v>
      </c>
      <c r="B587" s="745"/>
      <c r="C587" s="746"/>
      <c r="D587" s="747"/>
      <c r="E587" s="759">
        <f>E585</f>
        <v>480</v>
      </c>
      <c r="F587" s="759">
        <f>SUM(F585)</f>
        <v>391</v>
      </c>
      <c r="G587" s="759">
        <f>SUM(G585)</f>
        <v>391</v>
      </c>
      <c r="H587" s="857">
        <f>SUM(H585)</f>
        <v>100</v>
      </c>
      <c r="S587" s="369">
        <v>0</v>
      </c>
    </row>
    <row r="588" spans="1:19" s="439" customFormat="1" ht="15.75" thickTop="1" x14ac:dyDescent="0.25">
      <c r="A588" s="812"/>
      <c r="B588" s="2046"/>
      <c r="C588" s="863"/>
      <c r="E588" s="511"/>
      <c r="F588" s="511"/>
      <c r="G588" s="511"/>
      <c r="H588" s="850"/>
    </row>
    <row r="589" spans="1:19" s="369" customFormat="1" ht="15" customHeight="1" x14ac:dyDescent="0.25">
      <c r="A589" s="2767" t="s">
        <v>9</v>
      </c>
      <c r="B589" s="2768"/>
      <c r="C589" s="2768"/>
      <c r="D589" s="2768"/>
      <c r="E589" s="2764">
        <f>SUM(E584,E587)</f>
        <v>5515</v>
      </c>
      <c r="F589" s="2764">
        <f>SUM(F584,F587)</f>
        <v>7355</v>
      </c>
      <c r="G589" s="2764">
        <f>SUM(G584,G587)</f>
        <v>7355</v>
      </c>
      <c r="H589" s="2762">
        <f>(G589/F589)*100</f>
        <v>100</v>
      </c>
    </row>
    <row r="590" spans="1:19" s="369" customFormat="1" ht="15.75" customHeight="1" thickBot="1" x14ac:dyDescent="0.3">
      <c r="A590" s="2763"/>
      <c r="B590" s="2763"/>
      <c r="C590" s="2763"/>
      <c r="D590" s="2763"/>
      <c r="E590" s="2763"/>
      <c r="F590" s="2763"/>
      <c r="G590" s="2763"/>
      <c r="H590" s="2763"/>
    </row>
    <row r="591" spans="1:19" s="860" customFormat="1" ht="14.25" customHeight="1" thickTop="1" x14ac:dyDescent="0.25">
      <c r="A591" s="2032"/>
      <c r="B591" s="2033"/>
      <c r="C591" s="2038"/>
      <c r="D591" s="2035"/>
      <c r="E591" s="864"/>
      <c r="F591" s="864"/>
      <c r="G591" s="864"/>
      <c r="H591" s="2039"/>
    </row>
    <row r="592" spans="1:19" s="860" customFormat="1" ht="14.25" customHeight="1" x14ac:dyDescent="0.25">
      <c r="A592" s="2032"/>
      <c r="B592" s="2033"/>
      <c r="C592" s="2038"/>
      <c r="D592" s="2035"/>
      <c r="E592" s="864"/>
      <c r="F592" s="864"/>
      <c r="G592" s="864"/>
      <c r="H592" s="2039"/>
    </row>
    <row r="593" spans="1:19" s="860" customFormat="1" ht="14.25" customHeight="1" x14ac:dyDescent="0.25">
      <c r="A593" s="2032"/>
      <c r="B593" s="2033"/>
      <c r="C593" s="2038"/>
      <c r="D593" s="2035"/>
      <c r="E593" s="864"/>
      <c r="F593" s="864"/>
      <c r="G593" s="864"/>
      <c r="H593" s="2039"/>
    </row>
    <row r="594" spans="1:19" s="525" customFormat="1" ht="15.75" x14ac:dyDescent="0.25">
      <c r="A594" s="874" t="s">
        <v>10</v>
      </c>
      <c r="B594" s="1714"/>
      <c r="C594" s="1714"/>
      <c r="D594" s="1714"/>
      <c r="E594" s="511" t="s">
        <v>654</v>
      </c>
      <c r="F594" s="511"/>
      <c r="G594" s="511"/>
      <c r="H594" s="850"/>
    </row>
    <row r="595" spans="1:19" ht="15" thickBot="1" x14ac:dyDescent="0.25">
      <c r="A595" s="2019"/>
      <c r="H595" s="2025" t="s">
        <v>179</v>
      </c>
    </row>
    <row r="596" spans="1:19" s="735" customFormat="1" ht="20.25" customHeight="1" thickTop="1" thickBot="1" x14ac:dyDescent="0.25">
      <c r="A596" s="813" t="s">
        <v>180</v>
      </c>
      <c r="B596" s="730" t="s">
        <v>181</v>
      </c>
      <c r="C596" s="731" t="s">
        <v>783</v>
      </c>
      <c r="D596" s="732" t="s">
        <v>182</v>
      </c>
      <c r="E596" s="733" t="s">
        <v>183</v>
      </c>
      <c r="F596" s="733" t="s">
        <v>985</v>
      </c>
      <c r="G596" s="733" t="s">
        <v>986</v>
      </c>
      <c r="H596" s="734" t="s">
        <v>987</v>
      </c>
    </row>
    <row r="597" spans="1:19" s="386" customFormat="1" ht="13.5" thickTop="1" thickBot="1" x14ac:dyDescent="0.25">
      <c r="A597" s="592">
        <v>1</v>
      </c>
      <c r="B597" s="593">
        <v>2</v>
      </c>
      <c r="C597" s="593">
        <v>3</v>
      </c>
      <c r="D597" s="593">
        <v>4</v>
      </c>
      <c r="E597" s="593">
        <v>5</v>
      </c>
      <c r="F597" s="567">
        <v>6</v>
      </c>
      <c r="G597" s="567">
        <v>7</v>
      </c>
      <c r="H597" s="662" t="s">
        <v>61</v>
      </c>
      <c r="I597" s="107"/>
    </row>
    <row r="598" spans="1:19" s="439" customFormat="1" ht="15.75" thickTop="1" x14ac:dyDescent="0.25">
      <c r="A598" s="2058">
        <v>4357</v>
      </c>
      <c r="B598" s="2059">
        <v>5331</v>
      </c>
      <c r="C598" s="2060"/>
      <c r="D598" s="650" t="s">
        <v>259</v>
      </c>
      <c r="E598" s="752">
        <f>E599+E600+E601+E602</f>
        <v>7514</v>
      </c>
      <c r="F598" s="752">
        <f>F599+F600+F601+F602</f>
        <v>14211</v>
      </c>
      <c r="G598" s="752">
        <f>G599+G600+G601+G602</f>
        <v>14211</v>
      </c>
      <c r="H598" s="739">
        <f>G598/F598*100</f>
        <v>100</v>
      </c>
    </row>
    <row r="599" spans="1:19" x14ac:dyDescent="0.2">
      <c r="A599" s="2029"/>
      <c r="B599" s="2030"/>
      <c r="C599" s="743" t="s">
        <v>641</v>
      </c>
      <c r="D599" s="1550" t="s">
        <v>1416</v>
      </c>
      <c r="E599" s="771">
        <v>1458</v>
      </c>
      <c r="F599" s="771">
        <v>2481</v>
      </c>
      <c r="G599" s="771">
        <v>2481</v>
      </c>
      <c r="H599" s="855">
        <f t="shared" ref="H599:H606" si="10">(G599/F599)*100</f>
        <v>100</v>
      </c>
    </row>
    <row r="600" spans="1:19" x14ac:dyDescent="0.2">
      <c r="A600" s="2029"/>
      <c r="B600" s="2030"/>
      <c r="C600" s="578" t="s">
        <v>636</v>
      </c>
      <c r="D600" s="574" t="s">
        <v>1220</v>
      </c>
      <c r="E600" s="771">
        <v>6056</v>
      </c>
      <c r="F600" s="771">
        <v>10756</v>
      </c>
      <c r="G600" s="771">
        <v>10756</v>
      </c>
      <c r="H600" s="855">
        <f t="shared" si="10"/>
        <v>100</v>
      </c>
    </row>
    <row r="601" spans="1:19" x14ac:dyDescent="0.2">
      <c r="A601" s="2029"/>
      <c r="B601" s="2030"/>
      <c r="C601" s="1565" t="s">
        <v>1541</v>
      </c>
      <c r="D601" s="2043" t="s">
        <v>1542</v>
      </c>
      <c r="E601" s="771"/>
      <c r="F601" s="771">
        <v>146</v>
      </c>
      <c r="G601" s="771">
        <v>146</v>
      </c>
      <c r="H601" s="855">
        <f t="shared" si="10"/>
        <v>100</v>
      </c>
    </row>
    <row r="602" spans="1:19" ht="15" thickBot="1" x14ac:dyDescent="0.25">
      <c r="A602" s="2029"/>
      <c r="B602" s="2030"/>
      <c r="C602" s="1565" t="s">
        <v>1543</v>
      </c>
      <c r="D602" s="2044" t="s">
        <v>1544</v>
      </c>
      <c r="E602" s="771"/>
      <c r="F602" s="771">
        <v>828</v>
      </c>
      <c r="G602" s="771">
        <v>828</v>
      </c>
      <c r="H602" s="855">
        <f t="shared" si="10"/>
        <v>100</v>
      </c>
    </row>
    <row r="603" spans="1:19" s="369" customFormat="1" ht="20.25" customHeight="1" thickTop="1" thickBot="1" x14ac:dyDescent="0.3">
      <c r="A603" s="744" t="s">
        <v>1246</v>
      </c>
      <c r="B603" s="745"/>
      <c r="C603" s="746"/>
      <c r="D603" s="869"/>
      <c r="E603" s="759">
        <f>SUM(E598)</f>
        <v>7514</v>
      </c>
      <c r="F603" s="759">
        <f>SUM(F598)</f>
        <v>14211</v>
      </c>
      <c r="G603" s="759">
        <f>SUM(G598)</f>
        <v>14211</v>
      </c>
      <c r="H603" s="857">
        <f t="shared" si="10"/>
        <v>100</v>
      </c>
      <c r="J603" s="984">
        <f>E603+E584+E568+E554+E539+E523+E506+E481+E462+E445+E428+E412+E399+E383+E368+E354</f>
        <v>79111</v>
      </c>
      <c r="K603" s="984">
        <f>F603+F584+F568+F554+F539+F523+F506+F481+F462+F445+F428+F412+F399+F383+F368+F354</f>
        <v>110728</v>
      </c>
      <c r="L603" s="984">
        <f>G603+G584+G568+G554+G539+G523+G506+G481+G462+G445+G428+G412+G399+G383+G368+G354</f>
        <v>110728</v>
      </c>
      <c r="M603" s="984" t="s">
        <v>711</v>
      </c>
      <c r="N603" s="862"/>
    </row>
    <row r="604" spans="1:19" s="439" customFormat="1" ht="15.75" thickTop="1" x14ac:dyDescent="0.25">
      <c r="A604" s="2058">
        <v>4357</v>
      </c>
      <c r="B604" s="2059">
        <v>6351</v>
      </c>
      <c r="C604" s="2060"/>
      <c r="D604" s="650" t="s">
        <v>1320</v>
      </c>
      <c r="E604" s="752">
        <v>1460</v>
      </c>
      <c r="F604" s="752">
        <v>2033</v>
      </c>
      <c r="G604" s="752">
        <v>2033</v>
      </c>
      <c r="H604" s="868">
        <f t="shared" si="10"/>
        <v>100</v>
      </c>
      <c r="J604" s="984">
        <f>E431+E448+E510+E557+E587+E607+E386+E415+E542+E484+E571+E465</f>
        <v>7320</v>
      </c>
      <c r="K604" s="984">
        <f>F431+F448+F510+F557+F587+F607+F386+F415+F542+F484+F571+F465</f>
        <v>7187</v>
      </c>
      <c r="L604" s="984">
        <f>G431+G448+G510+G557+G587+G607+G386+G415+G542+G484+G571+G465</f>
        <v>7187</v>
      </c>
      <c r="M604" s="439" t="s">
        <v>655</v>
      </c>
    </row>
    <row r="605" spans="1:19" x14ac:dyDescent="0.2">
      <c r="A605" s="2029"/>
      <c r="B605" s="2030"/>
      <c r="C605" s="754" t="s">
        <v>839</v>
      </c>
      <c r="D605" s="828" t="s">
        <v>995</v>
      </c>
      <c r="E605" s="771"/>
      <c r="F605" s="771">
        <v>626</v>
      </c>
      <c r="G605" s="771">
        <v>626</v>
      </c>
      <c r="H605" s="855">
        <f t="shared" si="10"/>
        <v>100</v>
      </c>
      <c r="J605" s="385"/>
      <c r="K605" s="385"/>
      <c r="L605" s="385"/>
    </row>
    <row r="606" spans="1:19" ht="15" thickBot="1" x14ac:dyDescent="0.25">
      <c r="A606" s="2029"/>
      <c r="B606" s="2030"/>
      <c r="C606" s="1179" t="s">
        <v>1536</v>
      </c>
      <c r="D606" s="2016" t="s">
        <v>1537</v>
      </c>
      <c r="E606" s="771">
        <v>1460</v>
      </c>
      <c r="F606" s="771">
        <v>1407</v>
      </c>
      <c r="G606" s="771">
        <v>1407</v>
      </c>
      <c r="H606" s="855">
        <f t="shared" si="10"/>
        <v>100</v>
      </c>
    </row>
    <row r="607" spans="1:19" s="860" customFormat="1" ht="20.25" customHeight="1" thickTop="1" thickBot="1" x14ac:dyDescent="0.3">
      <c r="A607" s="744" t="s">
        <v>1247</v>
      </c>
      <c r="B607" s="745"/>
      <c r="C607" s="746"/>
      <c r="D607" s="747"/>
      <c r="E607" s="759">
        <f>E604</f>
        <v>1460</v>
      </c>
      <c r="F607" s="759">
        <f>SUM(F604)</f>
        <v>2033</v>
      </c>
      <c r="G607" s="759">
        <f>SUM(G604)</f>
        <v>2033</v>
      </c>
      <c r="H607" s="857">
        <f>SUM(H604)</f>
        <v>100</v>
      </c>
      <c r="J607" s="548">
        <f>J340+J603</f>
        <v>177254</v>
      </c>
      <c r="K607" s="548">
        <f>K340+K603</f>
        <v>261879</v>
      </c>
      <c r="L607" s="548">
        <f>L340+L603</f>
        <v>261879</v>
      </c>
      <c r="M607" s="547" t="s">
        <v>711</v>
      </c>
      <c r="S607" s="860">
        <v>0</v>
      </c>
    </row>
    <row r="608" spans="1:19" ht="15" thickTop="1" x14ac:dyDescent="0.2">
      <c r="A608" s="2019"/>
      <c r="J608" s="385">
        <f>J604+J341</f>
        <v>17353</v>
      </c>
      <c r="K608" s="385">
        <f>K604+K341</f>
        <v>17304</v>
      </c>
      <c r="L608" s="385">
        <f>L604+L341</f>
        <v>17304</v>
      </c>
      <c r="M608" s="384" t="s">
        <v>655</v>
      </c>
    </row>
    <row r="609" spans="1:19" s="860" customFormat="1" ht="27.75" customHeight="1" thickBot="1" x14ac:dyDescent="0.3">
      <c r="A609" s="817" t="s">
        <v>11</v>
      </c>
      <c r="B609" s="2067"/>
      <c r="C609" s="2067"/>
      <c r="D609" s="2067"/>
      <c r="E609" s="861">
        <f>SUM(E603,E607)</f>
        <v>8974</v>
      </c>
      <c r="F609" s="861">
        <f>SUM(F603,F607)</f>
        <v>16244</v>
      </c>
      <c r="G609" s="861">
        <f>SUM(G603,G607)</f>
        <v>16244</v>
      </c>
      <c r="H609" s="822">
        <f>(G609/F609)*100</f>
        <v>100</v>
      </c>
      <c r="J609" s="871">
        <f>J607+J608</f>
        <v>194607</v>
      </c>
      <c r="K609" s="871">
        <f>K607+K608</f>
        <v>279183</v>
      </c>
      <c r="L609" s="871">
        <f>L607+L608</f>
        <v>279183</v>
      </c>
    </row>
    <row r="610" spans="1:19" s="860" customFormat="1" ht="21" customHeight="1" thickTop="1" x14ac:dyDescent="0.25">
      <c r="A610" s="2032"/>
      <c r="B610" s="1281"/>
      <c r="C610" s="1281"/>
      <c r="D610" s="1281"/>
      <c r="E610" s="2036"/>
      <c r="F610" s="2036"/>
      <c r="G610" s="2036"/>
      <c r="H610" s="2037"/>
      <c r="J610" s="2073"/>
      <c r="K610" s="2073"/>
      <c r="L610" s="2073"/>
    </row>
    <row r="611" spans="1:19" s="860" customFormat="1" ht="16.5" customHeight="1" x14ac:dyDescent="0.25">
      <c r="A611" s="2032"/>
      <c r="B611" s="1281"/>
      <c r="C611" s="1281"/>
      <c r="D611" s="1281"/>
      <c r="E611" s="2036"/>
      <c r="F611" s="2036"/>
      <c r="G611" s="2036"/>
      <c r="H611" s="2037"/>
      <c r="J611" s="2073"/>
      <c r="K611" s="2073"/>
      <c r="L611" s="2073"/>
    </row>
    <row r="612" spans="1:19" s="860" customFormat="1" ht="16.5" customHeight="1" x14ac:dyDescent="0.25">
      <c r="A612" s="2032"/>
      <c r="B612" s="1281"/>
      <c r="C612" s="1281"/>
      <c r="D612" s="1281"/>
      <c r="E612" s="2036"/>
      <c r="F612" s="2036"/>
      <c r="G612" s="2036"/>
      <c r="H612" s="2037"/>
      <c r="J612" s="2073"/>
      <c r="K612" s="2073"/>
      <c r="L612" s="2073"/>
    </row>
    <row r="613" spans="1:19" s="525" customFormat="1" ht="15.75" x14ac:dyDescent="0.25">
      <c r="A613" s="874" t="s">
        <v>1224</v>
      </c>
      <c r="B613" s="1714"/>
      <c r="C613" s="1714"/>
      <c r="D613" s="1714"/>
      <c r="E613" s="511"/>
      <c r="F613" s="511"/>
      <c r="G613" s="511"/>
      <c r="H613" s="850"/>
    </row>
    <row r="614" spans="1:19" ht="15" thickBot="1" x14ac:dyDescent="0.25">
      <c r="H614" s="2025" t="s">
        <v>179</v>
      </c>
    </row>
    <row r="615" spans="1:19" ht="17.100000000000001" customHeight="1" thickTop="1" thickBot="1" x14ac:dyDescent="0.25">
      <c r="A615" s="657" t="s">
        <v>180</v>
      </c>
      <c r="B615" s="658" t="s">
        <v>181</v>
      </c>
      <c r="C615" s="660" t="s">
        <v>783</v>
      </c>
      <c r="D615" s="660" t="s">
        <v>182</v>
      </c>
      <c r="E615" s="660" t="s">
        <v>183</v>
      </c>
      <c r="F615" s="660" t="s">
        <v>985</v>
      </c>
      <c r="G615" s="660" t="s">
        <v>986</v>
      </c>
      <c r="H615" s="661" t="s">
        <v>987</v>
      </c>
    </row>
    <row r="616" spans="1:19" s="2040" customFormat="1" thickTop="1" thickBot="1" x14ac:dyDescent="0.25">
      <c r="A616" s="592">
        <v>1</v>
      </c>
      <c r="B616" s="593">
        <v>2</v>
      </c>
      <c r="C616" s="593">
        <v>3</v>
      </c>
      <c r="D616" s="593">
        <v>4</v>
      </c>
      <c r="E616" s="593">
        <v>5</v>
      </c>
      <c r="F616" s="1544">
        <v>6</v>
      </c>
      <c r="G616" s="1544">
        <v>7</v>
      </c>
      <c r="H616" s="2017" t="s">
        <v>61</v>
      </c>
    </row>
    <row r="617" spans="1:19" s="439" customFormat="1" ht="15.75" thickTop="1" x14ac:dyDescent="0.25">
      <c r="A617" s="2068">
        <v>4399</v>
      </c>
      <c r="B617" s="2069">
        <v>5331</v>
      </c>
      <c r="C617" s="2070"/>
      <c r="D617" s="1229" t="s">
        <v>1026</v>
      </c>
      <c r="E617" s="88">
        <v>7000</v>
      </c>
      <c r="F617" s="233">
        <v>0</v>
      </c>
      <c r="G617" s="372">
        <v>0</v>
      </c>
      <c r="H617" s="240">
        <v>0</v>
      </c>
    </row>
    <row r="618" spans="1:19" ht="15" thickBot="1" x14ac:dyDescent="0.25">
      <c r="A618" s="1490"/>
      <c r="B618" s="2045"/>
      <c r="C618" s="1179" t="s">
        <v>636</v>
      </c>
      <c r="D618" s="85" t="s">
        <v>657</v>
      </c>
      <c r="E618" s="55">
        <v>7000</v>
      </c>
      <c r="F618" s="314">
        <v>0</v>
      </c>
      <c r="G618" s="316">
        <v>0</v>
      </c>
      <c r="H618" s="1184">
        <v>0</v>
      </c>
    </row>
    <row r="619" spans="1:19" s="860" customFormat="1" ht="20.25" customHeight="1" thickTop="1" thickBot="1" x14ac:dyDescent="0.3">
      <c r="A619" s="744" t="s">
        <v>1225</v>
      </c>
      <c r="B619" s="745"/>
      <c r="C619" s="746"/>
      <c r="D619" s="747"/>
      <c r="E619" s="759">
        <f>E617</f>
        <v>7000</v>
      </c>
      <c r="F619" s="759">
        <f>SUM(F617)</f>
        <v>0</v>
      </c>
      <c r="G619" s="759">
        <f>SUM(G617)</f>
        <v>0</v>
      </c>
      <c r="H619" s="857">
        <f>SUM(H617)</f>
        <v>0</v>
      </c>
      <c r="J619" s="548">
        <f>E619</f>
        <v>7000</v>
      </c>
      <c r="K619" s="548">
        <f>K348+K616</f>
        <v>0</v>
      </c>
      <c r="L619" s="548">
        <f>L348+L616</f>
        <v>0</v>
      </c>
      <c r="M619" s="547" t="s">
        <v>711</v>
      </c>
      <c r="S619" s="860">
        <v>0</v>
      </c>
    </row>
    <row r="620" spans="1:19" s="860" customFormat="1" ht="27.75" customHeight="1" thickTop="1" x14ac:dyDescent="0.25">
      <c r="A620" s="2032"/>
      <c r="B620" s="1281"/>
      <c r="C620" s="1281"/>
      <c r="D620" s="1281"/>
      <c r="E620" s="2036"/>
      <c r="F620" s="2036"/>
      <c r="G620" s="2036"/>
      <c r="H620" s="2037"/>
      <c r="J620" s="871">
        <f>J609+J619</f>
        <v>201607</v>
      </c>
      <c r="K620" s="871">
        <f>K609+K619</f>
        <v>279183</v>
      </c>
      <c r="L620" s="871">
        <f>L609+L619</f>
        <v>279183</v>
      </c>
    </row>
    <row r="621" spans="1:19" s="860" customFormat="1" ht="27.75" customHeight="1" x14ac:dyDescent="0.25">
      <c r="A621" s="2032"/>
      <c r="B621" s="1281"/>
      <c r="C621" s="1281"/>
      <c r="D621" s="1281"/>
      <c r="E621" s="876"/>
      <c r="F621" s="876"/>
      <c r="G621" s="876"/>
      <c r="H621" s="2037"/>
      <c r="J621" s="871"/>
      <c r="K621" s="871"/>
      <c r="L621" s="871"/>
    </row>
    <row r="622" spans="1:19" s="369" customFormat="1" ht="15.75" customHeight="1" x14ac:dyDescent="0.25">
      <c r="A622" s="363" t="s">
        <v>1294</v>
      </c>
      <c r="B622" s="364"/>
      <c r="C622" s="365"/>
      <c r="D622" s="366"/>
      <c r="E622" s="876">
        <f>E623+E624+E625+E626</f>
        <v>9583</v>
      </c>
      <c r="F622" s="876">
        <f>F623+F624+F625+F626</f>
        <v>23784</v>
      </c>
      <c r="G622" s="876">
        <f>G623+G624+G625+G626</f>
        <v>21377</v>
      </c>
      <c r="H622" s="877">
        <f>(G622/F622)*100</f>
        <v>89.879751093171876</v>
      </c>
    </row>
    <row r="623" spans="1:19" s="860" customFormat="1" ht="15.75" customHeight="1" x14ac:dyDescent="0.25">
      <c r="A623" s="581" t="s">
        <v>288</v>
      </c>
      <c r="B623" s="879"/>
      <c r="C623" s="1649"/>
      <c r="D623" s="880"/>
      <c r="E623" s="1621">
        <f>E76</f>
        <v>9583</v>
      </c>
      <c r="F623" s="1621">
        <f>F76-F625</f>
        <v>22769</v>
      </c>
      <c r="G623" s="1621">
        <f>G76-G625</f>
        <v>20397</v>
      </c>
      <c r="H623" s="878">
        <f>(G623/F623)*100</f>
        <v>89.58232684790724</v>
      </c>
    </row>
    <row r="624" spans="1:19" s="860" customFormat="1" ht="15.75" customHeight="1" x14ac:dyDescent="0.25">
      <c r="A624" s="581" t="s">
        <v>289</v>
      </c>
      <c r="B624" s="1650"/>
      <c r="C624" s="1649"/>
      <c r="D624" s="1651"/>
      <c r="E624" s="1621">
        <v>0</v>
      </c>
      <c r="F624" s="1621">
        <f>F89</f>
        <v>885</v>
      </c>
      <c r="G624" s="1621">
        <f>G89</f>
        <v>885</v>
      </c>
      <c r="H624" s="878">
        <f>(G624/F624)*100</f>
        <v>100</v>
      </c>
      <c r="J624" s="871"/>
      <c r="K624" s="548">
        <f>F625+F631</f>
        <v>4126</v>
      </c>
      <c r="L624" s="548">
        <f>G625+G631</f>
        <v>4091</v>
      </c>
      <c r="M624" s="547" t="s">
        <v>656</v>
      </c>
    </row>
    <row r="625" spans="1:19" s="860" customFormat="1" ht="15.75" customHeight="1" x14ac:dyDescent="0.25">
      <c r="A625" s="581" t="s">
        <v>227</v>
      </c>
      <c r="B625" s="1650"/>
      <c r="C625" s="1649"/>
      <c r="D625" s="1651"/>
      <c r="E625" s="1621">
        <v>0</v>
      </c>
      <c r="F625" s="1621">
        <f>F16</f>
        <v>130</v>
      </c>
      <c r="G625" s="1621">
        <f>G16</f>
        <v>95</v>
      </c>
      <c r="H625" s="878">
        <f>(G625/F625)*100</f>
        <v>73.076923076923066</v>
      </c>
    </row>
    <row r="626" spans="1:19" s="860" customFormat="1" ht="15.75" customHeight="1" x14ac:dyDescent="0.25">
      <c r="A626" s="581" t="s">
        <v>1291</v>
      </c>
      <c r="B626" s="1650"/>
      <c r="C626" s="1649"/>
      <c r="D626" s="1651"/>
      <c r="E626" s="1621">
        <v>0</v>
      </c>
      <c r="F626" s="1621">
        <v>0</v>
      </c>
      <c r="G626" s="1621">
        <v>0</v>
      </c>
      <c r="H626" s="878">
        <v>0</v>
      </c>
    </row>
    <row r="627" spans="1:19" s="860" customFormat="1" ht="15.75" customHeight="1" x14ac:dyDescent="0.25">
      <c r="A627" s="581"/>
      <c r="B627" s="1650"/>
      <c r="C627" s="1649"/>
      <c r="D627" s="1651"/>
      <c r="E627" s="864"/>
      <c r="F627" s="864"/>
      <c r="G627" s="864"/>
      <c r="H627" s="2039"/>
    </row>
    <row r="628" spans="1:19" s="369" customFormat="1" ht="15.75" customHeight="1" x14ac:dyDescent="0.25">
      <c r="A628" s="797" t="s">
        <v>290</v>
      </c>
      <c r="B628" s="727"/>
      <c r="C628" s="779"/>
      <c r="D628" s="2071"/>
      <c r="E628" s="876">
        <f>E629+E630+E631+E632</f>
        <v>201607</v>
      </c>
      <c r="F628" s="876">
        <f>F629+F630+F631+F632</f>
        <v>279183</v>
      </c>
      <c r="G628" s="876">
        <f>G629+G630+G631+G632</f>
        <v>279183</v>
      </c>
      <c r="H628" s="877">
        <f>(G628/F628)*100</f>
        <v>100</v>
      </c>
    </row>
    <row r="629" spans="1:19" s="860" customFormat="1" ht="15.75" customHeight="1" x14ac:dyDescent="0.25">
      <c r="A629" s="581" t="s">
        <v>1292</v>
      </c>
      <c r="B629" s="1650"/>
      <c r="C629" s="1649"/>
      <c r="D629" s="1651"/>
      <c r="E629" s="1621">
        <f>J607-E631+E619</f>
        <v>184254</v>
      </c>
      <c r="F629" s="1621">
        <f>K607-F631</f>
        <v>257883</v>
      </c>
      <c r="G629" s="1621">
        <f>L607-G631</f>
        <v>257883</v>
      </c>
      <c r="H629" s="878">
        <f>(G629/F629)*100</f>
        <v>100</v>
      </c>
      <c r="J629" s="614"/>
      <c r="K629" s="614"/>
      <c r="L629" s="614"/>
      <c r="M629" s="614"/>
      <c r="N629" s="614"/>
      <c r="O629" s="614"/>
      <c r="P629" s="614"/>
      <c r="Q629" s="614"/>
      <c r="R629" s="614"/>
      <c r="S629" s="614">
        <f>SUM(S113:S603)</f>
        <v>0</v>
      </c>
    </row>
    <row r="630" spans="1:19" s="860" customFormat="1" ht="15.75" customHeight="1" x14ac:dyDescent="0.25">
      <c r="A630" s="581" t="s">
        <v>1293</v>
      </c>
      <c r="B630" s="1650"/>
      <c r="C630" s="1649"/>
      <c r="D630" s="1651"/>
      <c r="E630" s="1621">
        <f>J608-E632</f>
        <v>17353</v>
      </c>
      <c r="F630" s="1621">
        <f>K608-F632</f>
        <v>17304</v>
      </c>
      <c r="G630" s="1621">
        <f>L608-G632</f>
        <v>17304</v>
      </c>
      <c r="H630" s="878">
        <f>(G630/F630)*100</f>
        <v>100</v>
      </c>
    </row>
    <row r="631" spans="1:19" s="860" customFormat="1" ht="15.75" customHeight="1" x14ac:dyDescent="0.25">
      <c r="A631" s="581" t="s">
        <v>227</v>
      </c>
      <c r="B631" s="2020"/>
      <c r="C631" s="691"/>
      <c r="D631" s="384"/>
      <c r="E631" s="1621">
        <v>0</v>
      </c>
      <c r="F631" s="1621">
        <f>F294+F535+F536+F601+F602+F229+F538+F480+F277</f>
        <v>3996</v>
      </c>
      <c r="G631" s="1621">
        <f>G294+G535+G536+G601+G602+G229+G538+G480+G277</f>
        <v>3996</v>
      </c>
      <c r="H631" s="878">
        <f>(G631/F631)*100</f>
        <v>100</v>
      </c>
      <c r="K631" s="871"/>
      <c r="L631" s="871"/>
    </row>
    <row r="632" spans="1:19" s="860" customFormat="1" ht="15.75" customHeight="1" x14ac:dyDescent="0.25">
      <c r="A632" s="581" t="s">
        <v>1291</v>
      </c>
      <c r="B632" s="2020"/>
      <c r="C632" s="691"/>
      <c r="D632" s="384"/>
      <c r="E632" s="1621">
        <v>0</v>
      </c>
      <c r="F632" s="1621">
        <v>0</v>
      </c>
      <c r="G632" s="1621">
        <v>0</v>
      </c>
      <c r="H632" s="878">
        <v>0</v>
      </c>
    </row>
    <row r="633" spans="1:19" s="880" customFormat="1" ht="15" x14ac:dyDescent="0.2">
      <c r="A633" s="879"/>
      <c r="B633" s="879"/>
      <c r="C633" s="691"/>
      <c r="E633" s="2018"/>
      <c r="F633" s="2018"/>
      <c r="G633" s="2018"/>
      <c r="H633" s="825"/>
      <c r="J633" s="614"/>
      <c r="K633" s="614"/>
    </row>
    <row r="634" spans="1:19" s="2072" customFormat="1" ht="47.25" customHeight="1" thickBot="1" x14ac:dyDescent="0.35">
      <c r="A634" s="2765" t="s">
        <v>1410</v>
      </c>
      <c r="B634" s="2766"/>
      <c r="C634" s="2766"/>
      <c r="D634" s="2766"/>
      <c r="E634" s="881">
        <f>SUM(E622,E628)</f>
        <v>211190</v>
      </c>
      <c r="F634" s="881">
        <f>SUM(F622,F628)</f>
        <v>302967</v>
      </c>
      <c r="G634" s="881">
        <f>SUM(G622,G628)</f>
        <v>300560</v>
      </c>
      <c r="H634" s="686">
        <f>(G634/F634)*100</f>
        <v>99.20552403397069</v>
      </c>
      <c r="J634" s="1414"/>
      <c r="K634" s="1414"/>
      <c r="L634" s="1414"/>
    </row>
    <row r="635" spans="1:19" ht="15" thickTop="1" x14ac:dyDescent="0.2"/>
  </sheetData>
  <mergeCells count="16">
    <mergeCell ref="D18:D19"/>
    <mergeCell ref="D24:D25"/>
    <mergeCell ref="D29:D30"/>
    <mergeCell ref="D33:D34"/>
    <mergeCell ref="D38:D39"/>
    <mergeCell ref="D20:D21"/>
    <mergeCell ref="H589:H590"/>
    <mergeCell ref="F589:F590"/>
    <mergeCell ref="G589:G590"/>
    <mergeCell ref="D41:D42"/>
    <mergeCell ref="A634:D634"/>
    <mergeCell ref="A589:D590"/>
    <mergeCell ref="D49:D50"/>
    <mergeCell ref="D294:D295"/>
    <mergeCell ref="E589:E590"/>
    <mergeCell ref="D57:D58"/>
  </mergeCells>
  <phoneticPr fontId="0" type="noConversion"/>
  <pageMargins left="0.98425196850393704" right="0.98425196850393704" top="0.98425196850393704" bottom="0.98425196850393704" header="0.51181102362204722" footer="0.51181102362204722"/>
  <pageSetup paperSize="9" scale="70" firstPageNumber="95" orientation="portrait" useFirstPageNumber="1" r:id="rId1"/>
  <headerFooter alignWithMargins="0">
    <oddFooter xml:space="preserve">&amp;L&amp;"Arial,Kurzíva"Zastupitelstvo Olomouckého kraje 28. 6. 2013
6.- Závěrečný  účet Olomuckého kraje za rok 2012
Příloha č. 3: Plnění rozpočtu výdajů Olomouckého kraje k 31.12.2012&amp;R&amp;"Arial,Kurzíva"Strana &amp;P (Celkem 484)
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 enableFormatConditionsCalculation="0">
    <tabColor rgb="FF92D050"/>
  </sheetPr>
  <dimension ref="A1:U129"/>
  <sheetViews>
    <sheetView showGridLines="0" view="pageBreakPreview" zoomScaleNormal="100" zoomScaleSheetLayoutView="100" workbookViewId="0">
      <selection activeCell="O15" sqref="O15:O16"/>
    </sheetView>
  </sheetViews>
  <sheetFormatPr defaultRowHeight="12.75" x14ac:dyDescent="0.2"/>
  <cols>
    <col min="1" max="1" width="4.7109375" style="669" customWidth="1"/>
    <col min="2" max="2" width="4.7109375" style="558" customWidth="1"/>
    <col min="3" max="3" width="9" style="1418" customWidth="1"/>
    <col min="4" max="4" width="45.7109375" style="558" customWidth="1"/>
    <col min="5" max="5" width="14.5703125" style="517" customWidth="1"/>
    <col min="6" max="6" width="14.28515625" style="517" customWidth="1"/>
    <col min="7" max="7" width="15.28515625" style="517" customWidth="1"/>
    <col min="8" max="8" width="7.140625" style="692" customWidth="1"/>
    <col min="9" max="9" width="9.140625" style="558"/>
    <col min="10" max="12" width="10.85546875" style="558" bestFit="1" customWidth="1"/>
    <col min="13" max="13" width="9.5703125" style="558" bestFit="1" customWidth="1"/>
    <col min="14" max="16384" width="9.140625" style="558"/>
  </cols>
  <sheetData>
    <row r="1" spans="1:21" ht="18.75" thickBot="1" x14ac:dyDescent="0.3">
      <c r="A1" s="487" t="s">
        <v>1064</v>
      </c>
      <c r="B1" s="488"/>
      <c r="C1" s="507"/>
      <c r="D1" s="499"/>
      <c r="E1" s="516"/>
      <c r="F1" s="491" t="s">
        <v>1065</v>
      </c>
      <c r="I1" s="17"/>
    </row>
    <row r="2" spans="1:21" ht="12.75" customHeight="1" x14ac:dyDescent="0.25">
      <c r="A2" s="6"/>
      <c r="B2" s="28"/>
      <c r="C2" s="170"/>
      <c r="D2" s="10"/>
      <c r="E2" s="137"/>
      <c r="F2" s="137"/>
      <c r="G2" s="16"/>
      <c r="H2" s="194"/>
      <c r="I2" s="17"/>
    </row>
    <row r="3" spans="1:21" ht="12.75" customHeight="1" x14ac:dyDescent="0.25">
      <c r="A3" s="67" t="s">
        <v>404</v>
      </c>
      <c r="B3" s="28"/>
      <c r="C3" s="557" t="s">
        <v>199</v>
      </c>
      <c r="D3" s="653"/>
      <c r="E3" s="137"/>
      <c r="F3" s="16"/>
      <c r="G3" s="17"/>
      <c r="H3" s="194"/>
    </row>
    <row r="4" spans="1:21" ht="12.75" customHeight="1" x14ac:dyDescent="0.25">
      <c r="A4" s="6"/>
      <c r="B4" s="28"/>
      <c r="C4" s="1970" t="s">
        <v>1955</v>
      </c>
      <c r="D4" s="699"/>
      <c r="E4" s="138"/>
      <c r="F4" s="16"/>
      <c r="G4" s="17"/>
      <c r="H4" s="194"/>
    </row>
    <row r="5" spans="1:21" ht="12.75" customHeight="1" x14ac:dyDescent="0.25">
      <c r="A5" s="6"/>
      <c r="B5" s="28"/>
      <c r="C5" s="557"/>
      <c r="D5" s="699"/>
      <c r="E5" s="138"/>
      <c r="F5" s="16"/>
      <c r="G5" s="17"/>
      <c r="H5" s="194"/>
    </row>
    <row r="6" spans="1:21" ht="12.75" customHeight="1" x14ac:dyDescent="0.25">
      <c r="A6" s="6"/>
      <c r="B6" s="28"/>
      <c r="C6" s="557"/>
      <c r="D6" s="699"/>
      <c r="E6" s="138"/>
      <c r="F6" s="16"/>
      <c r="G6" s="17"/>
      <c r="H6" s="194"/>
    </row>
    <row r="7" spans="1:21" ht="12.75" customHeight="1" x14ac:dyDescent="0.25">
      <c r="A7" s="6"/>
      <c r="B7" s="28"/>
      <c r="C7" s="557"/>
      <c r="D7" s="699"/>
      <c r="E7" s="138"/>
      <c r="F7" s="16"/>
      <c r="G7" s="17"/>
      <c r="H7" s="194"/>
    </row>
    <row r="8" spans="1:21" ht="12.75" customHeight="1" x14ac:dyDescent="0.25">
      <c r="A8" s="701" t="s">
        <v>988</v>
      </c>
      <c r="B8" s="28"/>
      <c r="C8" s="557"/>
      <c r="D8" s="699"/>
      <c r="E8" s="138"/>
      <c r="F8" s="16"/>
      <c r="G8" s="17"/>
      <c r="H8" s="194"/>
    </row>
    <row r="9" spans="1:21" ht="12.75" customHeight="1" x14ac:dyDescent="0.25">
      <c r="A9" s="701"/>
      <c r="B9" s="28"/>
      <c r="C9" s="557"/>
      <c r="D9" s="699"/>
      <c r="E9" s="138"/>
      <c r="F9" s="16"/>
      <c r="G9" s="17"/>
      <c r="H9" s="194"/>
    </row>
    <row r="10" spans="1:21" ht="13.5" thickBot="1" x14ac:dyDescent="0.25">
      <c r="A10" s="655"/>
      <c r="B10" s="655"/>
      <c r="C10" s="831"/>
      <c r="D10" s="656"/>
      <c r="G10" s="1014"/>
      <c r="H10" s="692" t="s">
        <v>179</v>
      </c>
    </row>
    <row r="11" spans="1:21" s="107" customFormat="1" ht="20.25" customHeight="1" thickTop="1" thickBot="1" x14ac:dyDescent="0.25">
      <c r="A11" s="657" t="s">
        <v>180</v>
      </c>
      <c r="B11" s="658" t="s">
        <v>181</v>
      </c>
      <c r="C11" s="702" t="s">
        <v>783</v>
      </c>
      <c r="D11" s="660" t="s">
        <v>182</v>
      </c>
      <c r="E11" s="660" t="s">
        <v>183</v>
      </c>
      <c r="F11" s="660" t="s">
        <v>985</v>
      </c>
      <c r="G11" s="660" t="s">
        <v>986</v>
      </c>
      <c r="H11" s="661" t="s">
        <v>987</v>
      </c>
    </row>
    <row r="12" spans="1:21" s="386" customFormat="1" ht="13.5" thickTop="1" thickBot="1" x14ac:dyDescent="0.25">
      <c r="A12" s="592">
        <v>1</v>
      </c>
      <c r="B12" s="593">
        <v>2</v>
      </c>
      <c r="C12" s="593">
        <v>3</v>
      </c>
      <c r="D12" s="593">
        <v>4</v>
      </c>
      <c r="E12" s="593">
        <v>5</v>
      </c>
      <c r="F12" s="567">
        <v>6</v>
      </c>
      <c r="G12" s="567">
        <v>7</v>
      </c>
      <c r="H12" s="662" t="s">
        <v>61</v>
      </c>
      <c r="I12" s="107"/>
    </row>
    <row r="13" spans="1:21" s="1219" customFormat="1" ht="15.75" thickTop="1" x14ac:dyDescent="0.25">
      <c r="A13" s="34">
        <v>2219</v>
      </c>
      <c r="B13" s="85">
        <v>5321</v>
      </c>
      <c r="C13" s="1230"/>
      <c r="D13" s="87" t="s">
        <v>1349</v>
      </c>
      <c r="E13" s="1231"/>
      <c r="F13" s="148">
        <f>F14+F15</f>
        <v>512</v>
      </c>
      <c r="G13" s="148">
        <f>G14+G15</f>
        <v>512</v>
      </c>
      <c r="H13" s="203">
        <f t="shared" ref="H13:H18" si="0">G13/F13*100</f>
        <v>100</v>
      </c>
    </row>
    <row r="14" spans="1:21" s="1219" customFormat="1" ht="14.25" x14ac:dyDescent="0.2">
      <c r="A14" s="34"/>
      <c r="B14" s="85"/>
      <c r="C14" s="1195" t="s">
        <v>1350</v>
      </c>
      <c r="D14" s="1173" t="s">
        <v>1737</v>
      </c>
      <c r="E14" s="1231"/>
      <c r="F14" s="123">
        <v>20</v>
      </c>
      <c r="G14" s="124">
        <v>20</v>
      </c>
      <c r="H14" s="1175">
        <f t="shared" si="0"/>
        <v>100</v>
      </c>
    </row>
    <row r="15" spans="1:21" s="1219" customFormat="1" ht="14.25" x14ac:dyDescent="0.2">
      <c r="A15" s="34"/>
      <c r="B15" s="85"/>
      <c r="C15" s="1195" t="s">
        <v>1407</v>
      </c>
      <c r="D15" s="1173" t="s">
        <v>1750</v>
      </c>
      <c r="E15" s="1231"/>
      <c r="F15" s="123">
        <v>492</v>
      </c>
      <c r="G15" s="124">
        <v>492</v>
      </c>
      <c r="H15" s="1175">
        <f t="shared" si="0"/>
        <v>100</v>
      </c>
    </row>
    <row r="16" spans="1:21" s="1219" customFormat="1" ht="14.25" customHeight="1" x14ac:dyDescent="0.25">
      <c r="A16" s="34">
        <v>2221</v>
      </c>
      <c r="B16" s="1199">
        <v>5193</v>
      </c>
      <c r="C16" s="1179"/>
      <c r="D16" s="1167" t="s">
        <v>807</v>
      </c>
      <c r="E16" s="48">
        <f>E17+E18</f>
        <v>367072</v>
      </c>
      <c r="F16" s="48">
        <f>F17+F18</f>
        <v>374222</v>
      </c>
      <c r="G16" s="48">
        <f>G17+G18</f>
        <v>371297</v>
      </c>
      <c r="H16" s="203">
        <f t="shared" si="0"/>
        <v>99.218378395711639</v>
      </c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</row>
    <row r="17" spans="1:21" s="1219" customFormat="1" ht="14.25" customHeight="1" x14ac:dyDescent="0.2">
      <c r="A17" s="34"/>
      <c r="B17" s="1199"/>
      <c r="C17" s="1195" t="s">
        <v>27</v>
      </c>
      <c r="D17" s="1173" t="s">
        <v>1413</v>
      </c>
      <c r="E17" s="55">
        <v>365572</v>
      </c>
      <c r="F17" s="1401">
        <v>372722</v>
      </c>
      <c r="G17" s="316">
        <v>370338</v>
      </c>
      <c r="H17" s="1175">
        <f t="shared" si="0"/>
        <v>99.360381195636421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</row>
    <row r="18" spans="1:21" s="1219" customFormat="1" ht="14.25" customHeight="1" x14ac:dyDescent="0.2">
      <c r="A18" s="34"/>
      <c r="B18" s="1199"/>
      <c r="C18" s="1195" t="s">
        <v>28</v>
      </c>
      <c r="D18" s="85" t="s">
        <v>1414</v>
      </c>
      <c r="E18" s="55">
        <v>1500</v>
      </c>
      <c r="F18" s="314">
        <v>1500</v>
      </c>
      <c r="G18" s="316">
        <v>959</v>
      </c>
      <c r="H18" s="1175">
        <f t="shared" si="0"/>
        <v>63.93333333333333</v>
      </c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</row>
    <row r="19" spans="1:21" s="1219" customFormat="1" ht="14.25" customHeight="1" x14ac:dyDescent="0.25">
      <c r="A19" s="1490">
        <v>2223</v>
      </c>
      <c r="B19" s="85">
        <v>5166</v>
      </c>
      <c r="C19" s="1195"/>
      <c r="D19" s="1167" t="s">
        <v>677</v>
      </c>
      <c r="E19" s="71">
        <v>80</v>
      </c>
      <c r="F19" s="313">
        <v>0</v>
      </c>
      <c r="G19" s="315">
        <v>0</v>
      </c>
      <c r="H19" s="203">
        <v>0</v>
      </c>
      <c r="I19" s="1254"/>
      <c r="J19" s="1254"/>
      <c r="K19" s="1254"/>
      <c r="L19" s="1254"/>
      <c r="M19" s="1254"/>
      <c r="N19" s="1254"/>
      <c r="O19" s="1254"/>
      <c r="P19" s="1254"/>
      <c r="Q19" s="1254"/>
      <c r="R19" s="1254"/>
      <c r="S19" s="1254"/>
      <c r="T19" s="1254"/>
      <c r="U19" s="1254"/>
    </row>
    <row r="20" spans="1:21" s="1219" customFormat="1" ht="14.25" customHeight="1" x14ac:dyDescent="0.25">
      <c r="A20" s="34">
        <v>2223</v>
      </c>
      <c r="B20" s="1199">
        <v>5192</v>
      </c>
      <c r="C20" s="1179"/>
      <c r="D20" s="1167" t="s">
        <v>1380</v>
      </c>
      <c r="E20" s="48">
        <v>160</v>
      </c>
      <c r="F20" s="168">
        <v>207</v>
      </c>
      <c r="G20" s="462">
        <v>143</v>
      </c>
      <c r="H20" s="203">
        <f>G20/F20*100</f>
        <v>69.082125603864725</v>
      </c>
      <c r="I20" s="1166"/>
      <c r="J20" s="1166"/>
      <c r="K20" s="1166"/>
      <c r="L20" s="1166"/>
      <c r="M20" s="1166"/>
      <c r="N20" s="1166"/>
      <c r="O20" s="1166"/>
      <c r="P20" s="1166"/>
      <c r="Q20" s="1166"/>
      <c r="R20" s="1166"/>
      <c r="S20" s="1166"/>
      <c r="T20" s="1166"/>
      <c r="U20" s="1166"/>
    </row>
    <row r="21" spans="1:21" s="1219" customFormat="1" ht="14.25" customHeight="1" x14ac:dyDescent="0.25">
      <c r="A21" s="34">
        <v>2223</v>
      </c>
      <c r="B21" s="1199">
        <v>5339</v>
      </c>
      <c r="C21" s="1179"/>
      <c r="D21" s="1167" t="s">
        <v>1389</v>
      </c>
      <c r="E21" s="48">
        <v>750</v>
      </c>
      <c r="F21" s="168">
        <v>750</v>
      </c>
      <c r="G21" s="462">
        <v>750</v>
      </c>
      <c r="H21" s="203">
        <f>G21/F21*100</f>
        <v>100</v>
      </c>
      <c r="I21" s="1166"/>
      <c r="J21" s="1166"/>
      <c r="K21" s="1166"/>
      <c r="L21" s="1166"/>
      <c r="M21" s="1166"/>
      <c r="N21" s="1166"/>
      <c r="O21" s="1166"/>
      <c r="P21" s="1166"/>
      <c r="Q21" s="1166"/>
      <c r="R21" s="1166"/>
      <c r="S21" s="1166"/>
      <c r="T21" s="1166"/>
      <c r="U21" s="1166"/>
    </row>
    <row r="22" spans="1:21" s="1219" customFormat="1" ht="14.25" customHeight="1" x14ac:dyDescent="0.25">
      <c r="A22" s="34">
        <v>2242</v>
      </c>
      <c r="B22" s="1199">
        <v>5193</v>
      </c>
      <c r="C22" s="1195"/>
      <c r="D22" s="1255" t="s">
        <v>809</v>
      </c>
      <c r="E22" s="48">
        <f>E23+E24</f>
        <v>414015</v>
      </c>
      <c r="F22" s="48">
        <f>F23+F24</f>
        <v>610335</v>
      </c>
      <c r="G22" s="48">
        <f>G23+G24</f>
        <v>605433</v>
      </c>
      <c r="H22" s="203">
        <f>G22/F22*100</f>
        <v>99.196834525301682</v>
      </c>
      <c r="I22" s="1166"/>
      <c r="J22" s="1166"/>
      <c r="K22" s="1166"/>
      <c r="L22" s="1166"/>
      <c r="M22" s="1166"/>
      <c r="N22" s="1166"/>
      <c r="O22" s="1166"/>
      <c r="P22" s="1166"/>
      <c r="Q22" s="1166"/>
      <c r="R22" s="1166"/>
      <c r="S22" s="1166"/>
      <c r="T22" s="1166"/>
      <c r="U22" s="1166"/>
    </row>
    <row r="23" spans="1:21" s="1219" customFormat="1" ht="14.25" customHeight="1" x14ac:dyDescent="0.2">
      <c r="A23" s="1494"/>
      <c r="B23" s="1493"/>
      <c r="C23" s="1195" t="s">
        <v>29</v>
      </c>
      <c r="D23" s="85" t="s">
        <v>30</v>
      </c>
      <c r="E23" s="55">
        <v>414015</v>
      </c>
      <c r="F23" s="314">
        <v>401765</v>
      </c>
      <c r="G23" s="316">
        <v>396863</v>
      </c>
      <c r="H23" s="1175">
        <f>G23/F23*100</f>
        <v>98.779883762896219</v>
      </c>
      <c r="I23" s="1254"/>
      <c r="J23" s="1254"/>
      <c r="K23" s="1254"/>
      <c r="L23" s="1254"/>
      <c r="M23" s="1254"/>
      <c r="N23" s="1254"/>
      <c r="O23" s="1254"/>
      <c r="P23" s="1254"/>
      <c r="Q23" s="1254"/>
      <c r="R23" s="1254"/>
      <c r="S23" s="1254"/>
      <c r="T23" s="1254"/>
      <c r="U23" s="1254"/>
    </row>
    <row r="24" spans="1:21" s="1219" customFormat="1" ht="14.25" customHeight="1" x14ac:dyDescent="0.2">
      <c r="A24" s="1494"/>
      <c r="B24" s="1493"/>
      <c r="C24" s="1178" t="s">
        <v>948</v>
      </c>
      <c r="D24" s="2712" t="s">
        <v>299</v>
      </c>
      <c r="E24" s="55"/>
      <c r="F24" s="314">
        <v>208570</v>
      </c>
      <c r="G24" s="316">
        <v>208570</v>
      </c>
      <c r="H24" s="1175">
        <f>G24/F24*100</f>
        <v>100</v>
      </c>
      <c r="I24" s="1254"/>
      <c r="J24" s="1254"/>
      <c r="K24" s="1254"/>
      <c r="L24" s="1254"/>
      <c r="M24" s="1254"/>
      <c r="N24" s="1254"/>
      <c r="O24" s="1254"/>
      <c r="P24" s="1254"/>
      <c r="Q24" s="1254"/>
      <c r="R24" s="1254"/>
      <c r="S24" s="1254"/>
      <c r="T24" s="1254"/>
      <c r="U24" s="1254"/>
    </row>
    <row r="25" spans="1:21" s="1219" customFormat="1" ht="14.25" customHeight="1" x14ac:dyDescent="0.2">
      <c r="A25" s="1494"/>
      <c r="B25" s="1493"/>
      <c r="C25" s="1195"/>
      <c r="D25" s="2773"/>
      <c r="E25" s="55"/>
      <c r="F25" s="314"/>
      <c r="G25" s="316"/>
      <c r="H25" s="1175"/>
      <c r="I25" s="1254"/>
      <c r="J25" s="1254"/>
      <c r="K25" s="1254"/>
      <c r="L25" s="1254"/>
      <c r="M25" s="1254"/>
      <c r="N25" s="1254"/>
      <c r="O25" s="1254"/>
      <c r="P25" s="1254"/>
      <c r="Q25" s="1254"/>
      <c r="R25" s="1254"/>
      <c r="S25" s="1254"/>
      <c r="T25" s="1254"/>
      <c r="U25" s="1254"/>
    </row>
    <row r="26" spans="1:21" s="1219" customFormat="1" ht="14.25" customHeight="1" x14ac:dyDescent="0.25">
      <c r="A26" s="1490">
        <v>2242</v>
      </c>
      <c r="B26" s="85">
        <v>5222</v>
      </c>
      <c r="C26" s="1195"/>
      <c r="D26" s="1279" t="s">
        <v>358</v>
      </c>
      <c r="E26" s="55"/>
      <c r="F26" s="313">
        <v>30</v>
      </c>
      <c r="G26" s="315">
        <v>30</v>
      </c>
      <c r="H26" s="203">
        <f>G26/F26*100</f>
        <v>100</v>
      </c>
      <c r="I26" s="1254"/>
      <c r="J26" s="1254"/>
      <c r="K26" s="1254"/>
      <c r="L26" s="1254"/>
      <c r="M26" s="1254"/>
      <c r="N26" s="1254"/>
      <c r="O26" s="1254"/>
      <c r="P26" s="1254"/>
      <c r="Q26" s="1254"/>
      <c r="R26" s="1254"/>
      <c r="S26" s="1254"/>
      <c r="T26" s="1254"/>
      <c r="U26" s="1254"/>
    </row>
    <row r="27" spans="1:21" s="1219" customFormat="1" ht="14.25" customHeight="1" x14ac:dyDescent="0.2">
      <c r="A27" s="1490"/>
      <c r="B27" s="85"/>
      <c r="C27" s="1195" t="s">
        <v>1350</v>
      </c>
      <c r="D27" s="1173" t="s">
        <v>1737</v>
      </c>
      <c r="E27" s="55"/>
      <c r="F27" s="314">
        <v>30</v>
      </c>
      <c r="G27" s="316">
        <v>30</v>
      </c>
      <c r="H27" s="1175">
        <f>G27/F27*100</f>
        <v>100</v>
      </c>
      <c r="I27" s="1254"/>
      <c r="J27" s="1254"/>
      <c r="K27" s="1254"/>
      <c r="L27" s="1254"/>
      <c r="M27" s="1254"/>
      <c r="N27" s="1254"/>
      <c r="O27" s="1254"/>
      <c r="P27" s="1254"/>
      <c r="Q27" s="1254"/>
      <c r="R27" s="1254"/>
      <c r="S27" s="1254"/>
      <c r="T27" s="1254"/>
      <c r="U27" s="1254"/>
    </row>
    <row r="28" spans="1:21" ht="15.75" thickBot="1" x14ac:dyDescent="0.3">
      <c r="A28" s="804">
        <v>6172</v>
      </c>
      <c r="B28" s="705">
        <v>5164</v>
      </c>
      <c r="C28" s="806"/>
      <c r="D28" s="1236" t="s">
        <v>188</v>
      </c>
      <c r="E28" s="462">
        <v>17</v>
      </c>
      <c r="F28" s="315">
        <v>20</v>
      </c>
      <c r="G28" s="462">
        <v>20</v>
      </c>
      <c r="H28" s="203">
        <f>G28/F28*100</f>
        <v>100</v>
      </c>
    </row>
    <row r="29" spans="1:21" s="362" customFormat="1" ht="30.75" customHeight="1" thickTop="1" thickBot="1" x14ac:dyDescent="0.3">
      <c r="A29" s="663" t="s">
        <v>266</v>
      </c>
      <c r="B29" s="666"/>
      <c r="C29" s="707"/>
      <c r="D29" s="666"/>
      <c r="E29" s="667">
        <f>E16+E19+E20+E22+E21+E13+E26+E28</f>
        <v>782094</v>
      </c>
      <c r="F29" s="667">
        <f>F16+F19+F20+F22+F21+F13+F26+F28</f>
        <v>986076</v>
      </c>
      <c r="G29" s="667">
        <f>G16+G19+G20+G22+G21+G13+G26+G28</f>
        <v>978185</v>
      </c>
      <c r="H29" s="668">
        <f>(G29/F29)*100</f>
        <v>99.199757422348796</v>
      </c>
    </row>
    <row r="30" spans="1:21" s="362" customFormat="1" ht="16.5" customHeight="1" thickTop="1" x14ac:dyDescent="0.25">
      <c r="A30" s="360"/>
      <c r="B30" s="361"/>
      <c r="C30" s="142"/>
      <c r="D30" s="361"/>
      <c r="E30" s="17"/>
      <c r="F30" s="17"/>
      <c r="G30" s="17"/>
      <c r="H30" s="194"/>
    </row>
    <row r="31" spans="1:21" s="362" customFormat="1" ht="16.5" customHeight="1" x14ac:dyDescent="0.25">
      <c r="A31" s="360"/>
      <c r="B31" s="361"/>
      <c r="C31" s="142"/>
      <c r="D31" s="361"/>
      <c r="E31" s="17"/>
      <c r="F31" s="17"/>
      <c r="G31" s="17"/>
      <c r="H31" s="194"/>
    </row>
    <row r="32" spans="1:21" s="362" customFormat="1" ht="16.5" customHeight="1" x14ac:dyDescent="0.25">
      <c r="A32" s="360"/>
      <c r="B32" s="361"/>
      <c r="C32" s="142"/>
      <c r="D32" s="361"/>
      <c r="E32" s="17"/>
      <c r="F32" s="17"/>
      <c r="G32" s="17"/>
      <c r="H32" s="194"/>
    </row>
    <row r="33" spans="1:21" ht="15.75" x14ac:dyDescent="0.25">
      <c r="A33" s="33" t="s">
        <v>1403</v>
      </c>
      <c r="B33" s="33"/>
      <c r="C33" s="691"/>
      <c r="E33" s="1417"/>
      <c r="F33" s="1417"/>
      <c r="G33" s="1417"/>
    </row>
    <row r="34" spans="1:21" ht="13.5" thickBot="1" x14ac:dyDescent="0.25">
      <c r="A34" s="726"/>
      <c r="B34" s="726"/>
      <c r="C34" s="691"/>
      <c r="E34" s="1417"/>
      <c r="F34" s="1417"/>
      <c r="G34" s="1417"/>
      <c r="H34" s="692" t="s">
        <v>179</v>
      </c>
    </row>
    <row r="35" spans="1:21" s="107" customFormat="1" ht="20.25" customHeight="1" thickTop="1" thickBot="1" x14ac:dyDescent="0.25">
      <c r="A35" s="657" t="s">
        <v>180</v>
      </c>
      <c r="B35" s="658" t="s">
        <v>181</v>
      </c>
      <c r="C35" s="702" t="s">
        <v>783</v>
      </c>
      <c r="D35" s="660" t="s">
        <v>182</v>
      </c>
      <c r="E35" s="660" t="s">
        <v>183</v>
      </c>
      <c r="F35" s="660" t="s">
        <v>985</v>
      </c>
      <c r="G35" s="660" t="s">
        <v>986</v>
      </c>
      <c r="H35" s="661" t="s">
        <v>987</v>
      </c>
    </row>
    <row r="36" spans="1:21" s="386" customFormat="1" ht="13.5" thickTop="1" thickBot="1" x14ac:dyDescent="0.25">
      <c r="A36" s="592">
        <v>1</v>
      </c>
      <c r="B36" s="593">
        <v>2</v>
      </c>
      <c r="C36" s="593">
        <v>3</v>
      </c>
      <c r="D36" s="593">
        <v>4</v>
      </c>
      <c r="E36" s="593">
        <v>5</v>
      </c>
      <c r="F36" s="567">
        <v>6</v>
      </c>
      <c r="G36" s="567">
        <v>7</v>
      </c>
      <c r="H36" s="662" t="s">
        <v>61</v>
      </c>
      <c r="I36" s="107"/>
    </row>
    <row r="37" spans="1:21" s="1166" customFormat="1" ht="13.5" customHeight="1" thickTop="1" x14ac:dyDescent="0.25">
      <c r="A37" s="50">
        <v>2212</v>
      </c>
      <c r="B37" s="31">
        <v>6341</v>
      </c>
      <c r="C37" s="1226"/>
      <c r="D37" s="87" t="s">
        <v>271</v>
      </c>
      <c r="E37" s="60"/>
      <c r="F37" s="372">
        <f>F38+F39</f>
        <v>2700</v>
      </c>
      <c r="G37" s="372">
        <f>G38+G39</f>
        <v>2700</v>
      </c>
      <c r="H37" s="203">
        <f t="shared" ref="H37:H45" si="1">G37/F37*100</f>
        <v>100</v>
      </c>
      <c r="I37" s="1219"/>
      <c r="J37" s="1219"/>
      <c r="K37" s="1219"/>
      <c r="L37" s="1219"/>
      <c r="M37" s="1219"/>
      <c r="N37" s="1219"/>
      <c r="O37" s="1219"/>
      <c r="P37" s="1219"/>
      <c r="Q37" s="1219"/>
      <c r="R37" s="1219"/>
      <c r="S37" s="1219"/>
      <c r="T37" s="1219"/>
      <c r="U37" s="1219"/>
    </row>
    <row r="38" spans="1:21" s="1166" customFormat="1" ht="13.5" customHeight="1" x14ac:dyDescent="0.25">
      <c r="A38" s="50"/>
      <c r="B38" s="31"/>
      <c r="C38" s="1195" t="s">
        <v>272</v>
      </c>
      <c r="D38" s="1173" t="s">
        <v>348</v>
      </c>
      <c r="E38" s="60"/>
      <c r="F38" s="314">
        <v>200</v>
      </c>
      <c r="G38" s="316">
        <v>200</v>
      </c>
      <c r="H38" s="1175">
        <f t="shared" si="1"/>
        <v>100</v>
      </c>
      <c r="I38" s="1219"/>
      <c r="J38" s="1219"/>
      <c r="K38" s="1219"/>
      <c r="L38" s="1219"/>
      <c r="M38" s="1219"/>
      <c r="N38" s="1219"/>
      <c r="O38" s="1219"/>
      <c r="P38" s="1219"/>
      <c r="Q38" s="1219"/>
      <c r="R38" s="1219"/>
      <c r="S38" s="1219"/>
      <c r="T38" s="1219"/>
      <c r="U38" s="1219"/>
    </row>
    <row r="39" spans="1:21" s="1166" customFormat="1" ht="13.5" customHeight="1" x14ac:dyDescent="0.2">
      <c r="A39" s="34"/>
      <c r="B39" s="1626"/>
      <c r="C39" s="1278" t="s">
        <v>22</v>
      </c>
      <c r="D39" s="166" t="s">
        <v>1351</v>
      </c>
      <c r="E39" s="124"/>
      <c r="F39" s="314">
        <v>2500</v>
      </c>
      <c r="G39" s="316">
        <v>2500</v>
      </c>
      <c r="H39" s="1175">
        <f t="shared" si="1"/>
        <v>100</v>
      </c>
      <c r="I39" s="1219"/>
      <c r="J39" s="1219"/>
      <c r="K39" s="1219"/>
      <c r="L39" s="1219"/>
      <c r="M39" s="1219"/>
      <c r="N39" s="1219"/>
      <c r="O39" s="1219"/>
      <c r="P39" s="1219"/>
      <c r="Q39" s="1219"/>
      <c r="R39" s="1219"/>
      <c r="S39" s="1219"/>
      <c r="T39" s="1219"/>
      <c r="U39" s="1219"/>
    </row>
    <row r="40" spans="1:21" s="1166" customFormat="1" ht="13.5" customHeight="1" x14ac:dyDescent="0.25">
      <c r="A40" s="34">
        <v>2219</v>
      </c>
      <c r="B40" s="31">
        <v>6341</v>
      </c>
      <c r="C40" s="1195"/>
      <c r="D40" s="87" t="s">
        <v>271</v>
      </c>
      <c r="E40" s="60">
        <v>6500</v>
      </c>
      <c r="F40" s="60">
        <v>4184</v>
      </c>
      <c r="G40" s="60">
        <v>4090</v>
      </c>
      <c r="H40" s="203">
        <f t="shared" si="1"/>
        <v>97.753346080305931</v>
      </c>
      <c r="I40" s="1219"/>
      <c r="J40" s="1219"/>
      <c r="K40" s="1219"/>
      <c r="L40" s="1219"/>
      <c r="M40" s="1219"/>
      <c r="N40" s="1219"/>
      <c r="O40" s="1219"/>
      <c r="P40" s="1219"/>
      <c r="Q40" s="1219"/>
      <c r="R40" s="1219"/>
      <c r="S40" s="1219"/>
      <c r="T40" s="1219"/>
      <c r="U40" s="1219"/>
    </row>
    <row r="41" spans="1:21" s="1166" customFormat="1" ht="13.5" customHeight="1" x14ac:dyDescent="0.2">
      <c r="A41" s="34"/>
      <c r="B41" s="85"/>
      <c r="C41" s="1226" t="s">
        <v>1407</v>
      </c>
      <c r="D41" s="1173" t="s">
        <v>947</v>
      </c>
      <c r="E41" s="124">
        <v>6500</v>
      </c>
      <c r="F41" s="314">
        <v>4184</v>
      </c>
      <c r="G41" s="316">
        <v>4090</v>
      </c>
      <c r="H41" s="1175">
        <f t="shared" si="1"/>
        <v>97.753346080305931</v>
      </c>
      <c r="I41" s="1219"/>
      <c r="J41" s="1219"/>
      <c r="K41" s="1219"/>
      <c r="L41" s="1219"/>
      <c r="M41" s="1219"/>
      <c r="N41" s="1219"/>
      <c r="O41" s="1219"/>
      <c r="P41" s="1219"/>
      <c r="Q41" s="1219"/>
      <c r="R41" s="1219"/>
      <c r="S41" s="1219"/>
      <c r="T41" s="1219"/>
      <c r="U41" s="1219"/>
    </row>
    <row r="42" spans="1:21" s="1166" customFormat="1" ht="13.5" customHeight="1" x14ac:dyDescent="0.25">
      <c r="A42" s="34">
        <v>2219</v>
      </c>
      <c r="B42" s="85">
        <v>6349</v>
      </c>
      <c r="C42" s="1226"/>
      <c r="D42" s="87" t="s">
        <v>1749</v>
      </c>
      <c r="E42" s="124"/>
      <c r="F42" s="313">
        <v>2000</v>
      </c>
      <c r="G42" s="315">
        <v>2000</v>
      </c>
      <c r="H42" s="203">
        <f t="shared" si="1"/>
        <v>100</v>
      </c>
      <c r="I42" s="1219"/>
      <c r="J42" s="1219"/>
      <c r="K42" s="1219"/>
      <c r="L42" s="1219"/>
      <c r="M42" s="1219"/>
      <c r="N42" s="1219"/>
      <c r="O42" s="1219"/>
      <c r="P42" s="1219"/>
      <c r="Q42" s="1219"/>
      <c r="R42" s="1219"/>
      <c r="S42" s="1219"/>
      <c r="T42" s="1219"/>
      <c r="U42" s="1219"/>
    </row>
    <row r="43" spans="1:21" s="1166" customFormat="1" ht="13.5" customHeight="1" x14ac:dyDescent="0.2">
      <c r="A43" s="34"/>
      <c r="B43" s="85"/>
      <c r="C43" s="1226" t="s">
        <v>1407</v>
      </c>
      <c r="D43" s="1173" t="s">
        <v>947</v>
      </c>
      <c r="E43" s="124"/>
      <c r="F43" s="314">
        <v>2000</v>
      </c>
      <c r="G43" s="316">
        <v>2000</v>
      </c>
      <c r="H43" s="1175">
        <f t="shared" si="1"/>
        <v>100</v>
      </c>
      <c r="I43" s="1219"/>
      <c r="J43" s="1219"/>
      <c r="K43" s="1219"/>
      <c r="L43" s="1219"/>
      <c r="M43" s="1219"/>
      <c r="N43" s="1219"/>
      <c r="O43" s="1219"/>
      <c r="P43" s="1219"/>
      <c r="Q43" s="1219"/>
      <c r="R43" s="1219"/>
      <c r="S43" s="1219"/>
      <c r="T43" s="1219"/>
      <c r="U43" s="1219"/>
    </row>
    <row r="44" spans="1:21" s="1166" customFormat="1" ht="13.5" customHeight="1" x14ac:dyDescent="0.25">
      <c r="A44" s="34">
        <v>3315</v>
      </c>
      <c r="B44" s="85">
        <v>6341</v>
      </c>
      <c r="C44" s="1226"/>
      <c r="D44" s="87" t="s">
        <v>271</v>
      </c>
      <c r="E44" s="124"/>
      <c r="F44" s="313">
        <v>100</v>
      </c>
      <c r="G44" s="315">
        <v>100</v>
      </c>
      <c r="H44" s="203">
        <f t="shared" si="1"/>
        <v>100</v>
      </c>
      <c r="I44" s="1219"/>
      <c r="J44" s="1219"/>
      <c r="K44" s="1219"/>
      <c r="L44" s="1219"/>
      <c r="M44" s="1219"/>
      <c r="N44" s="1219"/>
      <c r="O44" s="1219"/>
      <c r="P44" s="1219"/>
      <c r="Q44" s="1219"/>
      <c r="R44" s="1219"/>
      <c r="S44" s="1219"/>
      <c r="T44" s="1219"/>
      <c r="U44" s="1219"/>
    </row>
    <row r="45" spans="1:21" s="1166" customFormat="1" ht="13.5" customHeight="1" thickBot="1" x14ac:dyDescent="0.25">
      <c r="A45" s="34"/>
      <c r="B45" s="85"/>
      <c r="C45" s="1195" t="s">
        <v>272</v>
      </c>
      <c r="D45" s="1173" t="s">
        <v>348</v>
      </c>
      <c r="E45" s="124"/>
      <c r="F45" s="314">
        <v>100</v>
      </c>
      <c r="G45" s="316">
        <v>100</v>
      </c>
      <c r="H45" s="1175">
        <f t="shared" si="1"/>
        <v>100</v>
      </c>
      <c r="I45" s="1219"/>
      <c r="J45" s="1219"/>
      <c r="K45" s="1219"/>
      <c r="L45" s="1219"/>
      <c r="M45" s="1219"/>
      <c r="N45" s="1219"/>
      <c r="O45" s="1219"/>
      <c r="P45" s="1219"/>
      <c r="Q45" s="1219"/>
      <c r="R45" s="1219"/>
      <c r="S45" s="1219"/>
      <c r="T45" s="1219"/>
      <c r="U45" s="1219"/>
    </row>
    <row r="46" spans="1:21" s="362" customFormat="1" ht="33.75" customHeight="1" thickTop="1" thickBot="1" x14ac:dyDescent="0.3">
      <c r="A46" s="663" t="s">
        <v>267</v>
      </c>
      <c r="B46" s="666"/>
      <c r="C46" s="707"/>
      <c r="D46" s="666"/>
      <c r="E46" s="832">
        <f>E37+E40+E42+E44</f>
        <v>6500</v>
      </c>
      <c r="F46" s="832">
        <f>F37+F40+F42+F44</f>
        <v>8984</v>
      </c>
      <c r="G46" s="832">
        <f>G37+G40+G42+G44</f>
        <v>8890</v>
      </c>
      <c r="H46" s="1258">
        <f>(G46/F46)*100</f>
        <v>98.953695458593046</v>
      </c>
      <c r="J46" s="725"/>
      <c r="K46" s="725"/>
      <c r="L46" s="725"/>
      <c r="M46" s="725"/>
    </row>
    <row r="47" spans="1:21" s="362" customFormat="1" ht="17.25" customHeight="1" thickTop="1" x14ac:dyDescent="0.25">
      <c r="A47" s="360"/>
      <c r="B47" s="361"/>
      <c r="C47" s="142"/>
      <c r="D47" s="361"/>
      <c r="E47" s="17"/>
      <c r="F47" s="17"/>
      <c r="G47" s="17"/>
      <c r="H47" s="194"/>
    </row>
    <row r="48" spans="1:21" s="362" customFormat="1" ht="17.25" customHeight="1" x14ac:dyDescent="0.25">
      <c r="A48" s="360"/>
      <c r="B48" s="361"/>
      <c r="C48" s="142"/>
      <c r="D48" s="361"/>
      <c r="E48" s="17"/>
      <c r="F48" s="17"/>
      <c r="G48" s="17"/>
      <c r="H48" s="194"/>
    </row>
    <row r="49" spans="1:8" s="362" customFormat="1" ht="17.25" customHeight="1" x14ac:dyDescent="0.25">
      <c r="A49" s="360"/>
      <c r="B49" s="361"/>
      <c r="C49" s="142"/>
      <c r="D49" s="361"/>
      <c r="E49" s="17"/>
      <c r="F49" s="17"/>
      <c r="G49" s="17"/>
      <c r="H49" s="194"/>
    </row>
    <row r="50" spans="1:8" s="362" customFormat="1" ht="17.25" customHeight="1" x14ac:dyDescent="0.25">
      <c r="A50" s="360"/>
      <c r="B50" s="361"/>
      <c r="C50" s="142"/>
      <c r="D50" s="361"/>
      <c r="E50" s="17"/>
      <c r="F50" s="17"/>
      <c r="G50" s="17"/>
      <c r="H50" s="194"/>
    </row>
    <row r="51" spans="1:8" s="362" customFormat="1" ht="17.25" customHeight="1" x14ac:dyDescent="0.25">
      <c r="A51" s="360"/>
      <c r="B51" s="361"/>
      <c r="C51" s="142"/>
      <c r="D51" s="361"/>
      <c r="E51" s="17"/>
      <c r="F51" s="17"/>
      <c r="G51" s="17"/>
      <c r="H51" s="194"/>
    </row>
    <row r="52" spans="1:8" s="362" customFormat="1" ht="17.25" customHeight="1" x14ac:dyDescent="0.25">
      <c r="A52" s="360"/>
      <c r="B52" s="361"/>
      <c r="C52" s="142"/>
      <c r="D52" s="361"/>
      <c r="E52" s="17"/>
      <c r="F52" s="17"/>
      <c r="G52" s="17"/>
      <c r="H52" s="194"/>
    </row>
    <row r="53" spans="1:8" s="362" customFormat="1" ht="17.25" customHeight="1" x14ac:dyDescent="0.25">
      <c r="A53" s="360"/>
      <c r="B53" s="361"/>
      <c r="C53" s="142"/>
      <c r="D53" s="361"/>
      <c r="E53" s="17"/>
      <c r="F53" s="17"/>
      <c r="G53" s="17"/>
      <c r="H53" s="194"/>
    </row>
    <row r="54" spans="1:8" s="362" customFormat="1" ht="17.25" customHeight="1" x14ac:dyDescent="0.25">
      <c r="A54" s="360"/>
      <c r="B54" s="361"/>
      <c r="C54" s="142"/>
      <c r="D54" s="361"/>
      <c r="E54" s="17"/>
      <c r="F54" s="17"/>
      <c r="G54" s="17"/>
      <c r="H54" s="194"/>
    </row>
    <row r="55" spans="1:8" s="362" customFormat="1" ht="17.25" customHeight="1" x14ac:dyDescent="0.25">
      <c r="A55" s="360"/>
      <c r="B55" s="361"/>
      <c r="C55" s="142"/>
      <c r="D55" s="361"/>
      <c r="E55" s="17"/>
      <c r="F55" s="17"/>
      <c r="G55" s="17"/>
      <c r="H55" s="194"/>
    </row>
    <row r="56" spans="1:8" s="362" customFormat="1" ht="17.25" customHeight="1" x14ac:dyDescent="0.25">
      <c r="A56" s="360"/>
      <c r="B56" s="361"/>
      <c r="C56" s="142"/>
      <c r="D56" s="361"/>
      <c r="E56" s="17"/>
      <c r="F56" s="17"/>
      <c r="G56" s="17"/>
      <c r="H56" s="194"/>
    </row>
    <row r="57" spans="1:8" s="362" customFormat="1" ht="17.25" customHeight="1" x14ac:dyDescent="0.25">
      <c r="A57" s="360"/>
      <c r="B57" s="361"/>
      <c r="C57" s="142"/>
      <c r="D57" s="361"/>
      <c r="E57" s="17"/>
      <c r="F57" s="17"/>
      <c r="G57" s="17"/>
      <c r="H57" s="194"/>
    </row>
    <row r="58" spans="1:8" s="362" customFormat="1" ht="17.25" customHeight="1" x14ac:dyDescent="0.25">
      <c r="A58" s="360"/>
      <c r="B58" s="361"/>
      <c r="C58" s="142"/>
      <c r="D58" s="361"/>
      <c r="E58" s="17"/>
      <c r="F58" s="17"/>
      <c r="G58" s="17"/>
      <c r="H58" s="194"/>
    </row>
    <row r="59" spans="1:8" s="362" customFormat="1" ht="17.25" customHeight="1" x14ac:dyDescent="0.25">
      <c r="A59" s="360"/>
      <c r="B59" s="361"/>
      <c r="C59" s="142"/>
      <c r="D59" s="361"/>
      <c r="E59" s="17"/>
      <c r="F59" s="17"/>
      <c r="G59" s="17"/>
      <c r="H59" s="194"/>
    </row>
    <row r="60" spans="1:8" s="362" customFormat="1" ht="17.25" customHeight="1" x14ac:dyDescent="0.25">
      <c r="A60" s="360"/>
      <c r="B60" s="361"/>
      <c r="C60" s="142"/>
      <c r="D60" s="361"/>
      <c r="E60" s="17"/>
      <c r="F60" s="17"/>
      <c r="G60" s="17"/>
      <c r="H60" s="194"/>
    </row>
    <row r="61" spans="1:8" s="362" customFormat="1" ht="17.25" customHeight="1" x14ac:dyDescent="0.25">
      <c r="A61" s="360"/>
      <c r="B61" s="361"/>
      <c r="C61" s="142"/>
      <c r="D61" s="361"/>
      <c r="E61" s="17"/>
      <c r="F61" s="17"/>
      <c r="G61" s="17"/>
      <c r="H61" s="194"/>
    </row>
    <row r="62" spans="1:8" s="362" customFormat="1" ht="17.25" customHeight="1" x14ac:dyDescent="0.25">
      <c r="A62" s="360"/>
      <c r="B62" s="361"/>
      <c r="C62" s="142"/>
      <c r="D62" s="361"/>
      <c r="E62" s="17"/>
      <c r="F62" s="17"/>
      <c r="G62" s="17"/>
      <c r="H62" s="194"/>
    </row>
    <row r="63" spans="1:8" s="362" customFormat="1" ht="17.25" customHeight="1" x14ac:dyDescent="0.25">
      <c r="A63" s="360"/>
      <c r="B63" s="361"/>
      <c r="C63" s="142"/>
      <c r="D63" s="361"/>
      <c r="E63" s="17"/>
      <c r="F63" s="17"/>
      <c r="G63" s="17"/>
      <c r="H63" s="194"/>
    </row>
    <row r="64" spans="1:8" s="362" customFormat="1" ht="17.25" customHeight="1" x14ac:dyDescent="0.25">
      <c r="A64" s="360"/>
      <c r="B64" s="361"/>
      <c r="C64" s="142"/>
      <c r="D64" s="361"/>
      <c r="E64" s="17"/>
      <c r="F64" s="17"/>
      <c r="G64" s="17"/>
      <c r="H64" s="194"/>
    </row>
    <row r="65" spans="1:21" s="362" customFormat="1" ht="17.25" customHeight="1" x14ac:dyDescent="0.25">
      <c r="A65" s="360"/>
      <c r="B65" s="361"/>
      <c r="C65" s="142"/>
      <c r="D65" s="361"/>
      <c r="E65" s="17"/>
      <c r="F65" s="17"/>
      <c r="G65" s="17"/>
      <c r="H65" s="194"/>
    </row>
    <row r="66" spans="1:21" ht="15.75" x14ac:dyDescent="0.25">
      <c r="A66" s="33" t="s">
        <v>176</v>
      </c>
      <c r="B66" s="693"/>
      <c r="C66" s="833"/>
      <c r="D66" s="758"/>
      <c r="E66" s="710"/>
      <c r="F66" s="834"/>
      <c r="G66" s="710"/>
    </row>
    <row r="67" spans="1:21" ht="15.75" x14ac:dyDescent="0.25">
      <c r="A67" s="33"/>
      <c r="B67" s="693"/>
      <c r="C67" s="833"/>
      <c r="D67" s="758"/>
      <c r="E67" s="710"/>
      <c r="F67" s="834"/>
      <c r="G67" s="710"/>
    </row>
    <row r="68" spans="1:21" ht="15" x14ac:dyDescent="0.25">
      <c r="A68" s="2774" t="s">
        <v>1747</v>
      </c>
      <c r="B68" s="2724"/>
      <c r="C68" s="2724"/>
      <c r="D68" s="2724"/>
      <c r="E68" s="710" t="s">
        <v>1748</v>
      </c>
      <c r="F68" s="834"/>
      <c r="G68" s="710"/>
    </row>
    <row r="69" spans="1:21" ht="15" x14ac:dyDescent="0.25">
      <c r="A69" s="2724"/>
      <c r="B69" s="2724"/>
      <c r="C69" s="2724"/>
      <c r="D69" s="2724"/>
      <c r="E69" s="710"/>
      <c r="F69" s="834"/>
      <c r="G69" s="710"/>
    </row>
    <row r="70" spans="1:21" ht="15.75" thickBot="1" x14ac:dyDescent="0.3">
      <c r="A70" s="93"/>
      <c r="C70" s="833"/>
      <c r="D70" s="758"/>
      <c r="E70" s="710"/>
      <c r="F70" s="834"/>
      <c r="G70" s="710"/>
      <c r="H70" s="692" t="s">
        <v>1379</v>
      </c>
    </row>
    <row r="71" spans="1:21" s="107" customFormat="1" ht="20.25" customHeight="1" thickTop="1" thickBot="1" x14ac:dyDescent="0.25">
      <c r="A71" s="657" t="s">
        <v>180</v>
      </c>
      <c r="B71" s="658" t="s">
        <v>181</v>
      </c>
      <c r="C71" s="702" t="s">
        <v>783</v>
      </c>
      <c r="D71" s="835" t="s">
        <v>182</v>
      </c>
      <c r="E71" s="835" t="s">
        <v>183</v>
      </c>
      <c r="F71" s="835" t="s">
        <v>985</v>
      </c>
      <c r="G71" s="835" t="s">
        <v>986</v>
      </c>
      <c r="H71" s="661" t="s">
        <v>987</v>
      </c>
    </row>
    <row r="72" spans="1:21" s="386" customFormat="1" ht="13.5" thickTop="1" thickBot="1" x14ac:dyDescent="0.25">
      <c r="A72" s="592">
        <v>1</v>
      </c>
      <c r="B72" s="593">
        <v>2</v>
      </c>
      <c r="C72" s="593">
        <v>3</v>
      </c>
      <c r="D72" s="593">
        <v>4</v>
      </c>
      <c r="E72" s="593">
        <v>5</v>
      </c>
      <c r="F72" s="567">
        <v>6</v>
      </c>
      <c r="G72" s="567">
        <v>7</v>
      </c>
      <c r="H72" s="662" t="s">
        <v>61</v>
      </c>
      <c r="I72" s="107"/>
    </row>
    <row r="73" spans="1:21" s="1254" customFormat="1" ht="15.75" thickTop="1" x14ac:dyDescent="0.25">
      <c r="A73" s="1272">
        <v>2299</v>
      </c>
      <c r="B73" s="1170">
        <v>5331</v>
      </c>
      <c r="C73" s="1196"/>
      <c r="D73" s="1171" t="s">
        <v>1026</v>
      </c>
      <c r="E73" s="1182">
        <f>E74+E75+E76</f>
        <v>6000</v>
      </c>
      <c r="F73" s="1182">
        <f>F74+F75+F76</f>
        <v>13290</v>
      </c>
      <c r="G73" s="1182">
        <f>G74+G75+G76</f>
        <v>13290</v>
      </c>
      <c r="H73" s="1221">
        <f>(G73/F73)*100</f>
        <v>100</v>
      </c>
      <c r="I73" s="1257"/>
      <c r="J73" s="1166"/>
      <c r="K73" s="1166"/>
      <c r="L73" s="1166"/>
      <c r="M73" s="1166"/>
      <c r="N73" s="1166"/>
      <c r="O73" s="1166"/>
      <c r="P73" s="1166"/>
      <c r="Q73" s="1166"/>
      <c r="R73" s="1166"/>
      <c r="S73" s="1166"/>
      <c r="T73" s="1166"/>
      <c r="U73" s="1166"/>
    </row>
    <row r="74" spans="1:21" s="1254" customFormat="1" ht="14.25" x14ac:dyDescent="0.2">
      <c r="A74" s="1273"/>
      <c r="B74" s="19"/>
      <c r="C74" s="1179" t="s">
        <v>641</v>
      </c>
      <c r="D74" s="117" t="s">
        <v>1328</v>
      </c>
      <c r="E74" s="55"/>
      <c r="F74" s="314">
        <v>40</v>
      </c>
      <c r="G74" s="467">
        <v>40</v>
      </c>
      <c r="H74" s="1184">
        <f>G74/F74*100</f>
        <v>100</v>
      </c>
      <c r="I74" s="1257"/>
      <c r="J74" s="1166"/>
      <c r="K74" s="1166"/>
      <c r="L74" s="1166"/>
      <c r="M74" s="1166"/>
      <c r="N74" s="1166"/>
      <c r="O74" s="1166"/>
      <c r="P74" s="1166"/>
      <c r="Q74" s="1166"/>
      <c r="R74" s="1166"/>
      <c r="S74" s="1166"/>
      <c r="T74" s="1166"/>
      <c r="U74" s="1166"/>
    </row>
    <row r="75" spans="1:21" s="1254" customFormat="1" ht="14.25" x14ac:dyDescent="0.2">
      <c r="A75" s="50"/>
      <c r="B75" s="19"/>
      <c r="C75" s="1179" t="s">
        <v>636</v>
      </c>
      <c r="D75" s="31" t="s">
        <v>1633</v>
      </c>
      <c r="E75" s="1232">
        <v>3456</v>
      </c>
      <c r="F75" s="464">
        <v>9223</v>
      </c>
      <c r="G75" s="467">
        <v>9223</v>
      </c>
      <c r="H75" s="1636">
        <f>G75/F75*100</f>
        <v>100</v>
      </c>
      <c r="I75" s="1257"/>
      <c r="J75" s="1166"/>
      <c r="K75" s="1166"/>
      <c r="L75" s="1166"/>
      <c r="M75" s="1166"/>
      <c r="N75" s="1166"/>
      <c r="O75" s="1166"/>
      <c r="P75" s="1166"/>
      <c r="Q75" s="1166"/>
      <c r="R75" s="1166"/>
      <c r="S75" s="1166"/>
      <c r="T75" s="1166"/>
      <c r="U75" s="1166"/>
    </row>
    <row r="76" spans="1:21" s="1254" customFormat="1" ht="15" thickBot="1" x14ac:dyDescent="0.25">
      <c r="A76" s="50"/>
      <c r="B76" s="19"/>
      <c r="C76" s="1178" t="s">
        <v>735</v>
      </c>
      <c r="D76" s="31" t="s">
        <v>1746</v>
      </c>
      <c r="E76" s="1232">
        <v>2544</v>
      </c>
      <c r="F76" s="464">
        <v>4027</v>
      </c>
      <c r="G76" s="467">
        <v>4027</v>
      </c>
      <c r="H76" s="1636">
        <f>G76/F76*100</f>
        <v>100</v>
      </c>
      <c r="I76" s="1257"/>
      <c r="J76" s="1166"/>
      <c r="K76" s="1166"/>
      <c r="L76" s="1166"/>
      <c r="M76" s="1166"/>
      <c r="N76" s="1166"/>
      <c r="O76" s="1166"/>
      <c r="P76" s="1166"/>
      <c r="Q76" s="1166"/>
      <c r="R76" s="1166"/>
      <c r="S76" s="1166"/>
      <c r="T76" s="1166"/>
      <c r="U76" s="1166"/>
    </row>
    <row r="77" spans="1:21" s="362" customFormat="1" ht="19.5" customHeight="1" thickTop="1" thickBot="1" x14ac:dyDescent="0.3">
      <c r="A77" s="663" t="s">
        <v>1246</v>
      </c>
      <c r="B77" s="809"/>
      <c r="C77" s="1277"/>
      <c r="D77" s="809"/>
      <c r="E77" s="837">
        <f>E73</f>
        <v>6000</v>
      </c>
      <c r="F77" s="1274">
        <f>F73</f>
        <v>13290</v>
      </c>
      <c r="G77" s="837">
        <f>G73</f>
        <v>13290</v>
      </c>
      <c r="H77" s="838">
        <f>(G77/F77)*100</f>
        <v>100</v>
      </c>
    </row>
    <row r="78" spans="1:21" s="1254" customFormat="1" ht="15.75" thickTop="1" x14ac:dyDescent="0.25">
      <c r="A78" s="50">
        <v>2212</v>
      </c>
      <c r="B78" s="19">
        <v>6351</v>
      </c>
      <c r="C78" s="1179"/>
      <c r="D78" s="1269" t="s">
        <v>688</v>
      </c>
      <c r="E78" s="71">
        <f>E79</f>
        <v>1200</v>
      </c>
      <c r="F78" s="71">
        <f>F79</f>
        <v>0</v>
      </c>
      <c r="G78" s="71">
        <f>G79</f>
        <v>0</v>
      </c>
      <c r="H78" s="203">
        <v>0</v>
      </c>
      <c r="I78" s="1257"/>
      <c r="J78" s="1166"/>
      <c r="K78" s="1166"/>
      <c r="L78" s="1166"/>
      <c r="M78" s="1166"/>
      <c r="N78" s="1166"/>
      <c r="O78" s="1166"/>
      <c r="P78" s="1166"/>
      <c r="Q78" s="1166"/>
      <c r="R78" s="1166"/>
      <c r="S78" s="1166"/>
      <c r="T78" s="1166"/>
      <c r="U78" s="1166"/>
    </row>
    <row r="79" spans="1:21" s="1254" customFormat="1" ht="14.25" x14ac:dyDescent="0.2">
      <c r="A79" s="50"/>
      <c r="B79" s="19"/>
      <c r="C79" s="1179" t="s">
        <v>1536</v>
      </c>
      <c r="D79" s="2010" t="s">
        <v>1537</v>
      </c>
      <c r="E79" s="1232">
        <v>1200</v>
      </c>
      <c r="F79" s="314">
        <v>0</v>
      </c>
      <c r="G79" s="467">
        <v>0</v>
      </c>
      <c r="H79" s="1175">
        <v>0</v>
      </c>
      <c r="I79" s="1257"/>
      <c r="J79" s="1166"/>
      <c r="K79" s="1166"/>
      <c r="L79" s="1166"/>
      <c r="M79" s="1166"/>
      <c r="N79" s="1166"/>
      <c r="O79" s="1166"/>
      <c r="P79" s="1166"/>
      <c r="Q79" s="1166"/>
      <c r="R79" s="1166"/>
      <c r="S79" s="1166"/>
      <c r="T79" s="1166"/>
      <c r="U79" s="1166"/>
    </row>
    <row r="80" spans="1:21" s="1254" customFormat="1" ht="15" x14ac:dyDescent="0.25">
      <c r="A80" s="50">
        <v>2229</v>
      </c>
      <c r="B80" s="19">
        <v>6351</v>
      </c>
      <c r="C80" s="1179"/>
      <c r="D80" s="1269" t="s">
        <v>688</v>
      </c>
      <c r="E80" s="48"/>
      <c r="F80" s="313">
        <v>954</v>
      </c>
      <c r="G80" s="315">
        <v>902</v>
      </c>
      <c r="H80" s="203">
        <f t="shared" ref="H80:H81" si="2">G80/F80*100</f>
        <v>94.549266247379464</v>
      </c>
      <c r="I80" s="1257"/>
      <c r="J80" s="1166"/>
      <c r="K80" s="1166"/>
      <c r="L80" s="1166"/>
      <c r="M80" s="1166"/>
      <c r="N80" s="1166"/>
      <c r="O80" s="1166"/>
      <c r="P80" s="1166"/>
      <c r="Q80" s="1166"/>
      <c r="R80" s="1166"/>
      <c r="S80" s="1166"/>
      <c r="T80" s="1166"/>
      <c r="U80" s="1166"/>
    </row>
    <row r="81" spans="1:21" s="1254" customFormat="1" ht="15.75" thickBot="1" x14ac:dyDescent="0.3">
      <c r="A81" s="50"/>
      <c r="B81" s="19"/>
      <c r="C81" s="1179" t="s">
        <v>1536</v>
      </c>
      <c r="D81" s="2010" t="s">
        <v>1537</v>
      </c>
      <c r="E81" s="48"/>
      <c r="F81" s="314">
        <v>954</v>
      </c>
      <c r="G81" s="316">
        <v>902</v>
      </c>
      <c r="H81" s="1175">
        <f t="shared" si="2"/>
        <v>94.549266247379464</v>
      </c>
      <c r="I81" s="1257"/>
      <c r="J81" s="1166"/>
      <c r="K81" s="1166"/>
      <c r="L81" s="1166"/>
      <c r="M81" s="1166"/>
      <c r="N81" s="1166"/>
      <c r="O81" s="1166"/>
      <c r="P81" s="1166"/>
      <c r="Q81" s="1166"/>
      <c r="R81" s="1166"/>
      <c r="S81" s="1166"/>
      <c r="T81" s="1166"/>
      <c r="U81" s="1166"/>
    </row>
    <row r="82" spans="1:21" ht="20.25" customHeight="1" thickTop="1" thickBot="1" x14ac:dyDescent="0.3">
      <c r="A82" s="744" t="s">
        <v>1247</v>
      </c>
      <c r="B82" s="745"/>
      <c r="C82" s="746"/>
      <c r="D82" s="747"/>
      <c r="E82" s="748">
        <f>E78+E80</f>
        <v>1200</v>
      </c>
      <c r="F82" s="748">
        <f>F78+F80</f>
        <v>954</v>
      </c>
      <c r="G82" s="748">
        <f>G78+G80</f>
        <v>902</v>
      </c>
      <c r="H82" s="827">
        <f>(G82/F82)*100</f>
        <v>94.549266247379464</v>
      </c>
    </row>
    <row r="83" spans="1:21" ht="16.5" thickTop="1" x14ac:dyDescent="0.25">
      <c r="A83" s="33"/>
      <c r="B83" s="693"/>
      <c r="C83" s="833"/>
      <c r="D83" s="758"/>
      <c r="E83" s="710"/>
      <c r="F83" s="834"/>
      <c r="G83" s="710"/>
    </row>
    <row r="84" spans="1:21" s="369" customFormat="1" ht="23.25" customHeight="1" x14ac:dyDescent="0.25">
      <c r="A84" s="2775" t="s">
        <v>1753</v>
      </c>
      <c r="B84" s="2776"/>
      <c r="C84" s="2776"/>
      <c r="D84" s="2776"/>
      <c r="E84" s="2076">
        <f>E77+E82</f>
        <v>7200</v>
      </c>
      <c r="F84" s="2076">
        <f>F77+F82</f>
        <v>14244</v>
      </c>
      <c r="G84" s="2076">
        <f>G77+G82</f>
        <v>14192</v>
      </c>
      <c r="H84" s="2077">
        <f>(G84/F84)*100</f>
        <v>99.634934007301325</v>
      </c>
    </row>
    <row r="85" spans="1:21" ht="15.75" thickBot="1" x14ac:dyDescent="0.3">
      <c r="A85" s="2777"/>
      <c r="B85" s="2777"/>
      <c r="C85" s="2777"/>
      <c r="D85" s="2777"/>
      <c r="E85" s="2078"/>
      <c r="F85" s="2079"/>
      <c r="G85" s="2078"/>
      <c r="H85" s="2080"/>
    </row>
    <row r="86" spans="1:21" ht="16.5" thickTop="1" x14ac:dyDescent="0.25">
      <c r="A86" s="33"/>
      <c r="B86" s="693"/>
      <c r="C86" s="833"/>
      <c r="D86" s="758"/>
      <c r="E86" s="710"/>
      <c r="F86" s="834"/>
      <c r="G86" s="710"/>
    </row>
    <row r="87" spans="1:21" ht="15.75" x14ac:dyDescent="0.25">
      <c r="A87" s="33"/>
      <c r="B87" s="693"/>
      <c r="C87" s="833"/>
      <c r="D87" s="758"/>
      <c r="E87" s="710"/>
      <c r="F87" s="834"/>
      <c r="G87" s="710"/>
    </row>
    <row r="88" spans="1:21" ht="15.75" x14ac:dyDescent="0.25">
      <c r="A88" s="33"/>
      <c r="B88" s="693"/>
      <c r="C88" s="833"/>
      <c r="D88" s="758"/>
      <c r="E88" s="710"/>
      <c r="F88" s="834"/>
      <c r="G88" s="710"/>
    </row>
    <row r="89" spans="1:21" ht="15.75" x14ac:dyDescent="0.25">
      <c r="A89" s="98" t="s">
        <v>175</v>
      </c>
      <c r="B89" s="693"/>
      <c r="C89" s="833"/>
      <c r="D89" s="758"/>
      <c r="E89" s="710" t="s">
        <v>1632</v>
      </c>
      <c r="F89" s="834"/>
      <c r="G89" s="710"/>
    </row>
    <row r="90" spans="1:21" ht="15.75" thickBot="1" x14ac:dyDescent="0.3">
      <c r="A90" s="93"/>
      <c r="C90" s="833"/>
      <c r="D90" s="758"/>
      <c r="E90" s="710"/>
      <c r="F90" s="834"/>
      <c r="G90" s="710"/>
      <c r="H90" s="692" t="s">
        <v>1379</v>
      </c>
    </row>
    <row r="91" spans="1:21" s="107" customFormat="1" ht="20.25" customHeight="1" thickTop="1" thickBot="1" x14ac:dyDescent="0.25">
      <c r="A91" s="657" t="s">
        <v>180</v>
      </c>
      <c r="B91" s="658" t="s">
        <v>181</v>
      </c>
      <c r="C91" s="702" t="s">
        <v>783</v>
      </c>
      <c r="D91" s="835" t="s">
        <v>182</v>
      </c>
      <c r="E91" s="835" t="s">
        <v>183</v>
      </c>
      <c r="F91" s="835" t="s">
        <v>985</v>
      </c>
      <c r="G91" s="835" t="s">
        <v>986</v>
      </c>
      <c r="H91" s="661" t="s">
        <v>987</v>
      </c>
    </row>
    <row r="92" spans="1:21" s="386" customFormat="1" ht="13.5" thickTop="1" thickBot="1" x14ac:dyDescent="0.25">
      <c r="A92" s="592">
        <v>1</v>
      </c>
      <c r="B92" s="593">
        <v>2</v>
      </c>
      <c r="C92" s="593">
        <v>3</v>
      </c>
      <c r="D92" s="593">
        <v>4</v>
      </c>
      <c r="E92" s="593">
        <v>5</v>
      </c>
      <c r="F92" s="567">
        <v>6</v>
      </c>
      <c r="G92" s="567">
        <v>7</v>
      </c>
      <c r="H92" s="662" t="s">
        <v>61</v>
      </c>
      <c r="I92" s="107"/>
    </row>
    <row r="93" spans="1:21" s="1254" customFormat="1" ht="15.75" thickTop="1" x14ac:dyDescent="0.25">
      <c r="A93" s="1272">
        <v>2212</v>
      </c>
      <c r="B93" s="1170">
        <v>5331</v>
      </c>
      <c r="C93" s="1196"/>
      <c r="D93" s="1171" t="s">
        <v>1026</v>
      </c>
      <c r="E93" s="1182">
        <f>E94+E95</f>
        <v>517553</v>
      </c>
      <c r="F93" s="1182">
        <f>F94+F95</f>
        <v>517553</v>
      </c>
      <c r="G93" s="1182">
        <f>G94+G95</f>
        <v>517553</v>
      </c>
      <c r="H93" s="1221">
        <f>(G93/F93)*100</f>
        <v>100</v>
      </c>
      <c r="I93" s="1257"/>
      <c r="J93" s="1166"/>
      <c r="K93" s="1166"/>
      <c r="L93" s="1166"/>
      <c r="M93" s="1166"/>
      <c r="N93" s="1166"/>
      <c r="O93" s="1166"/>
      <c r="P93" s="1166"/>
      <c r="Q93" s="1166"/>
      <c r="R93" s="1166"/>
      <c r="S93" s="1166"/>
      <c r="T93" s="1166"/>
      <c r="U93" s="1166"/>
    </row>
    <row r="94" spans="1:21" s="1254" customFormat="1" ht="14.25" x14ac:dyDescent="0.2">
      <c r="A94" s="1273"/>
      <c r="B94" s="19"/>
      <c r="C94" s="1179" t="s">
        <v>641</v>
      </c>
      <c r="D94" s="117" t="s">
        <v>1328</v>
      </c>
      <c r="E94" s="55">
        <v>128000</v>
      </c>
      <c r="F94" s="314">
        <v>121000</v>
      </c>
      <c r="G94" s="467">
        <v>121000</v>
      </c>
      <c r="H94" s="1184">
        <f>G94/F94*100</f>
        <v>100</v>
      </c>
      <c r="I94" s="1257"/>
      <c r="J94" s="1166"/>
      <c r="K94" s="1166"/>
      <c r="L94" s="1166"/>
      <c r="M94" s="1166"/>
      <c r="N94" s="1166"/>
      <c r="O94" s="1166"/>
      <c r="P94" s="1166"/>
      <c r="Q94" s="1166"/>
      <c r="R94" s="1166"/>
      <c r="S94" s="1166"/>
      <c r="T94" s="1166"/>
      <c r="U94" s="1166"/>
    </row>
    <row r="95" spans="1:21" s="1254" customFormat="1" ht="14.25" x14ac:dyDescent="0.2">
      <c r="A95" s="50"/>
      <c r="B95" s="19"/>
      <c r="C95" s="1179" t="s">
        <v>636</v>
      </c>
      <c r="D95" s="31" t="s">
        <v>1633</v>
      </c>
      <c r="E95" s="1232">
        <v>389553</v>
      </c>
      <c r="F95" s="464">
        <v>396553</v>
      </c>
      <c r="G95" s="467">
        <v>396553</v>
      </c>
      <c r="H95" s="1636">
        <f>G95/F95*100</f>
        <v>100</v>
      </c>
      <c r="I95" s="1257"/>
      <c r="J95" s="1166"/>
      <c r="K95" s="1166"/>
      <c r="L95" s="1166"/>
      <c r="M95" s="1166"/>
      <c r="N95" s="1166"/>
      <c r="O95" s="1166"/>
      <c r="P95" s="1166"/>
      <c r="Q95" s="1166"/>
      <c r="R95" s="1166"/>
      <c r="S95" s="1166"/>
      <c r="T95" s="1166"/>
      <c r="U95" s="1166"/>
    </row>
    <row r="96" spans="1:21" s="1254" customFormat="1" ht="15" x14ac:dyDescent="0.25">
      <c r="A96" s="50">
        <v>2212</v>
      </c>
      <c r="B96" s="19">
        <v>5336</v>
      </c>
      <c r="C96" s="1179"/>
      <c r="D96" s="2011" t="s">
        <v>1657</v>
      </c>
      <c r="E96" s="71"/>
      <c r="F96" s="71">
        <v>65</v>
      </c>
      <c r="G96" s="71">
        <v>65</v>
      </c>
      <c r="H96" s="1183">
        <f>(G96/F96)*100</f>
        <v>100</v>
      </c>
      <c r="I96" s="1257"/>
      <c r="J96" s="1166"/>
      <c r="K96" s="1166"/>
      <c r="L96" s="1166"/>
      <c r="M96" s="1166"/>
      <c r="N96" s="1166"/>
      <c r="O96" s="1166"/>
      <c r="P96" s="1166"/>
      <c r="Q96" s="1166"/>
      <c r="R96" s="1166"/>
      <c r="S96" s="1166"/>
      <c r="T96" s="1166"/>
      <c r="U96" s="1166"/>
    </row>
    <row r="97" spans="1:21" s="1254" customFormat="1" ht="15" thickBot="1" x14ac:dyDescent="0.25">
      <c r="A97" s="50"/>
      <c r="B97" s="19"/>
      <c r="C97" s="578" t="s">
        <v>1720</v>
      </c>
      <c r="D97" s="574" t="s">
        <v>1743</v>
      </c>
      <c r="E97" s="1232"/>
      <c r="F97" s="464">
        <v>65</v>
      </c>
      <c r="G97" s="467">
        <v>65</v>
      </c>
      <c r="H97" s="1184">
        <f>G97/F97*100</f>
        <v>100</v>
      </c>
      <c r="I97" s="1257"/>
      <c r="J97" s="1166"/>
      <c r="K97" s="1166"/>
      <c r="L97" s="1166"/>
      <c r="M97" s="1166"/>
      <c r="N97" s="1166"/>
      <c r="O97" s="1166"/>
      <c r="P97" s="1166"/>
      <c r="Q97" s="1166"/>
      <c r="R97" s="1166"/>
      <c r="S97" s="1166"/>
      <c r="T97" s="1166"/>
      <c r="U97" s="1166"/>
    </row>
    <row r="98" spans="1:21" s="362" customFormat="1" ht="19.5" customHeight="1" thickTop="1" thickBot="1" x14ac:dyDescent="0.3">
      <c r="A98" s="663" t="s">
        <v>1246</v>
      </c>
      <c r="B98" s="809"/>
      <c r="C98" s="1277"/>
      <c r="D98" s="809"/>
      <c r="E98" s="837">
        <f>E93</f>
        <v>517553</v>
      </c>
      <c r="F98" s="837">
        <f>F93+F96</f>
        <v>517618</v>
      </c>
      <c r="G98" s="837">
        <f>G93+G96</f>
        <v>517618</v>
      </c>
      <c r="H98" s="838">
        <f>(G98/F98)*100</f>
        <v>100</v>
      </c>
    </row>
    <row r="99" spans="1:21" s="1254" customFormat="1" ht="15.75" thickTop="1" x14ac:dyDescent="0.25">
      <c r="A99" s="50">
        <v>2212</v>
      </c>
      <c r="B99" s="19">
        <v>6351</v>
      </c>
      <c r="C99" s="1179"/>
      <c r="D99" s="1269" t="s">
        <v>688</v>
      </c>
      <c r="E99" s="71">
        <f>E104+E105+E100+E101+E102+E103+E105</f>
        <v>68800</v>
      </c>
      <c r="F99" s="71">
        <f>F104+F105+F100+F101+F102+F103</f>
        <v>124444</v>
      </c>
      <c r="G99" s="71">
        <f>G104+G105+G100+G101+G102+G103</f>
        <v>124444</v>
      </c>
      <c r="H99" s="255">
        <f t="shared" ref="H99:H105" si="3">G99/F99*100</f>
        <v>100</v>
      </c>
      <c r="I99" s="1257"/>
      <c r="J99" s="1166"/>
      <c r="K99" s="1166"/>
      <c r="L99" s="1166"/>
      <c r="M99" s="1166"/>
      <c r="N99" s="1166"/>
      <c r="O99" s="1166"/>
      <c r="P99" s="1166"/>
      <c r="Q99" s="1166"/>
      <c r="R99" s="1166"/>
      <c r="S99" s="1166"/>
      <c r="T99" s="1166"/>
      <c r="U99" s="1166"/>
    </row>
    <row r="100" spans="1:21" s="1254" customFormat="1" ht="14.25" x14ac:dyDescent="0.2">
      <c r="A100" s="50"/>
      <c r="B100" s="19"/>
      <c r="C100" s="1179" t="s">
        <v>201</v>
      </c>
      <c r="D100" s="1173" t="s">
        <v>865</v>
      </c>
      <c r="E100" s="55">
        <v>10134</v>
      </c>
      <c r="F100" s="1401">
        <v>13434</v>
      </c>
      <c r="G100" s="55">
        <v>13434</v>
      </c>
      <c r="H100" s="237">
        <f t="shared" si="3"/>
        <v>100</v>
      </c>
      <c r="I100" s="1257"/>
      <c r="J100" s="1166"/>
      <c r="K100" s="1166"/>
      <c r="L100" s="1166"/>
      <c r="M100" s="1166"/>
      <c r="N100" s="1166"/>
      <c r="O100" s="1166"/>
      <c r="P100" s="1166"/>
      <c r="Q100" s="1166"/>
      <c r="R100" s="1166"/>
      <c r="S100" s="1166"/>
      <c r="T100" s="1166"/>
      <c r="U100" s="1166"/>
    </row>
    <row r="101" spans="1:21" s="1254" customFormat="1" ht="14.25" x14ac:dyDescent="0.2">
      <c r="A101" s="50"/>
      <c r="B101" s="19"/>
      <c r="C101" s="1278" t="s">
        <v>22</v>
      </c>
      <c r="D101" s="166" t="s">
        <v>1351</v>
      </c>
      <c r="E101" s="55"/>
      <c r="F101" s="1401">
        <v>5100</v>
      </c>
      <c r="G101" s="55">
        <v>5100</v>
      </c>
      <c r="H101" s="237">
        <f t="shared" si="3"/>
        <v>100</v>
      </c>
      <c r="I101" s="1257"/>
      <c r="J101" s="1166"/>
      <c r="K101" s="1166"/>
      <c r="L101" s="1166"/>
      <c r="M101" s="1166"/>
      <c r="N101" s="1166"/>
      <c r="O101" s="1166"/>
      <c r="P101" s="1166"/>
      <c r="Q101" s="1166"/>
      <c r="R101" s="1166"/>
      <c r="S101" s="1166"/>
      <c r="T101" s="1166"/>
      <c r="U101" s="1166"/>
    </row>
    <row r="102" spans="1:21" s="1254" customFormat="1" ht="14.25" x14ac:dyDescent="0.2">
      <c r="A102" s="50"/>
      <c r="B102" s="19"/>
      <c r="C102" s="1179" t="s">
        <v>866</v>
      </c>
      <c r="D102" s="1166" t="s">
        <v>867</v>
      </c>
      <c r="E102" s="55">
        <v>50666</v>
      </c>
      <c r="F102" s="1401">
        <v>50666</v>
      </c>
      <c r="G102" s="55">
        <v>50666</v>
      </c>
      <c r="H102" s="237">
        <f t="shared" si="3"/>
        <v>100</v>
      </c>
      <c r="I102" s="1257"/>
      <c r="J102" s="1166"/>
      <c r="K102" s="1166"/>
      <c r="L102" s="1166"/>
      <c r="M102" s="1166"/>
      <c r="N102" s="1166"/>
      <c r="O102" s="1166"/>
      <c r="P102" s="1166"/>
      <c r="Q102" s="1166"/>
      <c r="R102" s="1166"/>
      <c r="S102" s="1166"/>
      <c r="T102" s="1166"/>
      <c r="U102" s="1166"/>
    </row>
    <row r="103" spans="1:21" s="1254" customFormat="1" ht="14.25" x14ac:dyDescent="0.2">
      <c r="A103" s="50"/>
      <c r="B103" s="19"/>
      <c r="C103" s="1179" t="s">
        <v>1536</v>
      </c>
      <c r="D103" s="2010" t="s">
        <v>1537</v>
      </c>
      <c r="E103" s="55">
        <v>8000</v>
      </c>
      <c r="F103" s="1401">
        <v>8000</v>
      </c>
      <c r="G103" s="55">
        <v>8000</v>
      </c>
      <c r="H103" s="237">
        <f t="shared" si="3"/>
        <v>100</v>
      </c>
      <c r="I103" s="1257"/>
      <c r="J103" s="1166"/>
      <c r="K103" s="1166"/>
      <c r="L103" s="1166"/>
      <c r="M103" s="1166"/>
      <c r="N103" s="1166"/>
      <c r="O103" s="1166"/>
      <c r="P103" s="1166"/>
      <c r="Q103" s="1166"/>
      <c r="R103" s="1166"/>
      <c r="S103" s="1166"/>
      <c r="T103" s="1166"/>
      <c r="U103" s="1166"/>
    </row>
    <row r="104" spans="1:21" s="1254" customFormat="1" ht="14.25" x14ac:dyDescent="0.2">
      <c r="A104" s="50"/>
      <c r="B104" s="19"/>
      <c r="C104" s="1179" t="s">
        <v>950</v>
      </c>
      <c r="D104" s="1307" t="s">
        <v>951</v>
      </c>
      <c r="E104" s="1232"/>
      <c r="F104" s="314">
        <v>2625</v>
      </c>
      <c r="G104" s="316">
        <v>2625</v>
      </c>
      <c r="H104" s="237">
        <f t="shared" si="3"/>
        <v>100</v>
      </c>
      <c r="I104" s="1257"/>
      <c r="J104" s="1166"/>
      <c r="K104" s="1166"/>
      <c r="L104" s="1166"/>
      <c r="M104" s="1166"/>
      <c r="N104" s="1166"/>
      <c r="O104" s="1166"/>
      <c r="P104" s="1166"/>
      <c r="Q104" s="1166"/>
      <c r="R104" s="1166"/>
      <c r="S104" s="1166"/>
      <c r="T104" s="1166"/>
      <c r="U104" s="1166"/>
    </row>
    <row r="105" spans="1:21" s="1254" customFormat="1" ht="15.75" thickBot="1" x14ac:dyDescent="0.3">
      <c r="A105" s="50"/>
      <c r="B105" s="19"/>
      <c r="C105" s="1179" t="s">
        <v>952</v>
      </c>
      <c r="D105" s="1307" t="s">
        <v>953</v>
      </c>
      <c r="E105" s="48"/>
      <c r="F105" s="314">
        <v>44619</v>
      </c>
      <c r="G105" s="316">
        <v>44619</v>
      </c>
      <c r="H105" s="237">
        <f t="shared" si="3"/>
        <v>100</v>
      </c>
      <c r="I105" s="1257"/>
      <c r="J105" s="1166"/>
      <c r="K105" s="1166"/>
      <c r="L105" s="1166"/>
      <c r="M105" s="1166"/>
      <c r="N105" s="1166"/>
      <c r="O105" s="1166"/>
      <c r="P105" s="1166"/>
      <c r="Q105" s="1166"/>
      <c r="R105" s="1166"/>
      <c r="S105" s="1166"/>
      <c r="T105" s="1166"/>
      <c r="U105" s="1166"/>
    </row>
    <row r="106" spans="1:21" ht="20.25" customHeight="1" thickTop="1" thickBot="1" x14ac:dyDescent="0.3">
      <c r="A106" s="744" t="s">
        <v>1247</v>
      </c>
      <c r="B106" s="745"/>
      <c r="C106" s="746"/>
      <c r="D106" s="747"/>
      <c r="E106" s="748">
        <f>E99</f>
        <v>68800</v>
      </c>
      <c r="F106" s="748">
        <f>F99</f>
        <v>124444</v>
      </c>
      <c r="G106" s="748">
        <f>G99</f>
        <v>124444</v>
      </c>
      <c r="H106" s="827">
        <f>(G106/F106)*100</f>
        <v>100</v>
      </c>
    </row>
    <row r="107" spans="1:21" ht="20.25" customHeight="1" thickTop="1" x14ac:dyDescent="0.25">
      <c r="A107" s="772"/>
      <c r="B107" s="1263"/>
      <c r="C107" s="1264"/>
      <c r="D107" s="1265"/>
      <c r="E107" s="1266"/>
      <c r="F107" s="1266"/>
      <c r="G107" s="1266"/>
      <c r="H107" s="1267"/>
    </row>
    <row r="108" spans="1:21" s="369" customFormat="1" ht="23.25" customHeight="1" thickBot="1" x14ac:dyDescent="0.3">
      <c r="A108" s="763" t="s">
        <v>1027</v>
      </c>
      <c r="B108" s="1259"/>
      <c r="C108" s="1260"/>
      <c r="D108" s="1261"/>
      <c r="E108" s="777">
        <f>E98+E106</f>
        <v>586353</v>
      </c>
      <c r="F108" s="777">
        <f>F98+F106</f>
        <v>642062</v>
      </c>
      <c r="G108" s="777">
        <f>G98+G106</f>
        <v>642062</v>
      </c>
      <c r="H108" s="1262">
        <f>(G108/F108)*100</f>
        <v>100</v>
      </c>
    </row>
    <row r="109" spans="1:21" ht="12.75" customHeight="1" thickTop="1" x14ac:dyDescent="0.25">
      <c r="A109" s="839"/>
      <c r="B109" s="840"/>
      <c r="C109" s="841"/>
      <c r="D109" s="842"/>
      <c r="E109" s="843"/>
      <c r="F109" s="843"/>
      <c r="G109" s="843"/>
      <c r="H109" s="844"/>
    </row>
    <row r="114" spans="1:14" s="693" customFormat="1" ht="16.5" x14ac:dyDescent="0.25">
      <c r="A114" s="363" t="s">
        <v>1136</v>
      </c>
      <c r="B114" s="364"/>
      <c r="C114" s="365"/>
      <c r="D114" s="366"/>
      <c r="E114" s="845">
        <f>E115+E116+E117+E118</f>
        <v>788594</v>
      </c>
      <c r="F114" s="845">
        <f>F115+F116+F117+F118</f>
        <v>995060</v>
      </c>
      <c r="G114" s="845">
        <f>G115+G116+G117+G118</f>
        <v>987075</v>
      </c>
      <c r="H114" s="846">
        <f>(G114/F114)*100</f>
        <v>99.197535826985302</v>
      </c>
    </row>
    <row r="115" spans="1:14" ht="15" x14ac:dyDescent="0.2">
      <c r="A115" s="581" t="s">
        <v>288</v>
      </c>
      <c r="B115" s="611"/>
      <c r="C115" s="612"/>
      <c r="D115" s="613"/>
      <c r="E115" s="614">
        <f>E29</f>
        <v>782094</v>
      </c>
      <c r="F115" s="614">
        <f>F29-F117</f>
        <v>777506</v>
      </c>
      <c r="G115" s="614">
        <f>G29-G117</f>
        <v>769615</v>
      </c>
      <c r="H115" s="847">
        <f>(G115/F115)*100</f>
        <v>98.985088217968737</v>
      </c>
    </row>
    <row r="116" spans="1:14" ht="15" x14ac:dyDescent="0.2">
      <c r="A116" s="581" t="s">
        <v>289</v>
      </c>
      <c r="B116" s="616"/>
      <c r="C116" s="612"/>
      <c r="D116" s="617"/>
      <c r="E116" s="614">
        <f>E46</f>
        <v>6500</v>
      </c>
      <c r="F116" s="614">
        <f>F46</f>
        <v>8984</v>
      </c>
      <c r="G116" s="614">
        <f>G46</f>
        <v>8890</v>
      </c>
      <c r="H116" s="847">
        <f>(G116/F116)*100</f>
        <v>98.953695458593046</v>
      </c>
    </row>
    <row r="117" spans="1:14" ht="15" x14ac:dyDescent="0.2">
      <c r="A117" s="581" t="s">
        <v>227</v>
      </c>
      <c r="B117" s="616"/>
      <c r="C117" s="612"/>
      <c r="D117" s="617"/>
      <c r="E117" s="614">
        <f>E24</f>
        <v>0</v>
      </c>
      <c r="F117" s="614">
        <f>F24</f>
        <v>208570</v>
      </c>
      <c r="G117" s="614">
        <f>G24</f>
        <v>208570</v>
      </c>
      <c r="H117" s="847">
        <f>(G117/F117)*100</f>
        <v>100</v>
      </c>
    </row>
    <row r="118" spans="1:14" ht="15" x14ac:dyDescent="0.2">
      <c r="A118" s="581" t="s">
        <v>1291</v>
      </c>
      <c r="B118" s="616"/>
      <c r="C118" s="612"/>
      <c r="D118" s="617"/>
      <c r="E118" s="614">
        <v>0</v>
      </c>
      <c r="F118" s="614">
        <v>0</v>
      </c>
      <c r="G118" s="614">
        <v>0</v>
      </c>
      <c r="H118" s="847">
        <v>0</v>
      </c>
      <c r="L118" s="517">
        <f>F117+F123</f>
        <v>208635</v>
      </c>
      <c r="M118" s="517">
        <f>G117+G123</f>
        <v>208635</v>
      </c>
      <c r="N118" s="384" t="s">
        <v>1751</v>
      </c>
    </row>
    <row r="119" spans="1:14" s="693" customFormat="1" ht="15" x14ac:dyDescent="0.2">
      <c r="A119" s="581"/>
      <c r="B119" s="616"/>
      <c r="C119" s="612"/>
      <c r="D119" s="617"/>
      <c r="E119" s="614"/>
      <c r="F119" s="614"/>
      <c r="G119" s="614"/>
      <c r="H119" s="848"/>
      <c r="L119" s="2081">
        <f>F118+F124</f>
        <v>47244</v>
      </c>
      <c r="M119" s="2081">
        <f>G118+G124</f>
        <v>47244</v>
      </c>
      <c r="N119" s="384" t="s">
        <v>1752</v>
      </c>
    </row>
    <row r="120" spans="1:14" s="693" customFormat="1" ht="16.5" x14ac:dyDescent="0.25">
      <c r="A120" s="797" t="s">
        <v>290</v>
      </c>
      <c r="B120" s="616"/>
      <c r="C120" s="612"/>
      <c r="D120" s="617"/>
      <c r="E120" s="845">
        <f>E121+E122+E123+E124</f>
        <v>593553</v>
      </c>
      <c r="F120" s="845">
        <f>F121+F122+F123+F124</f>
        <v>656306</v>
      </c>
      <c r="G120" s="845">
        <f>G121+G122+G123+G124</f>
        <v>656254</v>
      </c>
      <c r="H120" s="846">
        <f>(G120/F120)*100</f>
        <v>99.992076866583574</v>
      </c>
      <c r="L120" s="699">
        <f>L118+L119</f>
        <v>255879</v>
      </c>
      <c r="M120" s="699">
        <f>M118+M119</f>
        <v>255879</v>
      </c>
      <c r="N120" s="384" t="s">
        <v>1010</v>
      </c>
    </row>
    <row r="121" spans="1:14" ht="15" x14ac:dyDescent="0.2">
      <c r="A121" s="581" t="s">
        <v>1292</v>
      </c>
      <c r="B121" s="616"/>
      <c r="C121" s="612"/>
      <c r="D121" s="617"/>
      <c r="E121" s="614">
        <f>E98+E77</f>
        <v>523553</v>
      </c>
      <c r="F121" s="614">
        <f>F98+F77-F123</f>
        <v>530843</v>
      </c>
      <c r="G121" s="614">
        <f>G98+G77-G123</f>
        <v>530843</v>
      </c>
      <c r="H121" s="847">
        <f>(G121/F121)*100</f>
        <v>100</v>
      </c>
    </row>
    <row r="122" spans="1:14" ht="15" x14ac:dyDescent="0.2">
      <c r="A122" s="1625" t="s">
        <v>1293</v>
      </c>
      <c r="B122" s="616"/>
      <c r="C122" s="612"/>
      <c r="D122" s="617"/>
      <c r="E122" s="614">
        <f>E106+E82</f>
        <v>70000</v>
      </c>
      <c r="F122" s="614">
        <f>F106+F82-F124</f>
        <v>78154</v>
      </c>
      <c r="G122" s="614">
        <f>G106+G82-G124</f>
        <v>78102</v>
      </c>
      <c r="H122" s="847">
        <f>(G122/F122)*100</f>
        <v>99.933464697904142</v>
      </c>
    </row>
    <row r="123" spans="1:14" ht="15" x14ac:dyDescent="0.2">
      <c r="A123" s="1625" t="s">
        <v>227</v>
      </c>
      <c r="B123" s="798"/>
      <c r="C123" s="691"/>
      <c r="E123" s="614">
        <f>E97</f>
        <v>0</v>
      </c>
      <c r="F123" s="614">
        <f>F97</f>
        <v>65</v>
      </c>
      <c r="G123" s="614">
        <f>G97</f>
        <v>65</v>
      </c>
      <c r="H123" s="847">
        <f>(G123/F123)*100</f>
        <v>100</v>
      </c>
    </row>
    <row r="124" spans="1:14" ht="15" x14ac:dyDescent="0.2">
      <c r="A124" s="581" t="s">
        <v>1291</v>
      </c>
      <c r="B124" s="798"/>
      <c r="C124" s="691"/>
      <c r="E124" s="614">
        <f>E104+E105</f>
        <v>0</v>
      </c>
      <c r="F124" s="614">
        <f>F104+F105</f>
        <v>47244</v>
      </c>
      <c r="G124" s="614">
        <f>G104+G105</f>
        <v>47244</v>
      </c>
      <c r="H124" s="847">
        <f>(G124/F124)*100</f>
        <v>100</v>
      </c>
    </row>
    <row r="127" spans="1:14" s="58" customFormat="1" ht="47.25" customHeight="1" thickBot="1" x14ac:dyDescent="0.4">
      <c r="A127" s="2710" t="s">
        <v>446</v>
      </c>
      <c r="B127" s="2711"/>
      <c r="C127" s="2711"/>
      <c r="D127" s="2711"/>
      <c r="E127" s="849">
        <f>SUM(E114,E120)</f>
        <v>1382147</v>
      </c>
      <c r="F127" s="849">
        <f>SUM(F114,F120)</f>
        <v>1651366</v>
      </c>
      <c r="G127" s="849">
        <f>SUM(G114,G120)</f>
        <v>1643329</v>
      </c>
      <c r="H127" s="1461">
        <f>(G127/F127)*100</f>
        <v>99.513312009572687</v>
      </c>
    </row>
    <row r="128" spans="1:14" ht="13.5" thickTop="1" x14ac:dyDescent="0.2"/>
    <row r="129" spans="5:7" x14ac:dyDescent="0.2">
      <c r="E129" s="1627"/>
      <c r="F129" s="1627"/>
      <c r="G129" s="1627"/>
    </row>
  </sheetData>
  <mergeCells count="4">
    <mergeCell ref="A127:D127"/>
    <mergeCell ref="D24:D25"/>
    <mergeCell ref="A68:D69"/>
    <mergeCell ref="A84:D85"/>
  </mergeCells>
  <phoneticPr fontId="0" type="noConversion"/>
  <pageMargins left="0.98425196850393704" right="0.98425196850393704" top="0.98425196850393704" bottom="0.98425196850393704" header="0.51181102362204722" footer="0.51181102362204722"/>
  <pageSetup paperSize="9" scale="70" firstPageNumber="106" orientation="portrait" useFirstPageNumber="1" r:id="rId1"/>
  <headerFooter alignWithMargins="0">
    <oddFooter xml:space="preserve">&amp;L&amp;"Arial,Kurzíva"Zastupitelstvo Olomouckého kraje 28. 6. 2013
6.- Závěrečný  účet Olomuckého kraje za rok 2012
Příloha č. 3: Plnění rozpočtu výdajů Olomouckého kraje k 31.12.2012&amp;R&amp;"Arial,Kurzíva"Strana &amp;P (Celkem 484)
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 enableFormatConditionsCalculation="0">
    <tabColor rgb="FFFF0000"/>
  </sheetPr>
  <dimension ref="A1:O398"/>
  <sheetViews>
    <sheetView showGridLines="0" view="pageBreakPreview" topLeftCell="A128" zoomScaleNormal="100" zoomScaleSheetLayoutView="100" workbookViewId="0">
      <selection activeCell="V402" sqref="V402"/>
    </sheetView>
  </sheetViews>
  <sheetFormatPr defaultRowHeight="14.25" x14ac:dyDescent="0.2"/>
  <cols>
    <col min="1" max="1" width="39.42578125" style="547" customWidth="1"/>
    <col min="2" max="2" width="5.140625" style="2466" customWidth="1"/>
    <col min="3" max="3" width="14.85546875" style="548" customWidth="1"/>
    <col min="4" max="5" width="16" style="548" customWidth="1"/>
    <col min="6" max="6" width="8.42578125" style="548" customWidth="1"/>
    <col min="7" max="7" width="17.140625" style="2002" hidden="1" customWidth="1"/>
    <col min="8" max="8" width="20.140625" style="2002" hidden="1" customWidth="1"/>
    <col min="9" max="9" width="19.5703125" style="2002" hidden="1" customWidth="1"/>
    <col min="10" max="10" width="2.85546875" style="2002" hidden="1" customWidth="1"/>
    <col min="11" max="11" width="19.7109375" style="2002" hidden="1" customWidth="1"/>
    <col min="12" max="13" width="19.7109375" style="384" hidden="1" customWidth="1"/>
    <col min="14" max="14" width="11.140625" style="384" hidden="1" customWidth="1"/>
    <col min="15" max="19" width="0" style="384" hidden="1" customWidth="1"/>
    <col min="20" max="16384" width="9.140625" style="384"/>
  </cols>
  <sheetData>
    <row r="1" spans="1:11" ht="23.25" x14ac:dyDescent="0.35">
      <c r="A1" s="2662" t="s">
        <v>1905</v>
      </c>
      <c r="B1" s="2691"/>
      <c r="C1" s="2691"/>
      <c r="D1" s="2691"/>
      <c r="E1" s="2691"/>
      <c r="F1" s="2691"/>
      <c r="G1" s="2464"/>
      <c r="H1" s="2464"/>
      <c r="I1" s="2464"/>
      <c r="J1" s="2464"/>
      <c r="K1" s="2464"/>
    </row>
    <row r="2" spans="1:11" ht="23.25" x14ac:dyDescent="0.35">
      <c r="A2" s="2692"/>
      <c r="B2" s="2693"/>
      <c r="C2" s="2693"/>
      <c r="D2" s="2693"/>
      <c r="E2" s="2693"/>
      <c r="F2" s="2693"/>
      <c r="G2" s="2465"/>
      <c r="H2" s="2465"/>
      <c r="I2" s="2465"/>
      <c r="J2" s="2465"/>
      <c r="K2" s="2465"/>
    </row>
    <row r="3" spans="1:11" ht="15" x14ac:dyDescent="0.25">
      <c r="A3" s="340" t="s">
        <v>698</v>
      </c>
    </row>
    <row r="4" spans="1:11" ht="15" thickBot="1" x14ac:dyDescent="0.25">
      <c r="F4" s="385" t="s">
        <v>179</v>
      </c>
      <c r="G4" s="1990"/>
      <c r="H4" s="1990"/>
      <c r="I4" s="1990"/>
      <c r="J4" s="1990"/>
      <c r="K4" s="1990"/>
    </row>
    <row r="5" spans="1:11" s="350" customFormat="1" ht="27" thickTop="1" thickBot="1" x14ac:dyDescent="0.25">
      <c r="A5" s="1141" t="s">
        <v>699</v>
      </c>
      <c r="B5" s="1142" t="s">
        <v>702</v>
      </c>
      <c r="C5" s="529" t="s">
        <v>700</v>
      </c>
      <c r="D5" s="529" t="s">
        <v>701</v>
      </c>
      <c r="E5" s="529" t="s">
        <v>986</v>
      </c>
      <c r="F5" s="530" t="s">
        <v>987</v>
      </c>
      <c r="G5" s="1981"/>
      <c r="H5" s="1982"/>
      <c r="I5" s="1982"/>
      <c r="J5" s="1983"/>
      <c r="K5" s="1983"/>
    </row>
    <row r="6" spans="1:11" s="1542" customFormat="1" ht="12.75" thickTop="1" thickBot="1" x14ac:dyDescent="0.25">
      <c r="A6" s="1318">
        <v>1</v>
      </c>
      <c r="B6" s="1543">
        <v>2</v>
      </c>
      <c r="C6" s="1541">
        <v>3</v>
      </c>
      <c r="D6" s="1541">
        <v>4</v>
      </c>
      <c r="E6" s="1541">
        <v>5</v>
      </c>
      <c r="F6" s="533" t="s">
        <v>464</v>
      </c>
      <c r="G6" s="1984"/>
      <c r="H6" s="1984"/>
      <c r="I6" s="1984"/>
      <c r="J6" s="1984"/>
      <c r="K6" s="1984"/>
    </row>
    <row r="7" spans="1:11" s="340" customFormat="1" ht="15.75" thickTop="1" x14ac:dyDescent="0.25">
      <c r="A7" s="434" t="s">
        <v>703</v>
      </c>
      <c r="B7" s="2467">
        <v>1</v>
      </c>
      <c r="C7" s="391">
        <f>SUM(C8:C12)</f>
        <v>37238</v>
      </c>
      <c r="D7" s="391">
        <f>SUM(D8:D12)</f>
        <v>37217</v>
      </c>
      <c r="E7" s="391">
        <f>SUM(E8:E12)</f>
        <v>34361</v>
      </c>
      <c r="F7" s="2468">
        <f>E7/D7*100</f>
        <v>92.326087540640032</v>
      </c>
      <c r="G7" s="2497">
        <f>SUM(G8:G12)</f>
        <v>37238000</v>
      </c>
      <c r="H7" s="2497">
        <f>SUM(H8:H12)</f>
        <v>37216900</v>
      </c>
      <c r="I7" s="2497">
        <f>SUM(I8:I12)</f>
        <v>34361366.32</v>
      </c>
      <c r="J7" s="1985"/>
      <c r="K7" s="1985"/>
    </row>
    <row r="8" spans="1:11" x14ac:dyDescent="0.2">
      <c r="A8" s="435" t="s">
        <v>704</v>
      </c>
      <c r="B8" s="1150"/>
      <c r="C8" s="446">
        <f>'01 '!E78</f>
        <v>36965</v>
      </c>
      <c r="D8" s="446">
        <f>'01 '!F78</f>
        <v>35699</v>
      </c>
      <c r="E8" s="446">
        <f>'01 '!G78</f>
        <v>32890</v>
      </c>
      <c r="F8" s="452">
        <f>E8/D8*100</f>
        <v>92.131432253004292</v>
      </c>
      <c r="G8" s="1986">
        <v>36965000</v>
      </c>
      <c r="H8" s="1986">
        <v>35698900</v>
      </c>
      <c r="I8" s="1986">
        <f>32888986.32+1384</f>
        <v>32890370.32</v>
      </c>
      <c r="J8" s="1986"/>
      <c r="K8" s="1986"/>
    </row>
    <row r="9" spans="1:11" x14ac:dyDescent="0.2">
      <c r="A9" s="435" t="s">
        <v>705</v>
      </c>
      <c r="B9" s="2469"/>
      <c r="C9" s="446">
        <f>'01 '!E79</f>
        <v>0</v>
      </c>
      <c r="D9" s="446">
        <f>'01 '!F79</f>
        <v>1245</v>
      </c>
      <c r="E9" s="446">
        <f>'01 '!G79</f>
        <v>1235</v>
      </c>
      <c r="F9" s="452">
        <f>E9/D9*100</f>
        <v>99.196787148594382</v>
      </c>
      <c r="G9" s="1986">
        <v>0</v>
      </c>
      <c r="H9" s="1986">
        <v>1245000</v>
      </c>
      <c r="I9" s="1986">
        <v>1234996</v>
      </c>
      <c r="J9" s="1986"/>
      <c r="K9" s="1986"/>
    </row>
    <row r="10" spans="1:11" x14ac:dyDescent="0.2">
      <c r="A10" s="436" t="s">
        <v>712</v>
      </c>
      <c r="B10" s="1150"/>
      <c r="C10" s="446">
        <f>'01 '!E80</f>
        <v>0</v>
      </c>
      <c r="D10" s="446">
        <f>'01 '!F80</f>
        <v>0</v>
      </c>
      <c r="E10" s="446">
        <f>'01 '!G80</f>
        <v>0</v>
      </c>
      <c r="F10" s="452">
        <v>0</v>
      </c>
      <c r="G10" s="1986">
        <v>0</v>
      </c>
      <c r="H10" s="1986">
        <v>0</v>
      </c>
      <c r="I10" s="1986">
        <v>0</v>
      </c>
      <c r="J10" s="1986"/>
      <c r="K10" s="1986"/>
    </row>
    <row r="11" spans="1:11" x14ac:dyDescent="0.2">
      <c r="A11" s="436" t="s">
        <v>713</v>
      </c>
      <c r="B11" s="1150"/>
      <c r="C11" s="446">
        <f>'01 '!E81</f>
        <v>0</v>
      </c>
      <c r="D11" s="446">
        <f>'01 '!F81</f>
        <v>0</v>
      </c>
      <c r="E11" s="446">
        <f>'01 '!G81</f>
        <v>0</v>
      </c>
      <c r="F11" s="452">
        <v>0</v>
      </c>
      <c r="G11" s="1986">
        <v>0</v>
      </c>
      <c r="H11" s="1986">
        <v>0</v>
      </c>
      <c r="I11" s="1986">
        <v>0</v>
      </c>
      <c r="J11" s="1986"/>
      <c r="K11" s="1986"/>
    </row>
    <row r="12" spans="1:11" x14ac:dyDescent="0.2">
      <c r="A12" s="1576" t="s">
        <v>1324</v>
      </c>
      <c r="B12" s="2470"/>
      <c r="C12" s="448">
        <f>SUM('01 '!E82)</f>
        <v>273</v>
      </c>
      <c r="D12" s="448">
        <f>SUM('01 '!F82)</f>
        <v>273</v>
      </c>
      <c r="E12" s="448">
        <f>SUM('01 '!G82)</f>
        <v>236</v>
      </c>
      <c r="F12" s="481">
        <f t="shared" ref="F12:F42" si="0">E12/D12*100</f>
        <v>86.446886446886452</v>
      </c>
      <c r="G12" s="1987">
        <v>273000</v>
      </c>
      <c r="H12" s="1988">
        <v>273000</v>
      </c>
      <c r="I12" s="1988">
        <v>236000</v>
      </c>
      <c r="J12" s="1986"/>
      <c r="K12" s="1986"/>
    </row>
    <row r="13" spans="1:11" s="439" customFormat="1" ht="15" x14ac:dyDescent="0.25">
      <c r="A13" s="437" t="s">
        <v>706</v>
      </c>
      <c r="B13" s="2471">
        <v>2</v>
      </c>
      <c r="C13" s="2472">
        <f>SUM(C14:C17)</f>
        <v>56291</v>
      </c>
      <c r="D13" s="2472">
        <f>SUM(D14:D17)</f>
        <v>98079</v>
      </c>
      <c r="E13" s="2472">
        <f>SUM(E14:E17)</f>
        <v>88148</v>
      </c>
      <c r="F13" s="438">
        <f t="shared" si="0"/>
        <v>89.874488932391245</v>
      </c>
      <c r="G13" s="2497">
        <f>SUM(G14:G17)</f>
        <v>56291000</v>
      </c>
      <c r="H13" s="2497">
        <f>SUM(H14:H17)</f>
        <v>98079149</v>
      </c>
      <c r="I13" s="2497">
        <f>SUM(I14:I17)</f>
        <v>88148504.310000002</v>
      </c>
      <c r="J13" s="1985"/>
      <c r="K13" s="1985"/>
    </row>
    <row r="14" spans="1:11" x14ac:dyDescent="0.2">
      <c r="A14" s="435" t="s">
        <v>704</v>
      </c>
      <c r="B14" s="1150"/>
      <c r="C14" s="446">
        <f>'02'!E191</f>
        <v>54791</v>
      </c>
      <c r="D14" s="446">
        <f>'02'!F191</f>
        <v>67111</v>
      </c>
      <c r="E14" s="446">
        <f>'02'!G191</f>
        <v>57274</v>
      </c>
      <c r="F14" s="452">
        <f t="shared" si="0"/>
        <v>85.342194275156075</v>
      </c>
      <c r="G14" s="1986">
        <v>54791000</v>
      </c>
      <c r="H14" s="1986">
        <v>67111549</v>
      </c>
      <c r="I14" s="1986">
        <v>57274380.380000003</v>
      </c>
      <c r="J14" s="1986"/>
      <c r="K14" s="1986"/>
    </row>
    <row r="15" spans="1:11" x14ac:dyDescent="0.2">
      <c r="A15" s="435" t="s">
        <v>705</v>
      </c>
      <c r="B15" s="1150"/>
      <c r="C15" s="446">
        <f>'02'!E192</f>
        <v>1500</v>
      </c>
      <c r="D15" s="446">
        <f>'02'!F192</f>
        <v>11699</v>
      </c>
      <c r="E15" s="446">
        <f>'02'!G192</f>
        <v>11607</v>
      </c>
      <c r="F15" s="452">
        <f t="shared" si="0"/>
        <v>99.21360800068382</v>
      </c>
      <c r="G15" s="1986">
        <v>1500000</v>
      </c>
      <c r="H15" s="1986">
        <v>11698693</v>
      </c>
      <c r="I15" s="1986">
        <v>11607136.93</v>
      </c>
      <c r="J15" s="1986"/>
      <c r="K15" s="1986"/>
    </row>
    <row r="16" spans="1:11" x14ac:dyDescent="0.2">
      <c r="A16" s="436" t="s">
        <v>712</v>
      </c>
      <c r="B16" s="1150"/>
      <c r="C16" s="446">
        <f>'02'!E193</f>
        <v>0</v>
      </c>
      <c r="D16" s="446">
        <f>'02'!F193</f>
        <v>19269</v>
      </c>
      <c r="E16" s="446">
        <f>'02'!G193</f>
        <v>19267</v>
      </c>
      <c r="F16" s="452">
        <f t="shared" si="0"/>
        <v>99.989620634179261</v>
      </c>
      <c r="G16" s="2473">
        <v>0</v>
      </c>
      <c r="H16" s="1986">
        <v>19268907</v>
      </c>
      <c r="I16" s="1986">
        <v>19266987</v>
      </c>
      <c r="J16" s="1986"/>
      <c r="K16" s="1986"/>
    </row>
    <row r="17" spans="1:11" x14ac:dyDescent="0.2">
      <c r="A17" s="440" t="s">
        <v>713</v>
      </c>
      <c r="B17" s="2470"/>
      <c r="C17" s="448">
        <f>'02'!E194</f>
        <v>0</v>
      </c>
      <c r="D17" s="448">
        <f>'02'!F194</f>
        <v>0</v>
      </c>
      <c r="E17" s="448">
        <f>'02'!G194</f>
        <v>0</v>
      </c>
      <c r="F17" s="452">
        <v>0</v>
      </c>
      <c r="G17" s="1987">
        <v>0</v>
      </c>
      <c r="H17" s="1988">
        <v>0</v>
      </c>
      <c r="I17" s="1988">
        <v>0</v>
      </c>
      <c r="J17" s="1986"/>
      <c r="K17" s="1986"/>
    </row>
    <row r="18" spans="1:11" s="439" customFormat="1" ht="15" x14ac:dyDescent="0.25">
      <c r="A18" s="437" t="s">
        <v>1301</v>
      </c>
      <c r="B18" s="2471">
        <v>3</v>
      </c>
      <c r="C18" s="2472">
        <f>SUM(C19:C23)</f>
        <v>299231</v>
      </c>
      <c r="D18" s="2472">
        <f>SUM(D19:D23)</f>
        <v>301343</v>
      </c>
      <c r="E18" s="2472">
        <f>SUM(E19:E23)</f>
        <v>289318</v>
      </c>
      <c r="F18" s="438">
        <f>E18/D18*100</f>
        <v>96.009530667710891</v>
      </c>
      <c r="G18" s="2497">
        <f>SUM(G19:G23)</f>
        <v>299231000</v>
      </c>
      <c r="H18" s="2497">
        <f>SUM(H19:H23)</f>
        <v>301342830.01999998</v>
      </c>
      <c r="I18" s="2497">
        <f>SUM(I19:I23)</f>
        <v>289317054.16000003</v>
      </c>
      <c r="J18" s="1985"/>
      <c r="K18" s="1985"/>
    </row>
    <row r="19" spans="1:11" s="439" customFormat="1" x14ac:dyDescent="0.2">
      <c r="A19" s="435" t="s">
        <v>704</v>
      </c>
      <c r="B19" s="441"/>
      <c r="C19" s="446">
        <f>SUM('03'!E139)</f>
        <v>291081</v>
      </c>
      <c r="D19" s="446">
        <f>SUM('03'!F139)</f>
        <v>291797</v>
      </c>
      <c r="E19" s="446">
        <f>SUM('03'!G139)</f>
        <v>282497</v>
      </c>
      <c r="F19" s="452">
        <f t="shared" si="0"/>
        <v>96.812852770933219</v>
      </c>
      <c r="G19" s="1986">
        <v>291081000</v>
      </c>
      <c r="H19" s="1986">
        <v>291796430.01999998</v>
      </c>
      <c r="I19" s="1986">
        <f>282293225.83+202433</f>
        <v>282495658.82999998</v>
      </c>
      <c r="J19" s="1986"/>
      <c r="K19" s="1986"/>
    </row>
    <row r="20" spans="1:11" s="439" customFormat="1" x14ac:dyDescent="0.2">
      <c r="A20" s="435" t="s">
        <v>705</v>
      </c>
      <c r="B20" s="441"/>
      <c r="C20" s="446">
        <f>'03'!E140</f>
        <v>2200</v>
      </c>
      <c r="D20" s="446">
        <f>'03'!F140</f>
        <v>2480</v>
      </c>
      <c r="E20" s="446">
        <f>'03'!G140</f>
        <v>507</v>
      </c>
      <c r="F20" s="452">
        <f t="shared" si="0"/>
        <v>20.443548387096776</v>
      </c>
      <c r="G20" s="1986">
        <v>2200000</v>
      </c>
      <c r="H20" s="1986">
        <v>2480000</v>
      </c>
      <c r="I20" s="1986">
        <v>507045.42</v>
      </c>
      <c r="J20" s="1986"/>
      <c r="K20" s="1986"/>
    </row>
    <row r="21" spans="1:11" x14ac:dyDescent="0.2">
      <c r="A21" s="436" t="s">
        <v>712</v>
      </c>
      <c r="B21" s="1150"/>
      <c r="C21" s="446">
        <f>'03'!E141</f>
        <v>0</v>
      </c>
      <c r="D21" s="446">
        <f>'03'!F141</f>
        <v>1116</v>
      </c>
      <c r="E21" s="446">
        <v>945</v>
      </c>
      <c r="F21" s="452">
        <f t="shared" si="0"/>
        <v>84.677419354838719</v>
      </c>
      <c r="G21" s="1986">
        <v>0</v>
      </c>
      <c r="H21" s="1986">
        <v>1116400</v>
      </c>
      <c r="I21" s="1986">
        <v>945149.91</v>
      </c>
      <c r="J21" s="1986"/>
      <c r="K21" s="1986"/>
    </row>
    <row r="22" spans="1:11" x14ac:dyDescent="0.2">
      <c r="A22" s="436" t="s">
        <v>713</v>
      </c>
      <c r="B22" s="1150"/>
      <c r="C22" s="446">
        <f>'03'!E142</f>
        <v>0</v>
      </c>
      <c r="D22" s="446">
        <v>0</v>
      </c>
      <c r="E22" s="446">
        <v>0</v>
      </c>
      <c r="F22" s="452">
        <v>0</v>
      </c>
      <c r="G22" s="1986">
        <v>0</v>
      </c>
      <c r="H22" s="1986">
        <v>0</v>
      </c>
      <c r="I22" s="1986">
        <v>0</v>
      </c>
      <c r="J22" s="1986"/>
      <c r="K22" s="1986"/>
    </row>
    <row r="23" spans="1:11" x14ac:dyDescent="0.2">
      <c r="A23" s="1576" t="s">
        <v>1324</v>
      </c>
      <c r="B23" s="2470"/>
      <c r="C23" s="448">
        <f>SUM('03'!E143)</f>
        <v>5950</v>
      </c>
      <c r="D23" s="448">
        <f>SUM('03'!F143)</f>
        <v>5950</v>
      </c>
      <c r="E23" s="448">
        <f>SUM('03'!G143)</f>
        <v>5369</v>
      </c>
      <c r="F23" s="481">
        <f t="shared" si="0"/>
        <v>90.235294117647058</v>
      </c>
      <c r="G23" s="1987">
        <v>5950000</v>
      </c>
      <c r="H23" s="1988">
        <v>5950000</v>
      </c>
      <c r="I23" s="1988">
        <v>5369200</v>
      </c>
      <c r="J23" s="1986"/>
      <c r="K23" s="1986"/>
    </row>
    <row r="24" spans="1:11" s="439" customFormat="1" ht="15" x14ac:dyDescent="0.25">
      <c r="A24" s="437" t="s">
        <v>1302</v>
      </c>
      <c r="B24" s="2471">
        <v>4</v>
      </c>
      <c r="C24" s="2472">
        <f>SUM(C25:C28)</f>
        <v>24165</v>
      </c>
      <c r="D24" s="2472">
        <f>SUM(D25:D28)</f>
        <v>26243</v>
      </c>
      <c r="E24" s="2472">
        <f>SUM(E25:E28)</f>
        <v>23776</v>
      </c>
      <c r="F24" s="442">
        <f t="shared" si="0"/>
        <v>90.599397934687346</v>
      </c>
      <c r="G24" s="2497">
        <f>SUM(G25:G28)</f>
        <v>24165000</v>
      </c>
      <c r="H24" s="2497">
        <f>SUM(H25:H28)</f>
        <v>26242476.800000001</v>
      </c>
      <c r="I24" s="2497">
        <f>SUM(I25:I28)</f>
        <v>23775759.699999999</v>
      </c>
      <c r="J24" s="1985"/>
      <c r="K24" s="1985"/>
    </row>
    <row r="25" spans="1:11" s="439" customFormat="1" x14ac:dyDescent="0.2">
      <c r="A25" s="435" t="s">
        <v>704</v>
      </c>
      <c r="B25" s="441"/>
      <c r="C25" s="446">
        <f>'04'!E51</f>
        <v>22807</v>
      </c>
      <c r="D25" s="446">
        <f>'04'!F51</f>
        <v>16678</v>
      </c>
      <c r="E25" s="446">
        <f>'04'!G51</f>
        <v>15905</v>
      </c>
      <c r="F25" s="452">
        <f t="shared" si="0"/>
        <v>95.365151696846141</v>
      </c>
      <c r="G25" s="1986">
        <v>22807000</v>
      </c>
      <c r="H25" s="1986">
        <v>16677784.5</v>
      </c>
      <c r="I25" s="1986">
        <v>15904346.9</v>
      </c>
      <c r="J25" s="1986"/>
      <c r="K25" s="1986"/>
    </row>
    <row r="26" spans="1:11" s="439" customFormat="1" x14ac:dyDescent="0.2">
      <c r="A26" s="435" t="s">
        <v>705</v>
      </c>
      <c r="B26" s="441"/>
      <c r="C26" s="446">
        <f>'04'!E52</f>
        <v>1358</v>
      </c>
      <c r="D26" s="446">
        <f>'04'!F52</f>
        <v>9241</v>
      </c>
      <c r="E26" s="446">
        <f>'04'!G52</f>
        <v>7547</v>
      </c>
      <c r="F26" s="452">
        <f t="shared" si="0"/>
        <v>81.668650578941666</v>
      </c>
      <c r="G26" s="1986">
        <v>1358000</v>
      </c>
      <c r="H26" s="1986">
        <v>9240218.3000000007</v>
      </c>
      <c r="I26" s="1986">
        <v>7546938.7999999998</v>
      </c>
      <c r="J26" s="1986"/>
      <c r="K26" s="1986"/>
    </row>
    <row r="27" spans="1:11" x14ac:dyDescent="0.2">
      <c r="A27" s="436" t="s">
        <v>712</v>
      </c>
      <c r="B27" s="1150"/>
      <c r="C27" s="446">
        <f>'04'!E53</f>
        <v>0</v>
      </c>
      <c r="D27" s="446">
        <f>'04'!F53</f>
        <v>0</v>
      </c>
      <c r="E27" s="446">
        <f>'04'!G53</f>
        <v>0</v>
      </c>
      <c r="F27" s="452">
        <v>0</v>
      </c>
      <c r="G27" s="1986">
        <v>0</v>
      </c>
      <c r="H27" s="1986">
        <v>0</v>
      </c>
      <c r="I27" s="1986">
        <v>0</v>
      </c>
      <c r="J27" s="1986"/>
      <c r="K27" s="1986"/>
    </row>
    <row r="28" spans="1:11" x14ac:dyDescent="0.2">
      <c r="A28" s="443" t="s">
        <v>713</v>
      </c>
      <c r="B28" s="2470"/>
      <c r="C28" s="448">
        <f>'04'!E54</f>
        <v>0</v>
      </c>
      <c r="D28" s="448">
        <f>'04'!F54</f>
        <v>324</v>
      </c>
      <c r="E28" s="448">
        <f>'04'!G54</f>
        <v>324</v>
      </c>
      <c r="F28" s="481">
        <v>0</v>
      </c>
      <c r="G28" s="1987">
        <v>0</v>
      </c>
      <c r="H28" s="1988">
        <v>324474</v>
      </c>
      <c r="I28" s="1988">
        <v>324474</v>
      </c>
      <c r="J28" s="1986"/>
      <c r="K28" s="1986"/>
    </row>
    <row r="29" spans="1:11" s="439" customFormat="1" ht="15" x14ac:dyDescent="0.25">
      <c r="A29" s="444" t="s">
        <v>246</v>
      </c>
      <c r="B29" s="2471">
        <v>5</v>
      </c>
      <c r="C29" s="2472">
        <f>SUM(C30:C33)</f>
        <v>80</v>
      </c>
      <c r="D29" s="2472">
        <f>SUM(D30:D33)</f>
        <v>80</v>
      </c>
      <c r="E29" s="2472">
        <f>SUM(E30:E33)</f>
        <v>34</v>
      </c>
      <c r="F29" s="452">
        <v>0</v>
      </c>
      <c r="G29" s="2497">
        <f>SUM(G30:G33)</f>
        <v>80000</v>
      </c>
      <c r="H29" s="2497">
        <f>SUM(H30:H33)</f>
        <v>80000</v>
      </c>
      <c r="I29" s="2497">
        <f>SUM(I30:I33)</f>
        <v>34216</v>
      </c>
      <c r="J29" s="1985"/>
      <c r="K29" s="1985"/>
    </row>
    <row r="30" spans="1:11" s="439" customFormat="1" x14ac:dyDescent="0.2">
      <c r="A30" s="445" t="s">
        <v>704</v>
      </c>
      <c r="B30" s="441"/>
      <c r="C30" s="446">
        <f>'05'!E16</f>
        <v>80</v>
      </c>
      <c r="D30" s="446">
        <f>'05'!F16</f>
        <v>80</v>
      </c>
      <c r="E30" s="446">
        <f>'05'!G16</f>
        <v>34</v>
      </c>
      <c r="F30" s="452">
        <v>0</v>
      </c>
      <c r="G30" s="1986">
        <v>80000</v>
      </c>
      <c r="H30" s="1986">
        <v>80000</v>
      </c>
      <c r="I30" s="1986">
        <v>34216</v>
      </c>
      <c r="J30" s="1986"/>
      <c r="K30" s="1986"/>
    </row>
    <row r="31" spans="1:11" s="439" customFormat="1" x14ac:dyDescent="0.2">
      <c r="A31" s="445" t="s">
        <v>705</v>
      </c>
      <c r="B31" s="441"/>
      <c r="C31" s="446">
        <f>'05'!E17</f>
        <v>0</v>
      </c>
      <c r="D31" s="446">
        <f>'05'!F17</f>
        <v>0</v>
      </c>
      <c r="E31" s="446">
        <f>'05'!G17</f>
        <v>0</v>
      </c>
      <c r="F31" s="452">
        <v>0</v>
      </c>
      <c r="G31" s="1986">
        <v>0</v>
      </c>
      <c r="H31" s="1986">
        <v>0</v>
      </c>
      <c r="I31" s="1986">
        <v>0</v>
      </c>
      <c r="J31" s="1986"/>
      <c r="K31" s="1986"/>
    </row>
    <row r="32" spans="1:11" s="439" customFormat="1" x14ac:dyDescent="0.2">
      <c r="A32" s="436" t="s">
        <v>712</v>
      </c>
      <c r="B32" s="441"/>
      <c r="C32" s="446">
        <f>'05'!E18</f>
        <v>0</v>
      </c>
      <c r="D32" s="446">
        <f>'05'!F18</f>
        <v>0</v>
      </c>
      <c r="E32" s="446">
        <f>'05'!G18</f>
        <v>0</v>
      </c>
      <c r="F32" s="452">
        <v>0</v>
      </c>
      <c r="G32" s="1986">
        <v>0</v>
      </c>
      <c r="H32" s="1986">
        <v>0</v>
      </c>
      <c r="I32" s="1986">
        <v>0</v>
      </c>
      <c r="J32" s="1986"/>
      <c r="K32" s="1986"/>
    </row>
    <row r="33" spans="1:11" s="439" customFormat="1" x14ac:dyDescent="0.2">
      <c r="A33" s="440" t="s">
        <v>713</v>
      </c>
      <c r="B33" s="447"/>
      <c r="C33" s="448">
        <f>'05'!E19</f>
        <v>0</v>
      </c>
      <c r="D33" s="448">
        <f>'05'!F19</f>
        <v>0</v>
      </c>
      <c r="E33" s="448">
        <f>'05'!G19</f>
        <v>0</v>
      </c>
      <c r="F33" s="481">
        <v>0</v>
      </c>
      <c r="G33" s="1987">
        <v>0</v>
      </c>
      <c r="H33" s="1988">
        <v>0</v>
      </c>
      <c r="I33" s="1988">
        <v>0</v>
      </c>
      <c r="J33" s="1986"/>
      <c r="K33" s="1986"/>
    </row>
    <row r="34" spans="1:11" s="439" customFormat="1" ht="15" x14ac:dyDescent="0.25">
      <c r="A34" s="437" t="s">
        <v>1895</v>
      </c>
      <c r="B34" s="441">
        <v>6</v>
      </c>
      <c r="C34" s="392">
        <f>SUM(C35:C38)</f>
        <v>25769</v>
      </c>
      <c r="D34" s="392">
        <f>SUM(D35:D38)</f>
        <v>25497</v>
      </c>
      <c r="E34" s="392">
        <f>SUM(E35:E38)</f>
        <v>19777</v>
      </c>
      <c r="F34" s="442">
        <f t="shared" si="0"/>
        <v>77.56598815546927</v>
      </c>
      <c r="G34" s="2497">
        <f>SUM(G35:G38)</f>
        <v>25769000</v>
      </c>
      <c r="H34" s="2497">
        <f>SUM(H35:H38)</f>
        <v>25497000</v>
      </c>
      <c r="I34" s="2497">
        <f>SUM(I35:I38)</f>
        <v>19777509.780000001</v>
      </c>
      <c r="J34" s="1985"/>
      <c r="K34" s="1985"/>
    </row>
    <row r="35" spans="1:11" s="439" customFormat="1" x14ac:dyDescent="0.2">
      <c r="A35" s="435" t="s">
        <v>704</v>
      </c>
      <c r="B35" s="441"/>
      <c r="C35" s="446">
        <f>'06'!E39</f>
        <v>23369</v>
      </c>
      <c r="D35" s="446">
        <f>'06'!F39</f>
        <v>22187</v>
      </c>
      <c r="E35" s="446">
        <f>'06'!G39</f>
        <v>17135</v>
      </c>
      <c r="F35" s="452">
        <f t="shared" si="0"/>
        <v>77.229909406409163</v>
      </c>
      <c r="G35" s="1986">
        <v>23369000</v>
      </c>
      <c r="H35" s="1986">
        <v>22187000</v>
      </c>
      <c r="I35" s="1986">
        <v>17135583.780000001</v>
      </c>
      <c r="J35" s="1986"/>
      <c r="K35" s="1986"/>
    </row>
    <row r="36" spans="1:11" s="439" customFormat="1" x14ac:dyDescent="0.2">
      <c r="A36" s="435" t="s">
        <v>705</v>
      </c>
      <c r="B36" s="441"/>
      <c r="C36" s="446">
        <f>'06'!E40</f>
        <v>2400</v>
      </c>
      <c r="D36" s="446">
        <f>'06'!F40</f>
        <v>3310</v>
      </c>
      <c r="E36" s="446">
        <f>'06'!G40</f>
        <v>2642</v>
      </c>
      <c r="F36" s="452">
        <f t="shared" si="0"/>
        <v>79.818731117824768</v>
      </c>
      <c r="G36" s="1986">
        <v>2400000</v>
      </c>
      <c r="H36" s="1986">
        <v>3310000</v>
      </c>
      <c r="I36" s="1986">
        <v>2641926</v>
      </c>
      <c r="J36" s="1986"/>
      <c r="K36" s="1986"/>
    </row>
    <row r="37" spans="1:11" x14ac:dyDescent="0.2">
      <c r="A37" s="436" t="s">
        <v>712</v>
      </c>
      <c r="B37" s="1150"/>
      <c r="C37" s="446">
        <f>'06'!E41</f>
        <v>0</v>
      </c>
      <c r="D37" s="446">
        <f>'06'!F41</f>
        <v>0</v>
      </c>
      <c r="E37" s="446">
        <f>'06'!G41</f>
        <v>0</v>
      </c>
      <c r="F37" s="452">
        <v>0</v>
      </c>
      <c r="G37" s="1986">
        <v>0</v>
      </c>
      <c r="H37" s="1986">
        <v>0</v>
      </c>
      <c r="I37" s="1986">
        <v>0</v>
      </c>
      <c r="J37" s="1986"/>
      <c r="K37" s="1986"/>
    </row>
    <row r="38" spans="1:11" x14ac:dyDescent="0.2">
      <c r="A38" s="440" t="s">
        <v>713</v>
      </c>
      <c r="B38" s="2470"/>
      <c r="C38" s="448">
        <f>'06'!E42</f>
        <v>0</v>
      </c>
      <c r="D38" s="448">
        <f>'06'!F42</f>
        <v>0</v>
      </c>
      <c r="E38" s="448">
        <f>'06'!G42</f>
        <v>0</v>
      </c>
      <c r="F38" s="481">
        <v>0</v>
      </c>
      <c r="G38" s="1987">
        <v>0</v>
      </c>
      <c r="H38" s="1988">
        <v>0</v>
      </c>
      <c r="I38" s="1988">
        <v>0</v>
      </c>
      <c r="J38" s="1986"/>
      <c r="K38" s="1986"/>
    </row>
    <row r="39" spans="1:11" s="439" customFormat="1" ht="15" x14ac:dyDescent="0.25">
      <c r="A39" s="437" t="s">
        <v>247</v>
      </c>
      <c r="B39" s="2471">
        <v>7</v>
      </c>
      <c r="C39" s="2472">
        <f>SUM(C40:C44)</f>
        <v>175134</v>
      </c>
      <c r="D39" s="2472">
        <f>SUM(D40:D44)</f>
        <v>384746</v>
      </c>
      <c r="E39" s="2472">
        <f>SUM(E40:E44)</f>
        <v>81778</v>
      </c>
      <c r="F39" s="442">
        <f t="shared" si="0"/>
        <v>21.255061781019165</v>
      </c>
      <c r="G39" s="2497">
        <f>SUM(G40:G44)</f>
        <v>175134000</v>
      </c>
      <c r="H39" s="2497">
        <f>SUM(H40:H44)</f>
        <v>384745558.74000001</v>
      </c>
      <c r="I39" s="2497">
        <f>SUM(I40:I44)</f>
        <v>81778472.25</v>
      </c>
      <c r="J39" s="1985"/>
      <c r="K39" s="1985"/>
    </row>
    <row r="40" spans="1:11" s="439" customFormat="1" x14ac:dyDescent="0.2">
      <c r="A40" s="435" t="s">
        <v>704</v>
      </c>
      <c r="B40" s="441"/>
      <c r="C40" s="446">
        <f>'07'!E59</f>
        <v>175134</v>
      </c>
      <c r="D40" s="446">
        <f>'07'!F59</f>
        <v>373066</v>
      </c>
      <c r="E40" s="446">
        <f>'07'!G59</f>
        <v>71278</v>
      </c>
      <c r="F40" s="452">
        <f t="shared" si="0"/>
        <v>19.106002691212815</v>
      </c>
      <c r="G40" s="1986">
        <v>175134000</v>
      </c>
      <c r="H40" s="1986">
        <v>373065510.74000001</v>
      </c>
      <c r="I40" s="1986">
        <v>71278472.25</v>
      </c>
      <c r="J40" s="1986"/>
      <c r="K40" s="1986"/>
    </row>
    <row r="41" spans="1:11" s="439" customFormat="1" x14ac:dyDescent="0.2">
      <c r="A41" s="435" t="s">
        <v>705</v>
      </c>
      <c r="B41" s="441"/>
      <c r="C41" s="446">
        <f>'07'!E60</f>
        <v>0</v>
      </c>
      <c r="D41" s="446">
        <f>'07'!F60</f>
        <v>10500</v>
      </c>
      <c r="E41" s="446">
        <f>'07'!G60</f>
        <v>10500</v>
      </c>
      <c r="F41" s="452">
        <v>0</v>
      </c>
      <c r="G41" s="1986">
        <v>0</v>
      </c>
      <c r="H41" s="1986">
        <v>10500000</v>
      </c>
      <c r="I41" s="1986">
        <v>10500000</v>
      </c>
      <c r="J41" s="1986"/>
      <c r="K41" s="1986"/>
    </row>
    <row r="42" spans="1:11" x14ac:dyDescent="0.2">
      <c r="A42" s="436" t="s">
        <v>712</v>
      </c>
      <c r="B42" s="1150"/>
      <c r="C42" s="446">
        <f>'07'!E61</f>
        <v>0</v>
      </c>
      <c r="D42" s="446">
        <f>'07'!F61</f>
        <v>1180</v>
      </c>
      <c r="E42" s="446">
        <f>'07'!G61</f>
        <v>0</v>
      </c>
      <c r="F42" s="452">
        <f t="shared" si="0"/>
        <v>0</v>
      </c>
      <c r="G42" s="1986">
        <v>0</v>
      </c>
      <c r="H42" s="1986">
        <v>1180048</v>
      </c>
      <c r="I42" s="1986">
        <v>0</v>
      </c>
      <c r="J42" s="1986"/>
      <c r="K42" s="1986"/>
    </row>
    <row r="43" spans="1:11" x14ac:dyDescent="0.2">
      <c r="A43" s="436" t="s">
        <v>713</v>
      </c>
      <c r="B43" s="1150"/>
      <c r="C43" s="446">
        <f>'07'!E62</f>
        <v>0</v>
      </c>
      <c r="D43" s="446">
        <f>'07'!F62</f>
        <v>0</v>
      </c>
      <c r="E43" s="446">
        <f>'07'!G62</f>
        <v>0</v>
      </c>
      <c r="F43" s="452">
        <v>0</v>
      </c>
      <c r="G43" s="2473">
        <v>0</v>
      </c>
      <c r="H43" s="1986">
        <v>0</v>
      </c>
      <c r="I43" s="1986">
        <v>0</v>
      </c>
      <c r="J43" s="1986"/>
      <c r="K43" s="1986"/>
    </row>
    <row r="44" spans="1:11" x14ac:dyDescent="0.2">
      <c r="A44" s="1576" t="s">
        <v>1324</v>
      </c>
      <c r="B44" s="2470"/>
      <c r="C44" s="448">
        <v>0</v>
      </c>
      <c r="D44" s="448">
        <v>0</v>
      </c>
      <c r="E44" s="448">
        <v>0</v>
      </c>
      <c r="F44" s="481">
        <v>0</v>
      </c>
      <c r="G44" s="1987">
        <v>0</v>
      </c>
      <c r="H44" s="1988">
        <v>0</v>
      </c>
      <c r="I44" s="1988">
        <v>0</v>
      </c>
      <c r="J44" s="1986"/>
      <c r="K44" s="1986"/>
    </row>
    <row r="45" spans="1:11" s="439" customFormat="1" ht="15" x14ac:dyDescent="0.25">
      <c r="A45" s="437" t="s">
        <v>248</v>
      </c>
      <c r="B45" s="2471">
        <v>8</v>
      </c>
      <c r="C45" s="2472">
        <f>SUM(C46:C49)</f>
        <v>96295</v>
      </c>
      <c r="D45" s="2472">
        <f>SUM(D46:D49)</f>
        <v>99580</v>
      </c>
      <c r="E45" s="2472">
        <f>SUM(E46:E49)</f>
        <v>92008</v>
      </c>
      <c r="F45" s="442">
        <f>E45/D45*100</f>
        <v>92.396063466559553</v>
      </c>
      <c r="G45" s="2497">
        <f>SUM(G46:G49)</f>
        <v>96295000</v>
      </c>
      <c r="H45" s="2497">
        <f>SUM(H46:H49)</f>
        <v>99579990.99000001</v>
      </c>
      <c r="I45" s="2497">
        <f>SUM(I46:I49)</f>
        <v>92008498.439999998</v>
      </c>
      <c r="J45" s="1985"/>
      <c r="K45" s="1985"/>
    </row>
    <row r="46" spans="1:11" s="439" customFormat="1" x14ac:dyDescent="0.2">
      <c r="A46" s="435" t="s">
        <v>704</v>
      </c>
      <c r="B46" s="441"/>
      <c r="C46" s="446">
        <f>'08'!E133</f>
        <v>89668</v>
      </c>
      <c r="D46" s="446">
        <f>'08'!F133</f>
        <v>58204</v>
      </c>
      <c r="E46" s="446">
        <f>'08'!G133</f>
        <v>51672</v>
      </c>
      <c r="F46" s="452">
        <f>E46/D46*100</f>
        <v>88.77740361487183</v>
      </c>
      <c r="G46" s="1986">
        <v>89668000</v>
      </c>
      <c r="H46" s="1986">
        <v>58204222.990000002</v>
      </c>
      <c r="I46" s="1986">
        <v>51672233.43</v>
      </c>
      <c r="J46" s="1986"/>
      <c r="K46" s="1986"/>
    </row>
    <row r="47" spans="1:11" s="439" customFormat="1" x14ac:dyDescent="0.2">
      <c r="A47" s="435" t="s">
        <v>705</v>
      </c>
      <c r="B47" s="441"/>
      <c r="C47" s="446">
        <f>'08'!E134</f>
        <v>6627</v>
      </c>
      <c r="D47" s="446">
        <f>'08'!F134</f>
        <v>40877</v>
      </c>
      <c r="E47" s="446">
        <f>'08'!G134</f>
        <v>39879</v>
      </c>
      <c r="F47" s="452">
        <f>E47/D47*100</f>
        <v>97.558529246275413</v>
      </c>
      <c r="G47" s="1986">
        <v>6627000</v>
      </c>
      <c r="H47" s="1986">
        <v>40877168</v>
      </c>
      <c r="I47" s="1986">
        <v>39878928.009999998</v>
      </c>
      <c r="J47" s="1986"/>
      <c r="K47" s="1986"/>
    </row>
    <row r="48" spans="1:11" x14ac:dyDescent="0.2">
      <c r="A48" s="436" t="s">
        <v>712</v>
      </c>
      <c r="B48" s="1150"/>
      <c r="C48" s="446">
        <f>'08'!E135</f>
        <v>0</v>
      </c>
      <c r="D48" s="446">
        <f>'08'!F135</f>
        <v>499</v>
      </c>
      <c r="E48" s="446">
        <f>'08'!G135</f>
        <v>457</v>
      </c>
      <c r="F48" s="452">
        <v>0</v>
      </c>
      <c r="G48" s="2473">
        <v>0</v>
      </c>
      <c r="H48" s="1986">
        <v>498600</v>
      </c>
      <c r="I48" s="1986">
        <v>457337</v>
      </c>
      <c r="J48" s="1986"/>
      <c r="K48" s="1986"/>
    </row>
    <row r="49" spans="1:14" x14ac:dyDescent="0.2">
      <c r="A49" s="440" t="s">
        <v>713</v>
      </c>
      <c r="B49" s="2470"/>
      <c r="C49" s="448">
        <f>'08'!E136</f>
        <v>0</v>
      </c>
      <c r="D49" s="448">
        <f>'08'!F136</f>
        <v>0</v>
      </c>
      <c r="E49" s="448">
        <f>'08'!G136</f>
        <v>0</v>
      </c>
      <c r="F49" s="452">
        <v>0</v>
      </c>
      <c r="G49" s="1987">
        <v>0</v>
      </c>
      <c r="H49" s="1988">
        <v>0</v>
      </c>
      <c r="I49" s="1988">
        <v>0</v>
      </c>
      <c r="J49" s="1986"/>
      <c r="K49" s="1986"/>
    </row>
    <row r="50" spans="1:14" ht="32.25" customHeight="1" x14ac:dyDescent="0.25">
      <c r="A50" s="2460" t="s">
        <v>965</v>
      </c>
      <c r="B50" s="2471">
        <v>9</v>
      </c>
      <c r="C50" s="2472">
        <f>SUM(C51:C54)</f>
        <v>23357</v>
      </c>
      <c r="D50" s="2472">
        <f>SUM(D51:D54)</f>
        <v>45926</v>
      </c>
      <c r="E50" s="2472">
        <f>SUM(E51:E54)</f>
        <v>45111</v>
      </c>
      <c r="F50" s="438">
        <f>E50/D50*100</f>
        <v>98.225406088054697</v>
      </c>
      <c r="G50" s="2497">
        <f>SUM(G51:G54)</f>
        <v>23357000</v>
      </c>
      <c r="H50" s="2497">
        <f>SUM(H51:H54)</f>
        <v>45925728</v>
      </c>
      <c r="I50" s="2497">
        <f>SUM(I51:I54)</f>
        <v>45110781.920000002</v>
      </c>
      <c r="J50" s="1985"/>
      <c r="K50" s="1985"/>
    </row>
    <row r="51" spans="1:14" ht="15" customHeight="1" x14ac:dyDescent="0.2">
      <c r="A51" s="435" t="s">
        <v>704</v>
      </c>
      <c r="B51" s="441"/>
      <c r="C51" s="446">
        <f>'09'!E124</f>
        <v>22357</v>
      </c>
      <c r="D51" s="446">
        <f>'09'!F124</f>
        <v>22289</v>
      </c>
      <c r="E51" s="446">
        <f>'09'!G124</f>
        <v>21474</v>
      </c>
      <c r="F51" s="452">
        <f>E51/D51*100</f>
        <v>96.343487819103586</v>
      </c>
      <c r="G51" s="1986">
        <v>22357000</v>
      </c>
      <c r="H51" s="1986">
        <v>22289448</v>
      </c>
      <c r="I51" s="1986">
        <v>21474501.920000002</v>
      </c>
      <c r="J51" s="1986"/>
      <c r="K51" s="2505">
        <f>SUM(G8,G14,G19,G25,G30,G35,G40,G46,G51)</f>
        <v>716252000</v>
      </c>
      <c r="L51" s="2505">
        <f>SUM(H8,H14,H19,H25,H30,H35,H40,H46,H51)</f>
        <v>887110845.25</v>
      </c>
      <c r="M51" s="2505">
        <f>SUM(I8,I14,I19,I25,I30,I35,I40,I46,I51)</f>
        <v>550159763.80999994</v>
      </c>
      <c r="N51" s="2505" t="s">
        <v>711</v>
      </c>
    </row>
    <row r="52" spans="1:14" ht="15" customHeight="1" x14ac:dyDescent="0.2">
      <c r="A52" s="435" t="s">
        <v>705</v>
      </c>
      <c r="B52" s="441"/>
      <c r="C52" s="446">
        <f>'09'!E125</f>
        <v>1000</v>
      </c>
      <c r="D52" s="446">
        <f>'09'!F125</f>
        <v>12848</v>
      </c>
      <c r="E52" s="446">
        <f>'09'!G125</f>
        <v>12848</v>
      </c>
      <c r="F52" s="452">
        <f>E52/D52*100</f>
        <v>100</v>
      </c>
      <c r="G52" s="1986">
        <v>1000000</v>
      </c>
      <c r="H52" s="1986">
        <v>12848000</v>
      </c>
      <c r="I52" s="1986">
        <v>12848000</v>
      </c>
      <c r="J52" s="1986"/>
      <c r="K52" s="2505">
        <f>SUM(G9,G15,G20,G26,G31,G36,G41,G47,G52)</f>
        <v>15085000</v>
      </c>
      <c r="L52" s="2505">
        <f t="shared" ref="K52:L54" si="1">SUM(H9,H15,H20,H26,H31,H36,H41,H47,H52)</f>
        <v>92199079.299999997</v>
      </c>
      <c r="M52" s="2505">
        <f>SUM(I9,I15,I20,I26,I31,I36,I41,I47,I52)</f>
        <v>86764971.159999996</v>
      </c>
      <c r="N52" s="2506" t="s">
        <v>655</v>
      </c>
    </row>
    <row r="53" spans="1:14" x14ac:dyDescent="0.2">
      <c r="A53" s="436" t="s">
        <v>712</v>
      </c>
      <c r="B53" s="1150"/>
      <c r="C53" s="446">
        <f>'09'!E126</f>
        <v>0</v>
      </c>
      <c r="D53" s="446">
        <f>'09'!F126</f>
        <v>6847</v>
      </c>
      <c r="E53" s="446">
        <f>'09'!G126</f>
        <v>6847</v>
      </c>
      <c r="F53" s="452">
        <f>E53/D53*100</f>
        <v>100</v>
      </c>
      <c r="G53" s="1986">
        <v>0</v>
      </c>
      <c r="H53" s="1986">
        <v>6846769</v>
      </c>
      <c r="I53" s="1986">
        <v>6846769</v>
      </c>
      <c r="J53" s="1986"/>
      <c r="K53" s="2505">
        <f t="shared" si="1"/>
        <v>0</v>
      </c>
      <c r="L53" s="2505">
        <f>SUM(H10,H16,H21,H27,H32,H37,H42,H48,H53)</f>
        <v>28910724</v>
      </c>
      <c r="M53" s="2505">
        <f>SUM(I10,I16,I21,I27,I32,I37,I42,I48,I53)</f>
        <v>27516242.91</v>
      </c>
      <c r="N53" s="2506" t="s">
        <v>752</v>
      </c>
    </row>
    <row r="54" spans="1:14" ht="15" thickBot="1" x14ac:dyDescent="0.25">
      <c r="A54" s="450" t="s">
        <v>713</v>
      </c>
      <c r="B54" s="1459"/>
      <c r="C54" s="482">
        <f>'09'!E127</f>
        <v>0</v>
      </c>
      <c r="D54" s="482">
        <f>'09'!F127</f>
        <v>3942</v>
      </c>
      <c r="E54" s="482">
        <f>'09'!G127</f>
        <v>3942</v>
      </c>
      <c r="F54" s="483">
        <f>E54/D54*100</f>
        <v>100</v>
      </c>
      <c r="G54" s="1987">
        <v>0</v>
      </c>
      <c r="H54" s="1988">
        <v>3941511</v>
      </c>
      <c r="I54" s="1988">
        <v>3941511</v>
      </c>
      <c r="J54" s="1986"/>
      <c r="K54" s="2505">
        <f t="shared" si="1"/>
        <v>0</v>
      </c>
      <c r="L54" s="2505">
        <f t="shared" si="1"/>
        <v>4265985</v>
      </c>
      <c r="M54" s="2505">
        <f>SUM(I11,I17,I22,I28,I33,I38,I43,I49,I54)</f>
        <v>4265985</v>
      </c>
      <c r="N54" s="2506" t="s">
        <v>1619</v>
      </c>
    </row>
    <row r="55" spans="1:14" ht="13.5" hidden="1" customHeight="1" thickTop="1" x14ac:dyDescent="0.2">
      <c r="A55" s="312"/>
      <c r="B55" s="1143"/>
      <c r="C55" s="385">
        <f>SUM(C51,C46,C40,C35,C30,C25,C19,C14,C8)</f>
        <v>716252</v>
      </c>
      <c r="D55" s="385">
        <f>SUM(D51,D46,D40,D35,D30,D25,D19,D14,D8)</f>
        <v>887111</v>
      </c>
      <c r="E55" s="385">
        <f>SUM(E51,E46,E40,E35,E30,E25,E19,E14,E8)</f>
        <v>550159</v>
      </c>
      <c r="F55" s="384" t="s">
        <v>711</v>
      </c>
      <c r="G55" s="1990"/>
      <c r="H55" s="1990"/>
      <c r="I55" s="1990"/>
      <c r="J55" s="1990"/>
      <c r="K55" s="2505">
        <f>SUM(G12,G18,G23,G29,G34,G39,G44,G50,G55)</f>
        <v>529794000</v>
      </c>
      <c r="L55" s="2507"/>
      <c r="M55" s="2507"/>
      <c r="N55" s="2506"/>
    </row>
    <row r="56" spans="1:14" ht="12.75" hidden="1" customHeight="1" x14ac:dyDescent="0.2">
      <c r="A56" s="312"/>
      <c r="B56" s="1143"/>
      <c r="C56" s="385">
        <f t="shared" ref="C56:E58" si="2">SUM(C52,C47,C41,C36,C31,C26,C20,C15,C9)</f>
        <v>15085</v>
      </c>
      <c r="D56" s="385">
        <f t="shared" si="2"/>
        <v>92200</v>
      </c>
      <c r="E56" s="385">
        <f t="shared" si="2"/>
        <v>86765</v>
      </c>
      <c r="F56" s="965" t="s">
        <v>751</v>
      </c>
      <c r="G56" s="1991"/>
      <c r="H56" s="1991"/>
      <c r="I56" s="1991"/>
      <c r="J56" s="1991"/>
      <c r="K56" s="2505">
        <f>SUM(G13,G19,G24,G30,G35,G40,G45,G51,G56)</f>
        <v>688772000</v>
      </c>
      <c r="L56" s="2507"/>
      <c r="M56" s="2507"/>
      <c r="N56" s="2506"/>
    </row>
    <row r="57" spans="1:14" ht="12.75" hidden="1" customHeight="1" x14ac:dyDescent="0.2">
      <c r="A57" s="312"/>
      <c r="B57" s="1143"/>
      <c r="C57" s="385">
        <f t="shared" si="2"/>
        <v>0</v>
      </c>
      <c r="D57" s="385">
        <f t="shared" si="2"/>
        <v>28911</v>
      </c>
      <c r="E57" s="385">
        <f t="shared" si="2"/>
        <v>27516</v>
      </c>
      <c r="F57" s="965" t="s">
        <v>752</v>
      </c>
      <c r="G57" s="1991"/>
      <c r="H57" s="1991"/>
      <c r="I57" s="1991"/>
      <c r="J57" s="1991"/>
      <c r="K57" s="2505">
        <f t="shared" ref="K57:K62" si="3">SUM(G14,G20,G25,G31,G36,G41,G46,G52,G57)</f>
        <v>172866000</v>
      </c>
      <c r="L57" s="2507"/>
      <c r="M57" s="2507"/>
      <c r="N57" s="2506"/>
    </row>
    <row r="58" spans="1:14" ht="12.75" hidden="1" customHeight="1" x14ac:dyDescent="0.2">
      <c r="A58" s="312"/>
      <c r="B58" s="1143"/>
      <c r="C58" s="385">
        <f t="shared" si="2"/>
        <v>0</v>
      </c>
      <c r="D58" s="385">
        <f t="shared" si="2"/>
        <v>4266</v>
      </c>
      <c r="E58" s="385">
        <f t="shared" si="2"/>
        <v>4266</v>
      </c>
      <c r="F58" s="965" t="s">
        <v>861</v>
      </c>
      <c r="G58" s="1991"/>
      <c r="H58" s="1991"/>
      <c r="I58" s="1991"/>
      <c r="J58" s="1991"/>
      <c r="K58" s="2505">
        <f t="shared" si="3"/>
        <v>9485000</v>
      </c>
      <c r="L58" s="2507"/>
      <c r="M58" s="2507"/>
      <c r="N58" s="2506"/>
    </row>
    <row r="59" spans="1:14" ht="12.75" hidden="1" customHeight="1" x14ac:dyDescent="0.2">
      <c r="A59" s="312"/>
      <c r="B59" s="1143"/>
      <c r="C59" s="385">
        <f>SUM(C12,C23,C44)</f>
        <v>6223</v>
      </c>
      <c r="D59" s="385">
        <f>SUM(D12,D23,D44)</f>
        <v>6223</v>
      </c>
      <c r="E59" s="385">
        <f>SUM(E12,E23,E44)</f>
        <v>5605</v>
      </c>
      <c r="F59" s="965" t="s">
        <v>1011</v>
      </c>
      <c r="G59" s="1991"/>
      <c r="H59" s="1991"/>
      <c r="I59" s="1991"/>
      <c r="J59" s="1991"/>
      <c r="K59" s="2505">
        <f t="shared" si="3"/>
        <v>0</v>
      </c>
      <c r="L59" s="2507"/>
      <c r="M59" s="2507"/>
      <c r="N59" s="2506"/>
    </row>
    <row r="60" spans="1:14" ht="12.75" hidden="1" customHeight="1" x14ac:dyDescent="0.2">
      <c r="A60" s="312"/>
      <c r="B60" s="1143"/>
      <c r="C60" s="1144">
        <f>SUM(C55:C59)</f>
        <v>737560</v>
      </c>
      <c r="D60" s="1144">
        <f>SUM(D55:D59)</f>
        <v>1018711</v>
      </c>
      <c r="E60" s="1144">
        <f>SUM(E55:E59)</f>
        <v>674311</v>
      </c>
      <c r="F60" s="965" t="s">
        <v>750</v>
      </c>
      <c r="G60" s="1991"/>
      <c r="H60" s="1991"/>
      <c r="I60" s="1991"/>
      <c r="J60" s="1991"/>
      <c r="K60" s="2505">
        <f t="shared" si="3"/>
        <v>206853000</v>
      </c>
      <c r="L60" s="2507"/>
      <c r="M60" s="2507"/>
      <c r="N60" s="2506"/>
    </row>
    <row r="61" spans="1:14" ht="12.75" hidden="1" customHeight="1" x14ac:dyDescent="0.2">
      <c r="A61" s="312"/>
      <c r="B61" s="1143"/>
      <c r="C61" s="1144"/>
      <c r="D61" s="1144"/>
      <c r="E61" s="1144"/>
      <c r="F61" s="965"/>
      <c r="G61" s="1991"/>
      <c r="H61" s="1991"/>
      <c r="I61" s="1991"/>
      <c r="J61" s="1991"/>
      <c r="K61" s="2505">
        <f t="shared" si="3"/>
        <v>641631000</v>
      </c>
      <c r="L61" s="2507"/>
      <c r="M61" s="2507"/>
      <c r="N61" s="2506"/>
    </row>
    <row r="62" spans="1:14" ht="12.75" hidden="1" customHeight="1" x14ac:dyDescent="0.2">
      <c r="A62" s="312"/>
      <c r="B62" s="1143"/>
      <c r="C62" s="1144">
        <f>C7+C13+C18+C24+C29+C34+C39+C45+C50</f>
        <v>737560</v>
      </c>
      <c r="D62" s="1144">
        <f>D7+D13+D18+D24+D29+D34+D39+D45+D50</f>
        <v>1018711</v>
      </c>
      <c r="E62" s="1144">
        <f>E7+E13+E18+E24+E29+E34+E39+E45+E50</f>
        <v>674311</v>
      </c>
      <c r="F62" s="965" t="s">
        <v>862</v>
      </c>
      <c r="G62" s="1991"/>
      <c r="H62" s="1991"/>
      <c r="I62" s="1991"/>
      <c r="J62" s="1991"/>
      <c r="K62" s="2505">
        <f t="shared" si="3"/>
        <v>428393000</v>
      </c>
      <c r="L62" s="2507"/>
      <c r="M62" s="2507"/>
      <c r="N62" s="2506"/>
    </row>
    <row r="63" spans="1:14" ht="12.75" customHeight="1" thickTop="1" x14ac:dyDescent="0.25">
      <c r="A63" s="2647"/>
      <c r="B63" s="2648"/>
      <c r="C63" s="2649">
        <f>SUM(C7,C13,C18,C24,C29,C34,C39,C45,C50)</f>
        <v>737560</v>
      </c>
      <c r="D63" s="2649">
        <f>SUM(D7,D13,D18,D24,D29,D34,D39,D45,D50)</f>
        <v>1018711</v>
      </c>
      <c r="E63" s="2649">
        <f>SUM(E7,E13,E18,E24,E29,E34,E39,E45,E50)</f>
        <v>674311</v>
      </c>
      <c r="F63" s="2650"/>
      <c r="G63" s="351">
        <f>SUM(G50,G45,G39,G34,G29,G24,G18,G13,G7)</f>
        <v>737560000</v>
      </c>
      <c r="H63" s="351">
        <f>SUM(H50,H45,H39,H34,H29,H24,H18,H13,H7)</f>
        <v>1018709633.55</v>
      </c>
      <c r="I63" s="351">
        <f>SUM(I50,I45,I39,I34,I29,I24,I18,I13,I7)</f>
        <v>674312162.88</v>
      </c>
      <c r="J63" s="1991"/>
      <c r="K63" s="2508">
        <f>SUM(G12,G23,G44)</f>
        <v>6223000</v>
      </c>
      <c r="L63" s="2508">
        <f>SUM(H12,H23,H44)</f>
        <v>6223000</v>
      </c>
      <c r="M63" s="2508">
        <f>SUM(I12,I23,I44)</f>
        <v>5605200</v>
      </c>
      <c r="N63" s="2506" t="s">
        <v>1011</v>
      </c>
    </row>
    <row r="64" spans="1:14" s="2503" customFormat="1" ht="12.75" customHeight="1" x14ac:dyDescent="0.25">
      <c r="A64" s="2651" t="s">
        <v>1654</v>
      </c>
      <c r="B64" s="2652"/>
      <c r="C64" s="2649">
        <f>SUM(C8,C10,C12,C14,C16,C19,C21,C23,C25,C27,C30,C32,C35,C37,C40,C42,C46,C48,C51,C53)</f>
        <v>722475</v>
      </c>
      <c r="D64" s="2649">
        <f t="shared" ref="D64:I64" si="4">SUM(D8,D10,D12,D14,D16,D19,D21,D23,D25,D27,D30,D32,D35,D37,D40,D42,D46,D48,D51,D53)</f>
        <v>922245</v>
      </c>
      <c r="E64" s="2649">
        <f t="shared" si="4"/>
        <v>583280</v>
      </c>
      <c r="F64" s="2649">
        <f t="shared" si="4"/>
        <v>1112.4576550810887</v>
      </c>
      <c r="G64" s="2513">
        <f>SUM(G8,G10,G12,G14,G16,G19,G21,G23,G25,G27,G30,G32,G35,G37,G40,G42,G46,G48,G51,G53)</f>
        <v>722475000</v>
      </c>
      <c r="H64" s="2513">
        <f t="shared" si="4"/>
        <v>922244569.25</v>
      </c>
      <c r="I64" s="2513">
        <f t="shared" si="4"/>
        <v>583281206.71999991</v>
      </c>
      <c r="J64" s="2502"/>
      <c r="K64" s="2509">
        <f>K51+K52+K53+K54+K63</f>
        <v>737560000</v>
      </c>
      <c r="L64" s="2509">
        <f>L51+L52+L53+L54+L63</f>
        <v>1018709633.55</v>
      </c>
      <c r="M64" s="2509">
        <f>M51+M52+M53+M54+M63</f>
        <v>674312162.87999988</v>
      </c>
      <c r="N64" s="2507" t="s">
        <v>1010</v>
      </c>
    </row>
    <row r="65" spans="1:11" s="2503" customFormat="1" ht="12.75" hidden="1" customHeight="1" x14ac:dyDescent="0.25">
      <c r="A65" s="2651" t="s">
        <v>1655</v>
      </c>
      <c r="B65" s="2652"/>
      <c r="C65" s="2649">
        <f>SUM(C54,C52,C49,C47,C43,C41,C38,C36,C33,C31,C28,C26,C22,C20,C17,C15,C11,C9)</f>
        <v>15085</v>
      </c>
      <c r="D65" s="2649">
        <f t="shared" ref="D65:I65" si="5">SUM(D54,D52,D49,D47,D43,D41,D38,D36,D33,D31,D28,D26,D22,D20,D17,D15,D11,D9)</f>
        <v>96466</v>
      </c>
      <c r="E65" s="2649">
        <f t="shared" si="5"/>
        <v>91031</v>
      </c>
      <c r="F65" s="2649">
        <f t="shared" si="5"/>
        <v>677.89985447941672</v>
      </c>
      <c r="G65" s="2513">
        <f t="shared" si="5"/>
        <v>15085000</v>
      </c>
      <c r="H65" s="2513">
        <f t="shared" si="5"/>
        <v>96465064.299999997</v>
      </c>
      <c r="I65" s="2513">
        <f t="shared" si="5"/>
        <v>91030956.159999996</v>
      </c>
      <c r="J65" s="2504"/>
      <c r="K65" s="2504"/>
    </row>
    <row r="66" spans="1:11" s="2503" customFormat="1" ht="12.75" hidden="1" customHeight="1" x14ac:dyDescent="0.25">
      <c r="A66" s="2651"/>
      <c r="B66" s="2652"/>
      <c r="C66" s="2649">
        <f>SUM(C64:C65)</f>
        <v>737560</v>
      </c>
      <c r="D66" s="2649">
        <f t="shared" ref="D66:I66" si="6">SUM(D64:D65)</f>
        <v>1018711</v>
      </c>
      <c r="E66" s="2649">
        <f t="shared" si="6"/>
        <v>674311</v>
      </c>
      <c r="F66" s="2649">
        <f t="shared" si="6"/>
        <v>1790.3575095605054</v>
      </c>
      <c r="G66" s="2513">
        <f>SUM(G64:G65)</f>
        <v>737560000</v>
      </c>
      <c r="H66" s="2513">
        <f t="shared" si="6"/>
        <v>1018709633.55</v>
      </c>
      <c r="I66" s="2513">
        <f t="shared" si="6"/>
        <v>674312162.87999988</v>
      </c>
      <c r="J66" s="2502"/>
      <c r="K66" s="2502"/>
    </row>
    <row r="67" spans="1:11" ht="15" thickBot="1" x14ac:dyDescent="0.25">
      <c r="F67" s="385" t="s">
        <v>179</v>
      </c>
      <c r="G67" s="1990"/>
      <c r="H67" s="1990"/>
      <c r="I67" s="1990"/>
      <c r="J67" s="1990"/>
      <c r="K67" s="1990"/>
    </row>
    <row r="68" spans="1:11" s="350" customFormat="1" ht="27" thickTop="1" thickBot="1" x14ac:dyDescent="0.25">
      <c r="A68" s="1141" t="s">
        <v>699</v>
      </c>
      <c r="B68" s="1142" t="s">
        <v>702</v>
      </c>
      <c r="C68" s="529" t="s">
        <v>700</v>
      </c>
      <c r="D68" s="529" t="s">
        <v>701</v>
      </c>
      <c r="E68" s="529" t="s">
        <v>986</v>
      </c>
      <c r="F68" s="530" t="s">
        <v>987</v>
      </c>
      <c r="G68" s="1983"/>
      <c r="H68" s="1983"/>
      <c r="I68" s="1983"/>
      <c r="J68" s="1983"/>
      <c r="K68" s="1983"/>
    </row>
    <row r="69" spans="1:11" s="1542" customFormat="1" ht="12.75" thickTop="1" thickBot="1" x14ac:dyDescent="0.25">
      <c r="A69" s="592">
        <v>1</v>
      </c>
      <c r="B69" s="1544">
        <v>2</v>
      </c>
      <c r="C69" s="528">
        <v>3</v>
      </c>
      <c r="D69" s="528">
        <v>4</v>
      </c>
      <c r="E69" s="528">
        <v>5</v>
      </c>
      <c r="F69" s="553" t="s">
        <v>464</v>
      </c>
      <c r="G69" s="1984"/>
      <c r="H69" s="1984"/>
      <c r="I69" s="1984"/>
      <c r="J69" s="1984"/>
      <c r="K69" s="1984"/>
    </row>
    <row r="70" spans="1:11" ht="15.75" customHeight="1" thickTop="1" x14ac:dyDescent="0.25">
      <c r="A70" s="2461" t="s">
        <v>397</v>
      </c>
      <c r="B70" s="1146">
        <v>10</v>
      </c>
      <c r="C70" s="392">
        <f>SUM(C71,C76,C81,C86)</f>
        <v>487132</v>
      </c>
      <c r="D70" s="392">
        <f>SUM(D71,D76,D81,D86)</f>
        <v>5689855</v>
      </c>
      <c r="E70" s="392">
        <f>SUM(E71,E76,E81,E86)</f>
        <v>5689103</v>
      </c>
      <c r="F70" s="442">
        <f>E70/D70*100</f>
        <v>99.986783494482722</v>
      </c>
      <c r="G70" s="2510">
        <f>SUM(G71,G76,G81,G86)</f>
        <v>487132000</v>
      </c>
      <c r="H70" s="2510">
        <f>SUM(H71,H76,H81,H86)</f>
        <v>5689855326.5</v>
      </c>
      <c r="I70" s="2510">
        <f>SUM(I71,I76,I81,I86)</f>
        <v>5689102836.8500004</v>
      </c>
      <c r="J70" s="1993"/>
      <c r="K70" s="1993"/>
    </row>
    <row r="71" spans="1:11" x14ac:dyDescent="0.2">
      <c r="A71" s="1145" t="s">
        <v>714</v>
      </c>
      <c r="B71" s="1146"/>
      <c r="C71" s="451">
        <f>SUM(C72:C75)</f>
        <v>71456</v>
      </c>
      <c r="D71" s="451">
        <f>SUM(D72:D75)</f>
        <v>104693</v>
      </c>
      <c r="E71" s="451">
        <f>SUM(E72:E75)</f>
        <v>104060</v>
      </c>
      <c r="F71" s="452">
        <f>E71/D71*100</f>
        <v>99.395375048952644</v>
      </c>
      <c r="G71" s="1985">
        <f>SUM(G72:G75)</f>
        <v>71456000</v>
      </c>
      <c r="H71" s="1985">
        <f>SUM(H72:H75)</f>
        <v>104693056.39</v>
      </c>
      <c r="I71" s="1985">
        <f>SUM(I72:I75)</f>
        <v>104059166.73999999</v>
      </c>
      <c r="J71" s="1985"/>
      <c r="K71" s="1985"/>
    </row>
    <row r="72" spans="1:11" x14ac:dyDescent="0.2">
      <c r="A72" s="435" t="s">
        <v>704</v>
      </c>
      <c r="B72" s="2475"/>
      <c r="C72" s="446">
        <f>'10'!E264</f>
        <v>56456</v>
      </c>
      <c r="D72" s="446">
        <f>'10'!F264</f>
        <v>87410</v>
      </c>
      <c r="E72" s="446">
        <f>'10'!G264</f>
        <v>86777</v>
      </c>
      <c r="F72" s="452">
        <f>E72/D72*100</f>
        <v>99.275826564466314</v>
      </c>
      <c r="G72" s="1992">
        <v>56456000</v>
      </c>
      <c r="H72" s="1992">
        <v>87410199.390000001</v>
      </c>
      <c r="I72" s="1992">
        <v>86776309.739999995</v>
      </c>
      <c r="J72" s="1992"/>
      <c r="K72" s="1992"/>
    </row>
    <row r="73" spans="1:11" x14ac:dyDescent="0.2">
      <c r="A73" s="435" t="s">
        <v>705</v>
      </c>
      <c r="B73" s="2476"/>
      <c r="C73" s="446">
        <f>'10'!E265</f>
        <v>15000</v>
      </c>
      <c r="D73" s="446">
        <f>'10'!F265</f>
        <v>17140</v>
      </c>
      <c r="E73" s="446">
        <f>'10'!G265</f>
        <v>17140</v>
      </c>
      <c r="F73" s="452">
        <f>E73/D73*100</f>
        <v>100</v>
      </c>
      <c r="G73" s="1992">
        <v>15000000</v>
      </c>
      <c r="H73" s="1992">
        <v>17140000</v>
      </c>
      <c r="I73" s="1992">
        <v>17140000</v>
      </c>
      <c r="J73" s="1992"/>
      <c r="K73" s="1992"/>
    </row>
    <row r="74" spans="1:11" x14ac:dyDescent="0.2">
      <c r="A74" s="436" t="s">
        <v>712</v>
      </c>
      <c r="B74" s="2475"/>
      <c r="C74" s="446">
        <f>'10'!E266</f>
        <v>0</v>
      </c>
      <c r="D74" s="446">
        <f>'10'!F266</f>
        <v>143</v>
      </c>
      <c r="E74" s="446">
        <f>'10'!G266</f>
        <v>143</v>
      </c>
      <c r="F74" s="452">
        <v>0</v>
      </c>
      <c r="G74" s="1992">
        <v>0</v>
      </c>
      <c r="H74" s="1992">
        <v>142857</v>
      </c>
      <c r="I74" s="1992">
        <v>142857</v>
      </c>
      <c r="J74" s="1992"/>
      <c r="K74" s="1992"/>
    </row>
    <row r="75" spans="1:11" x14ac:dyDescent="0.2">
      <c r="A75" s="1147" t="s">
        <v>713</v>
      </c>
      <c r="B75" s="2476"/>
      <c r="C75" s="446">
        <f>'10'!E267</f>
        <v>0</v>
      </c>
      <c r="D75" s="446">
        <f>'10'!F267</f>
        <v>0</v>
      </c>
      <c r="E75" s="446">
        <f>'10'!G267</f>
        <v>0</v>
      </c>
      <c r="F75" s="452">
        <v>0</v>
      </c>
      <c r="G75" s="1992">
        <v>0</v>
      </c>
      <c r="H75" s="1992">
        <v>0</v>
      </c>
      <c r="I75" s="1992">
        <v>0</v>
      </c>
      <c r="J75" s="1992"/>
      <c r="K75" s="1992"/>
    </row>
    <row r="76" spans="1:11" x14ac:dyDescent="0.2">
      <c r="A76" s="1148" t="s">
        <v>715</v>
      </c>
      <c r="B76" s="2476"/>
      <c r="C76" s="451">
        <f>SUM(C77:C80)</f>
        <v>415676</v>
      </c>
      <c r="D76" s="451">
        <f>SUM(D77:D80)</f>
        <v>2506419</v>
      </c>
      <c r="E76" s="451">
        <f>SUM(E77:E80)</f>
        <v>2506301</v>
      </c>
      <c r="F76" s="452">
        <f t="shared" ref="F76:F82" si="7">E76/D76*100</f>
        <v>99.995292088034759</v>
      </c>
      <c r="G76" s="1985">
        <f>SUM(G77:G80)</f>
        <v>415676000</v>
      </c>
      <c r="H76" s="1985">
        <f>SUM(H77:H80)</f>
        <v>2506419333.1100001</v>
      </c>
      <c r="I76" s="1985">
        <f>SUM(I77:I80)</f>
        <v>2506301907.1100001</v>
      </c>
      <c r="J76" s="1985"/>
      <c r="K76" s="1985"/>
    </row>
    <row r="77" spans="1:11" x14ac:dyDescent="0.2">
      <c r="A77" s="435" t="s">
        <v>704</v>
      </c>
      <c r="B77" s="2476"/>
      <c r="C77" s="446">
        <f>'10'!E270</f>
        <v>415676</v>
      </c>
      <c r="D77" s="446">
        <f>'10'!F270</f>
        <v>426446</v>
      </c>
      <c r="E77" s="446">
        <f>'10'!G270</f>
        <v>426439</v>
      </c>
      <c r="F77" s="452">
        <f t="shared" si="7"/>
        <v>99.998358526050197</v>
      </c>
      <c r="G77" s="1992">
        <v>415676000</v>
      </c>
      <c r="H77" s="1992">
        <v>426445842</v>
      </c>
      <c r="I77" s="1992">
        <v>426439284</v>
      </c>
      <c r="J77" s="1992"/>
      <c r="K77" s="1992"/>
    </row>
    <row r="78" spans="1:11" x14ac:dyDescent="0.2">
      <c r="A78" s="435" t="s">
        <v>705</v>
      </c>
      <c r="B78" s="2476"/>
      <c r="C78" s="446">
        <f>'10'!E271</f>
        <v>0</v>
      </c>
      <c r="D78" s="446">
        <f>'10'!F271</f>
        <v>10251</v>
      </c>
      <c r="E78" s="446">
        <f>'10'!G271</f>
        <v>10251</v>
      </c>
      <c r="F78" s="452">
        <f t="shared" si="7"/>
        <v>100</v>
      </c>
      <c r="G78" s="1992">
        <v>0</v>
      </c>
      <c r="H78" s="1992">
        <v>10251398.34</v>
      </c>
      <c r="I78" s="1992">
        <v>10251398.34</v>
      </c>
      <c r="J78" s="1992"/>
      <c r="K78" s="1992"/>
    </row>
    <row r="79" spans="1:11" x14ac:dyDescent="0.2">
      <c r="A79" s="1147" t="s">
        <v>712</v>
      </c>
      <c r="B79" s="2476"/>
      <c r="C79" s="446">
        <f>'10'!E272</f>
        <v>0</v>
      </c>
      <c r="D79" s="446">
        <f>'10'!F272</f>
        <v>2069722</v>
      </c>
      <c r="E79" s="446">
        <f>'10'!G272</f>
        <v>2069611</v>
      </c>
      <c r="F79" s="452">
        <f t="shared" si="7"/>
        <v>99.994636960905865</v>
      </c>
      <c r="G79" s="1992">
        <v>0</v>
      </c>
      <c r="H79" s="1992">
        <v>2069722092.77</v>
      </c>
      <c r="I79" s="1992">
        <v>2069611224.77</v>
      </c>
      <c r="J79" s="1992"/>
      <c r="K79" s="1992"/>
    </row>
    <row r="80" spans="1:11" x14ac:dyDescent="0.2">
      <c r="A80" s="1147" t="s">
        <v>713</v>
      </c>
      <c r="B80" s="2476"/>
      <c r="C80" s="446">
        <f>'10'!E273</f>
        <v>0</v>
      </c>
      <c r="D80" s="446">
        <f>'10'!F273</f>
        <v>0</v>
      </c>
      <c r="E80" s="446">
        <f>'10'!G273</f>
        <v>0</v>
      </c>
      <c r="F80" s="452">
        <v>0</v>
      </c>
      <c r="G80" s="1992">
        <v>0</v>
      </c>
      <c r="H80" s="1992">
        <v>0</v>
      </c>
      <c r="I80" s="1992">
        <v>0</v>
      </c>
      <c r="J80" s="1992"/>
      <c r="K80" s="1992"/>
    </row>
    <row r="81" spans="1:11" x14ac:dyDescent="0.2">
      <c r="A81" s="1148" t="s">
        <v>716</v>
      </c>
      <c r="B81" s="2476"/>
      <c r="C81" s="451">
        <f>SUM(C82:C85)</f>
        <v>0</v>
      </c>
      <c r="D81" s="451">
        <f>SUM(D82:D85)</f>
        <v>235251</v>
      </c>
      <c r="E81" s="451">
        <f>SUM(E82:E85)</f>
        <v>235250</v>
      </c>
      <c r="F81" s="452">
        <f t="shared" si="7"/>
        <v>99.999574922104472</v>
      </c>
      <c r="G81" s="1985">
        <f>SUM(G82:G85)</f>
        <v>0</v>
      </c>
      <c r="H81" s="1985">
        <f>SUM(H82:H85)</f>
        <v>235250714</v>
      </c>
      <c r="I81" s="1985">
        <f>SUM(I82:I85)</f>
        <v>235249540</v>
      </c>
      <c r="J81" s="1985"/>
      <c r="K81" s="1985"/>
    </row>
    <row r="82" spans="1:11" x14ac:dyDescent="0.2">
      <c r="A82" s="435" t="s">
        <v>704</v>
      </c>
      <c r="B82" s="2476"/>
      <c r="C82" s="446">
        <f>'10'!E276</f>
        <v>0</v>
      </c>
      <c r="D82" s="446">
        <f>'10'!F276</f>
        <v>278</v>
      </c>
      <c r="E82" s="446">
        <f>'10'!G276</f>
        <v>277</v>
      </c>
      <c r="F82" s="452">
        <f t="shared" si="7"/>
        <v>99.64028776978418</v>
      </c>
      <c r="G82" s="1992">
        <v>0</v>
      </c>
      <c r="H82" s="1992">
        <v>278000</v>
      </c>
      <c r="I82" s="1992">
        <v>276826</v>
      </c>
      <c r="J82" s="1992"/>
      <c r="K82" s="1992"/>
    </row>
    <row r="83" spans="1:11" x14ac:dyDescent="0.2">
      <c r="A83" s="435" t="s">
        <v>705</v>
      </c>
      <c r="B83" s="2476"/>
      <c r="C83" s="446">
        <f>'10'!E277</f>
        <v>0</v>
      </c>
      <c r="D83" s="446">
        <f>'10'!F277</f>
        <v>0</v>
      </c>
      <c r="E83" s="446">
        <f>'10'!G277</f>
        <v>0</v>
      </c>
      <c r="F83" s="452">
        <v>0</v>
      </c>
      <c r="G83" s="1992">
        <v>0</v>
      </c>
      <c r="H83" s="1992">
        <v>0</v>
      </c>
      <c r="I83" s="1992">
        <v>0</v>
      </c>
      <c r="J83" s="1992"/>
      <c r="K83" s="1992"/>
    </row>
    <row r="84" spans="1:11" x14ac:dyDescent="0.2">
      <c r="A84" s="1147" t="s">
        <v>712</v>
      </c>
      <c r="B84" s="2476"/>
      <c r="C84" s="446">
        <f>'10'!E278</f>
        <v>0</v>
      </c>
      <c r="D84" s="446">
        <f>'10'!F278</f>
        <v>234973</v>
      </c>
      <c r="E84" s="446">
        <f>'10'!G278</f>
        <v>234973</v>
      </c>
      <c r="F84" s="452">
        <f>E84/D84*100</f>
        <v>100</v>
      </c>
      <c r="G84" s="1992">
        <v>0</v>
      </c>
      <c r="H84" s="1992">
        <v>234972714</v>
      </c>
      <c r="I84" s="1992">
        <v>234972714</v>
      </c>
      <c r="J84" s="1992"/>
      <c r="K84" s="1992"/>
    </row>
    <row r="85" spans="1:11" x14ac:dyDescent="0.2">
      <c r="A85" s="1147" t="s">
        <v>713</v>
      </c>
      <c r="B85" s="2476"/>
      <c r="C85" s="446">
        <f>'10'!E279</f>
        <v>0</v>
      </c>
      <c r="D85" s="446">
        <f>'10'!F279</f>
        <v>0</v>
      </c>
      <c r="E85" s="446">
        <f>'10'!G279</f>
        <v>0</v>
      </c>
      <c r="F85" s="452">
        <v>0</v>
      </c>
      <c r="G85" s="1992">
        <v>0</v>
      </c>
      <c r="H85" s="1992">
        <v>0</v>
      </c>
      <c r="I85" s="1992">
        <v>0</v>
      </c>
      <c r="J85" s="1992"/>
      <c r="K85" s="1992"/>
    </row>
    <row r="86" spans="1:11" x14ac:dyDescent="0.2">
      <c r="A86" s="1149" t="s">
        <v>717</v>
      </c>
      <c r="B86" s="2475"/>
      <c r="C86" s="451">
        <f>SUM(C87:C90)</f>
        <v>0</v>
      </c>
      <c r="D86" s="451">
        <f>SUM(D87:D90)</f>
        <v>2843492</v>
      </c>
      <c r="E86" s="451">
        <f>SUM(E87:E90)</f>
        <v>2843492</v>
      </c>
      <c r="F86" s="452">
        <f>E86/D86*100</f>
        <v>100</v>
      </c>
      <c r="G86" s="1985">
        <f>SUM(G87:G90)</f>
        <v>0</v>
      </c>
      <c r="H86" s="1985">
        <f>SUM(H87:H90)</f>
        <v>2843492223</v>
      </c>
      <c r="I86" s="1985">
        <f>SUM(I87:I90)</f>
        <v>2843492223</v>
      </c>
      <c r="J86" s="1985"/>
      <c r="K86" s="1985"/>
    </row>
    <row r="87" spans="1:11" x14ac:dyDescent="0.2">
      <c r="A87" s="435" t="s">
        <v>704</v>
      </c>
      <c r="B87" s="2475"/>
      <c r="C87" s="446">
        <f>'10'!E282</f>
        <v>0</v>
      </c>
      <c r="D87" s="446">
        <f>'10'!F282</f>
        <v>0</v>
      </c>
      <c r="E87" s="446">
        <f>'10'!G282</f>
        <v>0</v>
      </c>
      <c r="F87" s="452">
        <v>0</v>
      </c>
      <c r="G87" s="1986">
        <v>0</v>
      </c>
      <c r="H87" s="1986">
        <v>0</v>
      </c>
      <c r="I87" s="1986">
        <v>0</v>
      </c>
      <c r="J87" s="1986"/>
      <c r="K87" s="1986"/>
    </row>
    <row r="88" spans="1:11" x14ac:dyDescent="0.2">
      <c r="A88" s="435" t="s">
        <v>705</v>
      </c>
      <c r="B88" s="2475"/>
      <c r="C88" s="446">
        <f>'10'!E283</f>
        <v>0</v>
      </c>
      <c r="D88" s="446">
        <f>'10'!F283</f>
        <v>0</v>
      </c>
      <c r="E88" s="446">
        <f>'10'!G283</f>
        <v>0</v>
      </c>
      <c r="F88" s="452">
        <v>0</v>
      </c>
      <c r="G88" s="1986">
        <v>0</v>
      </c>
      <c r="H88" s="1986">
        <v>0</v>
      </c>
      <c r="I88" s="1986">
        <v>0</v>
      </c>
      <c r="J88" s="1986"/>
      <c r="K88" s="1986"/>
    </row>
    <row r="89" spans="1:11" x14ac:dyDescent="0.2">
      <c r="A89" s="436" t="s">
        <v>712</v>
      </c>
      <c r="B89" s="2475"/>
      <c r="C89" s="446">
        <f>'10'!E284</f>
        <v>0</v>
      </c>
      <c r="D89" s="446">
        <f>'10'!F284</f>
        <v>2843492</v>
      </c>
      <c r="E89" s="446">
        <f>'10'!G284</f>
        <v>2843492</v>
      </c>
      <c r="F89" s="452">
        <f>E89/D89*100</f>
        <v>100</v>
      </c>
      <c r="G89" s="1986">
        <v>0</v>
      </c>
      <c r="H89" s="1986">
        <v>2843492223</v>
      </c>
      <c r="I89" s="1986">
        <v>2843492223</v>
      </c>
      <c r="J89" s="1986"/>
      <c r="K89" s="1986"/>
    </row>
    <row r="90" spans="1:11" x14ac:dyDescent="0.2">
      <c r="A90" s="1147" t="s">
        <v>713</v>
      </c>
      <c r="B90" s="2475"/>
      <c r="C90" s="446">
        <f>'10'!E285</f>
        <v>0</v>
      </c>
      <c r="D90" s="446">
        <f>'10'!F285</f>
        <v>0</v>
      </c>
      <c r="E90" s="446">
        <f>'10'!G285</f>
        <v>0</v>
      </c>
      <c r="F90" s="452">
        <v>0</v>
      </c>
      <c r="G90" s="1987">
        <v>0</v>
      </c>
      <c r="H90" s="1988">
        <v>0</v>
      </c>
      <c r="I90" s="1988">
        <v>0</v>
      </c>
      <c r="J90" s="1986"/>
      <c r="K90" s="1986"/>
    </row>
    <row r="91" spans="1:11" ht="15" x14ac:dyDescent="0.25">
      <c r="A91" s="437" t="s">
        <v>398</v>
      </c>
      <c r="B91" s="2477">
        <v>11</v>
      </c>
      <c r="C91" s="2472">
        <f>C92+C97</f>
        <v>211190</v>
      </c>
      <c r="D91" s="2472">
        <f>D92+D97</f>
        <v>302967</v>
      </c>
      <c r="E91" s="2472">
        <f>E92+E97</f>
        <v>300560</v>
      </c>
      <c r="F91" s="438">
        <f>E91/D91*100</f>
        <v>99.20552403397069</v>
      </c>
      <c r="G91" s="2510">
        <f>SUM(G92,G97)</f>
        <v>211190000</v>
      </c>
      <c r="H91" s="2510">
        <f>SUM(H92,H97)</f>
        <v>302967137.95000005</v>
      </c>
      <c r="I91" s="2510">
        <f>SUM(I92,I97)</f>
        <v>300559674.98000002</v>
      </c>
      <c r="J91" s="1993"/>
      <c r="K91" s="1993"/>
    </row>
    <row r="92" spans="1:11" x14ac:dyDescent="0.2">
      <c r="A92" s="1145" t="s">
        <v>714</v>
      </c>
      <c r="B92" s="1150"/>
      <c r="C92" s="451">
        <f>SUM(C93:C96)</f>
        <v>9583</v>
      </c>
      <c r="D92" s="451">
        <f>SUM(D93:D96)</f>
        <v>23784</v>
      </c>
      <c r="E92" s="451">
        <f>SUM(E93:E96)</f>
        <v>21377</v>
      </c>
      <c r="F92" s="1151">
        <f>E92/D92*100</f>
        <v>89.879751093171876</v>
      </c>
      <c r="G92" s="1985">
        <f>SUM(G93:G96)</f>
        <v>9583000</v>
      </c>
      <c r="H92" s="1985">
        <f>SUM(H93:H96)</f>
        <v>23784148.969999999</v>
      </c>
      <c r="I92" s="1985">
        <f>SUM(I93:I96)</f>
        <v>21376916</v>
      </c>
      <c r="J92" s="1985"/>
      <c r="K92" s="1985"/>
    </row>
    <row r="93" spans="1:11" x14ac:dyDescent="0.2">
      <c r="A93" s="435" t="s">
        <v>704</v>
      </c>
      <c r="B93" s="1150"/>
      <c r="C93" s="446">
        <f>'11'!E623</f>
        <v>9583</v>
      </c>
      <c r="D93" s="446">
        <f>'11'!F623</f>
        <v>22769</v>
      </c>
      <c r="E93" s="446">
        <f>'11'!G623</f>
        <v>20397</v>
      </c>
      <c r="F93" s="1151">
        <f>E93/D93*100</f>
        <v>89.58232684790724</v>
      </c>
      <c r="G93" s="1986">
        <v>9583000</v>
      </c>
      <c r="H93" s="1986">
        <v>22769148.969999999</v>
      </c>
      <c r="I93" s="1986">
        <v>20397116</v>
      </c>
      <c r="J93" s="1986"/>
      <c r="K93" s="1986"/>
    </row>
    <row r="94" spans="1:11" x14ac:dyDescent="0.2">
      <c r="A94" s="435" t="s">
        <v>705</v>
      </c>
      <c r="B94" s="1150"/>
      <c r="C94" s="446">
        <f>'11'!E624</f>
        <v>0</v>
      </c>
      <c r="D94" s="446">
        <f>'11'!F624</f>
        <v>885</v>
      </c>
      <c r="E94" s="446">
        <f>'11'!G624</f>
        <v>885</v>
      </c>
      <c r="F94" s="1151">
        <v>0</v>
      </c>
      <c r="G94" s="1986">
        <v>0</v>
      </c>
      <c r="H94" s="1986">
        <v>885000</v>
      </c>
      <c r="I94" s="1986">
        <v>885000</v>
      </c>
      <c r="J94" s="1986"/>
      <c r="K94" s="1986"/>
    </row>
    <row r="95" spans="1:11" x14ac:dyDescent="0.2">
      <c r="A95" s="436" t="s">
        <v>712</v>
      </c>
      <c r="B95" s="1150"/>
      <c r="C95" s="446">
        <f>'11'!E625</f>
        <v>0</v>
      </c>
      <c r="D95" s="446">
        <f>'11'!F625</f>
        <v>130</v>
      </c>
      <c r="E95" s="446">
        <f>'11'!G625</f>
        <v>95</v>
      </c>
      <c r="F95" s="1151">
        <f>E95/D95*100</f>
        <v>73.076923076923066</v>
      </c>
      <c r="G95" s="1986">
        <v>0</v>
      </c>
      <c r="H95" s="1986">
        <v>130000</v>
      </c>
      <c r="I95" s="1986">
        <v>94800</v>
      </c>
      <c r="J95" s="1986"/>
      <c r="K95" s="1986"/>
    </row>
    <row r="96" spans="1:11" x14ac:dyDescent="0.2">
      <c r="A96" s="1147" t="s">
        <v>713</v>
      </c>
      <c r="B96" s="1150"/>
      <c r="C96" s="446">
        <f>'11'!E626</f>
        <v>0</v>
      </c>
      <c r="D96" s="446">
        <f>'11'!F626</f>
        <v>0</v>
      </c>
      <c r="E96" s="446">
        <f>'11'!G626</f>
        <v>0</v>
      </c>
      <c r="F96" s="1151">
        <v>0</v>
      </c>
      <c r="G96" s="1986">
        <v>0</v>
      </c>
      <c r="H96" s="1986">
        <v>0</v>
      </c>
      <c r="I96" s="1986">
        <v>0</v>
      </c>
      <c r="J96" s="1986"/>
      <c r="K96" s="1986"/>
    </row>
    <row r="97" spans="1:11" x14ac:dyDescent="0.2">
      <c r="A97" s="1148" t="s">
        <v>715</v>
      </c>
      <c r="B97" s="1150"/>
      <c r="C97" s="451">
        <f>SUM(C98:C101)</f>
        <v>201607</v>
      </c>
      <c r="D97" s="451">
        <f>SUM(D98:D101)</f>
        <v>279183</v>
      </c>
      <c r="E97" s="451">
        <f>SUM(E98:E101)</f>
        <v>279183</v>
      </c>
      <c r="F97" s="1151">
        <f>E97/D97*100</f>
        <v>100</v>
      </c>
      <c r="G97" s="1985">
        <f>SUM(G98:G101)</f>
        <v>201607000</v>
      </c>
      <c r="H97" s="1985">
        <f>SUM(H98:H101)</f>
        <v>279182988.98000002</v>
      </c>
      <c r="I97" s="1985">
        <f>SUM(I98:I101)</f>
        <v>279182758.98000002</v>
      </c>
      <c r="J97" s="1985"/>
      <c r="K97" s="1985"/>
    </row>
    <row r="98" spans="1:11" x14ac:dyDescent="0.2">
      <c r="A98" s="435" t="s">
        <v>704</v>
      </c>
      <c r="B98" s="1150"/>
      <c r="C98" s="446">
        <f>'11'!E629</f>
        <v>184254</v>
      </c>
      <c r="D98" s="446">
        <f>'11'!F629</f>
        <v>257883</v>
      </c>
      <c r="E98" s="446">
        <f>'11'!G629</f>
        <v>257883</v>
      </c>
      <c r="F98" s="1151">
        <f>E98/D98*100</f>
        <v>100</v>
      </c>
      <c r="G98" s="1986">
        <v>184254000</v>
      </c>
      <c r="H98" s="1986">
        <v>257882975</v>
      </c>
      <c r="I98" s="1986">
        <v>257882745</v>
      </c>
      <c r="J98" s="1986"/>
      <c r="K98" s="1986"/>
    </row>
    <row r="99" spans="1:11" x14ac:dyDescent="0.2">
      <c r="A99" s="435" t="s">
        <v>705</v>
      </c>
      <c r="B99" s="1150"/>
      <c r="C99" s="446">
        <f>'11'!E630</f>
        <v>17353</v>
      </c>
      <c r="D99" s="446">
        <f>'11'!F630</f>
        <v>17304</v>
      </c>
      <c r="E99" s="446">
        <f>'11'!G630</f>
        <v>17304</v>
      </c>
      <c r="F99" s="1151">
        <f>E99/D99*100</f>
        <v>100</v>
      </c>
      <c r="G99" s="1986">
        <v>17353000</v>
      </c>
      <c r="H99" s="1986">
        <v>17304436</v>
      </c>
      <c r="I99" s="1986">
        <v>17304436</v>
      </c>
      <c r="J99" s="1986"/>
      <c r="K99" s="1986"/>
    </row>
    <row r="100" spans="1:11" x14ac:dyDescent="0.2">
      <c r="A100" s="1147" t="s">
        <v>712</v>
      </c>
      <c r="B100" s="1150"/>
      <c r="C100" s="446">
        <f>'11'!E631</f>
        <v>0</v>
      </c>
      <c r="D100" s="446">
        <f>'11'!F631</f>
        <v>3996</v>
      </c>
      <c r="E100" s="446">
        <f>'11'!G631</f>
        <v>3996</v>
      </c>
      <c r="F100" s="1151">
        <f>E100/D100*100</f>
        <v>100</v>
      </c>
      <c r="G100" s="1986">
        <v>0</v>
      </c>
      <c r="H100" s="1986">
        <v>3995577.98</v>
      </c>
      <c r="I100" s="1986">
        <v>3995577.98</v>
      </c>
      <c r="J100" s="1986"/>
      <c r="K100" s="1986"/>
    </row>
    <row r="101" spans="1:11" x14ac:dyDescent="0.2">
      <c r="A101" s="1147" t="s">
        <v>713</v>
      </c>
      <c r="B101" s="1150"/>
      <c r="C101" s="446">
        <f>'11'!E632</f>
        <v>0</v>
      </c>
      <c r="D101" s="446">
        <f>'11'!F632</f>
        <v>0</v>
      </c>
      <c r="E101" s="446">
        <f>'11'!G632</f>
        <v>0</v>
      </c>
      <c r="F101" s="1151">
        <v>0</v>
      </c>
      <c r="G101" s="1987">
        <v>0</v>
      </c>
      <c r="H101" s="1988">
        <v>0</v>
      </c>
      <c r="I101" s="1988">
        <v>0</v>
      </c>
      <c r="J101" s="1986"/>
      <c r="K101" s="1986"/>
    </row>
    <row r="102" spans="1:11" ht="33" customHeight="1" x14ac:dyDescent="0.25">
      <c r="A102" s="2460" t="s">
        <v>399</v>
      </c>
      <c r="B102" s="2477">
        <v>12</v>
      </c>
      <c r="C102" s="2472">
        <f>C103+C108</f>
        <v>1382147</v>
      </c>
      <c r="D102" s="2472">
        <f>D103+D108</f>
        <v>1651366</v>
      </c>
      <c r="E102" s="2472">
        <f>E103+E108</f>
        <v>1643329</v>
      </c>
      <c r="F102" s="438">
        <f>E102/D102*100</f>
        <v>99.513312009572687</v>
      </c>
      <c r="G102" s="2510">
        <f>SUM(G103,G108)</f>
        <v>1382147000</v>
      </c>
      <c r="H102" s="2510">
        <f>SUM(H103,H108)</f>
        <v>1651366104.3299999</v>
      </c>
      <c r="I102" s="2510">
        <f>SUM(I103,I108)</f>
        <v>1643328424.48</v>
      </c>
      <c r="J102" s="1993"/>
      <c r="K102" s="1993"/>
    </row>
    <row r="103" spans="1:11" ht="15" customHeight="1" x14ac:dyDescent="0.2">
      <c r="A103" s="1145" t="s">
        <v>714</v>
      </c>
      <c r="B103" s="1146"/>
      <c r="C103" s="451">
        <f>SUM(C104:C107)</f>
        <v>788594</v>
      </c>
      <c r="D103" s="451">
        <f>SUM(D104:D107)</f>
        <v>995060</v>
      </c>
      <c r="E103" s="451">
        <f>SUM(E104:E107)</f>
        <v>987075</v>
      </c>
      <c r="F103" s="1151">
        <f t="shared" ref="F103:F112" si="8">E103/D103*100</f>
        <v>99.197535826985302</v>
      </c>
      <c r="G103" s="1985">
        <f>SUM(G104:G107)</f>
        <v>788594000</v>
      </c>
      <c r="H103" s="1985">
        <f>SUM(H104:H107)</f>
        <v>995060000</v>
      </c>
      <c r="I103" s="1985">
        <f>SUM(I104:I107)</f>
        <v>987074480.14999998</v>
      </c>
      <c r="J103" s="1985"/>
      <c r="K103" s="1985"/>
    </row>
    <row r="104" spans="1:11" ht="15" customHeight="1" x14ac:dyDescent="0.2">
      <c r="A104" s="435" t="s">
        <v>704</v>
      </c>
      <c r="B104" s="1146"/>
      <c r="C104" s="446">
        <f>'12'!E115</f>
        <v>782094</v>
      </c>
      <c r="D104" s="446">
        <f>'12'!F115</f>
        <v>777506</v>
      </c>
      <c r="E104" s="446">
        <f>'12'!G115</f>
        <v>769615</v>
      </c>
      <c r="F104" s="452">
        <f t="shared" si="8"/>
        <v>98.985088217968737</v>
      </c>
      <c r="G104" s="1986">
        <v>782094000</v>
      </c>
      <c r="H104" s="1986">
        <v>777506000</v>
      </c>
      <c r="I104" s="1986">
        <v>769614665.60000002</v>
      </c>
      <c r="J104" s="1986"/>
      <c r="K104" s="1986"/>
    </row>
    <row r="105" spans="1:11" ht="15" customHeight="1" x14ac:dyDescent="0.2">
      <c r="A105" s="435" t="s">
        <v>705</v>
      </c>
      <c r="B105" s="1146"/>
      <c r="C105" s="446">
        <f>'12'!E116</f>
        <v>6500</v>
      </c>
      <c r="D105" s="446">
        <f>'12'!F116</f>
        <v>8984</v>
      </c>
      <c r="E105" s="446">
        <f>'12'!G116</f>
        <v>8890</v>
      </c>
      <c r="F105" s="452">
        <f t="shared" si="8"/>
        <v>98.953695458593046</v>
      </c>
      <c r="G105" s="1986">
        <v>6500000</v>
      </c>
      <c r="H105" s="1986">
        <v>8984000</v>
      </c>
      <c r="I105" s="1986">
        <v>8889814.5500000007</v>
      </c>
      <c r="J105" s="1986"/>
      <c r="K105" s="1986"/>
    </row>
    <row r="106" spans="1:11" ht="15" customHeight="1" x14ac:dyDescent="0.2">
      <c r="A106" s="436" t="s">
        <v>712</v>
      </c>
      <c r="B106" s="1146"/>
      <c r="C106" s="446">
        <f>'12'!E117</f>
        <v>0</v>
      </c>
      <c r="D106" s="446">
        <f>'12'!F117</f>
        <v>208570</v>
      </c>
      <c r="E106" s="446">
        <f>'12'!G117</f>
        <v>208570</v>
      </c>
      <c r="F106" s="452">
        <f t="shared" si="8"/>
        <v>100</v>
      </c>
      <c r="G106" s="1986">
        <v>0</v>
      </c>
      <c r="H106" s="1986">
        <v>208570000</v>
      </c>
      <c r="I106" s="1986">
        <v>208570000</v>
      </c>
      <c r="J106" s="1986"/>
      <c r="K106" s="1986"/>
    </row>
    <row r="107" spans="1:11" ht="15" customHeight="1" x14ac:dyDescent="0.2">
      <c r="A107" s="1147" t="s">
        <v>713</v>
      </c>
      <c r="B107" s="1146"/>
      <c r="C107" s="446">
        <f>'12'!E118</f>
        <v>0</v>
      </c>
      <c r="D107" s="446">
        <f>'12'!F118</f>
        <v>0</v>
      </c>
      <c r="E107" s="446">
        <f>'12'!G118</f>
        <v>0</v>
      </c>
      <c r="F107" s="452">
        <v>0</v>
      </c>
      <c r="G107" s="1986">
        <v>0</v>
      </c>
      <c r="H107" s="1986">
        <v>0</v>
      </c>
      <c r="I107" s="1986">
        <v>0</v>
      </c>
      <c r="J107" s="1986"/>
      <c r="K107" s="1986"/>
    </row>
    <row r="108" spans="1:11" ht="15" customHeight="1" x14ac:dyDescent="0.2">
      <c r="A108" s="1148" t="s">
        <v>715</v>
      </c>
      <c r="B108" s="1146"/>
      <c r="C108" s="451">
        <f>SUM(C109:C112)</f>
        <v>593553</v>
      </c>
      <c r="D108" s="451">
        <f>SUM(D109:D112)</f>
        <v>656306</v>
      </c>
      <c r="E108" s="451">
        <f>SUM(E109:E112)</f>
        <v>656254</v>
      </c>
      <c r="F108" s="1151">
        <f t="shared" si="8"/>
        <v>99.992076866583574</v>
      </c>
      <c r="G108" s="1985">
        <f>SUM(G109:G112)</f>
        <v>593553000</v>
      </c>
      <c r="H108" s="1985">
        <f>SUM(H109:H112)</f>
        <v>656306104.33000004</v>
      </c>
      <c r="I108" s="1985">
        <f>SUM(I109:I112)</f>
        <v>656253944.33000004</v>
      </c>
      <c r="J108" s="1985"/>
      <c r="K108" s="1985"/>
    </row>
    <row r="109" spans="1:11" ht="15" customHeight="1" x14ac:dyDescent="0.2">
      <c r="A109" s="435" t="s">
        <v>704</v>
      </c>
      <c r="B109" s="1146"/>
      <c r="C109" s="446">
        <f>'12'!E121</f>
        <v>523553</v>
      </c>
      <c r="D109" s="446">
        <f>'12'!F121</f>
        <v>530843</v>
      </c>
      <c r="E109" s="446">
        <f>'12'!G121</f>
        <v>530843</v>
      </c>
      <c r="F109" s="452">
        <f t="shared" si="8"/>
        <v>100</v>
      </c>
      <c r="G109" s="1986">
        <v>523553000</v>
      </c>
      <c r="H109" s="1986">
        <v>530843000</v>
      </c>
      <c r="I109" s="1986">
        <v>530843000</v>
      </c>
      <c r="J109" s="1986"/>
      <c r="K109" s="1986"/>
    </row>
    <row r="110" spans="1:11" ht="15" customHeight="1" x14ac:dyDescent="0.2">
      <c r="A110" s="435" t="s">
        <v>705</v>
      </c>
      <c r="B110" s="1146"/>
      <c r="C110" s="446">
        <f>'12'!E122</f>
        <v>70000</v>
      </c>
      <c r="D110" s="446">
        <f>'12'!F122</f>
        <v>78154</v>
      </c>
      <c r="E110" s="446">
        <f>'12'!G122</f>
        <v>78102</v>
      </c>
      <c r="F110" s="452">
        <f t="shared" si="8"/>
        <v>99.933464697904142</v>
      </c>
      <c r="G110" s="1986">
        <v>70000000</v>
      </c>
      <c r="H110" s="1986">
        <v>78154000</v>
      </c>
      <c r="I110" s="1986">
        <v>78101840</v>
      </c>
      <c r="J110" s="1986"/>
      <c r="K110" s="1986"/>
    </row>
    <row r="111" spans="1:11" ht="15" customHeight="1" x14ac:dyDescent="0.2">
      <c r="A111" s="1147" t="s">
        <v>712</v>
      </c>
      <c r="B111" s="1146"/>
      <c r="C111" s="446">
        <f>'12'!E123</f>
        <v>0</v>
      </c>
      <c r="D111" s="446">
        <f>'12'!F123</f>
        <v>65</v>
      </c>
      <c r="E111" s="446">
        <f>'12'!G123</f>
        <v>65</v>
      </c>
      <c r="F111" s="452">
        <v>0</v>
      </c>
      <c r="G111" s="1986">
        <v>0</v>
      </c>
      <c r="H111" s="1986">
        <v>65000</v>
      </c>
      <c r="I111" s="1986">
        <v>65000</v>
      </c>
      <c r="J111" s="1986"/>
      <c r="K111" s="1986"/>
    </row>
    <row r="112" spans="1:11" ht="15" customHeight="1" x14ac:dyDescent="0.2">
      <c r="A112" s="1147" t="s">
        <v>713</v>
      </c>
      <c r="B112" s="1146"/>
      <c r="C112" s="446">
        <f>'12'!E124</f>
        <v>0</v>
      </c>
      <c r="D112" s="446">
        <f>'12'!F124</f>
        <v>47244</v>
      </c>
      <c r="E112" s="446">
        <f>'12'!G124</f>
        <v>47244</v>
      </c>
      <c r="F112" s="452">
        <f t="shared" si="8"/>
        <v>100</v>
      </c>
      <c r="G112" s="1987">
        <v>0</v>
      </c>
      <c r="H112" s="1988">
        <v>47244104.329999998</v>
      </c>
      <c r="I112" s="1988">
        <v>47244104.329999998</v>
      </c>
      <c r="J112" s="1986"/>
      <c r="K112" s="1986"/>
    </row>
    <row r="113" spans="1:14" ht="15" customHeight="1" x14ac:dyDescent="0.25">
      <c r="A113" s="2460" t="s">
        <v>400</v>
      </c>
      <c r="B113" s="2477">
        <v>13</v>
      </c>
      <c r="C113" s="2472">
        <f>C114+C119</f>
        <v>198526</v>
      </c>
      <c r="D113" s="2472">
        <f>D114+D119</f>
        <v>230466</v>
      </c>
      <c r="E113" s="2472">
        <f>E114+E119</f>
        <v>230449</v>
      </c>
      <c r="F113" s="438">
        <f>E113/D113*100</f>
        <v>99.992623640797333</v>
      </c>
      <c r="G113" s="2510">
        <f>SUM(G114,G119)</f>
        <v>198526000</v>
      </c>
      <c r="H113" s="2510">
        <f>SUM(H114,H119)</f>
        <v>230466096.59999999</v>
      </c>
      <c r="I113" s="2510">
        <f>SUM(I114,I119)</f>
        <v>230449312.09999999</v>
      </c>
      <c r="J113" s="1993"/>
      <c r="K113" s="1993"/>
    </row>
    <row r="114" spans="1:14" x14ac:dyDescent="0.2">
      <c r="A114" s="1145" t="s">
        <v>714</v>
      </c>
      <c r="B114" s="1150"/>
      <c r="C114" s="451">
        <f>SUM(C115:C118)</f>
        <v>67080</v>
      </c>
      <c r="D114" s="451">
        <f>SUM(D115:D118)</f>
        <v>84383</v>
      </c>
      <c r="E114" s="451">
        <f>SUM(E115:E118)</f>
        <v>84366</v>
      </c>
      <c r="F114" s="1151">
        <f>E114/D114*100</f>
        <v>99.979853762013676</v>
      </c>
      <c r="G114" s="1985">
        <f>SUM(G115:G118)</f>
        <v>67080000</v>
      </c>
      <c r="H114" s="1985">
        <f>SUM(H115:H118)</f>
        <v>84383537</v>
      </c>
      <c r="I114" s="1985">
        <f>SUM(I115:I118)</f>
        <v>84366752.5</v>
      </c>
      <c r="J114" s="1985"/>
      <c r="K114" s="1985"/>
    </row>
    <row r="115" spans="1:14" x14ac:dyDescent="0.2">
      <c r="A115" s="435" t="s">
        <v>704</v>
      </c>
      <c r="B115" s="1150"/>
      <c r="C115" s="446">
        <f>'13 '!E334</f>
        <v>67080</v>
      </c>
      <c r="D115" s="446">
        <f>'13 '!F334</f>
        <v>77223</v>
      </c>
      <c r="E115" s="446">
        <f>'13 '!G334</f>
        <v>77206</v>
      </c>
      <c r="F115" s="452">
        <f t="shared" ref="F115:F122" si="9">E115/D115*100</f>
        <v>99.977985833236218</v>
      </c>
      <c r="G115" s="1986">
        <v>67080000</v>
      </c>
      <c r="H115" s="1986">
        <v>77223537</v>
      </c>
      <c r="I115" s="1986">
        <v>77206752.5</v>
      </c>
      <c r="J115" s="1986"/>
      <c r="K115" s="1986"/>
      <c r="L115" s="1986"/>
      <c r="M115" s="1986"/>
    </row>
    <row r="116" spans="1:14" x14ac:dyDescent="0.2">
      <c r="A116" s="435" t="s">
        <v>705</v>
      </c>
      <c r="B116" s="1150"/>
      <c r="C116" s="446">
        <f>'13 '!E335</f>
        <v>0</v>
      </c>
      <c r="D116" s="446">
        <f>'13 '!F335</f>
        <v>7160</v>
      </c>
      <c r="E116" s="446">
        <f>'13 '!G335</f>
        <v>7160</v>
      </c>
      <c r="F116" s="452">
        <f t="shared" si="9"/>
        <v>100</v>
      </c>
      <c r="G116" s="1986">
        <v>0</v>
      </c>
      <c r="H116" s="1986">
        <v>7160000</v>
      </c>
      <c r="I116" s="1986">
        <v>7160000</v>
      </c>
      <c r="J116" s="1986"/>
      <c r="K116" s="1986"/>
      <c r="L116" s="1986"/>
      <c r="M116" s="1986"/>
    </row>
    <row r="117" spans="1:14" x14ac:dyDescent="0.2">
      <c r="A117" s="436" t="s">
        <v>712</v>
      </c>
      <c r="B117" s="1150"/>
      <c r="C117" s="446">
        <f>'13 '!E336</f>
        <v>0</v>
      </c>
      <c r="D117" s="446">
        <f>'13 '!F336</f>
        <v>0</v>
      </c>
      <c r="E117" s="446">
        <f>'13 '!G336</f>
        <v>0</v>
      </c>
      <c r="F117" s="452">
        <v>0</v>
      </c>
      <c r="G117" s="1986">
        <v>0</v>
      </c>
      <c r="H117" s="1986">
        <v>0</v>
      </c>
      <c r="I117" s="1986">
        <v>0</v>
      </c>
      <c r="J117" s="1986"/>
      <c r="K117" s="1986"/>
      <c r="L117" s="1986"/>
      <c r="M117" s="1986"/>
    </row>
    <row r="118" spans="1:14" x14ac:dyDescent="0.2">
      <c r="A118" s="1147" t="s">
        <v>713</v>
      </c>
      <c r="B118" s="1150"/>
      <c r="C118" s="446">
        <f>'13 '!E337</f>
        <v>0</v>
      </c>
      <c r="D118" s="446">
        <f>'13 '!F337</f>
        <v>0</v>
      </c>
      <c r="E118" s="446">
        <f>'13 '!G337</f>
        <v>0</v>
      </c>
      <c r="F118" s="452">
        <v>0</v>
      </c>
      <c r="G118" s="1986">
        <v>0</v>
      </c>
      <c r="H118" s="1986">
        <v>0</v>
      </c>
      <c r="I118" s="1986">
        <v>0</v>
      </c>
      <c r="J118" s="1986"/>
      <c r="K118" s="1986"/>
      <c r="L118" s="1986"/>
      <c r="M118" s="1986"/>
    </row>
    <row r="119" spans="1:14" x14ac:dyDescent="0.2">
      <c r="A119" s="1148" t="s">
        <v>715</v>
      </c>
      <c r="B119" s="1150"/>
      <c r="C119" s="451">
        <f>SUM(C120:C123)</f>
        <v>131446</v>
      </c>
      <c r="D119" s="451">
        <f>SUM(D120:D123)</f>
        <v>146083</v>
      </c>
      <c r="E119" s="451">
        <f>SUM(E120:E123)</f>
        <v>146083</v>
      </c>
      <c r="F119" s="1151">
        <f t="shared" si="9"/>
        <v>100</v>
      </c>
      <c r="G119" s="1985">
        <f>SUM(G120:G123)</f>
        <v>131446000</v>
      </c>
      <c r="H119" s="1985">
        <f>SUM(H120:H123)</f>
        <v>146082559.59999999</v>
      </c>
      <c r="I119" s="1985">
        <f>SUM(I120:I123)</f>
        <v>146082559.59999999</v>
      </c>
      <c r="J119" s="1985"/>
      <c r="K119" s="2505">
        <f>G72+G77+G82+G87+G93+G98+G104+G109+G115+G120</f>
        <v>2167377000</v>
      </c>
      <c r="L119" s="2505">
        <f t="shared" ref="L119:M119" si="10">H72+H77+H82+H87+H93+H98+H104+H109+H115+H120</f>
        <v>2310033930.3600001</v>
      </c>
      <c r="M119" s="2505">
        <f t="shared" si="10"/>
        <v>2299111926.8400002</v>
      </c>
      <c r="N119" s="2505" t="s">
        <v>711</v>
      </c>
    </row>
    <row r="120" spans="1:14" x14ac:dyDescent="0.2">
      <c r="A120" s="435" t="s">
        <v>704</v>
      </c>
      <c r="B120" s="1150"/>
      <c r="C120" s="446">
        <f>'13 '!E340</f>
        <v>128681</v>
      </c>
      <c r="D120" s="446">
        <f>'13 '!F340</f>
        <v>129675</v>
      </c>
      <c r="E120" s="446">
        <f>'13 '!G340</f>
        <v>129675</v>
      </c>
      <c r="F120" s="452">
        <f t="shared" si="9"/>
        <v>100</v>
      </c>
      <c r="G120" s="1986">
        <v>128681000</v>
      </c>
      <c r="H120" s="1986">
        <v>129675228</v>
      </c>
      <c r="I120" s="1986">
        <v>129675228</v>
      </c>
      <c r="J120" s="1986"/>
      <c r="K120" s="2505">
        <f>G73+G78+G83+G88+G94+G99+G105+G110+G116+G121</f>
        <v>111618000</v>
      </c>
      <c r="L120" s="2505">
        <f>H73+H78+H83+H88+H94+H99+H105+H110+H116+H121</f>
        <v>154326546.59</v>
      </c>
      <c r="M120" s="2505">
        <f>I73+I78+I83+I88+I94+I99+I105+I110+I116+I121</f>
        <v>154180201.13999999</v>
      </c>
      <c r="N120" s="2506" t="s">
        <v>655</v>
      </c>
    </row>
    <row r="121" spans="1:14" x14ac:dyDescent="0.2">
      <c r="A121" s="435" t="s">
        <v>705</v>
      </c>
      <c r="B121" s="1150"/>
      <c r="C121" s="446">
        <f>'13 '!E341</f>
        <v>2765</v>
      </c>
      <c r="D121" s="446">
        <f>'13 '!F341</f>
        <v>14448</v>
      </c>
      <c r="E121" s="446">
        <f>'13 '!G341</f>
        <v>14448</v>
      </c>
      <c r="F121" s="452">
        <f t="shared" si="9"/>
        <v>100</v>
      </c>
      <c r="G121" s="1986">
        <v>2765000</v>
      </c>
      <c r="H121" s="1986">
        <v>14447712.25</v>
      </c>
      <c r="I121" s="1986">
        <v>14447712.25</v>
      </c>
      <c r="J121" s="1986"/>
      <c r="K121" s="2505">
        <f>+G74+G79+G84+G89+G95+G100+G106+G111+G117+G122</f>
        <v>0</v>
      </c>
      <c r="L121" s="2505">
        <f>+H74+H79+H84+H89+H95+H100+H106+H111+H117+H122</f>
        <v>5362272084.1000004</v>
      </c>
      <c r="M121" s="2505">
        <f>+I74+I79+I84+I89+I95+I100+I106+I111+I117+I122</f>
        <v>5362126016.1000004</v>
      </c>
      <c r="N121" s="2506" t="s">
        <v>752</v>
      </c>
    </row>
    <row r="122" spans="1:14" x14ac:dyDescent="0.2">
      <c r="A122" s="1147" t="s">
        <v>712</v>
      </c>
      <c r="B122" s="1150"/>
      <c r="C122" s="446">
        <f>'13 '!E342</f>
        <v>0</v>
      </c>
      <c r="D122" s="446">
        <f>'13 '!F342</f>
        <v>1182</v>
      </c>
      <c r="E122" s="446">
        <f>'13 '!G342</f>
        <v>1182</v>
      </c>
      <c r="F122" s="452">
        <f t="shared" si="9"/>
        <v>100</v>
      </c>
      <c r="G122" s="1986">
        <v>0</v>
      </c>
      <c r="H122" s="1986">
        <v>1181619.3500000001</v>
      </c>
      <c r="I122" s="1986">
        <v>1181619.3500000001</v>
      </c>
      <c r="J122" s="1986"/>
      <c r="K122" s="2505">
        <f>G75+G80+G85+G90+G96+G101+G107+G112+G118+G123</f>
        <v>0</v>
      </c>
      <c r="L122" s="2505">
        <f>H75+H80+H85+H90+H96+H101+H107+H112+H118+H123</f>
        <v>48022104.329999998</v>
      </c>
      <c r="M122" s="2505">
        <f>I75+I80+I85+I90+I96+I101+I107+I112+I118+I123</f>
        <v>48022104.329999998</v>
      </c>
      <c r="N122" s="2506" t="s">
        <v>1619</v>
      </c>
    </row>
    <row r="123" spans="1:14" ht="15" thickBot="1" x14ac:dyDescent="0.25">
      <c r="A123" s="1404" t="s">
        <v>713</v>
      </c>
      <c r="B123" s="1459"/>
      <c r="C123" s="482">
        <f>'13 '!E343</f>
        <v>0</v>
      </c>
      <c r="D123" s="482">
        <f>'13 '!F343</f>
        <v>778</v>
      </c>
      <c r="E123" s="482">
        <f>'13 '!G343</f>
        <v>778</v>
      </c>
      <c r="F123" s="483">
        <v>0</v>
      </c>
      <c r="G123" s="1987">
        <v>0</v>
      </c>
      <c r="H123" s="1988">
        <v>778000</v>
      </c>
      <c r="I123" s="1988">
        <v>778000</v>
      </c>
      <c r="J123" s="1986"/>
      <c r="K123" s="2508">
        <v>0</v>
      </c>
      <c r="L123" s="2511">
        <v>0</v>
      </c>
      <c r="M123" s="2511">
        <v>0</v>
      </c>
      <c r="N123" s="2506" t="s">
        <v>1011</v>
      </c>
    </row>
    <row r="124" spans="1:14" ht="15.75" hidden="1" thickTop="1" x14ac:dyDescent="0.25">
      <c r="A124" s="312"/>
      <c r="B124" s="1143"/>
      <c r="C124" s="2474">
        <f>SUM(C113,C102,C91,C70)</f>
        <v>2278995</v>
      </c>
      <c r="D124" s="2474">
        <f>SUM(D113,D102,D91,D70)</f>
        <v>7874654</v>
      </c>
      <c r="E124" s="2474">
        <f>SUM(E113,E102,E91,E70)</f>
        <v>7863441</v>
      </c>
      <c r="F124" s="188"/>
      <c r="G124" s="351">
        <f>SUM(G113,G102,G91,G70)</f>
        <v>2278995000</v>
      </c>
      <c r="H124" s="351">
        <f>SUM(H113,H102,H91,H70)</f>
        <v>7874654665.3800001</v>
      </c>
      <c r="I124" s="351">
        <f>SUM(I113,I102,I91,I70)</f>
        <v>7863440248.4099998</v>
      </c>
      <c r="J124" s="1992"/>
      <c r="K124" s="2505">
        <f>K119+K120+K121+K122+K123</f>
        <v>2278995000</v>
      </c>
      <c r="L124" s="2505">
        <f>L119+L120+L121+L122+L123</f>
        <v>7874654665.3800011</v>
      </c>
      <c r="M124" s="2505">
        <f>M119+M120+M121+M122+M123</f>
        <v>7863440248.4099998</v>
      </c>
      <c r="N124" s="2506" t="s">
        <v>1010</v>
      </c>
    </row>
    <row r="125" spans="1:14" s="2503" customFormat="1" ht="15" hidden="1" x14ac:dyDescent="0.25">
      <c r="A125" s="2500" t="s">
        <v>1654</v>
      </c>
      <c r="B125" s="2501"/>
      <c r="C125" s="2512">
        <f>SUM(C72,C74,C77,C79,C82,C84,C87,C89,C93,C95,C98,C100,C104,C106,C109,C111,C115,C117,C120,C122)</f>
        <v>2167377</v>
      </c>
      <c r="D125" s="2512">
        <f t="shared" ref="D125:I125" si="11">SUM(D72,D74,D77,D79,D82,D84,D87,D89,D93,D95,D98,D100,D104,D106,D109,D111,D115,D117,D120,D122)</f>
        <v>7672306</v>
      </c>
      <c r="E125" s="2512">
        <f t="shared" si="11"/>
        <v>7661239</v>
      </c>
      <c r="F125" s="2512"/>
      <c r="G125" s="2513">
        <f t="shared" si="11"/>
        <v>2167377000</v>
      </c>
      <c r="H125" s="2513">
        <f t="shared" si="11"/>
        <v>7672306014.46</v>
      </c>
      <c r="I125" s="2513">
        <f t="shared" si="11"/>
        <v>7661237942.9400005</v>
      </c>
      <c r="J125" s="2504"/>
      <c r="K125" s="2514"/>
      <c r="L125" s="2514"/>
      <c r="M125" s="2514"/>
      <c r="N125" s="2515"/>
    </row>
    <row r="126" spans="1:14" s="2503" customFormat="1" ht="15" hidden="1" x14ac:dyDescent="0.25">
      <c r="A126" s="2500" t="s">
        <v>1655</v>
      </c>
      <c r="B126" s="2501"/>
      <c r="C126" s="2516">
        <f>SUM(C123,C121,C118,C116,C112,C110,C107,C105,C101,C99,C96,C94,C90,C88,C85,C83,C80,C78,C75,C73)</f>
        <v>111618</v>
      </c>
      <c r="D126" s="2516">
        <f t="shared" ref="D126:I126" si="12">SUM(D123,D121,D118,D116,D112,D110,D107,D105,D101,D99,D96,D94,D90,D88,D85,D83,D80,D78,D75,D73)</f>
        <v>202348</v>
      </c>
      <c r="E126" s="2516">
        <f t="shared" si="12"/>
        <v>202202</v>
      </c>
      <c r="F126" s="2516"/>
      <c r="G126" s="2517">
        <f t="shared" si="12"/>
        <v>111618000</v>
      </c>
      <c r="H126" s="2517">
        <f t="shared" si="12"/>
        <v>202348650.91999999</v>
      </c>
      <c r="I126" s="2517">
        <f t="shared" si="12"/>
        <v>202202305.47</v>
      </c>
      <c r="J126" s="2504"/>
      <c r="K126" s="2514"/>
      <c r="L126" s="2514"/>
      <c r="M126" s="2514"/>
      <c r="N126" s="2515"/>
    </row>
    <row r="127" spans="1:14" s="2503" customFormat="1" ht="15" hidden="1" x14ac:dyDescent="0.25">
      <c r="A127" s="2500"/>
      <c r="B127" s="2501"/>
      <c r="C127" s="2512">
        <f>SUM(C125:C126)</f>
        <v>2278995</v>
      </c>
      <c r="D127" s="2512">
        <f t="shared" ref="D127:I127" si="13">SUM(D125:D126)</f>
        <v>7874654</v>
      </c>
      <c r="E127" s="2512">
        <f t="shared" si="13"/>
        <v>7863441</v>
      </c>
      <c r="F127" s="2512"/>
      <c r="G127" s="2513">
        <f t="shared" si="13"/>
        <v>2278995000</v>
      </c>
      <c r="H127" s="2513">
        <f t="shared" si="13"/>
        <v>7874654665.3800001</v>
      </c>
      <c r="I127" s="2513">
        <f t="shared" si="13"/>
        <v>7863440248.4100008</v>
      </c>
      <c r="J127" s="2504"/>
      <c r="K127" s="2514"/>
      <c r="L127" s="2514"/>
      <c r="M127" s="2514"/>
      <c r="N127" s="2515"/>
    </row>
    <row r="128" spans="1:14" ht="15.75" thickTop="1" thickBot="1" x14ac:dyDescent="0.25">
      <c r="F128" s="385" t="s">
        <v>179</v>
      </c>
      <c r="G128" s="1990"/>
      <c r="H128" s="1990"/>
      <c r="I128" s="1990"/>
      <c r="J128" s="1990"/>
      <c r="K128" s="1986"/>
      <c r="N128" s="1989"/>
    </row>
    <row r="129" spans="1:14" s="350" customFormat="1" ht="26.25" customHeight="1" thickTop="1" thickBot="1" x14ac:dyDescent="0.25">
      <c r="A129" s="1141" t="s">
        <v>699</v>
      </c>
      <c r="B129" s="1142" t="s">
        <v>702</v>
      </c>
      <c r="C129" s="529" t="s">
        <v>700</v>
      </c>
      <c r="D129" s="529" t="s">
        <v>701</v>
      </c>
      <c r="E129" s="529" t="s">
        <v>986</v>
      </c>
      <c r="F129" s="530" t="s">
        <v>987</v>
      </c>
      <c r="G129" s="1983"/>
      <c r="H129" s="1983"/>
      <c r="I129" s="1983"/>
      <c r="J129" s="1983"/>
      <c r="K129" s="1986"/>
      <c r="L129" s="384"/>
      <c r="M129" s="384"/>
      <c r="N129" s="1989"/>
    </row>
    <row r="130" spans="1:14" s="1542" customFormat="1" ht="15.75" thickTop="1" thickBot="1" x14ac:dyDescent="0.25">
      <c r="A130" s="592">
        <v>1</v>
      </c>
      <c r="B130" s="1544">
        <v>2</v>
      </c>
      <c r="C130" s="528">
        <v>3</v>
      </c>
      <c r="D130" s="528">
        <v>4</v>
      </c>
      <c r="E130" s="528">
        <v>5</v>
      </c>
      <c r="F130" s="553" t="s">
        <v>464</v>
      </c>
      <c r="G130" s="1984"/>
      <c r="H130" s="1984"/>
      <c r="I130" s="1984"/>
      <c r="J130" s="1984"/>
      <c r="K130" s="1986"/>
      <c r="L130" s="384"/>
      <c r="M130" s="384"/>
      <c r="N130" s="1989"/>
    </row>
    <row r="131" spans="1:14" s="439" customFormat="1" ht="15.75" thickTop="1" x14ac:dyDescent="0.25">
      <c r="A131" s="1152" t="s">
        <v>401</v>
      </c>
      <c r="B131" s="1146">
        <v>14</v>
      </c>
      <c r="C131" s="392">
        <f>C132+C137</f>
        <v>277856</v>
      </c>
      <c r="D131" s="392">
        <f>D132+D137</f>
        <v>294232</v>
      </c>
      <c r="E131" s="392">
        <f>E132+E137</f>
        <v>293008</v>
      </c>
      <c r="F131" s="442">
        <f>E131/D131*100</f>
        <v>99.584001740123441</v>
      </c>
      <c r="G131" s="2510">
        <f>SUM(G132,G137)</f>
        <v>277856000</v>
      </c>
      <c r="H131" s="2510">
        <f>SUM(H132,H137)</f>
        <v>294232383.49000001</v>
      </c>
      <c r="I131" s="2510">
        <f>SUM(I132,I137)</f>
        <v>293007835.69</v>
      </c>
      <c r="J131" s="1993"/>
      <c r="K131" s="1986"/>
      <c r="L131" s="384"/>
      <c r="M131" s="384"/>
      <c r="N131" s="1989"/>
    </row>
    <row r="132" spans="1:14" x14ac:dyDescent="0.2">
      <c r="A132" s="1145" t="s">
        <v>714</v>
      </c>
      <c r="B132" s="1150"/>
      <c r="C132" s="451">
        <f>SUM(C133:C136)</f>
        <v>27308</v>
      </c>
      <c r="D132" s="451">
        <f>SUM(D133:D136)</f>
        <v>31310</v>
      </c>
      <c r="E132" s="451">
        <f>SUM(E133:E136)</f>
        <v>30932</v>
      </c>
      <c r="F132" s="1151">
        <f>E132/D132*100</f>
        <v>98.792717981475562</v>
      </c>
      <c r="G132" s="1985">
        <v>27308000</v>
      </c>
      <c r="H132" s="1985">
        <f>SUM(H133:H136)</f>
        <v>31310774.739999998</v>
      </c>
      <c r="I132" s="1985">
        <f>SUM(I133:I136)</f>
        <v>30932061.539999999</v>
      </c>
      <c r="J132" s="1985"/>
      <c r="K132" s="1986"/>
      <c r="N132" s="1989"/>
    </row>
    <row r="133" spans="1:14" x14ac:dyDescent="0.2">
      <c r="A133" s="435" t="s">
        <v>704</v>
      </c>
      <c r="B133" s="1150"/>
      <c r="C133" s="446">
        <f>'14'!E153</f>
        <v>20708</v>
      </c>
      <c r="D133" s="446">
        <f>'14'!F153</f>
        <v>22217</v>
      </c>
      <c r="E133" s="446">
        <f>'14'!G153</f>
        <v>21839</v>
      </c>
      <c r="F133" s="452">
        <f t="shared" ref="F133:F140" si="14">E133/D133*100</f>
        <v>98.298600171040192</v>
      </c>
      <c r="G133" s="1986">
        <v>20708000</v>
      </c>
      <c r="H133" s="1986">
        <v>22217949.199999999</v>
      </c>
      <c r="I133" s="1986">
        <v>21839236</v>
      </c>
      <c r="J133" s="1986"/>
      <c r="K133" s="1986"/>
      <c r="N133" s="1989"/>
    </row>
    <row r="134" spans="1:14" x14ac:dyDescent="0.2">
      <c r="A134" s="435" t="s">
        <v>705</v>
      </c>
      <c r="B134" s="1150"/>
      <c r="C134" s="446">
        <f>'14'!E154</f>
        <v>6000</v>
      </c>
      <c r="D134" s="446">
        <f>'14'!F154</f>
        <v>6800</v>
      </c>
      <c r="E134" s="446">
        <f>'14'!G154</f>
        <v>6800</v>
      </c>
      <c r="F134" s="452">
        <f t="shared" si="14"/>
        <v>100</v>
      </c>
      <c r="G134" s="1986">
        <v>6000000</v>
      </c>
      <c r="H134" s="1986">
        <v>6800000</v>
      </c>
      <c r="I134" s="1986">
        <v>6800000</v>
      </c>
      <c r="J134" s="1986"/>
      <c r="K134" s="1986"/>
      <c r="L134" s="1986"/>
      <c r="M134" s="1986"/>
      <c r="N134" s="1989"/>
    </row>
    <row r="135" spans="1:14" x14ac:dyDescent="0.2">
      <c r="A135" s="436" t="s">
        <v>712</v>
      </c>
      <c r="B135" s="1150"/>
      <c r="C135" s="446">
        <f>'14'!E155</f>
        <v>600</v>
      </c>
      <c r="D135" s="446">
        <f>'14'!F155</f>
        <v>2293</v>
      </c>
      <c r="E135" s="446">
        <f>'14'!G155</f>
        <v>2293</v>
      </c>
      <c r="F135" s="452">
        <f t="shared" si="14"/>
        <v>100</v>
      </c>
      <c r="G135" s="1986">
        <v>600000</v>
      </c>
      <c r="H135" s="1986">
        <v>2292825.54</v>
      </c>
      <c r="I135" s="1986">
        <v>2292825.54</v>
      </c>
      <c r="J135" s="1986"/>
      <c r="K135" s="1986"/>
    </row>
    <row r="136" spans="1:14" x14ac:dyDescent="0.2">
      <c r="A136" s="1147" t="s">
        <v>713</v>
      </c>
      <c r="B136" s="1150"/>
      <c r="C136" s="446">
        <f>'14'!E156</f>
        <v>0</v>
      </c>
      <c r="D136" s="446">
        <f>'14'!F156</f>
        <v>0</v>
      </c>
      <c r="E136" s="446">
        <f>'14'!G156</f>
        <v>0</v>
      </c>
      <c r="F136" s="452">
        <v>0</v>
      </c>
      <c r="G136" s="1986">
        <v>0</v>
      </c>
      <c r="H136" s="1986">
        <v>0</v>
      </c>
      <c r="I136" s="1986">
        <v>0</v>
      </c>
      <c r="J136" s="1986"/>
      <c r="K136" s="1986"/>
    </row>
    <row r="137" spans="1:14" x14ac:dyDescent="0.2">
      <c r="A137" s="1148" t="s">
        <v>715</v>
      </c>
      <c r="B137" s="1150"/>
      <c r="C137" s="451">
        <f>C138+C139+C140+C141</f>
        <v>250548</v>
      </c>
      <c r="D137" s="451">
        <f>D138+D139+D140+D141</f>
        <v>262922</v>
      </c>
      <c r="E137" s="451">
        <f>E138+E139+E140+E141</f>
        <v>262076</v>
      </c>
      <c r="F137" s="1151">
        <f t="shared" si="14"/>
        <v>99.678231566776461</v>
      </c>
      <c r="G137" s="1985">
        <f>SUM(G138:G141)</f>
        <v>250548000</v>
      </c>
      <c r="H137" s="1985">
        <f>SUM(H138:H141)</f>
        <v>262921608.75</v>
      </c>
      <c r="I137" s="1985">
        <f>SUM(I138:I141)</f>
        <v>262075774.15000001</v>
      </c>
      <c r="J137" s="1985"/>
      <c r="K137" s="1985"/>
    </row>
    <row r="138" spans="1:14" x14ac:dyDescent="0.2">
      <c r="A138" s="435" t="s">
        <v>704</v>
      </c>
      <c r="B138" s="1150"/>
      <c r="C138" s="446">
        <f>'14'!E159</f>
        <v>240628</v>
      </c>
      <c r="D138" s="446">
        <f>'14'!F159</f>
        <v>243620</v>
      </c>
      <c r="E138" s="446">
        <f>'14'!G159</f>
        <v>243474</v>
      </c>
      <c r="F138" s="452">
        <f t="shared" si="14"/>
        <v>99.94007060175683</v>
      </c>
      <c r="G138" s="1986">
        <v>240628000</v>
      </c>
      <c r="H138" s="1986">
        <v>243619926.59999999</v>
      </c>
      <c r="I138" s="1986">
        <v>243474092</v>
      </c>
      <c r="J138" s="1986"/>
      <c r="K138" s="1986"/>
    </row>
    <row r="139" spans="1:14" x14ac:dyDescent="0.2">
      <c r="A139" s="435" t="s">
        <v>705</v>
      </c>
      <c r="B139" s="1150"/>
      <c r="C139" s="446">
        <f>'14'!E160</f>
        <v>9920</v>
      </c>
      <c r="D139" s="446">
        <f>'14'!F160</f>
        <v>10587</v>
      </c>
      <c r="E139" s="446">
        <f>'14'!G160</f>
        <v>9887</v>
      </c>
      <c r="F139" s="452">
        <f t="shared" si="14"/>
        <v>93.388117502597524</v>
      </c>
      <c r="G139" s="1986">
        <v>9920000</v>
      </c>
      <c r="H139" s="1986">
        <v>10587151.15</v>
      </c>
      <c r="I139" s="1986">
        <v>9887151.1500000004</v>
      </c>
      <c r="J139" s="1986"/>
      <c r="K139" s="1986"/>
    </row>
    <row r="140" spans="1:14" x14ac:dyDescent="0.2">
      <c r="A140" s="1147" t="s">
        <v>712</v>
      </c>
      <c r="B140" s="1150"/>
      <c r="C140" s="446">
        <f>'14'!E161</f>
        <v>0</v>
      </c>
      <c r="D140" s="446">
        <f>'14'!F161</f>
        <v>8715</v>
      </c>
      <c r="E140" s="446">
        <f>'14'!G161</f>
        <v>8715</v>
      </c>
      <c r="F140" s="452">
        <f t="shared" si="14"/>
        <v>100</v>
      </c>
      <c r="G140" s="1986">
        <v>0</v>
      </c>
      <c r="H140" s="1986">
        <v>8714531</v>
      </c>
      <c r="I140" s="1986">
        <v>8714531</v>
      </c>
      <c r="J140" s="1986"/>
      <c r="K140" s="1986"/>
    </row>
    <row r="141" spans="1:14" x14ac:dyDescent="0.2">
      <c r="A141" s="1147" t="s">
        <v>713</v>
      </c>
      <c r="B141" s="1150"/>
      <c r="C141" s="446">
        <f>'14'!E162</f>
        <v>0</v>
      </c>
      <c r="D141" s="446">
        <f>'14'!F162</f>
        <v>0</v>
      </c>
      <c r="E141" s="446">
        <f>'14'!G162</f>
        <v>0</v>
      </c>
      <c r="F141" s="481">
        <v>0</v>
      </c>
      <c r="G141" s="1987">
        <v>0</v>
      </c>
      <c r="H141" s="1988">
        <v>0</v>
      </c>
      <c r="I141" s="1988">
        <v>0</v>
      </c>
      <c r="J141" s="1986"/>
      <c r="K141" s="1986"/>
    </row>
    <row r="142" spans="1:14" s="439" customFormat="1" ht="15" x14ac:dyDescent="0.25">
      <c r="A142" s="1153" t="s">
        <v>408</v>
      </c>
      <c r="B142" s="2478">
        <v>15</v>
      </c>
      <c r="C142" s="2479">
        <f>'15'!E15</f>
        <v>20</v>
      </c>
      <c r="D142" s="2479">
        <f>'15'!F15</f>
        <v>10</v>
      </c>
      <c r="E142" s="2479">
        <f>'15'!G15</f>
        <v>0</v>
      </c>
      <c r="F142" s="1154">
        <f>E142/D142*100</f>
        <v>0</v>
      </c>
      <c r="G142" s="2518">
        <v>20000</v>
      </c>
      <c r="H142" s="2519">
        <v>10000</v>
      </c>
      <c r="I142" s="2519">
        <v>0</v>
      </c>
      <c r="J142" s="1985"/>
      <c r="K142" s="1985"/>
    </row>
    <row r="143" spans="1:14" s="439" customFormat="1" ht="15" x14ac:dyDescent="0.25">
      <c r="A143" s="1153" t="s">
        <v>409</v>
      </c>
      <c r="B143" s="2478">
        <v>16</v>
      </c>
      <c r="C143" s="2479">
        <f>'16'!E15</f>
        <v>20</v>
      </c>
      <c r="D143" s="2479">
        <f>'16'!F15</f>
        <v>0</v>
      </c>
      <c r="E143" s="2479">
        <f>'16'!G15</f>
        <v>0</v>
      </c>
      <c r="F143" s="1317">
        <v>0</v>
      </c>
      <c r="G143" s="2520">
        <v>20000</v>
      </c>
      <c r="H143" s="2521">
        <v>0</v>
      </c>
      <c r="I143" s="2521">
        <v>0</v>
      </c>
      <c r="J143" s="1985"/>
      <c r="K143" s="1985"/>
    </row>
    <row r="144" spans="1:14" s="439" customFormat="1" ht="15" x14ac:dyDescent="0.25">
      <c r="A144" s="1152" t="s">
        <v>1342</v>
      </c>
      <c r="B144" s="2063">
        <v>17</v>
      </c>
      <c r="C144" s="392">
        <f>SUM(C145:C148)</f>
        <v>842737</v>
      </c>
      <c r="D144" s="392">
        <f>SUM(D145:D148)</f>
        <v>745448</v>
      </c>
      <c r="E144" s="392">
        <f>SUM(E145:E148)</f>
        <v>695547</v>
      </c>
      <c r="F144" s="442">
        <f>E144/D144*100</f>
        <v>93.305904637211441</v>
      </c>
      <c r="G144" s="2497">
        <f>SUM(G145:G148)</f>
        <v>842737000</v>
      </c>
      <c r="H144" s="2497">
        <f>SUM(H145:H148)</f>
        <v>745448113.39999998</v>
      </c>
      <c r="I144" s="2497">
        <f>SUM(I145:I148)</f>
        <v>695546751.44000006</v>
      </c>
      <c r="J144" s="1985"/>
      <c r="K144" s="2505">
        <f>G133+G138+G145+G142+G143</f>
        <v>303880000</v>
      </c>
      <c r="L144" s="2505">
        <f>H133+H138+H145+H142+H143</f>
        <v>329816157.45999998</v>
      </c>
      <c r="M144" s="2505">
        <f>I133+I138+I145+I142+I143</f>
        <v>323971361.72000003</v>
      </c>
      <c r="N144" s="2505" t="s">
        <v>711</v>
      </c>
    </row>
    <row r="145" spans="1:14" s="439" customFormat="1" x14ac:dyDescent="0.2">
      <c r="A145" s="435" t="s">
        <v>704</v>
      </c>
      <c r="B145" s="441"/>
      <c r="C145" s="446">
        <f>'17'!E183</f>
        <v>42504</v>
      </c>
      <c r="D145" s="446">
        <f>'17'!F183</f>
        <v>63968</v>
      </c>
      <c r="E145" s="446">
        <f>'17'!G183</f>
        <v>58658</v>
      </c>
      <c r="F145" s="452">
        <f>E145/D145*100</f>
        <v>91.698974487243618</v>
      </c>
      <c r="G145" s="1986">
        <v>42504000</v>
      </c>
      <c r="H145" s="1986">
        <v>63968281.659999996</v>
      </c>
      <c r="I145" s="1986">
        <v>58658033.719999999</v>
      </c>
      <c r="J145" s="1986"/>
      <c r="K145" s="2505">
        <f>G134+G139+G146</f>
        <v>816153000</v>
      </c>
      <c r="L145" s="2505">
        <f t="shared" ref="K145:M147" si="15">H134+H139+H146</f>
        <v>698866982.88999999</v>
      </c>
      <c r="M145" s="2505">
        <f t="shared" si="15"/>
        <v>653575868.87</v>
      </c>
      <c r="N145" s="2506" t="s">
        <v>655</v>
      </c>
    </row>
    <row r="146" spans="1:14" s="439" customFormat="1" x14ac:dyDescent="0.2">
      <c r="A146" s="435" t="s">
        <v>705</v>
      </c>
      <c r="B146" s="441"/>
      <c r="C146" s="446">
        <f>'17'!E184</f>
        <v>800233</v>
      </c>
      <c r="D146" s="446">
        <f>'17'!F184</f>
        <v>681480</v>
      </c>
      <c r="E146" s="446">
        <f>'17'!G184</f>
        <v>636889</v>
      </c>
      <c r="F146" s="452">
        <f>E146/D146*100</f>
        <v>93.456741210306987</v>
      </c>
      <c r="G146" s="1986">
        <v>800233000</v>
      </c>
      <c r="H146" s="1986">
        <v>681479831.74000001</v>
      </c>
      <c r="I146" s="1986">
        <v>636888717.72000003</v>
      </c>
      <c r="J146" s="1986"/>
      <c r="K146" s="2505">
        <f t="shared" si="15"/>
        <v>600000</v>
      </c>
      <c r="L146" s="2505">
        <f t="shared" si="15"/>
        <v>11007356.539999999</v>
      </c>
      <c r="M146" s="2505">
        <f t="shared" si="15"/>
        <v>11007356.539999999</v>
      </c>
      <c r="N146" s="2506" t="s">
        <v>752</v>
      </c>
    </row>
    <row r="147" spans="1:14" s="439" customFormat="1" x14ac:dyDescent="0.2">
      <c r="A147" s="436" t="s">
        <v>712</v>
      </c>
      <c r="B147" s="1150"/>
      <c r="C147" s="446">
        <f>'17'!E185</f>
        <v>0</v>
      </c>
      <c r="D147" s="446">
        <f>'17'!F185</f>
        <v>0</v>
      </c>
      <c r="E147" s="446">
        <f>'17'!G185</f>
        <v>0</v>
      </c>
      <c r="F147" s="452">
        <v>0</v>
      </c>
      <c r="G147" s="1986">
        <v>0</v>
      </c>
      <c r="H147" s="1986">
        <v>0</v>
      </c>
      <c r="I147" s="1986">
        <v>0</v>
      </c>
      <c r="J147" s="1986"/>
      <c r="K147" s="2505">
        <f t="shared" si="15"/>
        <v>0</v>
      </c>
      <c r="L147" s="2505">
        <f>H136+H141+H148</f>
        <v>0</v>
      </c>
      <c r="M147" s="2505">
        <f t="shared" si="15"/>
        <v>0</v>
      </c>
      <c r="N147" s="2506" t="s">
        <v>1619</v>
      </c>
    </row>
    <row r="148" spans="1:14" s="439" customFormat="1" x14ac:dyDescent="0.2">
      <c r="A148" s="440" t="s">
        <v>713</v>
      </c>
      <c r="B148" s="2470"/>
      <c r="C148" s="448">
        <f>'17'!E186</f>
        <v>0</v>
      </c>
      <c r="D148" s="448">
        <f>'17'!F186</f>
        <v>0</v>
      </c>
      <c r="E148" s="448">
        <f>'17'!G186</f>
        <v>0</v>
      </c>
      <c r="F148" s="481">
        <v>0</v>
      </c>
      <c r="G148" s="1987">
        <v>0</v>
      </c>
      <c r="H148" s="1988">
        <v>0</v>
      </c>
      <c r="I148" s="1988">
        <v>0</v>
      </c>
      <c r="J148" s="1986"/>
      <c r="K148" s="2508">
        <v>0</v>
      </c>
      <c r="L148" s="2511">
        <v>0</v>
      </c>
      <c r="M148" s="2511">
        <v>0</v>
      </c>
      <c r="N148" s="2506" t="s">
        <v>1011</v>
      </c>
    </row>
    <row r="149" spans="1:14" s="439" customFormat="1" ht="15" x14ac:dyDescent="0.25">
      <c r="A149" s="2683" t="s">
        <v>1323</v>
      </c>
      <c r="B149" s="1146">
        <v>30</v>
      </c>
      <c r="C149" s="392">
        <f>SUM(C151:C153)</f>
        <v>29885</v>
      </c>
      <c r="D149" s="392">
        <f>SUM(D151:D153)</f>
        <v>20141</v>
      </c>
      <c r="E149" s="392">
        <f>SUM(E151:E153)</f>
        <v>13650</v>
      </c>
      <c r="F149" s="442">
        <f>E149/D149*100</f>
        <v>67.77220594806613</v>
      </c>
      <c r="G149" s="2497">
        <f>SUM(G151:G153)</f>
        <v>29885000</v>
      </c>
      <c r="H149" s="2497">
        <f>SUM(H151:H153)</f>
        <v>20141343</v>
      </c>
      <c r="I149" s="2497">
        <f>SUM(I151:I153)</f>
        <v>13650214</v>
      </c>
      <c r="J149" s="1985"/>
      <c r="K149" s="2505">
        <f>K144+K145+K146+K147+K148</f>
        <v>1120633000</v>
      </c>
      <c r="L149" s="2505">
        <f>L144+L145+L146+L147+L148</f>
        <v>1039690496.8899999</v>
      </c>
      <c r="M149" s="2505">
        <f>M144+M145+M146+M147+M148</f>
        <v>988554587.13</v>
      </c>
      <c r="N149" s="2526" t="s">
        <v>1010</v>
      </c>
    </row>
    <row r="150" spans="1:14" s="439" customFormat="1" ht="15" x14ac:dyDescent="0.25">
      <c r="A150" s="2684"/>
      <c r="B150" s="1146"/>
      <c r="C150" s="392"/>
      <c r="D150" s="392"/>
      <c r="E150" s="392"/>
      <c r="F150" s="442"/>
      <c r="G150" s="1985"/>
      <c r="H150" s="1985"/>
      <c r="I150" s="1985"/>
      <c r="J150" s="1985"/>
      <c r="K150" s="1986"/>
      <c r="L150" s="1986"/>
      <c r="M150" s="1986"/>
    </row>
    <row r="151" spans="1:14" s="439" customFormat="1" x14ac:dyDescent="0.2">
      <c r="A151" s="435" t="s">
        <v>704</v>
      </c>
      <c r="B151" s="1146"/>
      <c r="C151" s="446">
        <f>'30  '!E564</f>
        <v>29885</v>
      </c>
      <c r="D151" s="446">
        <f>'30  '!F564</f>
        <v>3825</v>
      </c>
      <c r="E151" s="446">
        <f>'30  '!G564</f>
        <v>836</v>
      </c>
      <c r="F151" s="452">
        <f>E151/D151*100</f>
        <v>21.856209150326798</v>
      </c>
      <c r="G151" s="1986">
        <f>'30  '!J564</f>
        <v>29885000</v>
      </c>
      <c r="H151" s="1986">
        <f>'30  '!K564</f>
        <v>3825482</v>
      </c>
      <c r="I151" s="1986">
        <f>'30  '!L564</f>
        <v>836365</v>
      </c>
      <c r="J151" s="1986"/>
      <c r="K151" s="1986"/>
    </row>
    <row r="152" spans="1:14" s="439" customFormat="1" x14ac:dyDescent="0.2">
      <c r="A152" s="435" t="s">
        <v>705</v>
      </c>
      <c r="B152" s="1146"/>
      <c r="C152" s="446">
        <f>'30  '!E565</f>
        <v>0</v>
      </c>
      <c r="D152" s="446">
        <f>'30  '!F565</f>
        <v>16316</v>
      </c>
      <c r="E152" s="446">
        <f>'30  '!G565</f>
        <v>11962</v>
      </c>
      <c r="F152" s="452">
        <f>E152/D152*100</f>
        <v>73.314537876930615</v>
      </c>
      <c r="G152" s="1986">
        <f>'30  '!J565</f>
        <v>0</v>
      </c>
      <c r="H152" s="1986">
        <f>'30  '!K565</f>
        <v>16315861</v>
      </c>
      <c r="I152" s="1986">
        <f>'30  '!L565</f>
        <v>11961511</v>
      </c>
      <c r="J152" s="1986"/>
      <c r="K152" s="1986"/>
    </row>
    <row r="153" spans="1:14" s="439" customFormat="1" x14ac:dyDescent="0.2">
      <c r="A153" s="1576" t="s">
        <v>1324</v>
      </c>
      <c r="B153" s="1156"/>
      <c r="C153" s="446">
        <f>'30  '!E566</f>
        <v>0</v>
      </c>
      <c r="D153" s="446">
        <f>'30  '!F566</f>
        <v>0</v>
      </c>
      <c r="E153" s="446">
        <f>'30  '!G566</f>
        <v>852</v>
      </c>
      <c r="F153" s="481">
        <v>0</v>
      </c>
      <c r="G153" s="1988">
        <f>'30  '!J566</f>
        <v>0</v>
      </c>
      <c r="H153" s="1988">
        <f>'30  '!K566</f>
        <v>0</v>
      </c>
      <c r="I153" s="1988">
        <f>'30  '!L566</f>
        <v>852338</v>
      </c>
      <c r="J153" s="1986"/>
      <c r="K153" s="1986"/>
    </row>
    <row r="154" spans="1:14" s="340" customFormat="1" ht="15" x14ac:dyDescent="0.25">
      <c r="A154" s="437" t="s">
        <v>1458</v>
      </c>
      <c r="B154" s="2477">
        <v>32</v>
      </c>
      <c r="C154" s="2472">
        <f>SUM(C155:C157)</f>
        <v>0</v>
      </c>
      <c r="D154" s="2472">
        <f>SUM(D155:D157)</f>
        <v>0</v>
      </c>
      <c r="E154" s="2472">
        <f>SUM(E155:E157)</f>
        <v>1</v>
      </c>
      <c r="F154" s="452">
        <v>0</v>
      </c>
      <c r="G154" s="2497">
        <f>SUM(G155:G157)</f>
        <v>0</v>
      </c>
      <c r="H154" s="2497">
        <f>SUM(H155:H157)</f>
        <v>0</v>
      </c>
      <c r="I154" s="2497">
        <f>SUM(I155:I157)</f>
        <v>831.8</v>
      </c>
      <c r="J154" s="1985"/>
      <c r="K154" s="1985"/>
    </row>
    <row r="155" spans="1:14" s="439" customFormat="1" x14ac:dyDescent="0.2">
      <c r="A155" s="435" t="s">
        <v>704</v>
      </c>
      <c r="B155" s="1146"/>
      <c r="C155" s="446">
        <f>'32 '!E16</f>
        <v>0</v>
      </c>
      <c r="D155" s="446">
        <f>'32 '!F16</f>
        <v>0</v>
      </c>
      <c r="E155" s="446">
        <f>'32 '!G16</f>
        <v>1</v>
      </c>
      <c r="F155" s="452">
        <v>0</v>
      </c>
      <c r="G155" s="1986">
        <f>'32 '!J16</f>
        <v>0</v>
      </c>
      <c r="H155" s="1986">
        <f>'32 '!K16</f>
        <v>0</v>
      </c>
      <c r="I155" s="1986">
        <f>'32 '!L16</f>
        <v>831.8</v>
      </c>
      <c r="J155" s="1986"/>
      <c r="K155" s="1986"/>
    </row>
    <row r="156" spans="1:14" s="439" customFormat="1" x14ac:dyDescent="0.2">
      <c r="A156" s="435" t="s">
        <v>705</v>
      </c>
      <c r="B156" s="1146"/>
      <c r="C156" s="446">
        <f>'32 '!E17</f>
        <v>0</v>
      </c>
      <c r="D156" s="446">
        <f>'32 '!F17</f>
        <v>0</v>
      </c>
      <c r="E156" s="446">
        <f>'32 '!G17</f>
        <v>0</v>
      </c>
      <c r="F156" s="452">
        <v>0</v>
      </c>
      <c r="G156" s="1986">
        <f>'32 '!J17</f>
        <v>0</v>
      </c>
      <c r="H156" s="1986">
        <f>'32 '!K17</f>
        <v>0</v>
      </c>
      <c r="I156" s="1986">
        <f>'32 '!L17</f>
        <v>0</v>
      </c>
      <c r="J156" s="1986"/>
      <c r="K156" s="1986"/>
    </row>
    <row r="157" spans="1:14" s="439" customFormat="1" x14ac:dyDescent="0.2">
      <c r="A157" s="1576" t="s">
        <v>1324</v>
      </c>
      <c r="B157" s="1156"/>
      <c r="C157" s="446">
        <f>'32 '!E18</f>
        <v>0</v>
      </c>
      <c r="D157" s="446">
        <f>'32 '!F18</f>
        <v>0</v>
      </c>
      <c r="E157" s="446">
        <f>'32 '!G18</f>
        <v>0</v>
      </c>
      <c r="F157" s="481">
        <v>0</v>
      </c>
      <c r="G157" s="1987">
        <f>'32 '!J18</f>
        <v>0</v>
      </c>
      <c r="H157" s="1988">
        <f>'32 '!K18</f>
        <v>0</v>
      </c>
      <c r="I157" s="1988">
        <f>'32 '!L18</f>
        <v>0</v>
      </c>
      <c r="J157" s="1986"/>
      <c r="K157" s="1986"/>
    </row>
    <row r="158" spans="1:14" s="340" customFormat="1" ht="15" x14ac:dyDescent="0.25">
      <c r="A158" s="2683" t="s">
        <v>1887</v>
      </c>
      <c r="B158" s="2477">
        <v>37</v>
      </c>
      <c r="C158" s="2472">
        <f>SUM(C161:C163)</f>
        <v>0</v>
      </c>
      <c r="D158" s="2472">
        <f>SUM(D161:D163)</f>
        <v>2</v>
      </c>
      <c r="E158" s="2472">
        <f>SUM(E161:E163)</f>
        <v>2</v>
      </c>
      <c r="F158" s="442">
        <f>E158/D158*100</f>
        <v>100</v>
      </c>
      <c r="G158" s="2497">
        <f>SUM(G161:G163)</f>
        <v>0</v>
      </c>
      <c r="H158" s="2497">
        <f>SUM(H161:H163)</f>
        <v>2400</v>
      </c>
      <c r="I158" s="2497">
        <f>SUM(I161:I163)</f>
        <v>2400</v>
      </c>
      <c r="J158" s="1985"/>
      <c r="K158" s="1985"/>
    </row>
    <row r="159" spans="1:14" s="340" customFormat="1" ht="15" x14ac:dyDescent="0.25">
      <c r="A159" s="2684"/>
      <c r="B159" s="1146"/>
      <c r="C159" s="392"/>
      <c r="D159" s="392"/>
      <c r="E159" s="392"/>
      <c r="F159" s="442"/>
      <c r="G159" s="1985"/>
      <c r="H159" s="1985"/>
      <c r="I159" s="1985"/>
      <c r="J159" s="1985"/>
      <c r="K159" s="1985"/>
    </row>
    <row r="160" spans="1:14" s="340" customFormat="1" ht="15" x14ac:dyDescent="0.25">
      <c r="A160" s="2684"/>
      <c r="B160" s="1146"/>
      <c r="C160" s="392"/>
      <c r="D160" s="392"/>
      <c r="E160" s="392"/>
      <c r="F160" s="442"/>
      <c r="G160" s="1985"/>
      <c r="H160" s="1985"/>
      <c r="I160" s="1985"/>
      <c r="J160" s="1985"/>
      <c r="K160" s="1985"/>
    </row>
    <row r="161" spans="1:11" s="439" customFormat="1" x14ac:dyDescent="0.2">
      <c r="A161" s="435" t="s">
        <v>704</v>
      </c>
      <c r="B161" s="1146"/>
      <c r="C161" s="446">
        <f>'37'!E16</f>
        <v>0</v>
      </c>
      <c r="D161" s="446">
        <f>'37'!F16</f>
        <v>2</v>
      </c>
      <c r="E161" s="446">
        <f>'37'!G16</f>
        <v>2</v>
      </c>
      <c r="F161" s="452">
        <v>0</v>
      </c>
      <c r="G161" s="1986">
        <f>'37'!J16</f>
        <v>0</v>
      </c>
      <c r="H161" s="1986">
        <f>'37'!K16</f>
        <v>2400</v>
      </c>
      <c r="I161" s="1986">
        <f>'37'!L16</f>
        <v>2400</v>
      </c>
      <c r="J161" s="1986"/>
      <c r="K161" s="1986"/>
    </row>
    <row r="162" spans="1:11" s="439" customFormat="1" x14ac:dyDescent="0.2">
      <c r="A162" s="435" t="s">
        <v>705</v>
      </c>
      <c r="B162" s="1146"/>
      <c r="C162" s="446">
        <f>'37'!E17</f>
        <v>0</v>
      </c>
      <c r="D162" s="446">
        <f>'37'!F17</f>
        <v>0</v>
      </c>
      <c r="E162" s="446">
        <f>'37'!G17</f>
        <v>0</v>
      </c>
      <c r="F162" s="452">
        <v>0</v>
      </c>
      <c r="G162" s="2473">
        <f>'37'!J17</f>
        <v>0</v>
      </c>
      <c r="H162" s="1986">
        <f>'37'!K17</f>
        <v>0</v>
      </c>
      <c r="I162" s="1986">
        <f>'37'!L17</f>
        <v>0</v>
      </c>
      <c r="J162" s="1986"/>
      <c r="K162" s="1986"/>
    </row>
    <row r="163" spans="1:11" s="439" customFormat="1" x14ac:dyDescent="0.2">
      <c r="A163" s="1576" t="s">
        <v>1324</v>
      </c>
      <c r="B163" s="1156"/>
      <c r="C163" s="448">
        <f>'37'!E18</f>
        <v>0</v>
      </c>
      <c r="D163" s="448">
        <f>'37'!F18</f>
        <v>0</v>
      </c>
      <c r="E163" s="448">
        <f>'37'!G18</f>
        <v>0</v>
      </c>
      <c r="F163" s="481">
        <v>0</v>
      </c>
      <c r="G163" s="1987">
        <f>'37'!J18</f>
        <v>0</v>
      </c>
      <c r="H163" s="1988">
        <f>'37'!K18</f>
        <v>0</v>
      </c>
      <c r="I163" s="1988">
        <f>'37'!L18</f>
        <v>0</v>
      </c>
      <c r="J163" s="1986"/>
      <c r="K163" s="1986"/>
    </row>
    <row r="164" spans="1:11" s="439" customFormat="1" ht="45" hidden="1" customHeight="1" x14ac:dyDescent="0.25">
      <c r="A164" s="2460" t="s">
        <v>1376</v>
      </c>
      <c r="B164" s="2477">
        <v>41</v>
      </c>
      <c r="C164" s="392">
        <f>SUM(C165:C167)</f>
        <v>0</v>
      </c>
      <c r="D164" s="392">
        <f>SUM(D165:D167)</f>
        <v>0</v>
      </c>
      <c r="E164" s="392">
        <f>SUM(E165:E167)</f>
        <v>0</v>
      </c>
      <c r="F164" s="452">
        <v>0</v>
      </c>
      <c r="G164" s="1986"/>
      <c r="H164" s="1986"/>
      <c r="I164" s="1986"/>
      <c r="J164" s="1986"/>
      <c r="K164" s="1986"/>
    </row>
    <row r="165" spans="1:11" s="439" customFormat="1" hidden="1" x14ac:dyDescent="0.2">
      <c r="A165" s="435" t="s">
        <v>704</v>
      </c>
      <c r="B165" s="1146"/>
      <c r="C165" s="446">
        <v>0</v>
      </c>
      <c r="D165" s="446">
        <v>0</v>
      </c>
      <c r="E165" s="446">
        <v>0</v>
      </c>
      <c r="F165" s="452">
        <v>0</v>
      </c>
      <c r="G165" s="1986"/>
      <c r="H165" s="1986"/>
      <c r="I165" s="1986"/>
      <c r="J165" s="1986"/>
      <c r="K165" s="1986"/>
    </row>
    <row r="166" spans="1:11" s="439" customFormat="1" hidden="1" x14ac:dyDescent="0.2">
      <c r="A166" s="435" t="s">
        <v>705</v>
      </c>
      <c r="B166" s="1146"/>
      <c r="C166" s="446">
        <v>0</v>
      </c>
      <c r="D166" s="446">
        <v>0</v>
      </c>
      <c r="E166" s="446">
        <v>0</v>
      </c>
      <c r="F166" s="452">
        <v>0</v>
      </c>
      <c r="G166" s="1986"/>
      <c r="H166" s="1986"/>
      <c r="I166" s="1986"/>
      <c r="J166" s="1986"/>
      <c r="K166" s="1986"/>
    </row>
    <row r="167" spans="1:11" s="439" customFormat="1" hidden="1" x14ac:dyDescent="0.2">
      <c r="A167" s="1576" t="s">
        <v>1324</v>
      </c>
      <c r="B167" s="1156"/>
      <c r="C167" s="448">
        <v>0</v>
      </c>
      <c r="D167" s="448">
        <v>0</v>
      </c>
      <c r="E167" s="448">
        <v>0</v>
      </c>
      <c r="F167" s="481">
        <v>0</v>
      </c>
      <c r="G167" s="1986"/>
      <c r="H167" s="1986"/>
      <c r="I167" s="1986"/>
      <c r="J167" s="1986"/>
      <c r="K167" s="1986"/>
    </row>
    <row r="168" spans="1:11" s="439" customFormat="1" ht="30" hidden="1" x14ac:dyDescent="0.25">
      <c r="A168" s="2460" t="s">
        <v>1004</v>
      </c>
      <c r="B168" s="2477">
        <v>42</v>
      </c>
      <c r="C168" s="392">
        <f>SUM(C169:C171)</f>
        <v>0</v>
      </c>
      <c r="D168" s="392">
        <f>SUM(D169:D171)</f>
        <v>0</v>
      </c>
      <c r="E168" s="392">
        <f>SUM(E169:E171)</f>
        <v>0</v>
      </c>
      <c r="F168" s="452">
        <v>0</v>
      </c>
      <c r="G168" s="1986"/>
      <c r="H168" s="1986"/>
      <c r="I168" s="1986"/>
      <c r="J168" s="1986"/>
      <c r="K168" s="1986"/>
    </row>
    <row r="169" spans="1:11" s="439" customFormat="1" hidden="1" x14ac:dyDescent="0.2">
      <c r="A169" s="435" t="s">
        <v>704</v>
      </c>
      <c r="B169" s="1146"/>
      <c r="C169" s="446">
        <v>0</v>
      </c>
      <c r="D169" s="446">
        <v>0</v>
      </c>
      <c r="E169" s="446">
        <v>0</v>
      </c>
      <c r="F169" s="452">
        <v>0</v>
      </c>
      <c r="G169" s="1986"/>
      <c r="H169" s="1986"/>
      <c r="I169" s="1986"/>
      <c r="J169" s="1986"/>
      <c r="K169" s="1986"/>
    </row>
    <row r="170" spans="1:11" s="439" customFormat="1" hidden="1" x14ac:dyDescent="0.2">
      <c r="A170" s="435" t="s">
        <v>705</v>
      </c>
      <c r="B170" s="1146"/>
      <c r="C170" s="446">
        <v>0</v>
      </c>
      <c r="D170" s="446">
        <v>0</v>
      </c>
      <c r="E170" s="446">
        <v>0</v>
      </c>
      <c r="F170" s="452">
        <v>0</v>
      </c>
      <c r="G170" s="1986"/>
      <c r="H170" s="1986"/>
      <c r="I170" s="1986"/>
      <c r="J170" s="1986"/>
      <c r="K170" s="1986"/>
    </row>
    <row r="171" spans="1:11" s="439" customFormat="1" hidden="1" x14ac:dyDescent="0.2">
      <c r="A171" s="1576" t="s">
        <v>1324</v>
      </c>
      <c r="B171" s="1156"/>
      <c r="C171" s="448">
        <v>0</v>
      </c>
      <c r="D171" s="448">
        <v>0</v>
      </c>
      <c r="E171" s="448">
        <v>0</v>
      </c>
      <c r="F171" s="481">
        <v>0</v>
      </c>
      <c r="G171" s="1986"/>
      <c r="H171" s="1986"/>
      <c r="I171" s="1986"/>
      <c r="J171" s="1986"/>
      <c r="K171" s="1986"/>
    </row>
    <row r="172" spans="1:11" s="439" customFormat="1" ht="46.5" hidden="1" customHeight="1" x14ac:dyDescent="0.25">
      <c r="A172" s="2460" t="s">
        <v>1374</v>
      </c>
      <c r="B172" s="2477">
        <v>47</v>
      </c>
      <c r="C172" s="392">
        <f>SUM(C173:C175)</f>
        <v>0</v>
      </c>
      <c r="D172" s="392">
        <f>SUM(D173:D175)</f>
        <v>0</v>
      </c>
      <c r="E172" s="392">
        <f>SUM(E173:E175)</f>
        <v>0</v>
      </c>
      <c r="F172" s="452">
        <v>0</v>
      </c>
      <c r="G172" s="1986"/>
      <c r="H172" s="1986"/>
      <c r="I172" s="1986"/>
      <c r="J172" s="1986"/>
      <c r="K172" s="1986"/>
    </row>
    <row r="173" spans="1:11" s="439" customFormat="1" hidden="1" x14ac:dyDescent="0.2">
      <c r="A173" s="435" t="s">
        <v>704</v>
      </c>
      <c r="B173" s="1146"/>
      <c r="C173" s="446">
        <v>0</v>
      </c>
      <c r="D173" s="446">
        <v>0</v>
      </c>
      <c r="E173" s="446">
        <v>0</v>
      </c>
      <c r="F173" s="452">
        <v>0</v>
      </c>
      <c r="G173" s="1986"/>
      <c r="H173" s="1986"/>
      <c r="I173" s="1986"/>
      <c r="J173" s="1986"/>
      <c r="K173" s="1986"/>
    </row>
    <row r="174" spans="1:11" s="439" customFormat="1" hidden="1" x14ac:dyDescent="0.2">
      <c r="A174" s="435" t="s">
        <v>705</v>
      </c>
      <c r="B174" s="1146"/>
      <c r="C174" s="446">
        <v>0</v>
      </c>
      <c r="D174" s="446">
        <v>0</v>
      </c>
      <c r="E174" s="446">
        <v>0</v>
      </c>
      <c r="F174" s="452">
        <v>0</v>
      </c>
      <c r="G174" s="1986" t="e">
        <f>SUM(C151,C153,C155,C157,C161,C163,#REF!,#REF!,#REF!,#REF!,#REF!,#REF!,#REF!,#REF!,#REF!,#REF!,#REF!,#REF!,C165,C167,C169,C171,C173,C175,C177,C179)</f>
        <v>#REF!</v>
      </c>
      <c r="H174" s="1986" t="e">
        <f>SUM(D151,D153,D155,D157,D161,D163,#REF!,#REF!,#REF!,#REF!,#REF!,#REF!,#REF!,#REF!,#REF!,#REF!,#REF!,#REF!,D165,D167,D169,D171,D173,D175,D177,D179)</f>
        <v>#REF!</v>
      </c>
      <c r="I174" s="1986" t="e">
        <f>SUM(E151,E153,E155,E157,E161,E163,#REF!,#REF!,#REF!,#REF!,#REF!,#REF!,#REF!,#REF!,#REF!,#REF!,#REF!,#REF!,E165,E167,E169,E171,E173,E175,E177,E179)</f>
        <v>#REF!</v>
      </c>
      <c r="J174" s="1986"/>
      <c r="K174" s="1986"/>
    </row>
    <row r="175" spans="1:11" s="439" customFormat="1" hidden="1" x14ac:dyDescent="0.2">
      <c r="A175" s="1576" t="s">
        <v>1324</v>
      </c>
      <c r="B175" s="2481"/>
      <c r="C175" s="448">
        <v>0</v>
      </c>
      <c r="D175" s="448">
        <v>0</v>
      </c>
      <c r="E175" s="448">
        <v>0</v>
      </c>
      <c r="F175" s="484">
        <v>0</v>
      </c>
      <c r="G175" s="1986" t="e">
        <f>SUM(C152,C156,C162,#REF!,#REF!,#REF!,#REF!,#REF!,#REF!,C166,C170,C174,C178)</f>
        <v>#REF!</v>
      </c>
      <c r="H175" s="1986" t="e">
        <f>SUM(D152,D156,D162,#REF!,#REF!,#REF!,#REF!,#REF!,#REF!,D166,D170,D174,D178)</f>
        <v>#REF!</v>
      </c>
      <c r="I175" s="1986" t="e">
        <f>SUM(E152,E156,E162,#REF!,#REF!,#REF!,#REF!,#REF!,#REF!,E166,E170,E174,E178)</f>
        <v>#REF!</v>
      </c>
      <c r="J175" s="1986"/>
      <c r="K175" s="1986"/>
    </row>
    <row r="176" spans="1:11" s="439" customFormat="1" ht="45" hidden="1" customHeight="1" x14ac:dyDescent="0.25">
      <c r="A176" s="2460" t="s">
        <v>917</v>
      </c>
      <c r="B176" s="2477">
        <v>48</v>
      </c>
      <c r="C176" s="392">
        <f>SUM(C177:C179)</f>
        <v>0</v>
      </c>
      <c r="D176" s="392">
        <f>SUM(D177:D179)</f>
        <v>0</v>
      </c>
      <c r="E176" s="392">
        <f>SUM(E177:E179)</f>
        <v>0</v>
      </c>
      <c r="F176" s="442">
        <v>0</v>
      </c>
      <c r="G176" s="1985"/>
      <c r="H176" s="1985"/>
      <c r="I176" s="1985"/>
      <c r="J176" s="1985"/>
      <c r="K176" s="1985"/>
    </row>
    <row r="177" spans="1:15" s="439" customFormat="1" hidden="1" x14ac:dyDescent="0.2">
      <c r="A177" s="435" t="s">
        <v>704</v>
      </c>
      <c r="B177" s="1146"/>
      <c r="C177" s="446">
        <v>0</v>
      </c>
      <c r="D177" s="446">
        <v>0</v>
      </c>
      <c r="E177" s="446">
        <v>0</v>
      </c>
      <c r="F177" s="452">
        <v>0</v>
      </c>
      <c r="G177" s="1986" t="e">
        <f>SUM(C151:C152,C155:C156,C161:C162,#REF!,#REF!,#REF!,#REF!,#REF!,#REF!,C165:C166,C169:C170,C173:C174,C177:C178)</f>
        <v>#REF!</v>
      </c>
      <c r="H177" s="1986" t="e">
        <f>SUM(D151:D152,D155:D156,D161:D162,#REF!,#REF!,#REF!,#REF!,#REF!,#REF!,D165:D166,D169:D170,D173:D174,D177:D178)</f>
        <v>#REF!</v>
      </c>
      <c r="I177" s="1986" t="e">
        <f>SUM(E151:E152,E155:E156,E161:E162,#REF!,#REF!,#REF!,#REF!,#REF!,#REF!,E165:E166,E169:E170,E173:E174,E177:E178)</f>
        <v>#REF!</v>
      </c>
      <c r="J177" s="1986"/>
      <c r="K177" s="1986"/>
    </row>
    <row r="178" spans="1:15" s="439" customFormat="1" hidden="1" x14ac:dyDescent="0.2">
      <c r="A178" s="435" t="s">
        <v>705</v>
      </c>
      <c r="B178" s="1146"/>
      <c r="C178" s="446">
        <v>0</v>
      </c>
      <c r="D178" s="446">
        <v>0</v>
      </c>
      <c r="E178" s="446">
        <v>0</v>
      </c>
      <c r="F178" s="452">
        <v>0</v>
      </c>
      <c r="G178" s="1986" t="e">
        <f>SUM(C153,C157,C163,#REF!,#REF!,#REF!,#REF!,#REF!,#REF!,C167,C171,C175,C179)</f>
        <v>#REF!</v>
      </c>
      <c r="H178" s="1986" t="e">
        <f>SUM(D153,D157,D163,#REF!,#REF!,#REF!,#REF!,#REF!,#REF!,D167,D171,D175,D179)</f>
        <v>#REF!</v>
      </c>
      <c r="I178" s="1986" t="e">
        <f>SUM(E153,E157,E163,#REF!,#REF!,#REF!,#REF!,#REF!,#REF!,E167,E171,E175,E179)</f>
        <v>#REF!</v>
      </c>
      <c r="J178" s="1986"/>
      <c r="K178" s="1986"/>
    </row>
    <row r="179" spans="1:15" s="439" customFormat="1" hidden="1" x14ac:dyDescent="0.2">
      <c r="A179" s="1576" t="s">
        <v>1324</v>
      </c>
      <c r="B179" s="1156"/>
      <c r="C179" s="448">
        <v>0</v>
      </c>
      <c r="D179" s="448">
        <v>0</v>
      </c>
      <c r="E179" s="448">
        <v>0</v>
      </c>
      <c r="F179" s="481">
        <v>0</v>
      </c>
      <c r="G179" s="1986"/>
      <c r="H179" s="1986"/>
      <c r="I179" s="1986"/>
      <c r="J179" s="1986"/>
      <c r="K179" s="1986"/>
    </row>
    <row r="180" spans="1:15" s="439" customFormat="1" ht="36" hidden="1" customHeight="1" thickTop="1" x14ac:dyDescent="0.25">
      <c r="A180" s="2460" t="s">
        <v>898</v>
      </c>
      <c r="B180" s="2477">
        <v>49</v>
      </c>
      <c r="C180" s="392">
        <f>SUM(C181:C183)</f>
        <v>0</v>
      </c>
      <c r="D180" s="392">
        <f>SUM(D181:D183)</f>
        <v>0</v>
      </c>
      <c r="E180" s="392">
        <f>SUM(E181:E183)</f>
        <v>0</v>
      </c>
      <c r="F180" s="442">
        <v>0</v>
      </c>
      <c r="G180" s="1985"/>
      <c r="H180" s="1985"/>
      <c r="I180" s="1985"/>
      <c r="J180" s="1985"/>
      <c r="K180" s="1985"/>
      <c r="L180" s="984"/>
      <c r="M180" s="984"/>
      <c r="N180" s="984"/>
      <c r="O180" s="984"/>
    </row>
    <row r="181" spans="1:15" s="439" customFormat="1" hidden="1" x14ac:dyDescent="0.2">
      <c r="A181" s="435" t="s">
        <v>704</v>
      </c>
      <c r="B181" s="1146"/>
      <c r="C181" s="446">
        <v>0</v>
      </c>
      <c r="D181" s="446">
        <v>0</v>
      </c>
      <c r="E181" s="446">
        <v>0</v>
      </c>
      <c r="F181" s="452">
        <v>0</v>
      </c>
      <c r="G181" s="1986"/>
      <c r="H181" s="1986"/>
      <c r="I181" s="1986"/>
      <c r="J181" s="1986"/>
      <c r="K181" s="1986"/>
    </row>
    <row r="182" spans="1:15" s="439" customFormat="1" hidden="1" x14ac:dyDescent="0.2">
      <c r="A182" s="435" t="s">
        <v>705</v>
      </c>
      <c r="B182" s="1146"/>
      <c r="C182" s="446">
        <v>0</v>
      </c>
      <c r="D182" s="446">
        <v>0</v>
      </c>
      <c r="E182" s="446">
        <v>0</v>
      </c>
      <c r="F182" s="452">
        <v>0</v>
      </c>
      <c r="G182" s="1986"/>
      <c r="H182" s="1986"/>
      <c r="I182" s="1986"/>
      <c r="J182" s="1986"/>
      <c r="K182" s="1986"/>
    </row>
    <row r="183" spans="1:15" s="439" customFormat="1" hidden="1" x14ac:dyDescent="0.2">
      <c r="A183" s="1576" t="s">
        <v>1324</v>
      </c>
      <c r="B183" s="1156"/>
      <c r="C183" s="448">
        <v>0</v>
      </c>
      <c r="D183" s="448">
        <v>0</v>
      </c>
      <c r="E183" s="448">
        <v>0</v>
      </c>
      <c r="F183" s="481">
        <v>0</v>
      </c>
      <c r="G183" s="1986"/>
      <c r="H183" s="1986"/>
      <c r="I183" s="1986"/>
      <c r="J183" s="1986"/>
      <c r="K183" s="1986"/>
    </row>
    <row r="184" spans="1:15" s="439" customFormat="1" ht="15.75" customHeight="1" x14ac:dyDescent="0.2">
      <c r="A184" s="2683" t="s">
        <v>38</v>
      </c>
      <c r="B184" s="1146"/>
      <c r="C184" s="771"/>
      <c r="D184" s="771"/>
      <c r="E184" s="771"/>
      <c r="F184" s="2457"/>
      <c r="G184" s="1986"/>
      <c r="H184" s="1986"/>
      <c r="I184" s="1986"/>
      <c r="J184" s="1986"/>
      <c r="K184" s="1986"/>
      <c r="L184" s="1986"/>
      <c r="M184" s="1986"/>
    </row>
    <row r="185" spans="1:15" s="439" customFormat="1" ht="16.5" customHeight="1" x14ac:dyDescent="0.25">
      <c r="A185" s="2685"/>
      <c r="B185" s="1146">
        <v>50</v>
      </c>
      <c r="C185" s="1610">
        <f>C186+C187+C188</f>
        <v>0</v>
      </c>
      <c r="D185" s="1610">
        <f>D186+D187+D188</f>
        <v>369554</v>
      </c>
      <c r="E185" s="1610">
        <f>E186+E187+E188</f>
        <v>432031</v>
      </c>
      <c r="F185" s="442">
        <f>E185/D185*100</f>
        <v>116.90605432494303</v>
      </c>
      <c r="G185" s="2497">
        <f>SUM(G186:G188)</f>
        <v>0</v>
      </c>
      <c r="H185" s="2497">
        <f>SUM(H186:H188)</f>
        <v>369554226.84999996</v>
      </c>
      <c r="I185" s="2497">
        <f>SUM(I186:I188)</f>
        <v>432031424.75</v>
      </c>
      <c r="J185" s="1985"/>
    </row>
    <row r="186" spans="1:15" s="439" customFormat="1" x14ac:dyDescent="0.2">
      <c r="A186" s="435" t="s">
        <v>704</v>
      </c>
      <c r="B186" s="1146"/>
      <c r="C186" s="446">
        <f>'50 '!E140</f>
        <v>0</v>
      </c>
      <c r="D186" s="446">
        <f>'50 '!F140</f>
        <v>286</v>
      </c>
      <c r="E186" s="446">
        <f>'50 '!G140</f>
        <v>232</v>
      </c>
      <c r="F186" s="452">
        <f>E186/D186*100</f>
        <v>81.11888111888112</v>
      </c>
      <c r="G186" s="1986">
        <f>'50 '!K140</f>
        <v>0</v>
      </c>
      <c r="H186" s="1986">
        <f>'50 '!L140</f>
        <v>285933.40000000002</v>
      </c>
      <c r="I186" s="1986">
        <f>'50 '!M140</f>
        <v>231713.4</v>
      </c>
      <c r="J186" s="1986"/>
    </row>
    <row r="187" spans="1:15" s="439" customFormat="1" x14ac:dyDescent="0.2">
      <c r="A187" s="435" t="s">
        <v>705</v>
      </c>
      <c r="B187" s="1146"/>
      <c r="C187" s="446">
        <f>'50 '!E141</f>
        <v>0</v>
      </c>
      <c r="D187" s="446">
        <f>'50 '!F141</f>
        <v>369268</v>
      </c>
      <c r="E187" s="446">
        <f>'50 '!G141</f>
        <v>357669</v>
      </c>
      <c r="F187" s="452">
        <f>E187/D187*100</f>
        <v>96.858920892143374</v>
      </c>
      <c r="G187" s="1986">
        <f>'50 '!K141</f>
        <v>0</v>
      </c>
      <c r="H187" s="1986">
        <f>'50 '!L141</f>
        <v>369268293.44999999</v>
      </c>
      <c r="I187" s="1986">
        <f>'50 '!M141</f>
        <v>357669401.97000003</v>
      </c>
      <c r="J187" s="1986"/>
      <c r="K187" s="1986"/>
      <c r="L187" s="1986"/>
      <c r="M187" s="1986"/>
    </row>
    <row r="188" spans="1:15" s="439" customFormat="1" x14ac:dyDescent="0.2">
      <c r="A188" s="1576" t="s">
        <v>1324</v>
      </c>
      <c r="B188" s="1156"/>
      <c r="C188" s="448">
        <f>'50 '!E142</f>
        <v>0</v>
      </c>
      <c r="D188" s="448">
        <f>'50 '!F142</f>
        <v>0</v>
      </c>
      <c r="E188" s="448">
        <f>'50 '!G142</f>
        <v>74130</v>
      </c>
      <c r="F188" s="481">
        <v>0</v>
      </c>
      <c r="G188" s="1987">
        <f>'50 '!K142</f>
        <v>0</v>
      </c>
      <c r="H188" s="1988">
        <f>'50 '!L142</f>
        <v>0</v>
      </c>
      <c r="I188" s="1988">
        <f>'50 '!M142</f>
        <v>74130309.379999995</v>
      </c>
      <c r="J188" s="1986"/>
      <c r="K188" s="1986"/>
      <c r="L188" s="1986"/>
      <c r="M188" s="1986"/>
    </row>
    <row r="189" spans="1:15" s="439" customFormat="1" ht="16.5" customHeight="1" x14ac:dyDescent="0.2">
      <c r="A189" s="2694" t="s">
        <v>1031</v>
      </c>
      <c r="B189" s="1146"/>
      <c r="C189" s="446"/>
      <c r="D189" s="446"/>
      <c r="E189" s="446"/>
      <c r="F189" s="452"/>
      <c r="G189" s="1986"/>
      <c r="H189" s="1986"/>
      <c r="I189" s="1986"/>
      <c r="J189" s="1986"/>
      <c r="K189" s="2527"/>
    </row>
    <row r="190" spans="1:15" s="439" customFormat="1" ht="29.25" customHeight="1" x14ac:dyDescent="0.2">
      <c r="A190" s="2695"/>
      <c r="B190" s="1146">
        <v>52</v>
      </c>
      <c r="C190" s="393">
        <f>C191+C192+C193</f>
        <v>0</v>
      </c>
      <c r="D190" s="393">
        <f>D191+D192+D193</f>
        <v>530</v>
      </c>
      <c r="E190" s="393">
        <f>E191+E192+E193</f>
        <v>530</v>
      </c>
      <c r="F190" s="2459">
        <f>E190/D190*100</f>
        <v>100</v>
      </c>
      <c r="G190" s="2497">
        <f>SUM(G191:G193)</f>
        <v>0</v>
      </c>
      <c r="H190" s="2497">
        <f>SUM(H191:H193)</f>
        <v>530100</v>
      </c>
      <c r="I190" s="2497">
        <f>SUM(I191:I193)</f>
        <v>530100</v>
      </c>
      <c r="J190" s="1985"/>
      <c r="K190" s="1985"/>
    </row>
    <row r="191" spans="1:15" s="439" customFormat="1" x14ac:dyDescent="0.2">
      <c r="A191" s="435" t="s">
        <v>704</v>
      </c>
      <c r="B191" s="1146"/>
      <c r="C191" s="446">
        <f>' 52 '!E19</f>
        <v>0</v>
      </c>
      <c r="D191" s="446">
        <f>' 52 '!F19</f>
        <v>530</v>
      </c>
      <c r="E191" s="446">
        <f>' 52 '!G19</f>
        <v>530</v>
      </c>
      <c r="F191" s="452">
        <f>E191/D191*100</f>
        <v>100</v>
      </c>
      <c r="G191" s="1986">
        <f>' 52 '!J19</f>
        <v>0</v>
      </c>
      <c r="H191" s="1986">
        <f>' 52 '!K19</f>
        <v>530100</v>
      </c>
      <c r="I191" s="1986">
        <f>' 52 '!L19</f>
        <v>530100</v>
      </c>
      <c r="J191" s="1986"/>
      <c r="K191" s="1986"/>
    </row>
    <row r="192" spans="1:15" s="439" customFormat="1" x14ac:dyDescent="0.2">
      <c r="A192" s="435" t="s">
        <v>705</v>
      </c>
      <c r="B192" s="1146"/>
      <c r="C192" s="446">
        <f>' 52 '!E20</f>
        <v>0</v>
      </c>
      <c r="D192" s="446">
        <f>' 52 '!F20</f>
        <v>0</v>
      </c>
      <c r="E192" s="446">
        <f>' 52 '!G20</f>
        <v>0</v>
      </c>
      <c r="F192" s="452">
        <v>0</v>
      </c>
      <c r="G192" s="1986">
        <f>' 52 '!J20</f>
        <v>0</v>
      </c>
      <c r="H192" s="1986">
        <f>' 52 '!K20</f>
        <v>0</v>
      </c>
      <c r="I192" s="1986">
        <f>' 52 '!L20</f>
        <v>0</v>
      </c>
      <c r="J192" s="1986"/>
      <c r="K192" s="1986"/>
    </row>
    <row r="193" spans="1:14" s="439" customFormat="1" x14ac:dyDescent="0.2">
      <c r="A193" s="1576" t="s">
        <v>1324</v>
      </c>
      <c r="B193" s="1156"/>
      <c r="C193" s="448">
        <f>' 52 '!E21</f>
        <v>0</v>
      </c>
      <c r="D193" s="448">
        <f>' 52 '!F21</f>
        <v>0</v>
      </c>
      <c r="E193" s="448">
        <f>' 52 '!G21</f>
        <v>0</v>
      </c>
      <c r="F193" s="481">
        <v>0</v>
      </c>
      <c r="G193" s="1987">
        <f>' 52 '!J21</f>
        <v>0</v>
      </c>
      <c r="H193" s="1988">
        <f>' 52 '!K21</f>
        <v>0</v>
      </c>
      <c r="I193" s="1988">
        <f>' 52 '!L21</f>
        <v>0</v>
      </c>
      <c r="J193" s="1986"/>
      <c r="K193" s="1986"/>
    </row>
    <row r="194" spans="1:14" s="439" customFormat="1" ht="14.25" customHeight="1" x14ac:dyDescent="0.2">
      <c r="A194" s="2683" t="s">
        <v>824</v>
      </c>
      <c r="B194" s="1146"/>
      <c r="C194" s="446"/>
      <c r="D194" s="446"/>
      <c r="E194" s="446"/>
      <c r="F194" s="452"/>
      <c r="G194" s="1986"/>
      <c r="H194" s="1986"/>
      <c r="I194" s="1986"/>
      <c r="J194" s="1986"/>
      <c r="K194" s="1986"/>
    </row>
    <row r="195" spans="1:14" s="439" customFormat="1" ht="32.25" customHeight="1" x14ac:dyDescent="0.2">
      <c r="A195" s="2685"/>
      <c r="B195" s="1146">
        <v>53</v>
      </c>
      <c r="C195" s="2482">
        <f>C196+C197+C198</f>
        <v>0</v>
      </c>
      <c r="D195" s="2482">
        <f>D196+D197+D198</f>
        <v>2849</v>
      </c>
      <c r="E195" s="2482">
        <f>E196+E197+E198</f>
        <v>2849</v>
      </c>
      <c r="F195" s="2458">
        <f>E195/D195*100</f>
        <v>100</v>
      </c>
      <c r="G195" s="2497">
        <f>SUM(G196:G198)</f>
        <v>0</v>
      </c>
      <c r="H195" s="2497">
        <f>SUM(H196:H198)</f>
        <v>2849258.72</v>
      </c>
      <c r="I195" s="2497">
        <f>SUM(I196:I198)</f>
        <v>2849258.72</v>
      </c>
      <c r="J195" s="1985"/>
      <c r="K195" s="1986"/>
      <c r="L195" s="1986"/>
      <c r="M195" s="1986"/>
      <c r="N195" s="1986"/>
    </row>
    <row r="196" spans="1:14" s="439" customFormat="1" x14ac:dyDescent="0.2">
      <c r="A196" s="435" t="s">
        <v>704</v>
      </c>
      <c r="B196" s="1146"/>
      <c r="C196" s="446">
        <f>'53  '!E37</f>
        <v>0</v>
      </c>
      <c r="D196" s="446">
        <f>'53  '!F37</f>
        <v>2849</v>
      </c>
      <c r="E196" s="446">
        <f>'53  '!G37</f>
        <v>2849</v>
      </c>
      <c r="F196" s="452">
        <f>E196/D196*100</f>
        <v>100</v>
      </c>
      <c r="G196" s="1986">
        <f>'53  '!J37</f>
        <v>0</v>
      </c>
      <c r="H196" s="1986">
        <f>'53  '!K37</f>
        <v>2849258.72</v>
      </c>
      <c r="I196" s="1986">
        <f>'53  '!L37</f>
        <v>2849258.72</v>
      </c>
      <c r="J196" s="1986"/>
      <c r="K196" s="2505">
        <f>K149+G149++G154+G158+G185+G190+G195</f>
        <v>1150518000</v>
      </c>
      <c r="L196" s="2505">
        <f>L149+H149++H154+H158+H185+H190+H195</f>
        <v>1432767825.4599998</v>
      </c>
      <c r="M196" s="2505">
        <f>M149+I149++I154+I158+I185+I190+I195</f>
        <v>1437618816.3999999</v>
      </c>
      <c r="N196" s="2506"/>
    </row>
    <row r="197" spans="1:14" s="439" customFormat="1" x14ac:dyDescent="0.2">
      <c r="A197" s="435" t="s">
        <v>705</v>
      </c>
      <c r="B197" s="1146"/>
      <c r="C197" s="446">
        <f>'53  '!E38</f>
        <v>0</v>
      </c>
      <c r="D197" s="446">
        <f>'53  '!F38</f>
        <v>0</v>
      </c>
      <c r="E197" s="446">
        <f>'53  '!G38</f>
        <v>0</v>
      </c>
      <c r="F197" s="452">
        <v>0</v>
      </c>
      <c r="G197" s="1986">
        <f>'53  '!J38</f>
        <v>0</v>
      </c>
      <c r="H197" s="1986">
        <f>'53  '!K38</f>
        <v>0</v>
      </c>
      <c r="I197" s="1986">
        <f>'53  '!L38</f>
        <v>0</v>
      </c>
      <c r="J197" s="1986"/>
      <c r="K197" s="1986"/>
      <c r="L197" s="1986"/>
      <c r="M197" s="1986"/>
    </row>
    <row r="198" spans="1:14" s="439" customFormat="1" ht="15" thickBot="1" x14ac:dyDescent="0.25">
      <c r="A198" s="1552" t="s">
        <v>1324</v>
      </c>
      <c r="B198" s="1157"/>
      <c r="C198" s="482">
        <f>'53  '!E39</f>
        <v>0</v>
      </c>
      <c r="D198" s="482">
        <f>'53  '!F39</f>
        <v>0</v>
      </c>
      <c r="E198" s="482">
        <f>'53  '!G39</f>
        <v>0</v>
      </c>
      <c r="F198" s="483">
        <v>0</v>
      </c>
      <c r="G198" s="1986">
        <f>'53  '!J39</f>
        <v>0</v>
      </c>
      <c r="H198" s="1986">
        <f>'53  '!K39</f>
        <v>0</v>
      </c>
      <c r="I198" s="1986">
        <f>'53  '!L39</f>
        <v>0</v>
      </c>
      <c r="J198" s="1986"/>
      <c r="K198" s="1986"/>
      <c r="N198" s="1989"/>
    </row>
    <row r="199" spans="1:14" s="439" customFormat="1" ht="15" thickTop="1" x14ac:dyDescent="0.2">
      <c r="A199" s="2653"/>
      <c r="B199" s="2654"/>
      <c r="C199" s="2655">
        <f>C131+C142+C143+C144+C149+C154+C158+C185+C190+C195</f>
        <v>1150518</v>
      </c>
      <c r="D199" s="2655">
        <f>D131+D142+D143+D144+D149+D154+D158+D185+D190+D195</f>
        <v>1432766</v>
      </c>
      <c r="E199" s="2655">
        <f>E131+E142+E143+E144+E149+E154+E158+E185+E190+E195</f>
        <v>1437618</v>
      </c>
      <c r="F199" s="2656">
        <f>E199/D199*100</f>
        <v>100.3386456685879</v>
      </c>
      <c r="G199" s="1985">
        <f>G195+G190+G185+G158+G154+G149+G144+G143+G142+G131</f>
        <v>1150518000</v>
      </c>
      <c r="H199" s="1985">
        <f>H195+H190+H185+H158+H154+H149+H144+H143+H142+H131</f>
        <v>1432767825.46</v>
      </c>
      <c r="I199" s="1985">
        <f>I195+I190+I185+I158+I154+I149+I144+I143+I142+I131</f>
        <v>1437618816.4000001</v>
      </c>
      <c r="J199" s="1986"/>
    </row>
    <row r="200" spans="1:14" s="2524" customFormat="1" ht="15" x14ac:dyDescent="0.25">
      <c r="A200" s="2657" t="s">
        <v>1654</v>
      </c>
      <c r="B200" s="2654"/>
      <c r="C200" s="2649">
        <f>SUM(C198,C196,C193,C191,C188,C186,C163,C161,C157,C155,C153,C151,C147,C145,C143,C142,C140,C138,C135,C133)</f>
        <v>334365</v>
      </c>
      <c r="D200" s="2649">
        <f t="shared" ref="D200:E200" si="16">SUM(D198,D196,D193,D191,D188,D186,D163,D161,D157,D155,D153,D151,D147,D145,D143,D142,D140,D138,D135,D133)</f>
        <v>348315</v>
      </c>
      <c r="E200" s="2649">
        <f t="shared" si="16"/>
        <v>414411</v>
      </c>
      <c r="F200" s="2658">
        <f t="shared" ref="F200:F201" si="17">E200/D200*100</f>
        <v>118.97592696266311</v>
      </c>
      <c r="G200" s="2513">
        <f>SUM(G133,G135,G138,G140,G142,G143,G145,G147,G151,G153,G155,G157,G161,G163,G186,G188,G191,G193,G196,G198)</f>
        <v>334365000</v>
      </c>
      <c r="H200" s="2513">
        <f>SUM(H133,H135,H138,H140,H142,H143,H145,H147,H151,H153,H155,H157,H161,H163,H186,H188,H191,H193,H196,H198)</f>
        <v>348316688.12</v>
      </c>
      <c r="I200" s="2513">
        <f>SUM(I133,I135,I138,I140,I142,I143,I145,I147,I151,I153,I155,I157,I161,I163,I186,I188,I191,I193,I196,I198)</f>
        <v>414412034.56</v>
      </c>
      <c r="J200" s="2525"/>
      <c r="K200" s="2525" t="s">
        <v>1888</v>
      </c>
    </row>
    <row r="201" spans="1:14" s="2524" customFormat="1" ht="15" x14ac:dyDescent="0.25">
      <c r="A201" s="2657" t="s">
        <v>1655</v>
      </c>
      <c r="B201" s="2654"/>
      <c r="C201" s="2649">
        <f>C134+C139+C146+C136+C141+C148+C152+C156+C162+C187+C192+C197</f>
        <v>816153</v>
      </c>
      <c r="D201" s="2649">
        <f>D134+D139+D146+D136+D141+D148+D152+D156+D162+D187+D192+D197</f>
        <v>1084451</v>
      </c>
      <c r="E201" s="2649">
        <f>E134+E139+E146+E136+E141+E148+E152+E156+E162+E187+E192+E197</f>
        <v>1023207</v>
      </c>
      <c r="F201" s="2658">
        <f t="shared" si="17"/>
        <v>94.352534139394038</v>
      </c>
      <c r="G201" s="2517">
        <f>SUM(G134,G136,G139,G141,G146,G148,G152,G156,G162,G187,G192,G197)</f>
        <v>816153000</v>
      </c>
      <c r="H201" s="2517">
        <f>SUM(H134,H136,H139,H141,H146,H148,H152,H156,H162,H187,H192,H197)</f>
        <v>1084451137.3399999</v>
      </c>
      <c r="I201" s="2517">
        <f>SUM(I134,I136,I139,I141,I146,I148,I152,I156,I162,I187,I192,I197)</f>
        <v>1023206781.84</v>
      </c>
      <c r="J201" s="2525"/>
      <c r="K201" s="2525" t="s">
        <v>1889</v>
      </c>
    </row>
    <row r="202" spans="1:14" s="2524" customFormat="1" ht="15" x14ac:dyDescent="0.25">
      <c r="A202" s="2659"/>
      <c r="B202" s="2654"/>
      <c r="C202" s="2649">
        <f>SUM(C200:C201)</f>
        <v>1150518</v>
      </c>
      <c r="D202" s="2649">
        <f t="shared" ref="D202:I202" si="18">SUM(D200:D201)</f>
        <v>1432766</v>
      </c>
      <c r="E202" s="2649">
        <f t="shared" si="18"/>
        <v>1437618</v>
      </c>
      <c r="F202" s="2649">
        <f t="shared" si="18"/>
        <v>213.32846110205713</v>
      </c>
      <c r="G202" s="2513">
        <f>SUM(G200:G201)</f>
        <v>1150518000</v>
      </c>
      <c r="H202" s="2513">
        <f t="shared" si="18"/>
        <v>1432767825.46</v>
      </c>
      <c r="I202" s="2513">
        <f t="shared" si="18"/>
        <v>1437618816.4000001</v>
      </c>
      <c r="J202" s="2525"/>
      <c r="K202" s="2525"/>
    </row>
    <row r="203" spans="1:14" s="439" customFormat="1" x14ac:dyDescent="0.2">
      <c r="A203" s="1555"/>
      <c r="B203" s="1155"/>
      <c r="C203" s="485"/>
      <c r="D203" s="485"/>
      <c r="E203" s="485"/>
      <c r="F203" s="485"/>
      <c r="G203" s="1992"/>
      <c r="H203" s="1992"/>
      <c r="I203" s="1992"/>
      <c r="J203" s="1986"/>
      <c r="K203" s="1986"/>
    </row>
    <row r="204" spans="1:14" ht="15" thickBot="1" x14ac:dyDescent="0.25">
      <c r="F204" s="385" t="s">
        <v>179</v>
      </c>
      <c r="G204" s="1990"/>
      <c r="H204" s="1990"/>
      <c r="I204" s="1990"/>
      <c r="J204" s="1990"/>
      <c r="K204" s="1990"/>
    </row>
    <row r="205" spans="1:14" s="350" customFormat="1" ht="26.25" customHeight="1" thickTop="1" thickBot="1" x14ac:dyDescent="0.25">
      <c r="A205" s="1141" t="s">
        <v>699</v>
      </c>
      <c r="B205" s="1142" t="s">
        <v>702</v>
      </c>
      <c r="C205" s="529" t="s">
        <v>700</v>
      </c>
      <c r="D205" s="529" t="s">
        <v>701</v>
      </c>
      <c r="E205" s="529" t="s">
        <v>986</v>
      </c>
      <c r="F205" s="530" t="s">
        <v>987</v>
      </c>
      <c r="G205" s="1983"/>
      <c r="H205" s="1983"/>
      <c r="I205" s="1983"/>
      <c r="J205" s="1983"/>
      <c r="K205" s="1983"/>
    </row>
    <row r="206" spans="1:14" s="1542" customFormat="1" ht="12.75" thickTop="1" thickBot="1" x14ac:dyDescent="0.25">
      <c r="A206" s="592">
        <v>1</v>
      </c>
      <c r="B206" s="1544">
        <v>2</v>
      </c>
      <c r="C206" s="528">
        <v>3</v>
      </c>
      <c r="D206" s="528">
        <v>4</v>
      </c>
      <c r="E206" s="528">
        <v>5</v>
      </c>
      <c r="F206" s="553" t="s">
        <v>464</v>
      </c>
      <c r="G206" s="1984"/>
      <c r="H206" s="1984"/>
      <c r="I206" s="1984"/>
      <c r="J206" s="1984"/>
      <c r="K206" s="1984"/>
    </row>
    <row r="207" spans="1:14" s="439" customFormat="1" ht="15.75" customHeight="1" thickTop="1" x14ac:dyDescent="0.2">
      <c r="A207" s="2683" t="s">
        <v>1076</v>
      </c>
      <c r="B207" s="1146"/>
      <c r="C207" s="446"/>
      <c r="D207" s="446"/>
      <c r="E207" s="446"/>
      <c r="F207" s="452"/>
      <c r="G207" s="1986"/>
      <c r="H207" s="1986"/>
      <c r="I207" s="1986"/>
      <c r="J207" s="1986"/>
      <c r="K207" s="1986"/>
    </row>
    <row r="208" spans="1:14" s="439" customFormat="1" ht="17.25" customHeight="1" x14ac:dyDescent="0.25">
      <c r="A208" s="2685"/>
      <c r="B208" s="1146">
        <v>54</v>
      </c>
      <c r="C208" s="392">
        <f>C209+C210+C211</f>
        <v>0</v>
      </c>
      <c r="D208" s="392">
        <f>D209+D210+D211</f>
        <v>171</v>
      </c>
      <c r="E208" s="392">
        <f>E209+E210+E211</f>
        <v>171</v>
      </c>
      <c r="F208" s="442">
        <f>E208/D208*100</f>
        <v>100</v>
      </c>
      <c r="G208" s="2497">
        <f>SUM(G209:G211)</f>
        <v>0</v>
      </c>
      <c r="H208" s="2497">
        <f>SUM(H209:H211)</f>
        <v>171141.26</v>
      </c>
      <c r="I208" s="2497">
        <f>SUM(I209:I211)</f>
        <v>171141.26</v>
      </c>
      <c r="J208" s="1985"/>
      <c r="K208" s="1985"/>
    </row>
    <row r="209" spans="1:11" s="439" customFormat="1" x14ac:dyDescent="0.2">
      <c r="A209" s="435" t="s">
        <v>704</v>
      </c>
      <c r="B209" s="1146"/>
      <c r="C209" s="446">
        <f>'54 '!E24</f>
        <v>0</v>
      </c>
      <c r="D209" s="446">
        <f>'54 '!F24</f>
        <v>171</v>
      </c>
      <c r="E209" s="446">
        <f>'54 '!G24</f>
        <v>171</v>
      </c>
      <c r="F209" s="452">
        <f>E209/D209*100</f>
        <v>100</v>
      </c>
      <c r="G209" s="1986">
        <f>'54 '!J24</f>
        <v>0</v>
      </c>
      <c r="H209" s="1986">
        <f>'54 '!K24</f>
        <v>171141.26</v>
      </c>
      <c r="I209" s="1986">
        <f>'54 '!L24</f>
        <v>171141.26</v>
      </c>
      <c r="J209" s="1986"/>
      <c r="K209" s="1986"/>
    </row>
    <row r="210" spans="1:11" s="439" customFormat="1" x14ac:dyDescent="0.2">
      <c r="A210" s="435" t="s">
        <v>705</v>
      </c>
      <c r="B210" s="1146"/>
      <c r="C210" s="446">
        <f>'54 '!E25</f>
        <v>0</v>
      </c>
      <c r="D210" s="446">
        <f>'54 '!F25</f>
        <v>0</v>
      </c>
      <c r="E210" s="446">
        <f>'54 '!G25</f>
        <v>0</v>
      </c>
      <c r="F210" s="452">
        <v>0</v>
      </c>
      <c r="G210" s="1986">
        <f>'54 '!J25</f>
        <v>0</v>
      </c>
      <c r="H210" s="1986">
        <f>'54 '!K25</f>
        <v>0</v>
      </c>
      <c r="I210" s="1986">
        <f>'54 '!L25</f>
        <v>0</v>
      </c>
      <c r="J210" s="1986"/>
      <c r="K210" s="1986"/>
    </row>
    <row r="211" spans="1:11" s="439" customFormat="1" x14ac:dyDescent="0.2">
      <c r="A211" s="1576" t="s">
        <v>1324</v>
      </c>
      <c r="B211" s="1156"/>
      <c r="C211" s="448">
        <f>'54 '!E26</f>
        <v>0</v>
      </c>
      <c r="D211" s="448">
        <f>'54 '!F26</f>
        <v>0</v>
      </c>
      <c r="E211" s="448">
        <f>'54 '!G26</f>
        <v>0</v>
      </c>
      <c r="F211" s="481">
        <v>0</v>
      </c>
      <c r="G211" s="1987">
        <f>'54 '!J26</f>
        <v>0</v>
      </c>
      <c r="H211" s="1988">
        <f>'54 '!K26</f>
        <v>0</v>
      </c>
      <c r="I211" s="1988">
        <f>'54 '!L26</f>
        <v>0</v>
      </c>
      <c r="J211" s="1986"/>
      <c r="K211" s="1986"/>
    </row>
    <row r="212" spans="1:11" s="439" customFormat="1" ht="17.25" customHeight="1" x14ac:dyDescent="0.2">
      <c r="A212" s="2683" t="s">
        <v>908</v>
      </c>
      <c r="B212" s="1146"/>
      <c r="C212" s="446"/>
      <c r="D212" s="446"/>
      <c r="E212" s="446"/>
      <c r="F212" s="452"/>
      <c r="G212" s="1986"/>
      <c r="H212" s="1986"/>
      <c r="I212" s="1986"/>
      <c r="J212" s="1986"/>
      <c r="K212" s="1986"/>
    </row>
    <row r="213" spans="1:11" s="439" customFormat="1" ht="16.5" customHeight="1" x14ac:dyDescent="0.25">
      <c r="A213" s="2685"/>
      <c r="B213" s="1146">
        <v>55</v>
      </c>
      <c r="C213" s="392">
        <f>C214+C215+C216</f>
        <v>0</v>
      </c>
      <c r="D213" s="392">
        <f>D214+D215+D216</f>
        <v>86</v>
      </c>
      <c r="E213" s="392">
        <f>E214+E215+E216</f>
        <v>86</v>
      </c>
      <c r="F213" s="442">
        <f>E213/D213*100</f>
        <v>100</v>
      </c>
      <c r="G213" s="2497">
        <f>SUM(G214:G216)</f>
        <v>0</v>
      </c>
      <c r="H213" s="2497">
        <f>SUM(H214:H216)</f>
        <v>85448.15</v>
      </c>
      <c r="I213" s="2497">
        <f>SUM(I214:I216)</f>
        <v>85448.15</v>
      </c>
      <c r="J213" s="1985"/>
      <c r="K213" s="1985"/>
    </row>
    <row r="214" spans="1:11" s="439" customFormat="1" x14ac:dyDescent="0.2">
      <c r="A214" s="435" t="s">
        <v>704</v>
      </c>
      <c r="B214" s="1146"/>
      <c r="C214" s="446">
        <f>'55  '!E26</f>
        <v>0</v>
      </c>
      <c r="D214" s="446">
        <f>'55  '!F26</f>
        <v>86</v>
      </c>
      <c r="E214" s="446">
        <f>'55  '!G26</f>
        <v>86</v>
      </c>
      <c r="F214" s="452">
        <f>E214/D214*100</f>
        <v>100</v>
      </c>
      <c r="G214" s="1986">
        <f>'55  '!J26</f>
        <v>0</v>
      </c>
      <c r="H214" s="1986">
        <f>'55  '!K26</f>
        <v>85448.15</v>
      </c>
      <c r="I214" s="1986">
        <f>'55  '!L26</f>
        <v>85448.15</v>
      </c>
      <c r="J214" s="1986"/>
      <c r="K214" s="1986"/>
    </row>
    <row r="215" spans="1:11" s="439" customFormat="1" x14ac:dyDescent="0.2">
      <c r="A215" s="435" t="s">
        <v>705</v>
      </c>
      <c r="B215" s="1146"/>
      <c r="C215" s="446">
        <f>'55  '!E27</f>
        <v>0</v>
      </c>
      <c r="D215" s="446">
        <f>'55  '!F27</f>
        <v>0</v>
      </c>
      <c r="E215" s="446">
        <f>'55  '!G27</f>
        <v>0</v>
      </c>
      <c r="F215" s="452">
        <v>0</v>
      </c>
      <c r="G215" s="1986">
        <f>'55  '!J27</f>
        <v>0</v>
      </c>
      <c r="H215" s="1986">
        <f>'55  '!K27</f>
        <v>0</v>
      </c>
      <c r="I215" s="1986">
        <f>'55  '!L27</f>
        <v>0</v>
      </c>
      <c r="J215" s="1986"/>
      <c r="K215" s="1986"/>
    </row>
    <row r="216" spans="1:11" s="439" customFormat="1" x14ac:dyDescent="0.2">
      <c r="A216" s="1576" t="s">
        <v>1324</v>
      </c>
      <c r="B216" s="1156"/>
      <c r="C216" s="448">
        <f>'55  '!E28</f>
        <v>0</v>
      </c>
      <c r="D216" s="448">
        <f>'55  '!F28</f>
        <v>0</v>
      </c>
      <c r="E216" s="448">
        <f>'55  '!G28</f>
        <v>0</v>
      </c>
      <c r="F216" s="481">
        <v>0</v>
      </c>
      <c r="G216" s="1987">
        <f>'55  '!J28</f>
        <v>0</v>
      </c>
      <c r="H216" s="1988">
        <f>'55  '!K28</f>
        <v>0</v>
      </c>
      <c r="I216" s="1988">
        <f>'55  '!L28</f>
        <v>0</v>
      </c>
      <c r="J216" s="1986"/>
      <c r="K216" s="1986"/>
    </row>
    <row r="217" spans="1:11" s="439" customFormat="1" ht="14.25" customHeight="1" x14ac:dyDescent="0.2">
      <c r="A217" s="2683" t="s">
        <v>1055</v>
      </c>
      <c r="B217" s="1146"/>
      <c r="C217" s="446"/>
      <c r="D217" s="446"/>
      <c r="E217" s="446"/>
      <c r="F217" s="452"/>
      <c r="G217" s="1986"/>
      <c r="H217" s="1986"/>
      <c r="I217" s="1986"/>
      <c r="J217" s="1986"/>
      <c r="K217" s="1986"/>
    </row>
    <row r="218" spans="1:11" s="439" customFormat="1" ht="15" x14ac:dyDescent="0.25">
      <c r="A218" s="2685"/>
      <c r="B218" s="1146">
        <v>56</v>
      </c>
      <c r="C218" s="392">
        <f>C219+C220+C221</f>
        <v>0</v>
      </c>
      <c r="D218" s="392">
        <f>D219+D220+D221</f>
        <v>47450</v>
      </c>
      <c r="E218" s="392">
        <f>E219+E220+E221</f>
        <v>31206</v>
      </c>
      <c r="F218" s="442">
        <f>E218/D218*100</f>
        <v>65.766069546891472</v>
      </c>
      <c r="G218" s="2497">
        <f>SUM(G219:G221)</f>
        <v>0</v>
      </c>
      <c r="H218" s="2497">
        <f>SUM(H219:H221)</f>
        <v>47450238.219999999</v>
      </c>
      <c r="I218" s="2497">
        <f>SUM(I219:I221)</f>
        <v>31205838.199999999</v>
      </c>
      <c r="J218" s="1985"/>
      <c r="K218" s="1985"/>
    </row>
    <row r="219" spans="1:11" s="439" customFormat="1" x14ac:dyDescent="0.2">
      <c r="A219" s="435" t="s">
        <v>704</v>
      </c>
      <c r="B219" s="1146"/>
      <c r="C219" s="446">
        <f>'56 '!E411</f>
        <v>0</v>
      </c>
      <c r="D219" s="446">
        <f>'56 '!F411</f>
        <v>42189</v>
      </c>
      <c r="E219" s="446">
        <f>'56 '!G411</f>
        <v>30953</v>
      </c>
      <c r="F219" s="452">
        <f>E219/D219*100</f>
        <v>73.367465453080186</v>
      </c>
      <c r="G219" s="1986">
        <f>'56 '!J411</f>
        <v>0</v>
      </c>
      <c r="H219" s="1986">
        <f>'56 '!K411</f>
        <v>42188929.920000002</v>
      </c>
      <c r="I219" s="1986">
        <f>'56 '!L411</f>
        <v>30952762.199999999</v>
      </c>
      <c r="J219" s="1986"/>
      <c r="K219" s="1986"/>
    </row>
    <row r="220" spans="1:11" s="439" customFormat="1" x14ac:dyDescent="0.2">
      <c r="A220" s="435" t="s">
        <v>705</v>
      </c>
      <c r="B220" s="1146"/>
      <c r="C220" s="446">
        <f>'56 '!E412</f>
        <v>0</v>
      </c>
      <c r="D220" s="446">
        <f>'56 '!F412</f>
        <v>5261</v>
      </c>
      <c r="E220" s="446">
        <f>'56 '!G412</f>
        <v>253</v>
      </c>
      <c r="F220" s="452">
        <f>E220/D220*100</f>
        <v>4.8089716783881391</v>
      </c>
      <c r="G220" s="1986">
        <f>'56 '!J412</f>
        <v>0</v>
      </c>
      <c r="H220" s="2483">
        <f>'56 '!K412</f>
        <v>5261308.3</v>
      </c>
      <c r="I220" s="2483">
        <f>'56 '!L412</f>
        <v>253076</v>
      </c>
      <c r="J220" s="1986"/>
      <c r="K220" s="1986"/>
    </row>
    <row r="221" spans="1:11" s="439" customFormat="1" x14ac:dyDescent="0.2">
      <c r="A221" s="1576" t="s">
        <v>1324</v>
      </c>
      <c r="B221" s="1156"/>
      <c r="C221" s="448">
        <f>'56 '!E413</f>
        <v>0</v>
      </c>
      <c r="D221" s="448">
        <f>'56 '!F413</f>
        <v>0</v>
      </c>
      <c r="E221" s="448">
        <f>'56 '!G413</f>
        <v>0</v>
      </c>
      <c r="F221" s="481">
        <v>0</v>
      </c>
      <c r="G221" s="1987">
        <f>'56 '!J413</f>
        <v>0</v>
      </c>
      <c r="H221" s="1988">
        <f>'56 '!K413</f>
        <v>0</v>
      </c>
      <c r="I221" s="1988">
        <f>'56 '!L413</f>
        <v>0</v>
      </c>
      <c r="J221" s="1986"/>
      <c r="K221" s="1986"/>
    </row>
    <row r="222" spans="1:11" s="439" customFormat="1" ht="14.25" customHeight="1" x14ac:dyDescent="0.2">
      <c r="A222" s="2683" t="s">
        <v>844</v>
      </c>
      <c r="B222" s="1146"/>
      <c r="C222" s="446"/>
      <c r="D222" s="446"/>
      <c r="E222" s="446"/>
      <c r="F222" s="452"/>
      <c r="G222" s="1986"/>
      <c r="H222" s="1986"/>
      <c r="I222" s="1986"/>
      <c r="J222" s="1986"/>
      <c r="K222" s="1986"/>
    </row>
    <row r="223" spans="1:11" s="439" customFormat="1" ht="15" x14ac:dyDescent="0.25">
      <c r="A223" s="2685"/>
      <c r="B223" s="1146"/>
      <c r="C223" s="392"/>
      <c r="D223" s="392"/>
      <c r="E223" s="392"/>
      <c r="F223" s="442"/>
      <c r="G223" s="1985"/>
      <c r="H223" s="1985"/>
      <c r="I223" s="1985"/>
      <c r="J223" s="1985"/>
      <c r="K223" s="1985"/>
    </row>
    <row r="224" spans="1:11" s="439" customFormat="1" ht="30.75" customHeight="1" x14ac:dyDescent="0.25">
      <c r="A224" s="2685"/>
      <c r="B224" s="1146">
        <v>57</v>
      </c>
      <c r="C224" s="392">
        <f>C225+C226+C227</f>
        <v>0</v>
      </c>
      <c r="D224" s="392">
        <f>D225+D226+D227</f>
        <v>24859</v>
      </c>
      <c r="E224" s="392">
        <f>E225+E226+E227</f>
        <v>14449</v>
      </c>
      <c r="F224" s="442">
        <f>E224/D224*100</f>
        <v>58.123818335411727</v>
      </c>
      <c r="G224" s="2497">
        <f>SUM(G225:G227)</f>
        <v>0</v>
      </c>
      <c r="H224" s="2497">
        <f>SUM(H225:H227)</f>
        <v>24859118.389999997</v>
      </c>
      <c r="I224" s="2497">
        <f>SUM(I225:I227)</f>
        <v>14448529.880000001</v>
      </c>
      <c r="J224" s="1985"/>
      <c r="K224" s="1985"/>
    </row>
    <row r="225" spans="1:13" s="439" customFormat="1" x14ac:dyDescent="0.2">
      <c r="A225" s="435" t="s">
        <v>704</v>
      </c>
      <c r="B225" s="1146"/>
      <c r="C225" s="446">
        <f>'57 '!E230</f>
        <v>0</v>
      </c>
      <c r="D225" s="446">
        <f>'57 '!F230</f>
        <v>23032</v>
      </c>
      <c r="E225" s="446">
        <f>'57 '!G230</f>
        <v>14380</v>
      </c>
      <c r="F225" s="452">
        <f>E225/D225*100</f>
        <v>62.434873219868017</v>
      </c>
      <c r="G225" s="1986">
        <f>'57 '!J230</f>
        <v>0</v>
      </c>
      <c r="H225" s="1986">
        <f>'57 '!K230</f>
        <v>23031685.489999998</v>
      </c>
      <c r="I225" s="1986">
        <f>'57 '!L230</f>
        <v>14379617.75</v>
      </c>
      <c r="J225" s="1986"/>
      <c r="K225" s="1986"/>
    </row>
    <row r="226" spans="1:13" s="439" customFormat="1" x14ac:dyDescent="0.2">
      <c r="A226" s="435" t="s">
        <v>705</v>
      </c>
      <c r="B226" s="1146"/>
      <c r="C226" s="446">
        <f>'57 '!E231</f>
        <v>0</v>
      </c>
      <c r="D226" s="446">
        <f>'57 '!F231</f>
        <v>1827</v>
      </c>
      <c r="E226" s="446">
        <f>'57 '!G231</f>
        <v>69</v>
      </c>
      <c r="F226" s="452">
        <f>E226/D226*100</f>
        <v>3.7766830870279149</v>
      </c>
      <c r="G226" s="1986">
        <f>'57 '!J231</f>
        <v>0</v>
      </c>
      <c r="H226" s="2483">
        <f>'57 '!K231</f>
        <v>1827432.9</v>
      </c>
      <c r="I226" s="2483">
        <f>'57 '!L231</f>
        <v>68912.13</v>
      </c>
      <c r="J226" s="1986"/>
      <c r="K226" s="1986"/>
    </row>
    <row r="227" spans="1:13" s="439" customFormat="1" x14ac:dyDescent="0.2">
      <c r="A227" s="1576" t="s">
        <v>1324</v>
      </c>
      <c r="B227" s="1156"/>
      <c r="C227" s="448">
        <f>'57 '!E232</f>
        <v>0</v>
      </c>
      <c r="D227" s="448">
        <f>'57 '!F232</f>
        <v>0</v>
      </c>
      <c r="E227" s="448">
        <f>'57 '!G232</f>
        <v>0</v>
      </c>
      <c r="F227" s="481">
        <v>0</v>
      </c>
      <c r="G227" s="1987">
        <f>'57 '!J232</f>
        <v>0</v>
      </c>
      <c r="H227" s="1988">
        <f>'57 '!K232</f>
        <v>0</v>
      </c>
      <c r="I227" s="1988">
        <f>'57 '!L232</f>
        <v>0</v>
      </c>
      <c r="J227" s="1986"/>
      <c r="K227" s="1986"/>
    </row>
    <row r="228" spans="1:13" s="439" customFormat="1" ht="15" customHeight="1" x14ac:dyDescent="0.2">
      <c r="A228" s="2685" t="s">
        <v>333</v>
      </c>
      <c r="B228" s="1146"/>
      <c r="C228" s="446"/>
      <c r="D228" s="446"/>
      <c r="E228" s="446"/>
      <c r="F228" s="452"/>
      <c r="G228" s="1986"/>
      <c r="H228" s="1986"/>
      <c r="I228" s="1986"/>
      <c r="J228" s="1986"/>
      <c r="K228" s="1986"/>
    </row>
    <row r="229" spans="1:13" s="439" customFormat="1" ht="29.25" customHeight="1" x14ac:dyDescent="0.25">
      <c r="A229" s="2685"/>
      <c r="B229" s="1146">
        <v>58</v>
      </c>
      <c r="C229" s="392">
        <f>C230+C231+C232</f>
        <v>0</v>
      </c>
      <c r="D229" s="392">
        <f>D230+D231+D232</f>
        <v>31895</v>
      </c>
      <c r="E229" s="392">
        <f>E230+E231+E232</f>
        <v>15899</v>
      </c>
      <c r="F229" s="442">
        <f>E229/D229*100</f>
        <v>49.847938548361817</v>
      </c>
      <c r="G229" s="2528">
        <f>SUM(G230:G232)</f>
        <v>0</v>
      </c>
      <c r="H229" s="2497">
        <f>SUM(H230:H232)</f>
        <v>31894969.629999999</v>
      </c>
      <c r="I229" s="2497">
        <f>SUM(I230:I232)</f>
        <v>15898576.84</v>
      </c>
      <c r="J229" s="1985"/>
      <c r="K229" s="1985"/>
    </row>
    <row r="230" spans="1:13" s="439" customFormat="1" x14ac:dyDescent="0.2">
      <c r="A230" s="435" t="s">
        <v>704</v>
      </c>
      <c r="B230" s="1146"/>
      <c r="C230" s="446">
        <f>'58 '!E222</f>
        <v>0</v>
      </c>
      <c r="D230" s="446">
        <f>'58 '!F222</f>
        <v>29204</v>
      </c>
      <c r="E230" s="446">
        <f>'58 '!G222</f>
        <v>15843</v>
      </c>
      <c r="F230" s="452">
        <f>E230/D230*100</f>
        <v>54.249417887960547</v>
      </c>
      <c r="G230" s="2473">
        <f>'58 '!J222</f>
        <v>0</v>
      </c>
      <c r="H230" s="1986">
        <f>'58 '!K222</f>
        <v>29204593.43</v>
      </c>
      <c r="I230" s="1986">
        <f>'58 '!L222</f>
        <v>15841696.84</v>
      </c>
      <c r="J230" s="1986"/>
      <c r="K230" s="1986"/>
    </row>
    <row r="231" spans="1:13" s="439" customFormat="1" x14ac:dyDescent="0.2">
      <c r="A231" s="435" t="s">
        <v>705</v>
      </c>
      <c r="B231" s="1146"/>
      <c r="C231" s="446">
        <f>'58 '!E223</f>
        <v>0</v>
      </c>
      <c r="D231" s="446">
        <f>'58 '!F223</f>
        <v>2691</v>
      </c>
      <c r="E231" s="446">
        <f>'58 '!G223</f>
        <v>56</v>
      </c>
      <c r="F231" s="452">
        <f>E231/D231*100</f>
        <v>2.0810107766629504</v>
      </c>
      <c r="G231" s="2473">
        <f>'58 '!J223</f>
        <v>0</v>
      </c>
      <c r="H231" s="2483">
        <f>'58 '!K223</f>
        <v>2690376.2</v>
      </c>
      <c r="I231" s="2483">
        <f>'58 '!L223</f>
        <v>56880</v>
      </c>
      <c r="J231" s="1986"/>
      <c r="K231" s="1986"/>
    </row>
    <row r="232" spans="1:13" s="439" customFormat="1" x14ac:dyDescent="0.2">
      <c r="A232" s="1576" t="s">
        <v>1324</v>
      </c>
      <c r="B232" s="1156"/>
      <c r="C232" s="448">
        <f>'58 '!E224</f>
        <v>0</v>
      </c>
      <c r="D232" s="448">
        <f>'58 '!F224</f>
        <v>0</v>
      </c>
      <c r="E232" s="448">
        <f>'58 '!G224</f>
        <v>0</v>
      </c>
      <c r="F232" s="481">
        <v>0</v>
      </c>
      <c r="G232" s="1987">
        <f>'58 '!J224</f>
        <v>0</v>
      </c>
      <c r="H232" s="1988">
        <f>'58 '!K224</f>
        <v>0</v>
      </c>
      <c r="I232" s="1988">
        <f>'58 '!L224</f>
        <v>0</v>
      </c>
      <c r="J232" s="1986"/>
      <c r="K232" s="1986"/>
    </row>
    <row r="233" spans="1:13" s="439" customFormat="1" ht="15" x14ac:dyDescent="0.25">
      <c r="A233" s="1158" t="s">
        <v>336</v>
      </c>
      <c r="B233" s="1146">
        <v>59</v>
      </c>
      <c r="C233" s="392">
        <f>C234+C235+C236</f>
        <v>26364</v>
      </c>
      <c r="D233" s="392">
        <f>D234+D235+D236</f>
        <v>126364</v>
      </c>
      <c r="E233" s="392">
        <f>E234+E235+E236</f>
        <v>227551</v>
      </c>
      <c r="F233" s="442">
        <f>E233/D233*100</f>
        <v>180.07581273147414</v>
      </c>
      <c r="G233" s="2497">
        <f>SUM(G234:G236)</f>
        <v>26364000</v>
      </c>
      <c r="H233" s="2497">
        <f>SUM(H234:H236)</f>
        <v>126364252.36</v>
      </c>
      <c r="I233" s="2497">
        <f>SUM(I234:I236)</f>
        <v>227551204.94</v>
      </c>
      <c r="J233" s="1985"/>
      <c r="K233" s="1985"/>
    </row>
    <row r="234" spans="1:13" s="439" customFormat="1" x14ac:dyDescent="0.2">
      <c r="A234" s="435" t="s">
        <v>704</v>
      </c>
      <c r="B234" s="1146"/>
      <c r="C234" s="446">
        <f>'59 '!E340</f>
        <v>24977</v>
      </c>
      <c r="D234" s="446">
        <f>'59 '!F340</f>
        <v>16345</v>
      </c>
      <c r="E234" s="446">
        <f>'59 '!G340</f>
        <v>13744</v>
      </c>
      <c r="F234" s="452">
        <f>E234/D234*100</f>
        <v>84.086876720709697</v>
      </c>
      <c r="G234" s="1986">
        <f>'59 '!J340</f>
        <v>24977000</v>
      </c>
      <c r="H234" s="1986">
        <f>'59 '!K340</f>
        <v>16346186.5</v>
      </c>
      <c r="I234" s="1986">
        <f>'59 '!L340</f>
        <v>13744453.560000001</v>
      </c>
      <c r="J234" s="1986"/>
      <c r="K234" s="1986"/>
    </row>
    <row r="235" spans="1:13" s="439" customFormat="1" x14ac:dyDescent="0.2">
      <c r="A235" s="435" t="s">
        <v>705</v>
      </c>
      <c r="B235" s="1146"/>
      <c r="C235" s="446">
        <f>'59 '!E341</f>
        <v>1387</v>
      </c>
      <c r="D235" s="446">
        <f>'59 '!F341</f>
        <v>110019</v>
      </c>
      <c r="E235" s="446">
        <f>'59 '!G341</f>
        <v>85523</v>
      </c>
      <c r="F235" s="452">
        <f>E235/D235*100</f>
        <v>77.734754905970789</v>
      </c>
      <c r="G235" s="1986">
        <f>'59 '!J341</f>
        <v>1387000</v>
      </c>
      <c r="H235" s="1986">
        <f>'59 '!K341</f>
        <v>110018065.86</v>
      </c>
      <c r="I235" s="1986">
        <f>'59 '!L341</f>
        <v>85522789.329999998</v>
      </c>
      <c r="J235" s="1986"/>
      <c r="K235" s="1986"/>
    </row>
    <row r="236" spans="1:13" s="439" customFormat="1" x14ac:dyDescent="0.2">
      <c r="A236" s="1576" t="s">
        <v>1324</v>
      </c>
      <c r="B236" s="1156"/>
      <c r="C236" s="448">
        <f>'59 '!E342</f>
        <v>0</v>
      </c>
      <c r="D236" s="448">
        <f>'59 '!F342</f>
        <v>0</v>
      </c>
      <c r="E236" s="448">
        <f>'59 '!G342</f>
        <v>128284</v>
      </c>
      <c r="F236" s="481">
        <v>0</v>
      </c>
      <c r="G236" s="1987">
        <f>'59 '!J342</f>
        <v>0</v>
      </c>
      <c r="H236" s="1988">
        <f>'59 '!K342</f>
        <v>0</v>
      </c>
      <c r="I236" s="1988">
        <f>'59 '!L342</f>
        <v>128283962.05</v>
      </c>
      <c r="J236" s="1986"/>
      <c r="K236" s="1986"/>
    </row>
    <row r="237" spans="1:13" s="439" customFormat="1" ht="14.25" customHeight="1" x14ac:dyDescent="0.2">
      <c r="A237" s="2683" t="s">
        <v>910</v>
      </c>
      <c r="B237" s="1146"/>
      <c r="C237" s="446"/>
      <c r="D237" s="446"/>
      <c r="E237" s="446"/>
      <c r="F237" s="452"/>
      <c r="G237" s="1986"/>
      <c r="H237" s="1986"/>
      <c r="I237" s="1986"/>
      <c r="J237" s="1986"/>
      <c r="K237" s="1986"/>
    </row>
    <row r="238" spans="1:13" s="439" customFormat="1" ht="15" x14ac:dyDescent="0.25">
      <c r="A238" s="2685"/>
      <c r="B238" s="1146">
        <v>60</v>
      </c>
      <c r="C238" s="392">
        <f>C239+C240+C241</f>
        <v>0</v>
      </c>
      <c r="D238" s="392">
        <f>D239+D240+D241</f>
        <v>98048</v>
      </c>
      <c r="E238" s="392">
        <f>E239+E240+E241</f>
        <v>80885</v>
      </c>
      <c r="F238" s="442">
        <f>E238/D238*100</f>
        <v>82.495308420365532</v>
      </c>
      <c r="G238" s="2528">
        <f>SUM(G239:G241)</f>
        <v>0</v>
      </c>
      <c r="H238" s="2497">
        <f>SUM(H239:H241)</f>
        <v>98047943.290000007</v>
      </c>
      <c r="I238" s="2497">
        <f>SUM(I239:I241)</f>
        <v>80884688.099999994</v>
      </c>
      <c r="J238" s="1985"/>
      <c r="K238" s="1985"/>
    </row>
    <row r="239" spans="1:13" s="439" customFormat="1" x14ac:dyDescent="0.2">
      <c r="A239" s="435" t="s">
        <v>704</v>
      </c>
      <c r="B239" s="1146"/>
      <c r="C239" s="446">
        <f>'60 '!E107</f>
        <v>0</v>
      </c>
      <c r="D239" s="446">
        <f>'60 '!F107</f>
        <v>98048</v>
      </c>
      <c r="E239" s="446">
        <f>'60 '!G107</f>
        <v>80885</v>
      </c>
      <c r="F239" s="452">
        <f>E239/D239*100</f>
        <v>82.495308420365532</v>
      </c>
      <c r="G239" s="2473">
        <f>'60 '!J107</f>
        <v>0</v>
      </c>
      <c r="H239" s="1986">
        <f>'60 '!K107</f>
        <v>98047943.290000007</v>
      </c>
      <c r="I239" s="1986">
        <f>'60 '!L107</f>
        <v>80884688.099999994</v>
      </c>
      <c r="J239" s="1986"/>
      <c r="K239" s="1986"/>
      <c r="L239" s="1986"/>
      <c r="M239" s="1986"/>
    </row>
    <row r="240" spans="1:13" s="439" customFormat="1" x14ac:dyDescent="0.2">
      <c r="A240" s="435" t="s">
        <v>705</v>
      </c>
      <c r="B240" s="1146"/>
      <c r="C240" s="446">
        <f>'60 '!E108</f>
        <v>0</v>
      </c>
      <c r="D240" s="446">
        <f>'60 '!F108</f>
        <v>0</v>
      </c>
      <c r="E240" s="446">
        <f>'60 '!G108</f>
        <v>0</v>
      </c>
      <c r="F240" s="452">
        <v>0</v>
      </c>
      <c r="G240" s="2473">
        <f>'60 '!J108</f>
        <v>0</v>
      </c>
      <c r="H240" s="1986">
        <f>'60 '!K108</f>
        <v>0</v>
      </c>
      <c r="I240" s="1986">
        <f>'60 '!L108</f>
        <v>0</v>
      </c>
      <c r="J240" s="1986"/>
      <c r="K240" s="1986"/>
      <c r="L240" s="1986"/>
      <c r="M240" s="1986"/>
    </row>
    <row r="241" spans="1:13" s="439" customFormat="1" x14ac:dyDescent="0.2">
      <c r="A241" s="1576" t="s">
        <v>1324</v>
      </c>
      <c r="B241" s="1156"/>
      <c r="C241" s="448">
        <f>'60 '!E109</f>
        <v>0</v>
      </c>
      <c r="D241" s="448">
        <f>'60 '!F109</f>
        <v>0</v>
      </c>
      <c r="E241" s="448">
        <f>'60 '!G109</f>
        <v>0</v>
      </c>
      <c r="F241" s="481">
        <v>0</v>
      </c>
      <c r="G241" s="1987">
        <f>'60 '!J109</f>
        <v>0</v>
      </c>
      <c r="H241" s="1988">
        <f>'60 '!K109</f>
        <v>0</v>
      </c>
      <c r="I241" s="1988">
        <f>'60 '!L109</f>
        <v>0</v>
      </c>
      <c r="J241" s="1994"/>
      <c r="K241" s="1986"/>
      <c r="L241" s="1986"/>
      <c r="M241" s="1986"/>
    </row>
    <row r="242" spans="1:13" s="439" customFormat="1" ht="14.25" customHeight="1" x14ac:dyDescent="0.2">
      <c r="A242" s="2685" t="s">
        <v>1080</v>
      </c>
      <c r="B242" s="1146"/>
      <c r="C242" s="446"/>
      <c r="D242" s="446"/>
      <c r="E242" s="446"/>
      <c r="F242" s="452"/>
      <c r="G242" s="1986"/>
      <c r="H242" s="1986"/>
      <c r="I242" s="1986"/>
      <c r="J242" s="1986"/>
      <c r="K242" s="1986"/>
    </row>
    <row r="243" spans="1:13" s="439" customFormat="1" ht="15" x14ac:dyDescent="0.25">
      <c r="A243" s="2685"/>
      <c r="B243" s="1146">
        <v>61</v>
      </c>
      <c r="C243" s="392">
        <f>C244+C245+C246</f>
        <v>14</v>
      </c>
      <c r="D243" s="392">
        <f>D244+D245+D246</f>
        <v>3387</v>
      </c>
      <c r="E243" s="392">
        <f>E244+E245+E246</f>
        <v>6087</v>
      </c>
      <c r="F243" s="442">
        <f>E243/D243*100</f>
        <v>179.71656333038086</v>
      </c>
      <c r="G243" s="2497">
        <f>SUM(G244:G246)</f>
        <v>14000</v>
      </c>
      <c r="H243" s="2497">
        <f>SUM(H244:H246)</f>
        <v>3387116.39</v>
      </c>
      <c r="I243" s="2497">
        <f>SUM(I244:I246)</f>
        <v>6087178.8599999994</v>
      </c>
      <c r="J243" s="2497"/>
      <c r="K243" s="1985"/>
    </row>
    <row r="244" spans="1:13" s="439" customFormat="1" x14ac:dyDescent="0.2">
      <c r="A244" s="435" t="s">
        <v>704</v>
      </c>
      <c r="B244" s="1146"/>
      <c r="C244" s="446">
        <f>'61  '!E37</f>
        <v>14</v>
      </c>
      <c r="D244" s="446">
        <f>'61  '!F37</f>
        <v>14</v>
      </c>
      <c r="E244" s="446">
        <f>'61  '!G37</f>
        <v>6</v>
      </c>
      <c r="F244" s="452">
        <f>E244/D244*100</f>
        <v>42.857142857142854</v>
      </c>
      <c r="G244" s="1986">
        <f>'61  '!J37</f>
        <v>14000</v>
      </c>
      <c r="H244" s="1986">
        <f>'61  '!K37</f>
        <v>14000</v>
      </c>
      <c r="I244" s="1986">
        <f>'61  '!L37</f>
        <v>6465.26</v>
      </c>
      <c r="J244" s="1986"/>
      <c r="K244" s="1986"/>
    </row>
    <row r="245" spans="1:13" s="439" customFormat="1" x14ac:dyDescent="0.2">
      <c r="A245" s="435" t="s">
        <v>705</v>
      </c>
      <c r="B245" s="1146"/>
      <c r="C245" s="446">
        <f>'61  '!E38</f>
        <v>0</v>
      </c>
      <c r="D245" s="446">
        <f>'61  '!F38</f>
        <v>3373</v>
      </c>
      <c r="E245" s="446">
        <f>'61  '!G38</f>
        <v>3373</v>
      </c>
      <c r="F245" s="452">
        <f>E245/D245*100</f>
        <v>100</v>
      </c>
      <c r="G245" s="1986">
        <f>'61  '!J38</f>
        <v>0</v>
      </c>
      <c r="H245" s="1986">
        <f>'61  '!K38</f>
        <v>3373116.39</v>
      </c>
      <c r="I245" s="1986">
        <f>'61  '!L38</f>
        <v>3373116.38</v>
      </c>
      <c r="J245" s="1986"/>
      <c r="K245" s="1986"/>
    </row>
    <row r="246" spans="1:13" s="439" customFormat="1" x14ac:dyDescent="0.2">
      <c r="A246" s="1576" t="s">
        <v>1324</v>
      </c>
      <c r="B246" s="1156"/>
      <c r="C246" s="448">
        <f>'61  '!E39</f>
        <v>0</v>
      </c>
      <c r="D246" s="448">
        <f>'61  '!F39</f>
        <v>0</v>
      </c>
      <c r="E246" s="448">
        <f>'61  '!G39</f>
        <v>2708</v>
      </c>
      <c r="F246" s="481">
        <v>0</v>
      </c>
      <c r="G246" s="1987">
        <f>'61  '!J39</f>
        <v>0</v>
      </c>
      <c r="H246" s="1988">
        <f>'61  '!K39</f>
        <v>0</v>
      </c>
      <c r="I246" s="1988">
        <f>'61  '!L39</f>
        <v>2707597.22</v>
      </c>
      <c r="J246" s="1986"/>
      <c r="K246" s="1986"/>
    </row>
    <row r="247" spans="1:13" s="439" customFormat="1" ht="14.25" customHeight="1" x14ac:dyDescent="0.2">
      <c r="A247" s="2685" t="s">
        <v>1084</v>
      </c>
      <c r="B247" s="1146"/>
      <c r="C247" s="446"/>
      <c r="D247" s="446"/>
      <c r="E247" s="446"/>
      <c r="F247" s="452"/>
      <c r="G247" s="1986"/>
      <c r="H247" s="1986"/>
      <c r="I247" s="1986"/>
      <c r="J247" s="1986"/>
      <c r="K247" s="1986"/>
    </row>
    <row r="248" spans="1:13" s="439" customFormat="1" ht="15" x14ac:dyDescent="0.25">
      <c r="A248" s="2685"/>
      <c r="B248" s="1146">
        <v>62</v>
      </c>
      <c r="C248" s="392">
        <f>C249+C250+C251</f>
        <v>0</v>
      </c>
      <c r="D248" s="392">
        <f>D249+D250+D251</f>
        <v>16378</v>
      </c>
      <c r="E248" s="392">
        <f>E249+E250+E251</f>
        <v>16496</v>
      </c>
      <c r="F248" s="442">
        <f>E248/D248*100</f>
        <v>100.72047869092687</v>
      </c>
      <c r="G248" s="2497">
        <f>SUM(G249:G251)</f>
        <v>0</v>
      </c>
      <c r="H248" s="2497">
        <f>SUM(H249:H251)</f>
        <v>16378303.17</v>
      </c>
      <c r="I248" s="2497">
        <f>SUM(I249:I251)</f>
        <v>16496863.43</v>
      </c>
      <c r="J248" s="1985"/>
      <c r="K248" s="1985"/>
    </row>
    <row r="249" spans="1:13" s="439" customFormat="1" x14ac:dyDescent="0.2">
      <c r="A249" s="435" t="s">
        <v>704</v>
      </c>
      <c r="B249" s="1146"/>
      <c r="C249" s="446">
        <f>'62  '!E51</f>
        <v>0</v>
      </c>
      <c r="D249" s="446">
        <f>'62  '!F51</f>
        <v>133</v>
      </c>
      <c r="E249" s="446">
        <f>'62  '!G51</f>
        <v>125</v>
      </c>
      <c r="F249" s="452">
        <f>E249/D249*100</f>
        <v>93.984962406015043</v>
      </c>
      <c r="G249" s="1986">
        <f>'62  '!J51</f>
        <v>0</v>
      </c>
      <c r="H249" s="1986">
        <f>'62  '!K51</f>
        <v>133084.91</v>
      </c>
      <c r="I249" s="1986">
        <f>'62  '!L51</f>
        <v>125522.73000000001</v>
      </c>
      <c r="J249" s="1986"/>
      <c r="K249" s="1986"/>
    </row>
    <row r="250" spans="1:13" s="439" customFormat="1" x14ac:dyDescent="0.2">
      <c r="A250" s="435" t="s">
        <v>705</v>
      </c>
      <c r="B250" s="1146"/>
      <c r="C250" s="446">
        <f>'62  '!E52</f>
        <v>0</v>
      </c>
      <c r="D250" s="446">
        <f>'62  '!F52</f>
        <v>16245</v>
      </c>
      <c r="E250" s="446">
        <f>'62  '!G52</f>
        <v>16245</v>
      </c>
      <c r="F250" s="452">
        <f>E250/D250*100</f>
        <v>100</v>
      </c>
      <c r="G250" s="1986">
        <f>'62  '!J52</f>
        <v>0</v>
      </c>
      <c r="H250" s="1986">
        <f>'62  '!K52</f>
        <v>16245218.26</v>
      </c>
      <c r="I250" s="1986">
        <f>'62  '!L52</f>
        <v>16245218.239999998</v>
      </c>
      <c r="J250" s="1986"/>
      <c r="K250" s="1986"/>
    </row>
    <row r="251" spans="1:13" s="439" customFormat="1" x14ac:dyDescent="0.2">
      <c r="A251" s="1576" t="s">
        <v>1324</v>
      </c>
      <c r="B251" s="1156"/>
      <c r="C251" s="448">
        <f>'62  '!E53</f>
        <v>0</v>
      </c>
      <c r="D251" s="448">
        <f>'62  '!F53</f>
        <v>0</v>
      </c>
      <c r="E251" s="448">
        <f>'62  '!G53</f>
        <v>126</v>
      </c>
      <c r="F251" s="481">
        <v>0</v>
      </c>
      <c r="G251" s="1987">
        <f>'62  '!J53</f>
        <v>0</v>
      </c>
      <c r="H251" s="1988">
        <f>'62  '!K53</f>
        <v>0</v>
      </c>
      <c r="I251" s="1988">
        <f>'62  '!L53</f>
        <v>126122.46</v>
      </c>
      <c r="J251" s="1986"/>
      <c r="K251" s="1986"/>
    </row>
    <row r="252" spans="1:13" s="439" customFormat="1" ht="14.25" customHeight="1" x14ac:dyDescent="0.2">
      <c r="A252" s="2683" t="s">
        <v>516</v>
      </c>
      <c r="B252" s="1146"/>
      <c r="C252" s="446"/>
      <c r="D252" s="446"/>
      <c r="E252" s="446"/>
      <c r="F252" s="452"/>
      <c r="G252" s="2505"/>
      <c r="H252" s="2505"/>
      <c r="I252" s="2505"/>
      <c r="J252" s="1986"/>
      <c r="K252" s="1986"/>
    </row>
    <row r="253" spans="1:13" s="439" customFormat="1" ht="15" x14ac:dyDescent="0.25">
      <c r="A253" s="2685"/>
      <c r="B253" s="1146">
        <v>63</v>
      </c>
      <c r="C253" s="392">
        <f>C254+C255+C256</f>
        <v>0</v>
      </c>
      <c r="D253" s="392">
        <f>D254+D255+D256</f>
        <v>64087</v>
      </c>
      <c r="E253" s="392">
        <f>E254+E255+E256</f>
        <v>39698</v>
      </c>
      <c r="F253" s="442">
        <f>E253/D253*100</f>
        <v>61.943919983772055</v>
      </c>
      <c r="G253" s="2497">
        <f>SUM(G254:G256)</f>
        <v>0</v>
      </c>
      <c r="H253" s="2497">
        <f>SUM(H254:H256)</f>
        <v>64087273.399999999</v>
      </c>
      <c r="I253" s="2497">
        <f>SUM(I254:I256)</f>
        <v>39698122.280000001</v>
      </c>
      <c r="J253" s="1985"/>
      <c r="K253" s="1985"/>
      <c r="M253" s="1995"/>
    </row>
    <row r="254" spans="1:13" s="439" customFormat="1" x14ac:dyDescent="0.2">
      <c r="A254" s="435" t="s">
        <v>704</v>
      </c>
      <c r="B254" s="1146"/>
      <c r="C254" s="446">
        <f>'63  '!E126</f>
        <v>0</v>
      </c>
      <c r="D254" s="446">
        <f>'63  '!F126</f>
        <v>63316</v>
      </c>
      <c r="E254" s="446">
        <f>'63  '!G126</f>
        <v>39219</v>
      </c>
      <c r="F254" s="452">
        <f>E254/D254*100</f>
        <v>61.941689304441219</v>
      </c>
      <c r="G254" s="1986">
        <f>'63  '!J126</f>
        <v>0</v>
      </c>
      <c r="H254" s="1986">
        <f>'63  '!K126</f>
        <v>63316490.799999997</v>
      </c>
      <c r="I254" s="1986">
        <f>'63  '!L126</f>
        <v>39219303.100000001</v>
      </c>
      <c r="J254" s="1986"/>
      <c r="K254" s="1986"/>
      <c r="L254" s="1986"/>
      <c r="M254" s="1986"/>
    </row>
    <row r="255" spans="1:13" s="439" customFormat="1" x14ac:dyDescent="0.2">
      <c r="A255" s="435" t="s">
        <v>705</v>
      </c>
      <c r="B255" s="1146"/>
      <c r="C255" s="446">
        <f>'63  '!E127</f>
        <v>0</v>
      </c>
      <c r="D255" s="446">
        <f>'63  '!F127</f>
        <v>771</v>
      </c>
      <c r="E255" s="446">
        <f>'63  '!G127</f>
        <v>479</v>
      </c>
      <c r="F255" s="452">
        <f>E255/D255*100</f>
        <v>62.127107652399481</v>
      </c>
      <c r="G255" s="1986">
        <f>'63  '!J127</f>
        <v>0</v>
      </c>
      <c r="H255" s="1986">
        <f>'63  '!K127</f>
        <v>770782.6</v>
      </c>
      <c r="I255" s="1986">
        <f>'63  '!L127</f>
        <v>478819.18</v>
      </c>
      <c r="J255" s="1986"/>
      <c r="K255" s="1986"/>
      <c r="L255" s="1986"/>
      <c r="M255" s="1986"/>
    </row>
    <row r="256" spans="1:13" s="439" customFormat="1" ht="15.75" customHeight="1" thickBot="1" x14ac:dyDescent="0.25">
      <c r="A256" s="1552" t="s">
        <v>1324</v>
      </c>
      <c r="B256" s="1157"/>
      <c r="C256" s="482">
        <f>'63  '!E128</f>
        <v>0</v>
      </c>
      <c r="D256" s="482">
        <f>'63  '!F128</f>
        <v>0</v>
      </c>
      <c r="E256" s="482">
        <f>'63  '!G128</f>
        <v>0</v>
      </c>
      <c r="F256" s="483">
        <v>0</v>
      </c>
      <c r="G256" s="1987">
        <f>'63  '!J128</f>
        <v>0</v>
      </c>
      <c r="H256" s="1988">
        <f>'63  '!K128</f>
        <v>0</v>
      </c>
      <c r="I256" s="1988">
        <f>'63  '!L128</f>
        <v>0</v>
      </c>
      <c r="J256" s="1986"/>
      <c r="K256" s="1996"/>
      <c r="L256" s="1996"/>
      <c r="M256" s="1996"/>
    </row>
    <row r="257" spans="1:13" s="439" customFormat="1" ht="15" thickTop="1" x14ac:dyDescent="0.2">
      <c r="A257" s="2653"/>
      <c r="B257" s="2654"/>
      <c r="C257" s="2655">
        <f>C208+C213+C218+C224+C229+C233+C238+C243+C248+C253</f>
        <v>26378</v>
      </c>
      <c r="D257" s="2655">
        <f>D208+D213+D218+D224+D229+D233+D238+D243+D248+D253</f>
        <v>412725</v>
      </c>
      <c r="E257" s="2655">
        <f>E208+E213+E218+E224+E229+E233+E238+E243+E248+E253</f>
        <v>432528</v>
      </c>
      <c r="F257" s="2656"/>
      <c r="G257" s="1985">
        <f>G208+G213+G218+G224+G229+G233+G238+G243+G248+G253</f>
        <v>26378000</v>
      </c>
      <c r="H257" s="1985">
        <f>H208+H213+H218+H224+H229+H233+H238+H243+H248+H253</f>
        <v>412725804.25999999</v>
      </c>
      <c r="I257" s="1985">
        <f>I208+I213+I218+I224+I229+I233+I238+I243+I248+I253</f>
        <v>432527591.94000006</v>
      </c>
      <c r="J257" s="1986"/>
      <c r="K257" s="1996"/>
      <c r="L257" s="1996"/>
      <c r="M257" s="1996"/>
    </row>
    <row r="258" spans="1:13" s="2524" customFormat="1" ht="18" customHeight="1" x14ac:dyDescent="0.2">
      <c r="A258" s="2660" t="s">
        <v>1654</v>
      </c>
      <c r="B258" s="2654"/>
      <c r="C258" s="2655">
        <f>SUM(C209,C211,C214,C216,C219,C221,C225,C227,C230,C232,C234,C236,C239,C241,C244,C246,C249,C251,C254,C256)</f>
        <v>24991</v>
      </c>
      <c r="D258" s="2655">
        <f t="shared" ref="D258:I258" si="19">SUM(D209,D211,D214,D216,D219,D221,D225,D227,D230,D232,D234,D236,D239,D241,D244,D246,D249,D251,D254,D256)</f>
        <v>272538</v>
      </c>
      <c r="E258" s="2655">
        <f>SUM(E209,E211,E214,E216,E219,E221,E225,E227,E230,E232,E234,E236,E239,E241,E244,E246,E249,E251,E254,E256)</f>
        <v>326530</v>
      </c>
      <c r="F258" s="2655">
        <f t="shared" si="19"/>
        <v>755.41773626958309</v>
      </c>
      <c r="G258" s="2504">
        <f>SUM(G209,G211,G214,G216,G219,G221,G225,G227,G230,G232,G234,G236,G239,G241,G244,G246,G249,G251,G254,G256)</f>
        <v>24991000</v>
      </c>
      <c r="H258" s="2504">
        <f t="shared" si="19"/>
        <v>272539503.75</v>
      </c>
      <c r="I258" s="2504">
        <f t="shared" si="19"/>
        <v>326528780.68000001</v>
      </c>
      <c r="J258" s="2514"/>
      <c r="K258" s="2543"/>
      <c r="L258" s="2543"/>
      <c r="M258" s="2543"/>
    </row>
    <row r="259" spans="1:13" s="2524" customFormat="1" x14ac:dyDescent="0.2">
      <c r="A259" s="2660" t="s">
        <v>1655</v>
      </c>
      <c r="B259" s="2654"/>
      <c r="C259" s="2655">
        <f>SUM(C255,C250,C245,C240,C235,C231,C226,C220,C215,C210)</f>
        <v>1387</v>
      </c>
      <c r="D259" s="2655">
        <f t="shared" ref="D259:I259" si="20">SUM(D255,D250,D245,D240,D235,D231,D226,D220,D215,D210)</f>
        <v>140187</v>
      </c>
      <c r="E259" s="2655">
        <f t="shared" si="20"/>
        <v>105998</v>
      </c>
      <c r="F259" s="2655">
        <f t="shared" si="20"/>
        <v>350.52852810044925</v>
      </c>
      <c r="G259" s="2504">
        <f t="shared" si="20"/>
        <v>1387000</v>
      </c>
      <c r="H259" s="2504">
        <f t="shared" si="20"/>
        <v>140186300.51000002</v>
      </c>
      <c r="I259" s="2504">
        <f t="shared" si="20"/>
        <v>105998811.25999999</v>
      </c>
      <c r="J259" s="2514"/>
      <c r="K259" s="2543"/>
      <c r="L259" s="2543"/>
      <c r="M259" s="2543"/>
    </row>
    <row r="260" spans="1:13" s="2524" customFormat="1" x14ac:dyDescent="0.2">
      <c r="A260" s="2653"/>
      <c r="B260" s="2654"/>
      <c r="C260" s="2655">
        <f>SUM(C258:C259)</f>
        <v>26378</v>
      </c>
      <c r="D260" s="2655">
        <f t="shared" ref="D260:I260" si="21">SUM(D258:D259)</f>
        <v>412725</v>
      </c>
      <c r="E260" s="2655">
        <f t="shared" si="21"/>
        <v>432528</v>
      </c>
      <c r="F260" s="2655">
        <f>SUM(F258:F259)</f>
        <v>1105.9462643700324</v>
      </c>
      <c r="G260" s="2504">
        <f>SUM(G258:G259)</f>
        <v>26378000</v>
      </c>
      <c r="H260" s="2504">
        <f t="shared" si="21"/>
        <v>412725804.25999999</v>
      </c>
      <c r="I260" s="2504">
        <f t="shared" si="21"/>
        <v>432527591.94</v>
      </c>
      <c r="J260" s="2514"/>
      <c r="K260" s="2543"/>
      <c r="L260" s="2543"/>
      <c r="M260" s="2543"/>
    </row>
    <row r="261" spans="1:13" s="439" customFormat="1" x14ac:dyDescent="0.2">
      <c r="A261" s="2653"/>
      <c r="B261" s="2654"/>
      <c r="C261" s="2655"/>
      <c r="D261" s="2655"/>
      <c r="E261" s="2655"/>
      <c r="F261" s="2656"/>
      <c r="G261" s="1986"/>
      <c r="H261" s="1986"/>
      <c r="I261" s="1986"/>
      <c r="J261" s="1986"/>
      <c r="K261" s="1996"/>
      <c r="L261" s="1996"/>
      <c r="M261" s="1996"/>
    </row>
    <row r="262" spans="1:13" ht="15" thickBot="1" x14ac:dyDescent="0.25">
      <c r="F262" s="385" t="s">
        <v>179</v>
      </c>
      <c r="G262" s="1990"/>
      <c r="H262" s="1990"/>
      <c r="I262" s="1990"/>
      <c r="J262" s="1990"/>
      <c r="K262" s="1990"/>
    </row>
    <row r="263" spans="1:13" s="350" customFormat="1" ht="26.25" customHeight="1" thickTop="1" thickBot="1" x14ac:dyDescent="0.25">
      <c r="A263" s="1141" t="s">
        <v>699</v>
      </c>
      <c r="B263" s="1142" t="s">
        <v>702</v>
      </c>
      <c r="C263" s="529" t="s">
        <v>700</v>
      </c>
      <c r="D263" s="529" t="s">
        <v>701</v>
      </c>
      <c r="E263" s="529" t="s">
        <v>986</v>
      </c>
      <c r="F263" s="530" t="s">
        <v>987</v>
      </c>
      <c r="G263" s="1983"/>
      <c r="H263" s="1983"/>
      <c r="I263" s="1983"/>
      <c r="J263" s="1983"/>
      <c r="K263" s="1983"/>
    </row>
    <row r="264" spans="1:13" s="1542" customFormat="1" ht="12.75" thickTop="1" thickBot="1" x14ac:dyDescent="0.25">
      <c r="A264" s="592">
        <v>1</v>
      </c>
      <c r="B264" s="1544">
        <v>2</v>
      </c>
      <c r="C264" s="528">
        <v>3</v>
      </c>
      <c r="D264" s="528">
        <v>4</v>
      </c>
      <c r="E264" s="528">
        <v>5</v>
      </c>
      <c r="F264" s="553" t="s">
        <v>464</v>
      </c>
      <c r="G264" s="1984"/>
      <c r="H264" s="1984"/>
      <c r="I264" s="1984"/>
      <c r="J264" s="1984"/>
      <c r="K264" s="1984"/>
    </row>
    <row r="265" spans="1:13" s="439" customFormat="1" ht="15" thickTop="1" x14ac:dyDescent="0.2">
      <c r="A265" s="2688" t="s">
        <v>1179</v>
      </c>
      <c r="B265" s="1146"/>
      <c r="C265" s="446"/>
      <c r="D265" s="446"/>
      <c r="E265" s="446"/>
      <c r="F265" s="452"/>
      <c r="G265" s="1986"/>
      <c r="H265" s="1986"/>
      <c r="I265" s="1986"/>
      <c r="J265" s="1986"/>
      <c r="K265" s="1986"/>
    </row>
    <row r="266" spans="1:13" s="439" customFormat="1" ht="15" x14ac:dyDescent="0.25">
      <c r="A266" s="2684"/>
      <c r="B266" s="1146">
        <v>64</v>
      </c>
      <c r="C266" s="392">
        <f>C267+C268+C269</f>
        <v>9613</v>
      </c>
      <c r="D266" s="392">
        <f>D267+D268+D269</f>
        <v>24398</v>
      </c>
      <c r="E266" s="392">
        <f>E267+E268+E269</f>
        <v>20202</v>
      </c>
      <c r="F266" s="442">
        <f>E266/D266*100</f>
        <v>82.801869005656201</v>
      </c>
      <c r="G266" s="2497">
        <f>SUM(G267:G269)</f>
        <v>9613000</v>
      </c>
      <c r="H266" s="2497">
        <f>SUM(H267:H269)</f>
        <v>24397650.57</v>
      </c>
      <c r="I266" s="2497">
        <f>SUM(I267:I269)</f>
        <v>20201808.219999999</v>
      </c>
      <c r="J266" s="1985"/>
      <c r="K266" s="1985"/>
    </row>
    <row r="267" spans="1:13" s="439" customFormat="1" x14ac:dyDescent="0.2">
      <c r="A267" s="435" t="s">
        <v>704</v>
      </c>
      <c r="B267" s="1146"/>
      <c r="C267" s="446">
        <f>'64 '!E182</f>
        <v>9613</v>
      </c>
      <c r="D267" s="446">
        <f>'64 '!F182</f>
        <v>21808</v>
      </c>
      <c r="E267" s="446">
        <f>'64 '!G182</f>
        <v>15244</v>
      </c>
      <c r="F267" s="452">
        <f>E267/D267*100</f>
        <v>69.900953778429937</v>
      </c>
      <c r="G267" s="1986">
        <f>'64 '!J182</f>
        <v>9613000</v>
      </c>
      <c r="H267" s="1986">
        <f>'64 '!K182</f>
        <v>21807650.57</v>
      </c>
      <c r="I267" s="1986">
        <f>'64 '!L182</f>
        <v>15244323.66</v>
      </c>
      <c r="J267" s="1986"/>
      <c r="K267" s="1986"/>
    </row>
    <row r="268" spans="1:13" s="439" customFormat="1" x14ac:dyDescent="0.2">
      <c r="A268" s="435" t="s">
        <v>705</v>
      </c>
      <c r="B268" s="1146"/>
      <c r="C268" s="446">
        <f>'64 '!E183</f>
        <v>0</v>
      </c>
      <c r="D268" s="446">
        <f>'64 '!F183</f>
        <v>2590</v>
      </c>
      <c r="E268" s="446">
        <f>'64 '!G183</f>
        <v>1400</v>
      </c>
      <c r="F268" s="452">
        <f>E268/D268*100</f>
        <v>54.054054054054056</v>
      </c>
      <c r="G268" s="1986">
        <f>'64 '!J183</f>
        <v>0</v>
      </c>
      <c r="H268" s="1986">
        <f>'64 '!K183</f>
        <v>2590000</v>
      </c>
      <c r="I268" s="1986">
        <f>'64 '!L183</f>
        <v>1400000</v>
      </c>
      <c r="J268" s="1986"/>
      <c r="K268" s="1986"/>
    </row>
    <row r="269" spans="1:13" s="439" customFormat="1" x14ac:dyDescent="0.2">
      <c r="A269" s="1576" t="s">
        <v>1324</v>
      </c>
      <c r="B269" s="1156"/>
      <c r="C269" s="448">
        <f>'64 '!E184</f>
        <v>0</v>
      </c>
      <c r="D269" s="448">
        <f>'64 '!F184</f>
        <v>0</v>
      </c>
      <c r="E269" s="448">
        <f>'64 '!G184</f>
        <v>3558</v>
      </c>
      <c r="F269" s="481">
        <v>0</v>
      </c>
      <c r="G269" s="1987">
        <f>'64 '!J184</f>
        <v>0</v>
      </c>
      <c r="H269" s="1988">
        <f>'64 '!K184</f>
        <v>0</v>
      </c>
      <c r="I269" s="1988">
        <f>'64 '!L184</f>
        <v>3557484.56</v>
      </c>
      <c r="J269" s="1986"/>
      <c r="K269" s="1986"/>
    </row>
    <row r="270" spans="1:13" s="439" customFormat="1" x14ac:dyDescent="0.2">
      <c r="A270" s="2688" t="s">
        <v>327</v>
      </c>
      <c r="B270" s="1146"/>
      <c r="C270" s="446"/>
      <c r="D270" s="446"/>
      <c r="E270" s="446"/>
      <c r="F270" s="452"/>
      <c r="G270" s="1986"/>
      <c r="H270" s="1986"/>
      <c r="I270" s="1986"/>
      <c r="J270" s="1986"/>
      <c r="K270" s="1986"/>
    </row>
    <row r="271" spans="1:13" s="439" customFormat="1" ht="15" x14ac:dyDescent="0.25">
      <c r="A271" s="2684"/>
      <c r="B271" s="1146">
        <v>65</v>
      </c>
      <c r="C271" s="392">
        <f>C272+C273+C274</f>
        <v>9000</v>
      </c>
      <c r="D271" s="392">
        <f>D272+D273+D274</f>
        <v>1747</v>
      </c>
      <c r="E271" s="392">
        <f>E272+E273+E274</f>
        <v>4267</v>
      </c>
      <c r="F271" s="442">
        <f>E271/D271*100</f>
        <v>244.24728105323413</v>
      </c>
      <c r="G271" s="2544">
        <f>SUM(G272:G274)</f>
        <v>9000000</v>
      </c>
      <c r="H271" s="2544">
        <f>SUM(H272:H274)</f>
        <v>1746994.18</v>
      </c>
      <c r="I271" s="2544">
        <f>SUM(I272:I274)</f>
        <v>4266894.1100000003</v>
      </c>
      <c r="J271" s="1997"/>
      <c r="K271" s="1997"/>
    </row>
    <row r="272" spans="1:13" s="439" customFormat="1" x14ac:dyDescent="0.2">
      <c r="A272" s="435" t="s">
        <v>704</v>
      </c>
      <c r="B272" s="1146"/>
      <c r="C272" s="446">
        <f>'65 '!E65</f>
        <v>8500</v>
      </c>
      <c r="D272" s="446">
        <f>'65 '!F65</f>
        <v>1247</v>
      </c>
      <c r="E272" s="446">
        <f>'65 '!G65</f>
        <v>1247</v>
      </c>
      <c r="F272" s="452">
        <f>E272/D272*100</f>
        <v>100</v>
      </c>
      <c r="G272" s="1996">
        <f>'65 '!J65</f>
        <v>8500000</v>
      </c>
      <c r="H272" s="1996">
        <f>'65 '!K65</f>
        <v>1246994.18</v>
      </c>
      <c r="I272" s="1996">
        <f>'65 '!L65</f>
        <v>1246999.18</v>
      </c>
      <c r="J272" s="1996"/>
      <c r="K272" s="1996"/>
    </row>
    <row r="273" spans="1:11" s="439" customFormat="1" x14ac:dyDescent="0.2">
      <c r="A273" s="435" t="s">
        <v>705</v>
      </c>
      <c r="B273" s="1146"/>
      <c r="C273" s="446">
        <f>'65 '!E66</f>
        <v>500</v>
      </c>
      <c r="D273" s="446">
        <f>'65 '!F66</f>
        <v>500</v>
      </c>
      <c r="E273" s="446">
        <f>'65 '!G66</f>
        <v>500</v>
      </c>
      <c r="F273" s="452">
        <f>E273/D273*100</f>
        <v>100</v>
      </c>
      <c r="G273" s="1996">
        <f>'65 '!J66</f>
        <v>500000</v>
      </c>
      <c r="H273" s="1996">
        <f>'65 '!K66</f>
        <v>500000</v>
      </c>
      <c r="I273" s="1996">
        <f>'65 '!L66</f>
        <v>500000</v>
      </c>
      <c r="J273" s="1986"/>
      <c r="K273" s="1986"/>
    </row>
    <row r="274" spans="1:11" s="439" customFormat="1" x14ac:dyDescent="0.2">
      <c r="A274" s="1576" t="s">
        <v>1324</v>
      </c>
      <c r="B274" s="1156"/>
      <c r="C274" s="448">
        <f>'65 '!E67</f>
        <v>0</v>
      </c>
      <c r="D274" s="448">
        <f>'65 '!F67</f>
        <v>0</v>
      </c>
      <c r="E274" s="448">
        <f>'65 '!G67</f>
        <v>2520</v>
      </c>
      <c r="F274" s="481">
        <v>0</v>
      </c>
      <c r="G274" s="1987">
        <f>'65 '!J67</f>
        <v>0</v>
      </c>
      <c r="H274" s="1988">
        <f>'65 '!K67</f>
        <v>0</v>
      </c>
      <c r="I274" s="1988">
        <f>'65 '!L67</f>
        <v>2519894.9300000002</v>
      </c>
      <c r="J274" s="1986"/>
      <c r="K274" s="1986"/>
    </row>
    <row r="275" spans="1:11" s="439" customFormat="1" x14ac:dyDescent="0.2">
      <c r="A275" s="2683" t="s">
        <v>1620</v>
      </c>
      <c r="B275" s="1146"/>
      <c r="C275" s="446"/>
      <c r="D275" s="446"/>
      <c r="E275" s="446"/>
      <c r="F275" s="452"/>
      <c r="G275" s="1986"/>
      <c r="H275" s="1986"/>
      <c r="I275" s="1986"/>
      <c r="J275" s="1986"/>
      <c r="K275" s="1986"/>
    </row>
    <row r="276" spans="1:11" s="439" customFormat="1" ht="15" x14ac:dyDescent="0.25">
      <c r="A276" s="2684"/>
      <c r="B276" s="1146">
        <v>66</v>
      </c>
      <c r="C276" s="392">
        <f>C277+C278+C279</f>
        <v>0</v>
      </c>
      <c r="D276" s="392">
        <f>D277+D278+D279</f>
        <v>51105</v>
      </c>
      <c r="E276" s="392">
        <f>E277+E278+E279</f>
        <v>25508</v>
      </c>
      <c r="F276" s="442">
        <f>E276/D276*100</f>
        <v>49.912924371392229</v>
      </c>
      <c r="G276" s="2544">
        <f>SUM(G277:G279)</f>
        <v>0</v>
      </c>
      <c r="H276" s="2544">
        <f>SUM(H277:H279)</f>
        <v>51104988.289999999</v>
      </c>
      <c r="I276" s="2544">
        <f>SUM(I277:I279)</f>
        <v>25508179.219999999</v>
      </c>
      <c r="J276" s="1986"/>
      <c r="K276" s="1986"/>
    </row>
    <row r="277" spans="1:11" s="439" customFormat="1" x14ac:dyDescent="0.2">
      <c r="A277" s="435" t="s">
        <v>704</v>
      </c>
      <c r="B277" s="1146"/>
      <c r="C277" s="446">
        <f>'66 '!E214</f>
        <v>0</v>
      </c>
      <c r="D277" s="446">
        <f>'66 '!F214</f>
        <v>48108</v>
      </c>
      <c r="E277" s="446">
        <f>'66 '!G214</f>
        <v>23099</v>
      </c>
      <c r="F277" s="452">
        <f>E277/D277*100</f>
        <v>48.014883179512765</v>
      </c>
      <c r="G277" s="1996">
        <f>'66 '!J214</f>
        <v>0</v>
      </c>
      <c r="H277" s="1996">
        <f>'66 '!K214</f>
        <v>48106652.289999999</v>
      </c>
      <c r="I277" s="1996">
        <f>'66 '!L214</f>
        <v>23097942.91</v>
      </c>
      <c r="J277" s="1996"/>
      <c r="K277" s="1996"/>
    </row>
    <row r="278" spans="1:11" s="439" customFormat="1" x14ac:dyDescent="0.2">
      <c r="A278" s="435" t="s">
        <v>705</v>
      </c>
      <c r="B278" s="1146"/>
      <c r="C278" s="446">
        <f>'66 '!E215</f>
        <v>0</v>
      </c>
      <c r="D278" s="446">
        <f>'66 '!F215</f>
        <v>2997</v>
      </c>
      <c r="E278" s="446">
        <f>'66 '!G215</f>
        <v>2409</v>
      </c>
      <c r="F278" s="452">
        <f>E278/D278*100</f>
        <v>80.380380380380373</v>
      </c>
      <c r="G278" s="1996">
        <f>'66 '!J215</f>
        <v>0</v>
      </c>
      <c r="H278" s="1996">
        <f>'66 '!K215</f>
        <v>2998336</v>
      </c>
      <c r="I278" s="1996">
        <f>'66 '!L215</f>
        <v>2410236.31</v>
      </c>
      <c r="J278" s="1986"/>
      <c r="K278" s="1986"/>
    </row>
    <row r="279" spans="1:11" s="439" customFormat="1" x14ac:dyDescent="0.2">
      <c r="A279" s="1576" t="s">
        <v>1324</v>
      </c>
      <c r="B279" s="1156"/>
      <c r="C279" s="448">
        <f>'66 '!E216</f>
        <v>0</v>
      </c>
      <c r="D279" s="448">
        <f>'66 '!F216</f>
        <v>0</v>
      </c>
      <c r="E279" s="448">
        <f>'66 '!G216</f>
        <v>0</v>
      </c>
      <c r="F279" s="481">
        <v>0</v>
      </c>
      <c r="G279" s="1987">
        <f>'66 '!J216</f>
        <v>0</v>
      </c>
      <c r="H279" s="1988">
        <f>'66 '!K216</f>
        <v>0</v>
      </c>
      <c r="I279" s="1988">
        <f>'66 '!L216</f>
        <v>0</v>
      </c>
      <c r="J279" s="1986"/>
      <c r="K279" s="1986"/>
    </row>
    <row r="280" spans="1:11" s="439" customFormat="1" x14ac:dyDescent="0.2">
      <c r="A280" s="2683" t="s">
        <v>1621</v>
      </c>
      <c r="B280" s="1146"/>
      <c r="C280" s="446"/>
      <c r="D280" s="446"/>
      <c r="E280" s="446"/>
      <c r="F280" s="452"/>
      <c r="G280" s="1986"/>
      <c r="H280" s="1986"/>
      <c r="I280" s="1986"/>
      <c r="J280" s="1986"/>
      <c r="K280" s="1986"/>
    </row>
    <row r="281" spans="1:11" s="439" customFormat="1" ht="15" x14ac:dyDescent="0.25">
      <c r="A281" s="2684"/>
      <c r="B281" s="1146">
        <v>67</v>
      </c>
      <c r="C281" s="392">
        <f>C282+C283+C284</f>
        <v>0</v>
      </c>
      <c r="D281" s="392">
        <f>D282+D283+D284</f>
        <v>27700</v>
      </c>
      <c r="E281" s="392">
        <f>E282+E283+E284</f>
        <v>12160</v>
      </c>
      <c r="F281" s="442">
        <f>E281/D281*100</f>
        <v>43.898916967509024</v>
      </c>
      <c r="G281" s="2544">
        <f>SUM(G282:G284)</f>
        <v>0</v>
      </c>
      <c r="H281" s="2544">
        <f>SUM(H282:H284)</f>
        <v>27699462.530000001</v>
      </c>
      <c r="I281" s="2544">
        <f>SUM(I282:I284)</f>
        <v>12159523.32</v>
      </c>
      <c r="J281" s="1986"/>
      <c r="K281" s="1986"/>
    </row>
    <row r="282" spans="1:11" s="439" customFormat="1" x14ac:dyDescent="0.2">
      <c r="A282" s="435" t="s">
        <v>704</v>
      </c>
      <c r="B282" s="1146"/>
      <c r="C282" s="446">
        <f>'67'!E102</f>
        <v>0</v>
      </c>
      <c r="D282" s="446">
        <f>'67'!F102</f>
        <v>27200</v>
      </c>
      <c r="E282" s="446">
        <f>'67'!G102</f>
        <v>12160</v>
      </c>
      <c r="F282" s="452">
        <f>E282/D282*100</f>
        <v>44.705882352941181</v>
      </c>
      <c r="G282" s="1996">
        <f>'67'!K102</f>
        <v>0</v>
      </c>
      <c r="H282" s="1996">
        <f>'67'!L102</f>
        <v>27199608.530000001</v>
      </c>
      <c r="I282" s="1996">
        <f>'67'!M102</f>
        <v>12159523.32</v>
      </c>
      <c r="J282" s="1996"/>
      <c r="K282" s="1996"/>
    </row>
    <row r="283" spans="1:11" s="439" customFormat="1" x14ac:dyDescent="0.2">
      <c r="A283" s="435" t="s">
        <v>705</v>
      </c>
      <c r="B283" s="1146"/>
      <c r="C283" s="446">
        <f>'67'!E103</f>
        <v>0</v>
      </c>
      <c r="D283" s="446">
        <f>'67'!F103</f>
        <v>500</v>
      </c>
      <c r="E283" s="446">
        <f>'67'!G103</f>
        <v>0</v>
      </c>
      <c r="F283" s="452">
        <v>0</v>
      </c>
      <c r="G283" s="1996">
        <f>'67'!K103</f>
        <v>0</v>
      </c>
      <c r="H283" s="1996">
        <f>'67'!L103</f>
        <v>499854</v>
      </c>
      <c r="I283" s="1996">
        <f>'67'!M103</f>
        <v>0</v>
      </c>
      <c r="J283" s="1986"/>
      <c r="K283" s="1986"/>
    </row>
    <row r="284" spans="1:11" s="439" customFormat="1" x14ac:dyDescent="0.2">
      <c r="A284" s="1576" t="s">
        <v>1324</v>
      </c>
      <c r="B284" s="1156"/>
      <c r="C284" s="448">
        <f>'67'!E104</f>
        <v>0</v>
      </c>
      <c r="D284" s="448">
        <f>'67'!F104</f>
        <v>0</v>
      </c>
      <c r="E284" s="448">
        <f>'67'!G104</f>
        <v>0</v>
      </c>
      <c r="F284" s="481">
        <v>0</v>
      </c>
      <c r="G284" s="1987">
        <f>'67'!K104</f>
        <v>0</v>
      </c>
      <c r="H284" s="1988">
        <f>'67'!L104</f>
        <v>0</v>
      </c>
      <c r="I284" s="1988">
        <f>'67'!M104</f>
        <v>0</v>
      </c>
      <c r="J284" s="1988"/>
      <c r="K284" s="1986"/>
    </row>
    <row r="285" spans="1:11" s="439" customFormat="1" x14ac:dyDescent="0.2">
      <c r="A285" s="2683" t="s">
        <v>1622</v>
      </c>
      <c r="B285" s="1146"/>
      <c r="C285" s="446"/>
      <c r="D285" s="446"/>
      <c r="E285" s="446"/>
      <c r="F285" s="452"/>
      <c r="G285" s="1986"/>
      <c r="H285" s="1986"/>
      <c r="I285" s="1986"/>
      <c r="J285" s="1986"/>
      <c r="K285" s="1986"/>
    </row>
    <row r="286" spans="1:11" s="439" customFormat="1" x14ac:dyDescent="0.2">
      <c r="A286" s="2684"/>
      <c r="B286" s="1146"/>
      <c r="C286" s="446"/>
      <c r="D286" s="446"/>
      <c r="E286" s="446"/>
      <c r="F286" s="452"/>
      <c r="G286" s="1986"/>
      <c r="H286" s="1986"/>
      <c r="I286" s="1986"/>
      <c r="J286" s="1986"/>
      <c r="K286" s="1986"/>
    </row>
    <row r="287" spans="1:11" s="439" customFormat="1" ht="15" x14ac:dyDescent="0.25">
      <c r="A287" s="2684"/>
      <c r="B287" s="1146">
        <v>68</v>
      </c>
      <c r="C287" s="392">
        <f>C288+C289+C290</f>
        <v>0</v>
      </c>
      <c r="D287" s="392">
        <f>D288+D289+D290</f>
        <v>19248</v>
      </c>
      <c r="E287" s="392">
        <f>E288+E289+E290</f>
        <v>10406</v>
      </c>
      <c r="F287" s="442">
        <f>E287/D287*100</f>
        <v>54.062759767248551</v>
      </c>
      <c r="G287" s="2544">
        <f>SUM(G288:G290)</f>
        <v>0</v>
      </c>
      <c r="H287" s="2544">
        <f>SUM(H288:H290)</f>
        <v>19248386.399999999</v>
      </c>
      <c r="I287" s="2544">
        <f>SUM(I288:I290)</f>
        <v>10406002.18</v>
      </c>
      <c r="J287" s="1986"/>
      <c r="K287" s="1986"/>
    </row>
    <row r="288" spans="1:11" s="439" customFormat="1" x14ac:dyDescent="0.2">
      <c r="A288" s="435" t="s">
        <v>704</v>
      </c>
      <c r="B288" s="1146"/>
      <c r="C288" s="446">
        <f>'68'!E66</f>
        <v>0</v>
      </c>
      <c r="D288" s="446">
        <f>'68'!F66</f>
        <v>18748</v>
      </c>
      <c r="E288" s="446">
        <f>'68'!G66</f>
        <v>10406</v>
      </c>
      <c r="F288" s="452">
        <f>E288/D288*100</f>
        <v>55.5045871559633</v>
      </c>
      <c r="G288" s="1996">
        <f>'68'!J66</f>
        <v>0</v>
      </c>
      <c r="H288" s="1996">
        <f>'68'!K66</f>
        <v>18748532.399999999</v>
      </c>
      <c r="I288" s="1996">
        <f>'68'!L66</f>
        <v>10406002.18</v>
      </c>
      <c r="J288" s="1996"/>
      <c r="K288" s="1996"/>
    </row>
    <row r="289" spans="1:15" s="439" customFormat="1" x14ac:dyDescent="0.2">
      <c r="A289" s="435" t="s">
        <v>705</v>
      </c>
      <c r="B289" s="1146"/>
      <c r="C289" s="446">
        <f>'68'!E67</f>
        <v>0</v>
      </c>
      <c r="D289" s="446">
        <f>'68'!F67</f>
        <v>500</v>
      </c>
      <c r="E289" s="446">
        <f>'68'!G67</f>
        <v>0</v>
      </c>
      <c r="F289" s="452">
        <v>0</v>
      </c>
      <c r="G289" s="1996">
        <f>'68'!J67</f>
        <v>0</v>
      </c>
      <c r="H289" s="1996">
        <f>'68'!K67</f>
        <v>499854</v>
      </c>
      <c r="I289" s="1996">
        <f>'68'!L67</f>
        <v>0</v>
      </c>
      <c r="J289" s="1986"/>
      <c r="K289" s="1986"/>
    </row>
    <row r="290" spans="1:15" s="439" customFormat="1" x14ac:dyDescent="0.2">
      <c r="A290" s="1576" t="s">
        <v>1324</v>
      </c>
      <c r="B290" s="1156"/>
      <c r="C290" s="448">
        <f>'68'!E68</f>
        <v>0</v>
      </c>
      <c r="D290" s="448">
        <f>'68'!F68</f>
        <v>0</v>
      </c>
      <c r="E290" s="448">
        <f>'68'!G68</f>
        <v>0</v>
      </c>
      <c r="F290" s="481">
        <v>0</v>
      </c>
      <c r="G290" s="1987">
        <f>'68'!J68</f>
        <v>0</v>
      </c>
      <c r="H290" s="1988">
        <f>'68'!K68</f>
        <v>0</v>
      </c>
      <c r="I290" s="1988">
        <f>'68'!L68</f>
        <v>0</v>
      </c>
      <c r="J290" s="1986"/>
      <c r="K290" s="1986"/>
    </row>
    <row r="291" spans="1:15" s="439" customFormat="1" x14ac:dyDescent="0.2">
      <c r="A291" s="2683" t="s">
        <v>1623</v>
      </c>
      <c r="B291" s="1146"/>
      <c r="C291" s="446"/>
      <c r="D291" s="446"/>
      <c r="E291" s="446"/>
      <c r="F291" s="452"/>
      <c r="G291" s="1986"/>
      <c r="H291" s="1986"/>
      <c r="I291" s="1986"/>
      <c r="J291" s="1986"/>
      <c r="K291" s="1986"/>
    </row>
    <row r="292" spans="1:15" s="439" customFormat="1" ht="15" x14ac:dyDescent="0.25">
      <c r="A292" s="2684"/>
      <c r="B292" s="1146">
        <v>69</v>
      </c>
      <c r="C292" s="392">
        <f>C293+C294+C295</f>
        <v>0</v>
      </c>
      <c r="D292" s="392">
        <f>D293+D294+D295</f>
        <v>5062</v>
      </c>
      <c r="E292" s="392">
        <f>E293+E294+E295</f>
        <v>2683</v>
      </c>
      <c r="F292" s="442">
        <v>0</v>
      </c>
      <c r="G292" s="2544">
        <f>SUM(G293:G295)</f>
        <v>0</v>
      </c>
      <c r="H292" s="2544">
        <f>SUM(H293:H295)</f>
        <v>5061978.9800000004</v>
      </c>
      <c r="I292" s="2544">
        <f>SUM(I293:I295)</f>
        <v>2683239.5499999998</v>
      </c>
      <c r="J292" s="1986"/>
      <c r="K292" s="1986"/>
    </row>
    <row r="293" spans="1:15" s="439" customFormat="1" x14ac:dyDescent="0.2">
      <c r="A293" s="435" t="s">
        <v>704</v>
      </c>
      <c r="B293" s="1146"/>
      <c r="C293" s="446">
        <f>'69'!E64</f>
        <v>0</v>
      </c>
      <c r="D293" s="446">
        <f>'69'!F64</f>
        <v>5062</v>
      </c>
      <c r="E293" s="446">
        <f>'69'!G64</f>
        <v>2683</v>
      </c>
      <c r="F293" s="452">
        <f>E293/D293*100</f>
        <v>53.002765705254838</v>
      </c>
      <c r="G293" s="1996">
        <f>'69'!J64</f>
        <v>0</v>
      </c>
      <c r="H293" s="1996">
        <f>'69'!K64</f>
        <v>5061978.9800000004</v>
      </c>
      <c r="I293" s="1996">
        <f>'69'!L64</f>
        <v>2683239.5499999998</v>
      </c>
      <c r="J293" s="1996"/>
      <c r="K293" s="1996"/>
    </row>
    <row r="294" spans="1:15" s="439" customFormat="1" x14ac:dyDescent="0.2">
      <c r="A294" s="435" t="s">
        <v>705</v>
      </c>
      <c r="B294" s="1146"/>
      <c r="C294" s="446">
        <f>'69'!E65</f>
        <v>0</v>
      </c>
      <c r="D294" s="446">
        <f>'69'!F65</f>
        <v>0</v>
      </c>
      <c r="E294" s="446">
        <f>'69'!G65</f>
        <v>0</v>
      </c>
      <c r="F294" s="452">
        <v>0</v>
      </c>
      <c r="G294" s="1996">
        <f>'69'!J65</f>
        <v>0</v>
      </c>
      <c r="H294" s="1996">
        <f>'69'!K65</f>
        <v>0</v>
      </c>
      <c r="I294" s="1996">
        <f>'69'!L65</f>
        <v>0</v>
      </c>
      <c r="J294" s="1986"/>
      <c r="K294" s="1986"/>
    </row>
    <row r="295" spans="1:15" s="439" customFormat="1" x14ac:dyDescent="0.2">
      <c r="A295" s="1576" t="s">
        <v>1324</v>
      </c>
      <c r="B295" s="1156"/>
      <c r="C295" s="448">
        <f>'69'!E66</f>
        <v>0</v>
      </c>
      <c r="D295" s="448">
        <f>'69'!F66</f>
        <v>0</v>
      </c>
      <c r="E295" s="448">
        <f>'69'!G66</f>
        <v>0</v>
      </c>
      <c r="F295" s="481">
        <v>0</v>
      </c>
      <c r="G295" s="1987">
        <f>'69'!J66</f>
        <v>0</v>
      </c>
      <c r="H295" s="1988">
        <f>'69'!K66</f>
        <v>0</v>
      </c>
      <c r="I295" s="1988">
        <f>'69'!L66</f>
        <v>0</v>
      </c>
      <c r="J295" s="1986"/>
      <c r="K295" s="1986"/>
    </row>
    <row r="296" spans="1:15" s="439" customFormat="1" x14ac:dyDescent="0.2">
      <c r="A296" s="2683" t="s">
        <v>1610</v>
      </c>
      <c r="B296" s="1146"/>
      <c r="C296" s="446"/>
      <c r="D296" s="446"/>
      <c r="E296" s="446"/>
      <c r="F296" s="452"/>
      <c r="G296" s="1986"/>
      <c r="H296" s="1986"/>
      <c r="I296" s="1986"/>
      <c r="J296" s="1986"/>
      <c r="K296" s="1986"/>
    </row>
    <row r="297" spans="1:15" s="439" customFormat="1" ht="15" x14ac:dyDescent="0.25">
      <c r="A297" s="2684"/>
      <c r="B297" s="1146">
        <v>70</v>
      </c>
      <c r="C297" s="392">
        <f>C298+C299+C300</f>
        <v>0</v>
      </c>
      <c r="D297" s="392">
        <f>D298+D299+D300</f>
        <v>95</v>
      </c>
      <c r="E297" s="392">
        <f>E298+E299+E300</f>
        <v>166</v>
      </c>
      <c r="F297" s="442">
        <f>E297/D297*100</f>
        <v>174.73684210526318</v>
      </c>
      <c r="G297" s="2544">
        <f>SUM(G298:G300)</f>
        <v>0</v>
      </c>
      <c r="H297" s="2544">
        <f>SUM(H298:H300)</f>
        <v>94452.6</v>
      </c>
      <c r="I297" s="2544">
        <f>SUM(I298:I300)</f>
        <v>165577.1</v>
      </c>
      <c r="J297" s="1986"/>
      <c r="K297" s="1986"/>
    </row>
    <row r="298" spans="1:15" s="439" customFormat="1" x14ac:dyDescent="0.2">
      <c r="A298" s="435" t="s">
        <v>704</v>
      </c>
      <c r="B298" s="1146"/>
      <c r="C298" s="446">
        <f>'70'!E71</f>
        <v>0</v>
      </c>
      <c r="D298" s="446">
        <f>'70'!F71</f>
        <v>95</v>
      </c>
      <c r="E298" s="446">
        <f>'70'!G71</f>
        <v>95</v>
      </c>
      <c r="F298" s="452">
        <f>E298/D298*100</f>
        <v>100</v>
      </c>
      <c r="G298" s="1996">
        <f>'70'!J71</f>
        <v>0</v>
      </c>
      <c r="H298" s="1996">
        <f>'70'!K71</f>
        <v>94452.6</v>
      </c>
      <c r="I298" s="1996">
        <f>'70'!L71</f>
        <v>94457.600000000006</v>
      </c>
      <c r="J298" s="1996"/>
      <c r="K298" s="1996"/>
      <c r="N298" s="1986"/>
    </row>
    <row r="299" spans="1:15" s="439" customFormat="1" x14ac:dyDescent="0.2">
      <c r="A299" s="435" t="s">
        <v>705</v>
      </c>
      <c r="B299" s="1146"/>
      <c r="C299" s="446">
        <f>'70'!E72</f>
        <v>0</v>
      </c>
      <c r="D299" s="446">
        <f>'70'!F72</f>
        <v>0</v>
      </c>
      <c r="E299" s="446">
        <f>'70'!G72</f>
        <v>0</v>
      </c>
      <c r="F299" s="452">
        <v>0</v>
      </c>
      <c r="G299" s="1996">
        <f>'70'!J72</f>
        <v>0</v>
      </c>
      <c r="H299" s="1996">
        <f>'70'!K72</f>
        <v>0</v>
      </c>
      <c r="I299" s="1996">
        <f>'70'!L72</f>
        <v>0</v>
      </c>
      <c r="J299" s="1986"/>
      <c r="K299" s="1986"/>
      <c r="N299" s="1986"/>
    </row>
    <row r="300" spans="1:15" s="439" customFormat="1" x14ac:dyDescent="0.2">
      <c r="A300" s="1576" t="s">
        <v>1324</v>
      </c>
      <c r="B300" s="1156"/>
      <c r="C300" s="448">
        <f>'70'!E73</f>
        <v>0</v>
      </c>
      <c r="D300" s="448">
        <f>'70'!F73</f>
        <v>0</v>
      </c>
      <c r="E300" s="448">
        <f>'70'!G73</f>
        <v>71</v>
      </c>
      <c r="F300" s="481">
        <v>0</v>
      </c>
      <c r="G300" s="1987">
        <f>'70'!J73</f>
        <v>0</v>
      </c>
      <c r="H300" s="1988">
        <f>'70'!K73</f>
        <v>0</v>
      </c>
      <c r="I300" s="1988">
        <f>'70'!L73</f>
        <v>71119.5</v>
      </c>
      <c r="J300" s="1986"/>
      <c r="K300" s="2505">
        <f t="shared" ref="K300:M301" si="22">G151+G155+G161+G186+G191+G196+G209+G214+G219+G225+G230+G234+G239+G244+G249+G254+G267+G272+G277+G282+G288+G293+G298+G304+G309+G314+G326</f>
        <v>72989000</v>
      </c>
      <c r="L300" s="2505">
        <f t="shared" si="22"/>
        <v>410896078.42000008</v>
      </c>
      <c r="M300" s="2505">
        <f t="shared" si="22"/>
        <v>268895505.74999994</v>
      </c>
      <c r="N300" s="2545" t="s">
        <v>1625</v>
      </c>
      <c r="O300" s="2526"/>
    </row>
    <row r="301" spans="1:15" s="439" customFormat="1" x14ac:dyDescent="0.2">
      <c r="A301" s="2683" t="s">
        <v>1624</v>
      </c>
      <c r="B301" s="1146"/>
      <c r="C301" s="446"/>
      <c r="D301" s="446"/>
      <c r="E301" s="446"/>
      <c r="F301" s="452"/>
      <c r="G301" s="1986"/>
      <c r="H301" s="1986"/>
      <c r="I301" s="1986"/>
      <c r="J301" s="1986"/>
      <c r="K301" s="2505">
        <f t="shared" si="22"/>
        <v>1887000</v>
      </c>
      <c r="L301" s="2505">
        <f t="shared" si="22"/>
        <v>532858498.95999998</v>
      </c>
      <c r="M301" s="2505">
        <f t="shared" si="22"/>
        <v>479939960.54000002</v>
      </c>
      <c r="N301" s="2506" t="s">
        <v>1626</v>
      </c>
      <c r="O301" s="2526"/>
    </row>
    <row r="302" spans="1:15" s="439" customFormat="1" x14ac:dyDescent="0.2">
      <c r="A302" s="2684"/>
      <c r="B302" s="1146"/>
      <c r="C302" s="446"/>
      <c r="D302" s="446"/>
      <c r="E302" s="446"/>
      <c r="F302" s="452"/>
      <c r="G302" s="1986"/>
      <c r="H302" s="1986"/>
      <c r="I302" s="1986"/>
      <c r="J302" s="1986"/>
      <c r="K302" s="2508">
        <f>G153+G157+G163+G188+G193+G198+G211+G216+G221+G227+G232+G236+G241+G246+G251+G256+G269+G274+G279+G284+G290+G295+G300+G306+G311++G316+G328</f>
        <v>0</v>
      </c>
      <c r="L302" s="2508">
        <f>H153+H157+H163+H188+H193+H198+H211+H216+H221+H227+H232+H236+H241+H246+H251+H256+H269+H274+H279+H284+H290+H295+H300+H306+H311++H316+H328</f>
        <v>0</v>
      </c>
      <c r="M302" s="2508">
        <f>I153+I157+I163+I188+I193+I198+I211+I216+I221+I227+I232+I236+I241+I246+I251+I256+I269+I274+I279+I284+I290+I295+I300+I306+I311++I316+I328</f>
        <v>212301740.10000002</v>
      </c>
      <c r="N302" s="2506" t="s">
        <v>1627</v>
      </c>
      <c r="O302" s="2526"/>
    </row>
    <row r="303" spans="1:15" s="439" customFormat="1" ht="15" x14ac:dyDescent="0.25">
      <c r="A303" s="2684"/>
      <c r="B303" s="1146">
        <v>71</v>
      </c>
      <c r="C303" s="392">
        <f>C304+C305+C306</f>
        <v>0</v>
      </c>
      <c r="D303" s="392">
        <f>D304+D305+D306</f>
        <v>5206</v>
      </c>
      <c r="E303" s="392">
        <f>E304+E305+E306</f>
        <v>3213</v>
      </c>
      <c r="F303" s="442">
        <v>0</v>
      </c>
      <c r="G303" s="2544">
        <f>SUM(G304:G306)</f>
        <v>0</v>
      </c>
      <c r="H303" s="2544">
        <f>SUM(H304:H306)</f>
        <v>5205577</v>
      </c>
      <c r="I303" s="2544">
        <f>SUM(I304:I306)</f>
        <v>3213032.92</v>
      </c>
      <c r="J303" s="2505"/>
      <c r="K303" s="2497">
        <f>K300+K301+K302</f>
        <v>74876000</v>
      </c>
      <c r="L303" s="2497">
        <f>L300+L301+L302</f>
        <v>943754577.38000011</v>
      </c>
      <c r="M303" s="2497">
        <f>M300+M301+M302</f>
        <v>961137206.38999999</v>
      </c>
      <c r="N303" s="2546" t="s">
        <v>1630</v>
      </c>
      <c r="O303" s="2526"/>
    </row>
    <row r="304" spans="1:15" s="439" customFormat="1" x14ac:dyDescent="0.2">
      <c r="A304" s="435" t="s">
        <v>704</v>
      </c>
      <c r="B304" s="1146"/>
      <c r="C304" s="446">
        <f>'71'!E34</f>
        <v>0</v>
      </c>
      <c r="D304" s="446">
        <f>'71'!F34</f>
        <v>5206</v>
      </c>
      <c r="E304" s="446">
        <f>'71'!G34</f>
        <v>3178</v>
      </c>
      <c r="F304" s="452">
        <f>E304/D304*100</f>
        <v>61.044948136765278</v>
      </c>
      <c r="G304" s="1996">
        <f>'71'!J34</f>
        <v>0</v>
      </c>
      <c r="H304" s="1996">
        <f>'71'!K34</f>
        <v>5205577</v>
      </c>
      <c r="I304" s="1996">
        <f>'71'!L34</f>
        <v>3177982.92</v>
      </c>
      <c r="J304" s="1996"/>
      <c r="K304" s="1996"/>
    </row>
    <row r="305" spans="1:11" s="439" customFormat="1" x14ac:dyDescent="0.2">
      <c r="A305" s="435" t="s">
        <v>705</v>
      </c>
      <c r="B305" s="1146"/>
      <c r="C305" s="446">
        <f>'71'!E35</f>
        <v>0</v>
      </c>
      <c r="D305" s="446">
        <f>'71'!F35</f>
        <v>0</v>
      </c>
      <c r="E305" s="446">
        <f>'71'!G35</f>
        <v>0</v>
      </c>
      <c r="F305" s="452">
        <v>0</v>
      </c>
      <c r="G305" s="1996">
        <f>'71'!J35</f>
        <v>0</v>
      </c>
      <c r="H305" s="1996">
        <f>'71'!K35</f>
        <v>0</v>
      </c>
      <c r="I305" s="1996">
        <f>'71'!L35</f>
        <v>0</v>
      </c>
      <c r="J305" s="1986"/>
      <c r="K305" s="1986"/>
    </row>
    <row r="306" spans="1:11" s="439" customFormat="1" x14ac:dyDescent="0.2">
      <c r="A306" s="1576" t="s">
        <v>1324</v>
      </c>
      <c r="B306" s="1156"/>
      <c r="C306" s="448">
        <f>'71'!E36</f>
        <v>0</v>
      </c>
      <c r="D306" s="448">
        <f>'71'!F36</f>
        <v>0</v>
      </c>
      <c r="E306" s="448">
        <f>'71'!G36</f>
        <v>35</v>
      </c>
      <c r="F306" s="481">
        <v>0</v>
      </c>
      <c r="G306" s="1987">
        <f>'71'!J36</f>
        <v>0</v>
      </c>
      <c r="H306" s="1988">
        <f>'71'!K36</f>
        <v>0</v>
      </c>
      <c r="I306" s="1988">
        <f>'71'!L36</f>
        <v>35050</v>
      </c>
      <c r="J306" s="1986"/>
      <c r="K306" s="1986"/>
    </row>
    <row r="307" spans="1:11" s="439" customFormat="1" ht="15" x14ac:dyDescent="0.25">
      <c r="A307" s="2683" t="s">
        <v>1890</v>
      </c>
      <c r="B307" s="1146">
        <v>72</v>
      </c>
      <c r="C307" s="392">
        <f>C309+C310+C311</f>
        <v>0</v>
      </c>
      <c r="D307" s="392">
        <f>D309+D310+D311</f>
        <v>100</v>
      </c>
      <c r="E307" s="392">
        <f>E309+E310+E311</f>
        <v>33</v>
      </c>
      <c r="F307" s="442">
        <v>0</v>
      </c>
      <c r="G307" s="2497">
        <f>G309+G310+G311</f>
        <v>0</v>
      </c>
      <c r="H307" s="2497">
        <f t="shared" ref="H307:I307" si="23">H309+H310+H311</f>
        <v>100014</v>
      </c>
      <c r="I307" s="2497">
        <f t="shared" si="23"/>
        <v>33163</v>
      </c>
      <c r="J307" s="1986"/>
      <c r="K307" s="1986"/>
    </row>
    <row r="308" spans="1:11" s="439" customFormat="1" x14ac:dyDescent="0.2">
      <c r="A308" s="2684"/>
      <c r="B308" s="1146"/>
      <c r="C308" s="446"/>
      <c r="D308" s="446"/>
      <c r="E308" s="446"/>
      <c r="F308" s="452"/>
      <c r="G308" s="1986"/>
      <c r="H308" s="1986"/>
      <c r="I308" s="1986"/>
      <c r="J308" s="1986"/>
      <c r="K308" s="1986"/>
    </row>
    <row r="309" spans="1:11" s="439" customFormat="1" x14ac:dyDescent="0.2">
      <c r="A309" s="435" t="s">
        <v>704</v>
      </c>
      <c r="B309" s="1146"/>
      <c r="C309" s="446">
        <f>'72'!E65</f>
        <v>0</v>
      </c>
      <c r="D309" s="446">
        <f>'72'!F65</f>
        <v>100</v>
      </c>
      <c r="E309" s="446">
        <f>'72'!G65</f>
        <v>33</v>
      </c>
      <c r="F309" s="452">
        <f>E309/D309*100</f>
        <v>33</v>
      </c>
      <c r="G309" s="1986">
        <f>'72'!J65</f>
        <v>0</v>
      </c>
      <c r="H309" s="1986">
        <f>'72'!K65</f>
        <v>100014</v>
      </c>
      <c r="I309" s="1986">
        <f>'72'!L65</f>
        <v>33163</v>
      </c>
      <c r="J309" s="1986"/>
      <c r="K309" s="1986"/>
    </row>
    <row r="310" spans="1:11" s="439" customFormat="1" x14ac:dyDescent="0.2">
      <c r="A310" s="435" t="s">
        <v>705</v>
      </c>
      <c r="B310" s="1146"/>
      <c r="C310" s="446">
        <f>'72'!E66</f>
        <v>0</v>
      </c>
      <c r="D310" s="446">
        <f>'72'!F66</f>
        <v>0</v>
      </c>
      <c r="E310" s="446">
        <f>'72'!G66</f>
        <v>0</v>
      </c>
      <c r="F310" s="452">
        <v>0</v>
      </c>
      <c r="G310" s="1986">
        <f>'72'!J66</f>
        <v>0</v>
      </c>
      <c r="H310" s="1986">
        <f>'72'!K66</f>
        <v>0</v>
      </c>
      <c r="I310" s="1986">
        <f>'72'!L66</f>
        <v>0</v>
      </c>
      <c r="J310" s="1986"/>
      <c r="K310" s="1986"/>
    </row>
    <row r="311" spans="1:11" s="439" customFormat="1" x14ac:dyDescent="0.2">
      <c r="A311" s="1576" t="s">
        <v>1324</v>
      </c>
      <c r="B311" s="1156"/>
      <c r="C311" s="448">
        <f>'72'!E67</f>
        <v>0</v>
      </c>
      <c r="D311" s="448">
        <f>'72'!F67</f>
        <v>0</v>
      </c>
      <c r="E311" s="448">
        <f>'72'!G67</f>
        <v>0</v>
      </c>
      <c r="F311" s="481">
        <v>0</v>
      </c>
      <c r="G311" s="1987">
        <f>'72'!J67</f>
        <v>0</v>
      </c>
      <c r="H311" s="1988">
        <f>'72'!K67</f>
        <v>0</v>
      </c>
      <c r="I311" s="1988">
        <f>'72'!L67</f>
        <v>0</v>
      </c>
      <c r="J311" s="1986"/>
      <c r="K311" s="1986"/>
    </row>
    <row r="312" spans="1:11" s="439" customFormat="1" ht="15" x14ac:dyDescent="0.25">
      <c r="A312" s="2683" t="s">
        <v>1875</v>
      </c>
      <c r="B312" s="1146">
        <v>73</v>
      </c>
      <c r="C312" s="392">
        <f>C314+C315+C316</f>
        <v>0</v>
      </c>
      <c r="D312" s="392">
        <f t="shared" ref="D312:E312" si="24">D314+D315+D316</f>
        <v>91</v>
      </c>
      <c r="E312" s="392">
        <f t="shared" si="24"/>
        <v>59</v>
      </c>
      <c r="F312" s="442">
        <v>0</v>
      </c>
      <c r="G312" s="2497">
        <f>G314+G315+G316</f>
        <v>0</v>
      </c>
      <c r="H312" s="2497">
        <f t="shared" ref="H312:I312" si="25">H314+H315+H316</f>
        <v>90940</v>
      </c>
      <c r="I312" s="2497">
        <f t="shared" si="25"/>
        <v>59419</v>
      </c>
      <c r="J312" s="1986"/>
      <c r="K312" s="1986"/>
    </row>
    <row r="313" spans="1:11" s="439" customFormat="1" x14ac:dyDescent="0.2">
      <c r="A313" s="2684"/>
      <c r="B313" s="1146"/>
      <c r="C313" s="446"/>
      <c r="D313" s="446"/>
      <c r="E313" s="446"/>
      <c r="F313" s="452"/>
      <c r="G313" s="1986"/>
      <c r="H313" s="1986"/>
      <c r="I313" s="1986"/>
      <c r="J313" s="1986"/>
      <c r="K313" s="1986"/>
    </row>
    <row r="314" spans="1:11" s="439" customFormat="1" x14ac:dyDescent="0.2">
      <c r="A314" s="435" t="s">
        <v>704</v>
      </c>
      <c r="B314" s="1146"/>
      <c r="C314" s="446">
        <f>'73'!E55</f>
        <v>0</v>
      </c>
      <c r="D314" s="446">
        <f>'73'!F55</f>
        <v>91</v>
      </c>
      <c r="E314" s="446">
        <f>'73'!G55</f>
        <v>41</v>
      </c>
      <c r="F314" s="452">
        <f>E314/D314*100</f>
        <v>45.054945054945058</v>
      </c>
      <c r="G314" s="1986">
        <f>'73'!J55</f>
        <v>0</v>
      </c>
      <c r="H314" s="1986">
        <f>'73'!K55</f>
        <v>90940</v>
      </c>
      <c r="I314" s="1986">
        <f>'73'!L55</f>
        <v>41557</v>
      </c>
      <c r="J314" s="1986"/>
      <c r="K314" s="1986"/>
    </row>
    <row r="315" spans="1:11" s="439" customFormat="1" x14ac:dyDescent="0.2">
      <c r="A315" s="435" t="s">
        <v>705</v>
      </c>
      <c r="B315" s="1146"/>
      <c r="C315" s="446">
        <f>'73'!E56</f>
        <v>0</v>
      </c>
      <c r="D315" s="446">
        <f>'73'!F56</f>
        <v>0</v>
      </c>
      <c r="E315" s="446">
        <f>'73'!G56</f>
        <v>0</v>
      </c>
      <c r="F315" s="452">
        <v>0</v>
      </c>
      <c r="G315" s="1986">
        <f>'73'!J56</f>
        <v>0</v>
      </c>
      <c r="H315" s="1986">
        <f>'73'!K56</f>
        <v>0</v>
      </c>
      <c r="I315" s="1986">
        <f>'73'!L56</f>
        <v>0</v>
      </c>
      <c r="J315" s="1986"/>
      <c r="K315" s="1986"/>
    </row>
    <row r="316" spans="1:11" s="439" customFormat="1" ht="15" thickBot="1" x14ac:dyDescent="0.25">
      <c r="A316" s="1552" t="s">
        <v>1324</v>
      </c>
      <c r="B316" s="1157"/>
      <c r="C316" s="482">
        <f>'73'!E57</f>
        <v>0</v>
      </c>
      <c r="D316" s="482">
        <f>'73'!F57</f>
        <v>0</v>
      </c>
      <c r="E316" s="482">
        <f>'73'!G57</f>
        <v>18</v>
      </c>
      <c r="F316" s="483">
        <v>0</v>
      </c>
      <c r="G316" s="1987">
        <f>'73'!J57</f>
        <v>0</v>
      </c>
      <c r="H316" s="1988">
        <f>'73'!K57</f>
        <v>0</v>
      </c>
      <c r="I316" s="1988">
        <f>'73'!L57</f>
        <v>17862</v>
      </c>
      <c r="J316" s="1986"/>
      <c r="K316" s="1986"/>
    </row>
    <row r="317" spans="1:11" s="2524" customFormat="1" ht="15" thickTop="1" x14ac:dyDescent="0.2">
      <c r="A317" s="2653"/>
      <c r="B317" s="2654"/>
      <c r="C317" s="2655">
        <f>SUM(C312,C307,C303,C297,C292,C287,C281,C276,C271,C266)</f>
        <v>18613</v>
      </c>
      <c r="D317" s="2655">
        <f t="shared" ref="D317:I317" si="26">SUM(D312,D307,D303,D297,D292,D287,D281,D276,D271,D266)</f>
        <v>134752</v>
      </c>
      <c r="E317" s="2655">
        <f t="shared" si="26"/>
        <v>78697</v>
      </c>
      <c r="F317" s="2655">
        <f t="shared" si="26"/>
        <v>649.66059327030337</v>
      </c>
      <c r="G317" s="2542">
        <f t="shared" si="26"/>
        <v>18613000</v>
      </c>
      <c r="H317" s="2542">
        <f t="shared" si="26"/>
        <v>134750444.55000001</v>
      </c>
      <c r="I317" s="2542">
        <f t="shared" si="26"/>
        <v>78696838.620000005</v>
      </c>
      <c r="J317" s="2514"/>
      <c r="K317" s="2514"/>
    </row>
    <row r="318" spans="1:11" s="2524" customFormat="1" x14ac:dyDescent="0.2">
      <c r="A318" s="2660" t="s">
        <v>1654</v>
      </c>
      <c r="B318" s="2654"/>
      <c r="C318" s="2655">
        <f>SUM(C316,C314,C311,C309,C306,C304,C300,C298,C295,C293,C290,C288,C284,C282,C279,C277,C274,C272,C269,C267)</f>
        <v>18113</v>
      </c>
      <c r="D318" s="2655">
        <f t="shared" ref="D318:I318" si="27">SUM(D316,D314,D311,D309,D306,D304,D300,D298,D295,D293,D290,D288,D284,D282,D279,D277,D274,D272,D269,D267)</f>
        <v>127665</v>
      </c>
      <c r="E318" s="2655">
        <f t="shared" si="27"/>
        <v>74388</v>
      </c>
      <c r="F318" s="2655">
        <f t="shared" si="27"/>
        <v>610.22896536381245</v>
      </c>
      <c r="G318" s="2542">
        <f t="shared" si="27"/>
        <v>18113000</v>
      </c>
      <c r="H318" s="2542">
        <f t="shared" si="27"/>
        <v>127662400.55000001</v>
      </c>
      <c r="I318" s="2542">
        <f t="shared" si="27"/>
        <v>74386602.310000002</v>
      </c>
      <c r="J318" s="2514"/>
      <c r="K318" s="2514"/>
    </row>
    <row r="319" spans="1:11" s="2524" customFormat="1" x14ac:dyDescent="0.2">
      <c r="A319" s="2660" t="s">
        <v>1655</v>
      </c>
      <c r="B319" s="2654"/>
      <c r="C319" s="2655">
        <f>SUM(C315,C310,C305,C299,C294,C289,C283,C278,C273,C268)</f>
        <v>500</v>
      </c>
      <c r="D319" s="2655">
        <f t="shared" ref="D319:I319" si="28">SUM(D315,D310,D305,D299,D294,D289,D283,D278,D273,D268)</f>
        <v>7087</v>
      </c>
      <c r="E319" s="2655">
        <f t="shared" si="28"/>
        <v>4309</v>
      </c>
      <c r="F319" s="2655">
        <f t="shared" si="28"/>
        <v>234.43443443443442</v>
      </c>
      <c r="G319" s="2542">
        <f t="shared" si="28"/>
        <v>500000</v>
      </c>
      <c r="H319" s="2542">
        <f t="shared" si="28"/>
        <v>7088044</v>
      </c>
      <c r="I319" s="2542">
        <f t="shared" si="28"/>
        <v>4310236.3100000005</v>
      </c>
      <c r="J319" s="2514"/>
      <c r="K319" s="2514"/>
    </row>
    <row r="320" spans="1:11" s="2524" customFormat="1" x14ac:dyDescent="0.2">
      <c r="A320" s="2660"/>
      <c r="B320" s="2654"/>
      <c r="C320" s="2661">
        <f>SUM(C318:C319)</f>
        <v>18613</v>
      </c>
      <c r="D320" s="2661">
        <f t="shared" ref="D320:H320" si="29">SUM(D318:D319)</f>
        <v>134752</v>
      </c>
      <c r="E320" s="2661">
        <f t="shared" si="29"/>
        <v>78697</v>
      </c>
      <c r="F320" s="2661">
        <f t="shared" si="29"/>
        <v>844.66339979824693</v>
      </c>
      <c r="G320" s="2558">
        <f t="shared" si="29"/>
        <v>18613000</v>
      </c>
      <c r="H320" s="2558">
        <f t="shared" si="29"/>
        <v>134750444.55000001</v>
      </c>
      <c r="I320" s="2558">
        <f>SUM(I318:I319)</f>
        <v>78696838.620000005</v>
      </c>
      <c r="J320" s="2514"/>
      <c r="K320" s="2514"/>
    </row>
    <row r="321" spans="1:14" ht="15" thickBot="1" x14ac:dyDescent="0.25">
      <c r="C321" s="384"/>
      <c r="F321" s="385" t="s">
        <v>179</v>
      </c>
      <c r="G321" s="1990"/>
      <c r="H321" s="1990"/>
      <c r="I321" s="1990"/>
      <c r="J321" s="1990"/>
      <c r="K321" s="1990"/>
    </row>
    <row r="322" spans="1:14" s="350" customFormat="1" ht="26.25" customHeight="1" thickTop="1" thickBot="1" x14ac:dyDescent="0.25">
      <c r="A322" s="1141" t="s">
        <v>699</v>
      </c>
      <c r="B322" s="1142" t="s">
        <v>702</v>
      </c>
      <c r="C322" s="529" t="s">
        <v>700</v>
      </c>
      <c r="D322" s="529" t="s">
        <v>701</v>
      </c>
      <c r="E322" s="529" t="s">
        <v>986</v>
      </c>
      <c r="F322" s="530" t="s">
        <v>987</v>
      </c>
      <c r="G322" s="1983"/>
      <c r="H322" s="1983"/>
      <c r="I322" s="1983"/>
      <c r="J322" s="1983"/>
      <c r="K322" s="1983"/>
    </row>
    <row r="323" spans="1:14" s="1542" customFormat="1" ht="12.75" thickTop="1" thickBot="1" x14ac:dyDescent="0.25">
      <c r="A323" s="592">
        <v>1</v>
      </c>
      <c r="B323" s="1544">
        <v>2</v>
      </c>
      <c r="C323" s="528">
        <v>3</v>
      </c>
      <c r="D323" s="528">
        <v>4</v>
      </c>
      <c r="E323" s="528">
        <v>5</v>
      </c>
      <c r="F323" s="553" t="s">
        <v>464</v>
      </c>
      <c r="G323" s="1984"/>
      <c r="H323" s="1984"/>
      <c r="I323" s="1984"/>
      <c r="J323" s="1984"/>
      <c r="K323" s="1984"/>
    </row>
    <row r="324" spans="1:14" s="439" customFormat="1" ht="15.75" thickTop="1" x14ac:dyDescent="0.25">
      <c r="A324" s="2683" t="s">
        <v>1891</v>
      </c>
      <c r="B324" s="1146">
        <v>74</v>
      </c>
      <c r="C324" s="392">
        <f>C326+C327+C328</f>
        <v>0</v>
      </c>
      <c r="D324" s="392">
        <f t="shared" ref="D324:E324" si="30">D326+D327+D328</f>
        <v>3201</v>
      </c>
      <c r="E324" s="392">
        <f t="shared" si="30"/>
        <v>849</v>
      </c>
      <c r="F324" s="442">
        <v>0</v>
      </c>
      <c r="G324" s="2497">
        <f>G326+G327+G328</f>
        <v>0</v>
      </c>
      <c r="H324" s="2497">
        <f t="shared" ref="H324:I324" si="31">H326+H327+H328</f>
        <v>3201000</v>
      </c>
      <c r="I324" s="2497">
        <f t="shared" si="31"/>
        <v>848546.56</v>
      </c>
      <c r="J324" s="1986"/>
      <c r="K324" s="1986"/>
    </row>
    <row r="325" spans="1:14" s="439" customFormat="1" x14ac:dyDescent="0.2">
      <c r="A325" s="2684"/>
      <c r="B325" s="1146"/>
      <c r="C325" s="446"/>
      <c r="D325" s="446"/>
      <c r="E325" s="446"/>
      <c r="F325" s="452"/>
      <c r="G325" s="1986"/>
      <c r="H325" s="1986"/>
      <c r="I325" s="1986"/>
      <c r="J325" s="1986"/>
      <c r="K325" s="1986"/>
    </row>
    <row r="326" spans="1:14" s="439" customFormat="1" x14ac:dyDescent="0.2">
      <c r="A326" s="435" t="s">
        <v>704</v>
      </c>
      <c r="B326" s="1146"/>
      <c r="C326" s="446">
        <f>'74'!E94</f>
        <v>0</v>
      </c>
      <c r="D326" s="446">
        <f>'74'!F94</f>
        <v>3201</v>
      </c>
      <c r="E326" s="446">
        <f>'74'!G94</f>
        <v>849</v>
      </c>
      <c r="F326" s="452">
        <f>E326/D326*100</f>
        <v>26.522961574507963</v>
      </c>
      <c r="G326" s="1986">
        <f>'74'!J94</f>
        <v>0</v>
      </c>
      <c r="H326" s="1986">
        <f>'74'!K94</f>
        <v>3201000</v>
      </c>
      <c r="I326" s="1986">
        <f>'74'!L94</f>
        <v>848546.56</v>
      </c>
      <c r="J326" s="1986"/>
      <c r="K326" s="1986"/>
    </row>
    <row r="327" spans="1:14" s="439" customFormat="1" x14ac:dyDescent="0.2">
      <c r="A327" s="435" t="s">
        <v>705</v>
      </c>
      <c r="B327" s="1146"/>
      <c r="C327" s="446">
        <f>'74'!E95</f>
        <v>0</v>
      </c>
      <c r="D327" s="446">
        <f>'74'!F95</f>
        <v>0</v>
      </c>
      <c r="E327" s="446">
        <f>'74'!G95</f>
        <v>0</v>
      </c>
      <c r="F327" s="452">
        <v>0</v>
      </c>
      <c r="G327" s="1986">
        <f>'74'!J95</f>
        <v>0</v>
      </c>
      <c r="H327" s="1986">
        <f>'74'!K95</f>
        <v>0</v>
      </c>
      <c r="I327" s="1986">
        <f>'74'!L95</f>
        <v>0</v>
      </c>
      <c r="J327" s="1986"/>
      <c r="K327" s="1986"/>
    </row>
    <row r="328" spans="1:14" s="439" customFormat="1" x14ac:dyDescent="0.2">
      <c r="A328" s="1576" t="s">
        <v>1324</v>
      </c>
      <c r="B328" s="1146"/>
      <c r="C328" s="446">
        <f>'74'!E96</f>
        <v>0</v>
      </c>
      <c r="D328" s="446">
        <f>'74'!F96</f>
        <v>0</v>
      </c>
      <c r="E328" s="446">
        <f>'74'!G96</f>
        <v>0</v>
      </c>
      <c r="F328" s="481">
        <v>0</v>
      </c>
      <c r="G328" s="1987">
        <f>'74'!J96</f>
        <v>0</v>
      </c>
      <c r="H328" s="1988">
        <f>'74'!K96</f>
        <v>0</v>
      </c>
      <c r="I328" s="1988">
        <f>'74'!L96</f>
        <v>0</v>
      </c>
      <c r="J328" s="1986"/>
      <c r="K328" s="1986"/>
    </row>
    <row r="329" spans="1:14" s="439" customFormat="1" ht="15" x14ac:dyDescent="0.25">
      <c r="A329" s="2460" t="s">
        <v>1005</v>
      </c>
      <c r="B329" s="2477">
        <v>99</v>
      </c>
      <c r="C329" s="2472">
        <f>C330+C331</f>
        <v>40000</v>
      </c>
      <c r="D329" s="2472">
        <f>SUM(D330:D331)</f>
        <v>74036</v>
      </c>
      <c r="E329" s="2472">
        <f>SUM(E330:E331)</f>
        <v>54435</v>
      </c>
      <c r="F329" s="452">
        <f>E329/D329*100</f>
        <v>73.525041871521964</v>
      </c>
      <c r="G329" s="2497">
        <v>40000000</v>
      </c>
      <c r="H329" s="2497">
        <f>SUM(H330:H331)</f>
        <v>74036175.460000008</v>
      </c>
      <c r="I329" s="2497">
        <f>SUM(I330:I331)</f>
        <v>54435258.5</v>
      </c>
      <c r="J329" s="1985"/>
      <c r="K329" s="1985">
        <f t="shared" ref="K329:M330" si="32">K51+K119+K144+K300+G330+G333</f>
        <v>3286721000</v>
      </c>
      <c r="L329" s="1985">
        <f t="shared" si="32"/>
        <v>3970901718.6300001</v>
      </c>
      <c r="M329" s="1985">
        <f t="shared" si="32"/>
        <v>3473884201.2199998</v>
      </c>
      <c r="N329" s="1989" t="s">
        <v>711</v>
      </c>
    </row>
    <row r="330" spans="1:14" s="439" customFormat="1" x14ac:dyDescent="0.2">
      <c r="A330" s="435" t="s">
        <v>704</v>
      </c>
      <c r="B330" s="1146"/>
      <c r="C330" s="446">
        <f>SUM('F - 99'!E22)</f>
        <v>20000</v>
      </c>
      <c r="D330" s="446">
        <f>SUM('F - 99'!F22)</f>
        <v>26050</v>
      </c>
      <c r="E330" s="446">
        <f>SUM('F - 99'!G22)</f>
        <v>25835</v>
      </c>
      <c r="F330" s="452">
        <f>E330/D330*100</f>
        <v>99.174664107485597</v>
      </c>
      <c r="G330" s="1986">
        <v>20000000</v>
      </c>
      <c r="H330" s="1986">
        <v>26050000</v>
      </c>
      <c r="I330" s="1986">
        <v>25835258.5</v>
      </c>
      <c r="J330" s="1986"/>
      <c r="K330" s="1985">
        <f t="shared" si="32"/>
        <v>964743000</v>
      </c>
      <c r="L330" s="1985">
        <f t="shared" si="32"/>
        <v>1526237283.2</v>
      </c>
      <c r="M330" s="1985">
        <f t="shared" si="32"/>
        <v>1403061001.71</v>
      </c>
      <c r="N330" s="1989" t="s">
        <v>1892</v>
      </c>
    </row>
    <row r="331" spans="1:14" s="439" customFormat="1" x14ac:dyDescent="0.2">
      <c r="A331" s="1576" t="s">
        <v>705</v>
      </c>
      <c r="B331" s="1156"/>
      <c r="C331" s="448">
        <f>SUM('F - 99'!E23)</f>
        <v>20000</v>
      </c>
      <c r="D331" s="448">
        <f>SUM('F - 99'!F23)</f>
        <v>47986</v>
      </c>
      <c r="E331" s="448">
        <f>SUM('F - 99'!G23)</f>
        <v>28600</v>
      </c>
      <c r="F331" s="481">
        <f>E331/D331*100</f>
        <v>59.600716875755431</v>
      </c>
      <c r="G331" s="1987">
        <v>20000000</v>
      </c>
      <c r="H331" s="1988">
        <v>47986175.460000001</v>
      </c>
      <c r="I331" s="1988">
        <v>28600000</v>
      </c>
      <c r="J331" s="1986"/>
      <c r="K331" s="1985">
        <f t="shared" ref="K331:M332" si="33">K146+K121+K53</f>
        <v>600000</v>
      </c>
      <c r="L331" s="1985">
        <f t="shared" si="33"/>
        <v>5402190164.6400003</v>
      </c>
      <c r="M331" s="1985">
        <f t="shared" si="33"/>
        <v>5400649615.5500002</v>
      </c>
      <c r="N331" s="1989" t="s">
        <v>752</v>
      </c>
    </row>
    <row r="332" spans="1:14" s="439" customFormat="1" ht="15" x14ac:dyDescent="0.25">
      <c r="A332" s="2461" t="s">
        <v>150</v>
      </c>
      <c r="B332" s="1146">
        <v>199</v>
      </c>
      <c r="C332" s="392">
        <f>SUM(C333:C334)</f>
        <v>6223</v>
      </c>
      <c r="D332" s="392">
        <f>SUM(D333:D334)</f>
        <v>6995</v>
      </c>
      <c r="E332" s="392">
        <f>SUM(E333:E334)</f>
        <v>5911</v>
      </c>
      <c r="F332" s="452">
        <f>E332/D332*100</f>
        <v>84.503216583273769</v>
      </c>
      <c r="G332" s="2497">
        <f>G333</f>
        <v>6223000</v>
      </c>
      <c r="H332" s="2497">
        <f>H333</f>
        <v>6994707.1399999997</v>
      </c>
      <c r="I332" s="2497">
        <f>I333</f>
        <v>5910384.5999999996</v>
      </c>
      <c r="J332" s="1985"/>
      <c r="K332" s="1985">
        <f t="shared" si="33"/>
        <v>0</v>
      </c>
      <c r="L332" s="1985">
        <f t="shared" si="33"/>
        <v>52288089.329999998</v>
      </c>
      <c r="M332" s="1985">
        <f t="shared" si="33"/>
        <v>52288089.329999998</v>
      </c>
      <c r="N332" s="1989" t="s">
        <v>1619</v>
      </c>
    </row>
    <row r="333" spans="1:14" s="439" customFormat="1" x14ac:dyDescent="0.2">
      <c r="A333" s="435" t="s">
        <v>704</v>
      </c>
      <c r="B333" s="1146"/>
      <c r="C333" s="446">
        <f>SUM('F -199 '!E26)</f>
        <v>6223</v>
      </c>
      <c r="D333" s="446">
        <f>SUM('F -199 '!F26)</f>
        <v>6995</v>
      </c>
      <c r="E333" s="446">
        <f>SUM('F -199 '!G26)</f>
        <v>5911</v>
      </c>
      <c r="F333" s="452">
        <f>E333/D333*100</f>
        <v>84.503216583273769</v>
      </c>
      <c r="G333" s="1986">
        <v>6223000</v>
      </c>
      <c r="H333" s="1986">
        <v>6994707.1399999997</v>
      </c>
      <c r="I333" s="1986">
        <v>5910384.5999999996</v>
      </c>
      <c r="J333" s="1986"/>
      <c r="K333" s="1997">
        <f>K302+K148+K123+K63</f>
        <v>6223000</v>
      </c>
      <c r="L333" s="1997">
        <f>L302+L148+L123+L63</f>
        <v>6223000</v>
      </c>
      <c r="M333" s="1997">
        <f>M302+M148+M123+M63</f>
        <v>217906940.10000002</v>
      </c>
      <c r="N333" s="1989" t="s">
        <v>1011</v>
      </c>
    </row>
    <row r="334" spans="1:14" s="439" customFormat="1" ht="15" thickBot="1" x14ac:dyDescent="0.25">
      <c r="A334" s="1576" t="s">
        <v>705</v>
      </c>
      <c r="B334" s="1156"/>
      <c r="C334" s="448">
        <f>SUM('F -199 '!E27)</f>
        <v>0</v>
      </c>
      <c r="D334" s="448">
        <f>SUM('F -199 '!F27)</f>
        <v>0</v>
      </c>
      <c r="E334" s="448">
        <f>SUM('F -199 '!G27)</f>
        <v>0</v>
      </c>
      <c r="F334" s="481">
        <v>0</v>
      </c>
      <c r="G334" s="1987">
        <v>0</v>
      </c>
      <c r="H334" s="1988">
        <v>0</v>
      </c>
      <c r="I334" s="1988">
        <v>0</v>
      </c>
      <c r="J334" s="1986"/>
      <c r="K334" s="1999">
        <f>SUM(K329:K333)</f>
        <v>4258287000</v>
      </c>
      <c r="L334" s="1999">
        <f>SUM(L329:L333)</f>
        <v>10957840255.800001</v>
      </c>
      <c r="M334" s="1999">
        <f>SUM(M329:M333)</f>
        <v>10547789847.91</v>
      </c>
      <c r="N334" s="1998" t="s">
        <v>849</v>
      </c>
    </row>
    <row r="335" spans="1:14" s="439" customFormat="1" ht="16.5" hidden="1" thickTop="1" thickBot="1" x14ac:dyDescent="0.3">
      <c r="A335" s="445"/>
      <c r="B335" s="1540"/>
      <c r="C335" s="392" t="e">
        <f>SUM(#REF!,C332,C329,C271,C266,C253,C248,C243)</f>
        <v>#REF!</v>
      </c>
      <c r="D335" s="392" t="e">
        <f>SUM(#REF!,D332,D329,D271,D266,D253,D248,D243)</f>
        <v>#REF!</v>
      </c>
      <c r="E335" s="392" t="e">
        <f>SUM(#REF!,E332,E329,E271,E266,E253,E248,E243)</f>
        <v>#REF!</v>
      </c>
      <c r="F335" s="452"/>
      <c r="G335" s="604" t="e">
        <f>SUM(#REF!,G332,G329,G271,G266,G253,G248,G243)</f>
        <v>#REF!</v>
      </c>
      <c r="H335" s="604" t="e">
        <f>SUM(#REF!,H332,H329,H271,H266,H253,H248,H243)</f>
        <v>#REF!</v>
      </c>
      <c r="I335" s="604" t="e">
        <f>SUM(#REF!,I332,I329,I271,I266,I253,I248,I243)</f>
        <v>#REF!</v>
      </c>
      <c r="J335" s="1997"/>
      <c r="K335" s="1997">
        <f t="shared" ref="K335:M336" si="34">SUM(K329,K331)</f>
        <v>3287321000</v>
      </c>
      <c r="L335" s="1997">
        <f t="shared" si="34"/>
        <v>9373091883.2700005</v>
      </c>
      <c r="M335" s="1997">
        <f t="shared" si="34"/>
        <v>8874533816.7700005</v>
      </c>
    </row>
    <row r="336" spans="1:14" ht="26.25" customHeight="1" thickTop="1" thickBot="1" x14ac:dyDescent="0.3">
      <c r="A336" s="2686" t="s">
        <v>1326</v>
      </c>
      <c r="B336" s="2687"/>
      <c r="C336" s="1159">
        <f>SUM(C199,C257,C124,C62,C266,C271,C276,C281,C287,C292,C297,C303,C329,C332,C324,C312,C307)</f>
        <v>4258287</v>
      </c>
      <c r="D336" s="1159">
        <f>SUM(D199,D257,D124,D62,D266,D271,D276,D281,D287,D292,D297,D303,D329,D332,D324,D312,D307)</f>
        <v>10957840</v>
      </c>
      <c r="E336" s="1159">
        <f>SUM(E199,E257,E124,E62,E266,E271,E276,E281,E287,E292,E297,E303,E329,E332,E324,E312,E307)</f>
        <v>10547790</v>
      </c>
      <c r="F336" s="1160">
        <f>E336/D336*100</f>
        <v>96.257930395041356</v>
      </c>
      <c r="G336" s="2549">
        <f>SUM(G124,G63,G199,G257,G266,G271,G329,G332,G303,G297,G292,G287,G281,G28,G324,G312,G3118,G307,G276)</f>
        <v>4258287000</v>
      </c>
      <c r="H336" s="2549">
        <f>SUM(H124,H63,H199,H257,H266,H271,H329,H332,H303,H297,H292,H287,H281,H324,H312,H3118,H307,H276)</f>
        <v>10957840255.799999</v>
      </c>
      <c r="I336" s="2000">
        <f>SUM(I124,I63,I199,I257,I266,I271,I329,I332,I303,I297,I292,I287,I281,I324,I312,I3118,I307,I276)</f>
        <v>10547789847.91</v>
      </c>
      <c r="J336" s="351"/>
      <c r="K336" s="1985">
        <f t="shared" si="34"/>
        <v>964743000</v>
      </c>
      <c r="L336" s="1985">
        <f>SUM(L330,L332)</f>
        <v>1578525372.53</v>
      </c>
      <c r="M336" s="1985">
        <f t="shared" si="34"/>
        <v>1455349091.04</v>
      </c>
      <c r="N336" s="1989" t="s">
        <v>1628</v>
      </c>
    </row>
    <row r="337" spans="1:14" ht="16.5" hidden="1" customHeight="1" thickTop="1" x14ac:dyDescent="0.2">
      <c r="A337" s="2562"/>
      <c r="B337" s="2562"/>
      <c r="C337" s="2565">
        <f>SUM(C324,C329,C332)</f>
        <v>46223</v>
      </c>
      <c r="D337" s="2565">
        <f t="shared" ref="D337:I337" si="35">SUM(D324,D329,D332)</f>
        <v>84232</v>
      </c>
      <c r="E337" s="2565">
        <f t="shared" si="35"/>
        <v>61195</v>
      </c>
      <c r="F337" s="2565">
        <f t="shared" si="35"/>
        <v>158.02825845479572</v>
      </c>
      <c r="G337" s="2565">
        <f t="shared" si="35"/>
        <v>46223000</v>
      </c>
      <c r="H337" s="2565">
        <f t="shared" si="35"/>
        <v>84231882.600000009</v>
      </c>
      <c r="I337" s="2565">
        <f t="shared" si="35"/>
        <v>61194189.660000004</v>
      </c>
      <c r="J337" s="2563"/>
      <c r="K337" s="2564"/>
      <c r="L337" s="2564"/>
      <c r="M337" s="2564"/>
      <c r="N337" s="1989"/>
    </row>
    <row r="338" spans="1:14" ht="16.5" hidden="1" customHeight="1" x14ac:dyDescent="0.2">
      <c r="A338" s="2500" t="s">
        <v>1654</v>
      </c>
      <c r="B338" s="2562"/>
      <c r="C338" s="2565">
        <f>SUM(C326,C328,C330,C333)</f>
        <v>26223</v>
      </c>
      <c r="D338" s="2565">
        <f t="shared" ref="D338:I338" si="36">SUM(D326,D328,D330,D333)</f>
        <v>36246</v>
      </c>
      <c r="E338" s="2565">
        <f t="shared" si="36"/>
        <v>32595</v>
      </c>
      <c r="F338" s="2565">
        <f t="shared" si="36"/>
        <v>210.20084226526734</v>
      </c>
      <c r="G338" s="2565">
        <f t="shared" si="36"/>
        <v>26223000</v>
      </c>
      <c r="H338" s="2565">
        <f t="shared" si="36"/>
        <v>36245707.140000001</v>
      </c>
      <c r="I338" s="2565">
        <f t="shared" si="36"/>
        <v>32594189.659999996</v>
      </c>
      <c r="J338" s="2563"/>
      <c r="K338" s="2564"/>
      <c r="L338" s="2564"/>
      <c r="M338" s="2564"/>
      <c r="N338" s="1989"/>
    </row>
    <row r="339" spans="1:14" ht="16.5" hidden="1" customHeight="1" x14ac:dyDescent="0.2">
      <c r="A339" s="2500" t="s">
        <v>1655</v>
      </c>
      <c r="B339" s="2562"/>
      <c r="C339" s="2565">
        <f>SUM(C334,C331,C327)</f>
        <v>20000</v>
      </c>
      <c r="D339" s="2565">
        <f t="shared" ref="D339:I339" si="37">SUM(D334,D331,D327)</f>
        <v>47986</v>
      </c>
      <c r="E339" s="2565">
        <f t="shared" si="37"/>
        <v>28600</v>
      </c>
      <c r="F339" s="2565">
        <f t="shared" si="37"/>
        <v>59.600716875755431</v>
      </c>
      <c r="G339" s="2565">
        <f t="shared" si="37"/>
        <v>20000000</v>
      </c>
      <c r="H339" s="2565">
        <f t="shared" si="37"/>
        <v>47986175.460000001</v>
      </c>
      <c r="I339" s="2565">
        <f t="shared" si="37"/>
        <v>28600000</v>
      </c>
      <c r="J339" s="2563"/>
      <c r="K339" s="2564"/>
      <c r="L339" s="2564"/>
      <c r="M339" s="2564"/>
      <c r="N339" s="1989"/>
    </row>
    <row r="340" spans="1:14" ht="16.5" hidden="1" customHeight="1" x14ac:dyDescent="0.2">
      <c r="A340" s="2562"/>
      <c r="B340" s="2562"/>
      <c r="C340" s="2565">
        <f>SUM(C338:C339)</f>
        <v>46223</v>
      </c>
      <c r="D340" s="2565">
        <f t="shared" ref="D340:I340" si="38">SUM(D338:D339)</f>
        <v>84232</v>
      </c>
      <c r="E340" s="2565">
        <f t="shared" si="38"/>
        <v>61195</v>
      </c>
      <c r="F340" s="2565">
        <f t="shared" si="38"/>
        <v>269.80155914102278</v>
      </c>
      <c r="G340" s="2565">
        <f t="shared" si="38"/>
        <v>46223000</v>
      </c>
      <c r="H340" s="2565">
        <f t="shared" si="38"/>
        <v>84231882.599999994</v>
      </c>
      <c r="I340" s="2565">
        <f t="shared" si="38"/>
        <v>61194189.659999996</v>
      </c>
      <c r="J340" s="2563"/>
      <c r="K340" s="2564"/>
      <c r="L340" s="2564"/>
      <c r="M340" s="2564"/>
      <c r="N340" s="1989"/>
    </row>
    <row r="341" spans="1:14" ht="16.5" hidden="1" customHeight="1" x14ac:dyDescent="0.25">
      <c r="A341" s="2559"/>
      <c r="B341" s="2559"/>
      <c r="C341" s="1313"/>
      <c r="D341" s="1313"/>
      <c r="E341" s="1313"/>
      <c r="F341" s="2560"/>
      <c r="G341" s="2561"/>
      <c r="H341" s="2561"/>
      <c r="I341" s="351"/>
      <c r="J341" s="351"/>
      <c r="K341" s="1985"/>
      <c r="L341" s="1985"/>
      <c r="M341" s="1985"/>
      <c r="N341" s="1989"/>
    </row>
    <row r="342" spans="1:14" ht="22.5" customHeight="1" thickTop="1" x14ac:dyDescent="0.2">
      <c r="A342" s="67" t="s">
        <v>1494</v>
      </c>
      <c r="C342" s="548">
        <f>SUM(C12,C23)</f>
        <v>6223</v>
      </c>
      <c r="D342" s="548">
        <f>D12+D23+D44+D153+D157+D163+D193+D269+D274+D167+D171+D175+D179+D183+D188+D198+D211+D216+D221+D227+D232+D236+D241+D246+D251+D256+D279+D284+D290+D295+D300+D306+D311+D316+D328</f>
        <v>6223</v>
      </c>
      <c r="E342" s="548">
        <f>E12+E23+E44+E153+E157+E163+E193+E269+E274+E167+E171+E175+E179+E183+E188+E198+E211+E216+E221+E227+E232+E236+E241+E246+E251+E256+E279+E284+E290+E295+E300+E306+E311+E316+E328</f>
        <v>217907</v>
      </c>
      <c r="F342" s="188">
        <f>E342/D342*100</f>
        <v>3501.6390808291826</v>
      </c>
      <c r="G342" s="2548">
        <f>K342</f>
        <v>6223000</v>
      </c>
      <c r="H342" s="2548">
        <f>L342</f>
        <v>6223000</v>
      </c>
      <c r="I342" s="1992">
        <f>M342</f>
        <v>217906940.10000002</v>
      </c>
      <c r="J342" s="1992"/>
      <c r="K342" s="1985">
        <f>SUM(K333)</f>
        <v>6223000</v>
      </c>
      <c r="L342" s="1985">
        <f>SUM(L333)</f>
        <v>6223000</v>
      </c>
      <c r="M342" s="1985">
        <f>SUM(M333)</f>
        <v>217906940.10000002</v>
      </c>
      <c r="N342" s="1989" t="s">
        <v>1011</v>
      </c>
    </row>
    <row r="343" spans="1:14" ht="48" thickBot="1" x14ac:dyDescent="0.3">
      <c r="A343" s="1162" t="s">
        <v>1337</v>
      </c>
      <c r="B343" s="1163"/>
      <c r="C343" s="2484">
        <f>C336-C342</f>
        <v>4252064</v>
      </c>
      <c r="D343" s="2484">
        <f>D336-D342</f>
        <v>10951617</v>
      </c>
      <c r="E343" s="2485">
        <f>E336-E342</f>
        <v>10329883</v>
      </c>
      <c r="F343" s="2486">
        <f>E343/D343*100</f>
        <v>94.32290227096145</v>
      </c>
      <c r="G343" s="2547">
        <f>G336-G342</f>
        <v>4252064000</v>
      </c>
      <c r="H343" s="2547">
        <f>H336-H342</f>
        <v>10951617255.799999</v>
      </c>
      <c r="I343" s="2547">
        <f>I336-I342</f>
        <v>10329882907.809999</v>
      </c>
      <c r="J343" s="351"/>
      <c r="K343" s="1985">
        <f>K334</f>
        <v>4258287000</v>
      </c>
      <c r="L343" s="1985">
        <f>L334</f>
        <v>10957840255.800001</v>
      </c>
      <c r="M343" s="1985">
        <f>M334</f>
        <v>10547789847.91</v>
      </c>
      <c r="N343" s="1989" t="s">
        <v>849</v>
      </c>
    </row>
    <row r="344" spans="1:14" ht="15.75" thickTop="1" x14ac:dyDescent="0.25">
      <c r="G344" s="2496">
        <v>65063000</v>
      </c>
      <c r="H344" s="604">
        <v>65063000</v>
      </c>
      <c r="I344" s="604">
        <v>65062137.039999999</v>
      </c>
      <c r="K344" s="1997">
        <f>-K342</f>
        <v>-6223000</v>
      </c>
      <c r="L344" s="1997">
        <f>-L342</f>
        <v>-6223000</v>
      </c>
      <c r="M344" s="1997">
        <f>-M342</f>
        <v>-217906940.10000002</v>
      </c>
      <c r="N344" s="1989" t="s">
        <v>1011</v>
      </c>
    </row>
    <row r="345" spans="1:14" hidden="1" x14ac:dyDescent="0.2">
      <c r="C345" s="548">
        <f>SUM(C151,C186,C333,C330)</f>
        <v>56108</v>
      </c>
      <c r="D345" s="548" t="e">
        <f>SUM(D151,D161,#REF!,D169,D186,#REF!,D191,D196,D209,D214,D219,D225,D230,D234,D239,D244,D249,D254,D330,D333,#REF!)</f>
        <v>#REF!</v>
      </c>
      <c r="E345" s="548" t="e">
        <f>SUM(E151,E161,#REF!,E169,E186,#REF!,E191,E196,E209,E214,E219,E225,E230,E234,E239,E244,E249,E254,E330,E333,E177,E165,#REF!,#REF!,#REF!,#REF!,E181,#REF!,#REF!)</f>
        <v>#REF!</v>
      </c>
      <c r="F345" s="884" t="s">
        <v>711</v>
      </c>
      <c r="G345" s="2003"/>
      <c r="H345" s="2003"/>
      <c r="I345" s="2003"/>
      <c r="J345" s="2004"/>
      <c r="K345" s="1997"/>
      <c r="L345" s="1998"/>
      <c r="M345" s="1998"/>
    </row>
    <row r="346" spans="1:14" hidden="1" x14ac:dyDescent="0.2">
      <c r="C346" s="548">
        <f>SUM(C334,C331,C182,C178,C174)</f>
        <v>20000</v>
      </c>
      <c r="D346" s="548">
        <f>SUM(D152,,D187,D192,D220,D226,D231,D235,D245,D250,D255,D331)</f>
        <v>573757</v>
      </c>
      <c r="E346" s="548">
        <f>SUM(E152,,E187,E192,E220,E226,E231,E235,E245,E250,E255,E331)</f>
        <v>504229</v>
      </c>
      <c r="F346" s="884" t="s">
        <v>655</v>
      </c>
      <c r="G346" s="2003"/>
      <c r="H346" s="2003"/>
      <c r="I346" s="2003"/>
      <c r="J346" s="2004"/>
      <c r="K346" s="1997">
        <v>40282000</v>
      </c>
      <c r="L346" s="1997">
        <v>130433731.23</v>
      </c>
      <c r="M346" s="1997">
        <v>130430824.8</v>
      </c>
    </row>
    <row r="347" spans="1:14" hidden="1" x14ac:dyDescent="0.2">
      <c r="C347" s="548">
        <f>SUM(C183,C179,C175)</f>
        <v>0</v>
      </c>
      <c r="D347" s="548">
        <f>SUM(D183,D179,D175)</f>
        <v>0</v>
      </c>
      <c r="E347" s="548" t="e">
        <f>SUM(E183,E179,E175,E236,E193,#REF!,E188,#REF!,E163,E153)</f>
        <v>#REF!</v>
      </c>
      <c r="F347" s="884" t="s">
        <v>1011</v>
      </c>
      <c r="G347" s="2003"/>
      <c r="H347" s="2003"/>
      <c r="I347" s="2003"/>
      <c r="J347" s="2004"/>
      <c r="K347" s="2005"/>
      <c r="L347" s="1998"/>
      <c r="M347" s="1998"/>
    </row>
    <row r="348" spans="1:14" ht="15" hidden="1" x14ac:dyDescent="0.25">
      <c r="C348" s="1402">
        <f>SUM(C345:C347)</f>
        <v>76108</v>
      </c>
      <c r="D348" s="1402" t="e">
        <f>SUM(D345:D347)</f>
        <v>#REF!</v>
      </c>
      <c r="E348" s="1402" t="e">
        <f>SUM(E345:E347)</f>
        <v>#REF!</v>
      </c>
      <c r="F348" s="1734" t="s">
        <v>813</v>
      </c>
      <c r="G348" s="2003"/>
      <c r="H348" s="2003"/>
      <c r="I348" s="2003"/>
      <c r="J348" s="2003"/>
      <c r="K348" s="2005"/>
      <c r="L348" s="1998"/>
      <c r="M348" s="1998"/>
    </row>
    <row r="349" spans="1:14" hidden="1" x14ac:dyDescent="0.2">
      <c r="C349" s="548">
        <f>C332+C185+C149+C329</f>
        <v>76108</v>
      </c>
      <c r="D349" s="548" t="e">
        <f>D332+D329+D253+D248+D243+D238+D233+D229+D224+D218+D213+D208+D195+D190+#REF!+D185+D168+#REF!+D158+D149+#REF!</f>
        <v>#REF!</v>
      </c>
      <c r="E349" s="548" t="e">
        <f>E332+E329+E253+E248+E243+E238+E233+E229+E224+E218+E213+E208+E195+E190+#REF!+E185+E168+#REF!+E158+E149+#REF!+#REF!+#REF!+#REF!+E176+#REF!+E164+E180+#REF!</f>
        <v>#REF!</v>
      </c>
      <c r="F349" s="884" t="s">
        <v>814</v>
      </c>
      <c r="G349" s="2003"/>
      <c r="H349" s="2003"/>
      <c r="I349" s="2003"/>
      <c r="J349" s="2004"/>
      <c r="K349" s="2005"/>
      <c r="L349" s="1998"/>
      <c r="M349" s="1998"/>
    </row>
    <row r="350" spans="1:14" hidden="1" x14ac:dyDescent="0.2">
      <c r="E350" s="548" t="e">
        <f>E347+E59</f>
        <v>#REF!</v>
      </c>
      <c r="F350" s="884" t="s">
        <v>764</v>
      </c>
      <c r="G350" s="2003"/>
      <c r="H350" s="2003"/>
      <c r="I350" s="2003"/>
      <c r="J350" s="2004"/>
      <c r="K350" s="2005"/>
      <c r="L350" s="1998"/>
      <c r="M350" s="1998"/>
    </row>
    <row r="351" spans="1:14" ht="15" hidden="1" x14ac:dyDescent="0.25">
      <c r="C351" s="1402" t="e">
        <f>SUM(C348,#REF!,C62)</f>
        <v>#REF!</v>
      </c>
      <c r="D351" s="1402" t="e">
        <f>SUM(D348,#REF!,D62)</f>
        <v>#REF!</v>
      </c>
      <c r="E351" s="1402" t="e">
        <f>SUM(E348,#REF!,E62)</f>
        <v>#REF!</v>
      </c>
      <c r="F351" s="548" t="s">
        <v>1010</v>
      </c>
      <c r="G351" s="604"/>
      <c r="H351" s="604"/>
      <c r="I351" s="604"/>
      <c r="K351" s="2005"/>
      <c r="L351" s="1998"/>
      <c r="M351" s="1998"/>
    </row>
    <row r="352" spans="1:14" ht="15" hidden="1" x14ac:dyDescent="0.25">
      <c r="C352" s="548">
        <v>59211</v>
      </c>
      <c r="D352" s="548">
        <v>247085</v>
      </c>
      <c r="E352" s="548">
        <v>245923</v>
      </c>
      <c r="F352" s="548" t="s">
        <v>132</v>
      </c>
      <c r="G352" s="604"/>
      <c r="H352" s="604"/>
      <c r="I352" s="604"/>
      <c r="K352" s="2005"/>
      <c r="L352" s="1998"/>
      <c r="M352" s="1998"/>
    </row>
    <row r="353" spans="1:15" ht="16.5" customHeight="1" thickBot="1" x14ac:dyDescent="0.3">
      <c r="A353" s="67"/>
      <c r="B353" s="1164"/>
      <c r="C353" s="993"/>
      <c r="D353" s="2462"/>
      <c r="E353" s="2462"/>
      <c r="F353" s="1403"/>
      <c r="G353" s="2495">
        <f>SUM(G343:G344)</f>
        <v>4317127000</v>
      </c>
      <c r="H353" s="2480">
        <v>22809821.059999999</v>
      </c>
      <c r="I353" s="2480">
        <v>22809821.059999999</v>
      </c>
      <c r="J353" s="1986"/>
      <c r="K353" s="1997">
        <f>SUM(K343:K344)</f>
        <v>4252064000</v>
      </c>
      <c r="L353" s="1997">
        <f>SUM(L343:L344)</f>
        <v>10951617255.800001</v>
      </c>
      <c r="M353" s="1997">
        <f>SUM(M343:M344)</f>
        <v>10329882907.809999</v>
      </c>
      <c r="N353" s="1989" t="s">
        <v>1631</v>
      </c>
    </row>
    <row r="354" spans="1:15" ht="16.5" hidden="1" customHeight="1" x14ac:dyDescent="0.25">
      <c r="A354" s="312" t="s">
        <v>1654</v>
      </c>
      <c r="B354" s="1164"/>
      <c r="C354" s="953">
        <f>SUM(C267,C269,C272,C274,C277,C279,C282,C284,C288,C290,C293,C295,C298,C300,C304,C306,C330,C333)</f>
        <v>44336</v>
      </c>
      <c r="D354" s="953">
        <f>SUM(D267,D269,D272,D274,D277,D279,D282,D284,D288,D290,D293,D295,D298,D300,D304,D306,D330,D333)</f>
        <v>160519</v>
      </c>
      <c r="E354" s="953">
        <f>SUM(E267,E269,E272,E274,E277,E279,E282,E284,E288,E290,E293,E295,E298,E300,E304,E306,E330,E333)</f>
        <v>106042</v>
      </c>
      <c r="F354" s="953"/>
      <c r="G354" s="2006">
        <f>SUM(G267,G269,G272,G274,G277,G279,G282,G284,G288,G290,G293,G295,G298,G300,G304,G306,G330,G333)</f>
        <v>44336000</v>
      </c>
      <c r="H354" s="2006">
        <f>SUM(H267,H269,H272,H274,H277,H279,H282,H284,H288,H290,H293,H295,H298,H300,H304,H306,H330,H333)</f>
        <v>160516153.69</v>
      </c>
      <c r="I354" s="2006">
        <f>SUM(I267,I269,I272,I274,I277,I279,I282,I284,I288,I290,I293,I295,I298,I300,I304,I306,I330,I333)</f>
        <v>106039663.40999998</v>
      </c>
      <c r="J354" s="1986"/>
      <c r="K354" s="1997"/>
      <c r="L354" s="1997"/>
      <c r="M354" s="1997"/>
      <c r="N354" s="1989"/>
    </row>
    <row r="355" spans="1:15" ht="16.5" hidden="1" customHeight="1" x14ac:dyDescent="0.25">
      <c r="A355" s="312" t="s">
        <v>1655</v>
      </c>
      <c r="B355" s="1164"/>
      <c r="C355" s="953">
        <f>SUM(C268,C273,C278,C283,C289,C294,C299,C305,C331,C334)</f>
        <v>20500</v>
      </c>
      <c r="D355" s="953">
        <f>SUM(D268,D273,D278,D283,D289,D294,D299,D305,D331,D334)</f>
        <v>55073</v>
      </c>
      <c r="E355" s="953">
        <f>SUM(E268,E273,E278,E283,E289,E294,E299,E305,E331,E334)</f>
        <v>32909</v>
      </c>
      <c r="F355" s="953"/>
      <c r="G355" s="2006">
        <f>SUM(G268,G273,G278,G283,G289,G294,G299,G305,G331,G334)</f>
        <v>20500000</v>
      </c>
      <c r="H355" s="2006">
        <f>SUM(H268,H273,H278,H283,H289,H294,H299,H305,H331,H334)</f>
        <v>55074219.460000001</v>
      </c>
      <c r="I355" s="2006">
        <f>SUM(I268,I273,I278,I283,I289,I294,I299,I305,I331,I334)</f>
        <v>32910236.310000002</v>
      </c>
      <c r="J355" s="1986"/>
      <c r="K355" s="1997"/>
      <c r="L355" s="1997"/>
      <c r="M355" s="1997"/>
      <c r="N355" s="1989"/>
    </row>
    <row r="356" spans="1:15" ht="16.5" hidden="1" customHeight="1" x14ac:dyDescent="0.25">
      <c r="A356" s="67"/>
      <c r="B356" s="1164"/>
      <c r="C356" s="953">
        <f>SUM(C354:C355)</f>
        <v>64836</v>
      </c>
      <c r="D356" s="953">
        <f t="shared" ref="D356:I356" si="39">SUM(D354:D355)</f>
        <v>215592</v>
      </c>
      <c r="E356" s="953">
        <f t="shared" si="39"/>
        <v>138951</v>
      </c>
      <c r="F356" s="953"/>
      <c r="G356" s="2006">
        <f t="shared" si="39"/>
        <v>64836000</v>
      </c>
      <c r="H356" s="2006">
        <f t="shared" si="39"/>
        <v>215590373.15000001</v>
      </c>
      <c r="I356" s="2006">
        <f t="shared" si="39"/>
        <v>138949899.71999997</v>
      </c>
      <c r="J356" s="1986"/>
      <c r="K356" s="1997"/>
      <c r="L356" s="1997"/>
      <c r="M356" s="1997"/>
      <c r="N356" s="1989"/>
    </row>
    <row r="357" spans="1:15" ht="19.5" thickTop="1" thickBot="1" x14ac:dyDescent="0.3">
      <c r="A357" s="67"/>
      <c r="B357" s="1164"/>
      <c r="C357" s="993"/>
      <c r="D357" s="993"/>
      <c r="E357" s="993"/>
      <c r="F357" s="1165"/>
      <c r="G357" s="1985"/>
      <c r="H357" s="2495">
        <f>H343+H344+H353</f>
        <v>11039490076.859999</v>
      </c>
      <c r="I357" s="2495">
        <f>I343+I344+I353</f>
        <v>10417754865.91</v>
      </c>
      <c r="J357" s="2007"/>
      <c r="K357" s="1997">
        <v>65063000</v>
      </c>
      <c r="L357" s="1997">
        <f>H344+H353</f>
        <v>87872821.060000002</v>
      </c>
      <c r="M357" s="1997">
        <f>I344+I353</f>
        <v>87871958.099999994</v>
      </c>
      <c r="N357" s="384" t="s">
        <v>1629</v>
      </c>
      <c r="O357" s="384" t="s">
        <v>1893</v>
      </c>
    </row>
    <row r="358" spans="1:15" ht="19.5" thickTop="1" thickBot="1" x14ac:dyDescent="0.3">
      <c r="A358" s="67" t="s">
        <v>1495</v>
      </c>
      <c r="B358" s="1164"/>
      <c r="C358" s="993"/>
      <c r="D358" s="993"/>
      <c r="E358" s="993"/>
      <c r="F358" s="1165"/>
      <c r="G358" s="2008"/>
      <c r="H358" s="2008"/>
      <c r="I358" s="2008"/>
      <c r="J358" s="2008"/>
      <c r="K358" s="1999">
        <f>SUM(K353:K357)</f>
        <v>4317127000</v>
      </c>
      <c r="L358" s="1999">
        <f>SUM(L353:L357)</f>
        <v>11039490076.860001</v>
      </c>
      <c r="M358" s="1999">
        <f>SUM(M353:M357)</f>
        <v>10417754865.91</v>
      </c>
    </row>
    <row r="359" spans="1:15" ht="13.5" thickTop="1" x14ac:dyDescent="0.2">
      <c r="A359" s="2689" t="s">
        <v>1496</v>
      </c>
      <c r="B359" s="2690"/>
      <c r="C359" s="2690"/>
      <c r="D359" s="2690"/>
      <c r="E359" s="2690"/>
      <c r="F359" s="2690"/>
      <c r="G359" s="2009"/>
      <c r="H359" s="2463"/>
      <c r="I359" s="2463"/>
      <c r="J359" s="2009"/>
      <c r="K359" s="2009"/>
    </row>
    <row r="360" spans="1:15" x14ac:dyDescent="0.2">
      <c r="A360" s="2690"/>
      <c r="B360" s="2690"/>
      <c r="C360" s="2690"/>
      <c r="D360" s="2690"/>
      <c r="E360" s="2690"/>
      <c r="F360" s="2690"/>
      <c r="G360" s="1986"/>
      <c r="H360" s="1986"/>
      <c r="I360" s="1986"/>
      <c r="J360" s="1986"/>
      <c r="K360" s="1986"/>
    </row>
    <row r="362" spans="1:15" ht="15" x14ac:dyDescent="0.25">
      <c r="G362" s="604"/>
      <c r="H362" s="604"/>
      <c r="I362" s="604"/>
    </row>
    <row r="363" spans="1:15" ht="15" hidden="1" x14ac:dyDescent="0.25">
      <c r="D363" s="485"/>
      <c r="E363" s="485"/>
      <c r="F363" s="485"/>
      <c r="G363" s="604"/>
      <c r="H363" s="604"/>
      <c r="I363" s="604"/>
    </row>
    <row r="364" spans="1:15" s="340" customFormat="1" ht="15" hidden="1" x14ac:dyDescent="0.25">
      <c r="A364" s="2487" t="s">
        <v>1650</v>
      </c>
      <c r="B364" s="2488"/>
      <c r="C364" s="1402">
        <f>SUM(C7,C13,C18,C24,C29,C34,C39,C45,C50,C71,C81,C86,C92,C103,C114,C132,C142,C143,C144)</f>
        <v>2544358</v>
      </c>
      <c r="D364" s="1402">
        <f>SUM(D7,D13,D18,D24,D29,D34,D39,D45,D50,D71,D81,D86,D92,D103,D114,D132,D142,D143,D144)</f>
        <v>6082142</v>
      </c>
      <c r="E364" s="1402">
        <f>SUM(E7,E13,E18,E24,E29,E34,E39,E45,E50,E71,E81,E86,E92,E103,E114,E132,E142,E143,E144)</f>
        <v>5676410</v>
      </c>
      <c r="F364" s="1402"/>
      <c r="G364" s="604">
        <f>SUM(G7,G13,G18,G24,G29,G34,G39,G45,G50,G71,G81,G86,G92,G103,G114,G132,G142,G143,G144)</f>
        <v>2544358000</v>
      </c>
      <c r="H364" s="604">
        <f>SUM(H7,H13,H18,H24,H29,H34,H39,H45,H50,H71,H81,H86,H92,H103,H114,H132,H142,H143,H144)</f>
        <v>6082142201.0499992</v>
      </c>
      <c r="I364" s="604">
        <f>SUM(I7,I13,I18,I24,I29,I34,I39,I45,I50,I71,I81,I86,I92,I103,I114,I132,I142,I143,I144)</f>
        <v>5676410054.25</v>
      </c>
      <c r="J364" s="604"/>
      <c r="K364" s="604"/>
    </row>
    <row r="365" spans="1:15" s="340" customFormat="1" ht="15" hidden="1" x14ac:dyDescent="0.25">
      <c r="A365" s="2489" t="s">
        <v>691</v>
      </c>
      <c r="B365" s="2488"/>
      <c r="C365" s="1402">
        <f>SUM(C76,C97,C108,C119,C137)</f>
        <v>1592830</v>
      </c>
      <c r="D365" s="1402">
        <f>SUM(D76,D97,D108,D119,D137)</f>
        <v>3850913</v>
      </c>
      <c r="E365" s="1402">
        <f>SUM(E76,E97,E108,E119,E137)</f>
        <v>3849897</v>
      </c>
      <c r="F365" s="1402"/>
      <c r="G365" s="604">
        <f>SUM(G76,G97,G108,G119,G137)</f>
        <v>1592830000</v>
      </c>
      <c r="H365" s="604">
        <f>SUM(H76,H97,H108,H119,H137)</f>
        <v>3850912594.77</v>
      </c>
      <c r="I365" s="604">
        <f>SUM(I76,I97,I108,I119,I137)</f>
        <v>3849896944.1700001</v>
      </c>
      <c r="J365" s="604"/>
      <c r="K365" s="604"/>
    </row>
    <row r="366" spans="1:15" s="340" customFormat="1" ht="15" hidden="1" x14ac:dyDescent="0.25">
      <c r="A366" s="2489" t="s">
        <v>1456</v>
      </c>
      <c r="B366" s="2488"/>
      <c r="C366" s="1402" t="e">
        <f>SUM(C303,C297,C292,C287,C281,C276,C271,C266,C253,C248,C243,C238,C233,C229,C224,C218,C213,C208,C195,C190,#REF!,C185,C158,C154,C149)</f>
        <v>#REF!</v>
      </c>
      <c r="D366" s="1402" t="e">
        <f>SUM(D303,D297,D292,D287,D281,D276,D271,D266,D253,D248,D243,D238,D233,D229,D224,D218,D213,D208,D195,D190,#REF!,D185,D158,D154,D149)</f>
        <v>#REF!</v>
      </c>
      <c r="E366" s="1402" t="e">
        <f>SUM(E303,E297,E292,E287,E281,E276,E271,E266,E253,E248,E243,E238,E233,E229,E224,E218,E213,E208,E195,E190,#REF!,E185,E158,E154,E149)</f>
        <v>#REF!</v>
      </c>
      <c r="F366" s="1402"/>
      <c r="G366" s="604" t="e">
        <f>SUM(G303,G297,G292,G287,G281,G276,G271,G266,G253,G248,G243,G238,G233,G229,G224,G218,G213,G208,G195,G190,#REF!,G185,G158,G154,G149)</f>
        <v>#REF!</v>
      </c>
      <c r="H366" s="604" t="e">
        <f>SUM(H303,H297,H292,H287,H281,H276,H271,H266,H253,H248,H243,H238,H233,H229,H224,H218,H213,H208,H195,H190,#REF!,H185,H158,H154,H149)</f>
        <v>#REF!</v>
      </c>
      <c r="I366" s="604" t="e">
        <f>SUM(I303,I297,I292,I287,I281,I276,I271,I266,I253,I248,I243,I238,I233,I229,I224,I218,I213,I208,I195,I190,#REF!,I185,I158,I154,I149)</f>
        <v>#REF!</v>
      </c>
      <c r="J366" s="1402"/>
      <c r="K366" s="604"/>
    </row>
    <row r="367" spans="1:15" s="340" customFormat="1" ht="15" hidden="1" x14ac:dyDescent="0.25">
      <c r="A367" s="2489" t="s">
        <v>150</v>
      </c>
      <c r="B367" s="2488"/>
      <c r="C367" s="1402">
        <f>SUM(C332)</f>
        <v>6223</v>
      </c>
      <c r="D367" s="1402">
        <f t="shared" ref="D367:I367" si="40">SUM(D332)</f>
        <v>6995</v>
      </c>
      <c r="E367" s="1402">
        <f t="shared" si="40"/>
        <v>5911</v>
      </c>
      <c r="F367" s="1402"/>
      <c r="G367" s="604">
        <f t="shared" si="40"/>
        <v>6223000</v>
      </c>
      <c r="H367" s="604">
        <f t="shared" si="40"/>
        <v>6994707.1399999997</v>
      </c>
      <c r="I367" s="604">
        <f t="shared" si="40"/>
        <v>5910384.5999999996</v>
      </c>
      <c r="J367" s="604"/>
      <c r="K367" s="604"/>
    </row>
    <row r="368" spans="1:15" s="340" customFormat="1" ht="15" hidden="1" x14ac:dyDescent="0.25">
      <c r="A368" s="2487" t="s">
        <v>1651</v>
      </c>
      <c r="B368" s="2488"/>
      <c r="C368" s="1402">
        <f>SUM(C329)</f>
        <v>40000</v>
      </c>
      <c r="D368" s="1402">
        <f t="shared" ref="D368:I368" si="41">SUM(D329)</f>
        <v>74036</v>
      </c>
      <c r="E368" s="1402">
        <f t="shared" si="41"/>
        <v>54435</v>
      </c>
      <c r="F368" s="1402"/>
      <c r="G368" s="604">
        <f t="shared" si="41"/>
        <v>40000000</v>
      </c>
      <c r="H368" s="604">
        <f t="shared" si="41"/>
        <v>74036175.460000008</v>
      </c>
      <c r="I368" s="604">
        <f t="shared" si="41"/>
        <v>54435258.5</v>
      </c>
      <c r="J368" s="604"/>
      <c r="K368" s="604"/>
    </row>
    <row r="369" spans="1:11" s="340" customFormat="1" ht="15.75" hidden="1" thickBot="1" x14ac:dyDescent="0.3">
      <c r="A369" s="2490" t="s">
        <v>1010</v>
      </c>
      <c r="B369" s="2491"/>
      <c r="C369" s="2492" t="e">
        <f>SUM(C364:C368)</f>
        <v>#REF!</v>
      </c>
      <c r="D369" s="2492" t="e">
        <f t="shared" ref="D369:I369" si="42">SUM(D364:D368)</f>
        <v>#REF!</v>
      </c>
      <c r="E369" s="2492" t="e">
        <f t="shared" si="42"/>
        <v>#REF!</v>
      </c>
      <c r="F369" s="2492"/>
      <c r="G369" s="2001" t="e">
        <f t="shared" si="42"/>
        <v>#REF!</v>
      </c>
      <c r="H369" s="2001" t="e">
        <f t="shared" si="42"/>
        <v>#REF!</v>
      </c>
      <c r="I369" s="2001" t="e">
        <f t="shared" si="42"/>
        <v>#REF!</v>
      </c>
      <c r="J369" s="604"/>
      <c r="K369" s="604"/>
    </row>
    <row r="370" spans="1:11" s="439" customFormat="1" ht="15.75" hidden="1" thickTop="1" x14ac:dyDescent="0.25">
      <c r="A370" s="340" t="s">
        <v>1011</v>
      </c>
      <c r="B370" s="2493"/>
      <c r="C370" s="1402">
        <f>SUM(C153,C163,C188,C193,C236,C241,C246,C251,C269,C274,C12,C23)</f>
        <v>6223</v>
      </c>
      <c r="D370" s="1402">
        <f>SUM(D153,D163,D188,D193,D236,D241,D246,D251,D269,D274,D12,D23)</f>
        <v>6223</v>
      </c>
      <c r="E370" s="1402">
        <f>SUM(E153,E163,E188,E193,E236,E241,E246,E251,E269,E274,E12,E23)</f>
        <v>217783</v>
      </c>
      <c r="F370" s="1402"/>
      <c r="G370" s="604">
        <f>SUM(G153,G163,G188,G193,G236,G241,G246,G251,G269,G274,G12,G23)</f>
        <v>6223000</v>
      </c>
      <c r="H370" s="604">
        <f>SUM(H153,H163,H188,H193,H236,H241,H246,H251,H269,H274,H12,H23)</f>
        <v>6223000</v>
      </c>
      <c r="I370" s="604">
        <f>SUM(I153,I163,I188,I193,I236,I241,I246,I251,I269,I274,I12,I23)</f>
        <v>217782908.60000002</v>
      </c>
      <c r="J370" s="604"/>
      <c r="K370" s="604"/>
    </row>
    <row r="371" spans="1:11" s="439" customFormat="1" ht="15.75" hidden="1" thickBot="1" x14ac:dyDescent="0.3">
      <c r="A371" s="2490" t="s">
        <v>1653</v>
      </c>
      <c r="B371" s="2494"/>
      <c r="C371" s="2492" t="e">
        <f>C369-C370</f>
        <v>#REF!</v>
      </c>
      <c r="D371" s="2492" t="e">
        <f t="shared" ref="D371:I371" si="43">D369-D370</f>
        <v>#REF!</v>
      </c>
      <c r="E371" s="2492" t="e">
        <f t="shared" si="43"/>
        <v>#REF!</v>
      </c>
      <c r="F371" s="2492"/>
      <c r="G371" s="2001" t="e">
        <f t="shared" si="43"/>
        <v>#REF!</v>
      </c>
      <c r="H371" s="2001" t="e">
        <f t="shared" si="43"/>
        <v>#REF!</v>
      </c>
      <c r="I371" s="2001" t="e">
        <f t="shared" si="43"/>
        <v>#REF!</v>
      </c>
      <c r="J371" s="604"/>
      <c r="K371" s="604"/>
    </row>
    <row r="372" spans="1:11" s="439" customFormat="1" ht="15.75" hidden="1" thickTop="1" x14ac:dyDescent="0.25">
      <c r="A372" s="340"/>
      <c r="B372" s="2493"/>
      <c r="C372" s="1402"/>
      <c r="D372" s="2474"/>
      <c r="E372" s="2474"/>
      <c r="F372" s="2474"/>
      <c r="G372" s="604"/>
      <c r="H372" s="604"/>
      <c r="I372" s="604"/>
      <c r="J372" s="604"/>
      <c r="K372" s="604"/>
    </row>
    <row r="373" spans="1:11" s="340" customFormat="1" ht="15" hidden="1" x14ac:dyDescent="0.25">
      <c r="A373" s="340" t="s">
        <v>988</v>
      </c>
      <c r="B373" s="2488"/>
      <c r="C373" s="1402">
        <f t="shared" ref="C373:E374" si="44">SUM(C64,C125,C200,C258,C354)</f>
        <v>3293544</v>
      </c>
      <c r="D373" s="1402">
        <f t="shared" si="44"/>
        <v>9375923</v>
      </c>
      <c r="E373" s="1402">
        <f t="shared" si="44"/>
        <v>9091502</v>
      </c>
      <c r="F373" s="1402"/>
      <c r="G373" s="604">
        <f t="shared" ref="G373:I374" si="45">SUM(G64,G125,G200,G258,G354)</f>
        <v>3293544000</v>
      </c>
      <c r="H373" s="604">
        <f t="shared" si="45"/>
        <v>9375922929.2700005</v>
      </c>
      <c r="I373" s="604">
        <f t="shared" si="45"/>
        <v>9091499628.3100014</v>
      </c>
      <c r="J373" s="604"/>
      <c r="K373" s="604"/>
    </row>
    <row r="374" spans="1:11" s="340" customFormat="1" ht="15" hidden="1" x14ac:dyDescent="0.25">
      <c r="A374" s="340" t="s">
        <v>1652</v>
      </c>
      <c r="B374" s="2488"/>
      <c r="C374" s="1402">
        <f t="shared" si="44"/>
        <v>964743</v>
      </c>
      <c r="D374" s="1402">
        <f t="shared" si="44"/>
        <v>1578525</v>
      </c>
      <c r="E374" s="1402">
        <f t="shared" si="44"/>
        <v>1455347</v>
      </c>
      <c r="F374" s="1402"/>
      <c r="G374" s="604">
        <f t="shared" si="45"/>
        <v>964743000</v>
      </c>
      <c r="H374" s="604">
        <f t="shared" si="45"/>
        <v>1578525372.53</v>
      </c>
      <c r="I374" s="604">
        <f t="shared" si="45"/>
        <v>1455349091.04</v>
      </c>
      <c r="J374" s="604"/>
      <c r="K374" s="604"/>
    </row>
    <row r="375" spans="1:11" s="340" customFormat="1" ht="15.75" hidden="1" thickBot="1" x14ac:dyDescent="0.3">
      <c r="A375" s="2490" t="s">
        <v>1010</v>
      </c>
      <c r="B375" s="2491"/>
      <c r="C375" s="2492">
        <f>SUM(C373:C374)</f>
        <v>4258287</v>
      </c>
      <c r="D375" s="2492">
        <f t="shared" ref="D375:I375" si="46">SUM(D373:D374)</f>
        <v>10954448</v>
      </c>
      <c r="E375" s="2492">
        <f t="shared" si="46"/>
        <v>10546849</v>
      </c>
      <c r="F375" s="2492"/>
      <c r="G375" s="2001">
        <f t="shared" si="46"/>
        <v>4258287000</v>
      </c>
      <c r="H375" s="2001">
        <f t="shared" si="46"/>
        <v>10954448301.800001</v>
      </c>
      <c r="I375" s="2001">
        <f t="shared" si="46"/>
        <v>10546848719.350002</v>
      </c>
      <c r="J375" s="604"/>
      <c r="K375" s="604"/>
    </row>
    <row r="376" spans="1:11" s="439" customFormat="1" ht="15.75" hidden="1" thickTop="1" x14ac:dyDescent="0.25">
      <c r="A376" s="340" t="s">
        <v>1011</v>
      </c>
      <c r="B376" s="2493"/>
      <c r="C376" s="1402">
        <f>SUM(C12,C23,C153,C163,C188,C193,C236,C241,C246,C251,C269,C274)</f>
        <v>6223</v>
      </c>
      <c r="D376" s="1402">
        <f>SUM(D12,D23,D153,D163,D188,D193,D236,D241,D246,D251,D269,D274)</f>
        <v>6223</v>
      </c>
      <c r="E376" s="1402">
        <f>SUM(E12,E23,E153,E163,E188,E193,E236,E241,E246,E251,E269,E274)</f>
        <v>217783</v>
      </c>
      <c r="F376" s="1402"/>
      <c r="G376" s="604">
        <f>SUM(G12,G23,G153,G163,G188,G193,G236,G241,G246,G251,G269,G274)</f>
        <v>6223000</v>
      </c>
      <c r="H376" s="604">
        <f>SUM(H12,H23,H153,H163,H188,H193,H236,H241,H246,H251,H269,H274)</f>
        <v>6223000</v>
      </c>
      <c r="I376" s="604">
        <f>SUM(I12,I23,I153,I163,I188,I193,I236,I241,I246,I251,I269,I274)</f>
        <v>217782908.60000002</v>
      </c>
      <c r="J376" s="604"/>
      <c r="K376" s="604"/>
    </row>
    <row r="377" spans="1:11" s="439" customFormat="1" ht="15.75" hidden="1" thickBot="1" x14ac:dyDescent="0.3">
      <c r="A377" s="2490" t="s">
        <v>1653</v>
      </c>
      <c r="B377" s="2494"/>
      <c r="C377" s="2492">
        <f>C375-C376</f>
        <v>4252064</v>
      </c>
      <c r="D377" s="2492">
        <f t="shared" ref="D377:I377" si="47">D375-D376</f>
        <v>10948225</v>
      </c>
      <c r="E377" s="2492">
        <f t="shared" si="47"/>
        <v>10329066</v>
      </c>
      <c r="F377" s="2492"/>
      <c r="G377" s="2001">
        <f t="shared" si="47"/>
        <v>4252064000</v>
      </c>
      <c r="H377" s="2001">
        <f t="shared" si="47"/>
        <v>10948225301.800001</v>
      </c>
      <c r="I377" s="2001">
        <f t="shared" si="47"/>
        <v>10329065810.750002</v>
      </c>
      <c r="J377" s="604"/>
      <c r="K377" s="604"/>
    </row>
    <row r="378" spans="1:11" ht="15" hidden="1" thickTop="1" x14ac:dyDescent="0.2"/>
    <row r="379" spans="1:11" hidden="1" x14ac:dyDescent="0.2"/>
    <row r="380" spans="1:11" hidden="1" x14ac:dyDescent="0.2"/>
    <row r="381" spans="1:11" ht="15" hidden="1" x14ac:dyDescent="0.25">
      <c r="A381" s="1402" t="s">
        <v>1656</v>
      </c>
      <c r="D381" s="604">
        <f t="shared" ref="D381:I381" si="48">SUM(D12,D23)</f>
        <v>6223</v>
      </c>
      <c r="E381" s="604">
        <f t="shared" si="48"/>
        <v>5605</v>
      </c>
      <c r="F381" s="604">
        <f t="shared" si="48"/>
        <v>176.6821805645335</v>
      </c>
      <c r="G381" s="604">
        <f t="shared" si="48"/>
        <v>6223000</v>
      </c>
      <c r="H381" s="604">
        <f t="shared" si="48"/>
        <v>6223000</v>
      </c>
      <c r="I381" s="604">
        <f t="shared" si="48"/>
        <v>5605200</v>
      </c>
    </row>
    <row r="382" spans="1:11" ht="15" hidden="1" x14ac:dyDescent="0.25">
      <c r="E382" s="604">
        <f>SUM(E153,E163,E188,E193,E236,E241,E246,E251,E269,E274)</f>
        <v>212178</v>
      </c>
      <c r="F382" s="604">
        <f>SUM(F153,F163,F188,F193,F236,F241,F246,F251,F269,F274)</f>
        <v>0</v>
      </c>
      <c r="G382" s="604">
        <f>SUM(G153,G163,G188,G193,G236,G241,G246,G251,G269,G274)</f>
        <v>0</v>
      </c>
      <c r="H382" s="604">
        <f>SUM(H153,H163,H188,H193,H236,H241,H246,H251,H269,H274)</f>
        <v>0</v>
      </c>
      <c r="I382" s="604">
        <f>SUM(I153,I163,I188,I193,I236,I241,I246,I251,I269,I274)</f>
        <v>212177708.60000002</v>
      </c>
    </row>
    <row r="383" spans="1:11" ht="15" hidden="1" x14ac:dyDescent="0.25">
      <c r="E383" s="604">
        <f t="shared" ref="E383:F383" si="49">SUM(E381:E382)</f>
        <v>217783</v>
      </c>
      <c r="F383" s="604">
        <f t="shared" si="49"/>
        <v>176.6821805645335</v>
      </c>
      <c r="G383" s="604">
        <f>SUM(G381:G382)</f>
        <v>6223000</v>
      </c>
      <c r="H383" s="604">
        <f t="shared" ref="H383:I383" si="50">SUM(H381:H382)</f>
        <v>6223000</v>
      </c>
      <c r="I383" s="604">
        <f t="shared" si="50"/>
        <v>217782908.60000002</v>
      </c>
    </row>
    <row r="384" spans="1:11" ht="15" x14ac:dyDescent="0.25">
      <c r="E384" s="1402"/>
      <c r="F384" s="1402"/>
      <c r="G384" s="604"/>
      <c r="H384" s="604"/>
      <c r="I384" s="604"/>
    </row>
    <row r="385" spans="1:10" hidden="1" x14ac:dyDescent="0.2">
      <c r="A385" s="2550" t="s">
        <v>1898</v>
      </c>
      <c r="B385" s="2551"/>
      <c r="C385" s="2552">
        <f t="shared" ref="C385:I385" si="51">SUM(C7,C13,C18,C24,C29,C34,C39,C45,C50,C71,C81,C86,C92,C103,C114,C132,C142,C143,C144)</f>
        <v>2544358</v>
      </c>
      <c r="D385" s="2552">
        <f t="shared" si="51"/>
        <v>6082142</v>
      </c>
      <c r="E385" s="2552">
        <f t="shared" si="51"/>
        <v>5676410</v>
      </c>
      <c r="F385" s="2552">
        <f t="shared" si="51"/>
        <v>1438.802737838447</v>
      </c>
      <c r="G385" s="2552">
        <f t="shared" si="51"/>
        <v>2544358000</v>
      </c>
      <c r="H385" s="2552">
        <f t="shared" si="51"/>
        <v>6082142201.0499992</v>
      </c>
      <c r="I385" s="2552">
        <f t="shared" si="51"/>
        <v>5676410054.25</v>
      </c>
    </row>
    <row r="386" spans="1:10" hidden="1" x14ac:dyDescent="0.2">
      <c r="A386" s="2550" t="s">
        <v>1899</v>
      </c>
      <c r="B386" s="2551"/>
      <c r="C386" s="2552">
        <f t="shared" ref="C386:I386" si="52">SUM(C76,C97,C108,C119,C137)</f>
        <v>1592830</v>
      </c>
      <c r="D386" s="2552">
        <f t="shared" si="52"/>
        <v>3850913</v>
      </c>
      <c r="E386" s="2552">
        <f t="shared" si="52"/>
        <v>3849897</v>
      </c>
      <c r="F386" s="2552">
        <f t="shared" si="52"/>
        <v>499.66560052139477</v>
      </c>
      <c r="G386" s="2552">
        <f t="shared" si="52"/>
        <v>1592830000</v>
      </c>
      <c r="H386" s="2552">
        <f t="shared" si="52"/>
        <v>3850912594.77</v>
      </c>
      <c r="I386" s="2552">
        <f t="shared" si="52"/>
        <v>3849896944.1700001</v>
      </c>
    </row>
    <row r="387" spans="1:10" hidden="1" x14ac:dyDescent="0.2">
      <c r="A387" s="2550" t="s">
        <v>1900</v>
      </c>
      <c r="B387" s="2551"/>
      <c r="C387" s="2552">
        <f t="shared" ref="C387:I387" si="53">SUM(C324,C312,C307,C303,C297,C292,C287,C281,C276,C271,C266,C253,C248,C243,C238,C233,C229,C224,C218,C213,C208,C195,C190,C185,C158,C154,C149)</f>
        <v>74876</v>
      </c>
      <c r="D387" s="2552">
        <f t="shared" si="53"/>
        <v>943754</v>
      </c>
      <c r="E387" s="2552">
        <f t="shared" si="53"/>
        <v>961137</v>
      </c>
      <c r="F387" s="2552">
        <f t="shared" si="53"/>
        <v>2113.0287631308966</v>
      </c>
      <c r="G387" s="2553">
        <f t="shared" si="53"/>
        <v>74876000</v>
      </c>
      <c r="H387" s="2553">
        <f t="shared" si="53"/>
        <v>943754577.37999988</v>
      </c>
      <c r="I387" s="2553">
        <f t="shared" si="53"/>
        <v>961137206.38999987</v>
      </c>
    </row>
    <row r="388" spans="1:10" hidden="1" x14ac:dyDescent="0.2">
      <c r="A388" s="2550" t="s">
        <v>1901</v>
      </c>
      <c r="B388" s="2551"/>
      <c r="C388" s="2552">
        <f>SUM(C332)</f>
        <v>6223</v>
      </c>
      <c r="D388" s="2552">
        <f t="shared" ref="D388:I388" si="54">SUM(D332)</f>
        <v>6995</v>
      </c>
      <c r="E388" s="2552">
        <f t="shared" si="54"/>
        <v>5911</v>
      </c>
      <c r="F388" s="2552">
        <f t="shared" si="54"/>
        <v>84.503216583273769</v>
      </c>
      <c r="G388" s="2553">
        <f t="shared" si="54"/>
        <v>6223000</v>
      </c>
      <c r="H388" s="2553">
        <f t="shared" si="54"/>
        <v>6994707.1399999997</v>
      </c>
      <c r="I388" s="2553">
        <f t="shared" si="54"/>
        <v>5910384.5999999996</v>
      </c>
    </row>
    <row r="389" spans="1:10" hidden="1" x14ac:dyDescent="0.2">
      <c r="A389" s="2550" t="s">
        <v>1902</v>
      </c>
      <c r="B389" s="2551"/>
      <c r="C389" s="2552">
        <f t="shared" ref="C389:I389" si="55">SUM(C329)</f>
        <v>40000</v>
      </c>
      <c r="D389" s="2552">
        <f t="shared" si="55"/>
        <v>74036</v>
      </c>
      <c r="E389" s="2552">
        <f t="shared" si="55"/>
        <v>54435</v>
      </c>
      <c r="F389" s="2552">
        <f t="shared" si="55"/>
        <v>73.525041871521964</v>
      </c>
      <c r="G389" s="2553">
        <f t="shared" si="55"/>
        <v>40000000</v>
      </c>
      <c r="H389" s="2553">
        <f t="shared" si="55"/>
        <v>74036175.460000008</v>
      </c>
      <c r="I389" s="2553">
        <f t="shared" si="55"/>
        <v>54435258.5</v>
      </c>
      <c r="J389" s="548"/>
    </row>
    <row r="390" spans="1:10" hidden="1" x14ac:dyDescent="0.2">
      <c r="A390" s="2550" t="s">
        <v>1010</v>
      </c>
      <c r="B390" s="2551"/>
      <c r="C390" s="2552">
        <f>SUM(C385:C389)</f>
        <v>4258287</v>
      </c>
      <c r="D390" s="2552">
        <f t="shared" ref="D390:I390" si="56">SUM(D385:D389)</f>
        <v>10957840</v>
      </c>
      <c r="E390" s="2552">
        <f t="shared" si="56"/>
        <v>10547790</v>
      </c>
      <c r="F390" s="2552">
        <f t="shared" si="56"/>
        <v>4209.5253599455345</v>
      </c>
      <c r="G390" s="2553">
        <f t="shared" si="56"/>
        <v>4258287000</v>
      </c>
      <c r="H390" s="2553">
        <f t="shared" si="56"/>
        <v>10957840255.799997</v>
      </c>
      <c r="I390" s="2553">
        <f t="shared" si="56"/>
        <v>10547789847.91</v>
      </c>
    </row>
    <row r="391" spans="1:10" hidden="1" x14ac:dyDescent="0.2">
      <c r="A391" s="2554" t="s">
        <v>1011</v>
      </c>
      <c r="B391" s="2555"/>
      <c r="C391" s="2556">
        <f>SUM(C342)</f>
        <v>6223</v>
      </c>
      <c r="D391" s="2556">
        <f t="shared" ref="D391:I391" si="57">SUM(D342)</f>
        <v>6223</v>
      </c>
      <c r="E391" s="2556">
        <f t="shared" si="57"/>
        <v>217907</v>
      </c>
      <c r="F391" s="2556">
        <f t="shared" si="57"/>
        <v>3501.6390808291826</v>
      </c>
      <c r="G391" s="2557">
        <f t="shared" si="57"/>
        <v>6223000</v>
      </c>
      <c r="H391" s="2557">
        <f t="shared" si="57"/>
        <v>6223000</v>
      </c>
      <c r="I391" s="2557">
        <f t="shared" si="57"/>
        <v>217906940.10000002</v>
      </c>
    </row>
    <row r="392" spans="1:10" hidden="1" x14ac:dyDescent="0.2">
      <c r="A392" s="2550" t="s">
        <v>1653</v>
      </c>
      <c r="B392" s="2551"/>
      <c r="C392" s="2552">
        <f>C390-C391</f>
        <v>4252064</v>
      </c>
      <c r="D392" s="2552">
        <f t="shared" ref="D392:I392" si="58">D390-D391</f>
        <v>10951617</v>
      </c>
      <c r="E392" s="2552">
        <f t="shared" si="58"/>
        <v>10329883</v>
      </c>
      <c r="F392" s="2552">
        <f t="shared" si="58"/>
        <v>707.88627911635194</v>
      </c>
      <c r="G392" s="2553">
        <f t="shared" si="58"/>
        <v>4252064000</v>
      </c>
      <c r="H392" s="2553">
        <f t="shared" si="58"/>
        <v>10951617255.799997</v>
      </c>
      <c r="I392" s="2553">
        <f t="shared" si="58"/>
        <v>10329882907.809999</v>
      </c>
    </row>
    <row r="393" spans="1:10" hidden="1" x14ac:dyDescent="0.2"/>
    <row r="394" spans="1:10" hidden="1" x14ac:dyDescent="0.2">
      <c r="A394" s="2566" t="s">
        <v>1903</v>
      </c>
      <c r="B394" s="2567"/>
      <c r="C394" s="2558">
        <f t="shared" ref="C394:J394" si="59">SUM(C64,C125,C200,C258,C318,C338)</f>
        <v>3293544</v>
      </c>
      <c r="D394" s="2558">
        <f t="shared" si="59"/>
        <v>9379315</v>
      </c>
      <c r="E394" s="2558">
        <f t="shared" si="59"/>
        <v>9092443</v>
      </c>
      <c r="F394" s="2558">
        <f t="shared" si="59"/>
        <v>2807.2811259424147</v>
      </c>
      <c r="G394" s="2568">
        <f t="shared" si="59"/>
        <v>3293544000</v>
      </c>
      <c r="H394" s="2568">
        <f t="shared" si="59"/>
        <v>9379314883.2699986</v>
      </c>
      <c r="I394" s="2568">
        <f t="shared" si="59"/>
        <v>9092440756.8700008</v>
      </c>
      <c r="J394" s="548">
        <f t="shared" si="59"/>
        <v>0</v>
      </c>
    </row>
    <row r="395" spans="1:10" hidden="1" x14ac:dyDescent="0.2">
      <c r="A395" s="2566" t="s">
        <v>1904</v>
      </c>
      <c r="B395" s="2567"/>
      <c r="C395" s="2558">
        <f t="shared" ref="C395:I395" si="60">SUM(C339,C319,C259,C201,C126,C65)</f>
        <v>964743</v>
      </c>
      <c r="D395" s="2558">
        <f t="shared" si="60"/>
        <v>1578525</v>
      </c>
      <c r="E395" s="2558">
        <f t="shared" si="60"/>
        <v>1455347</v>
      </c>
      <c r="F395" s="2558">
        <f t="shared" si="60"/>
        <v>1416.81606802945</v>
      </c>
      <c r="G395" s="2568">
        <f t="shared" si="60"/>
        <v>964743000</v>
      </c>
      <c r="H395" s="2568">
        <f t="shared" si="60"/>
        <v>1578525372.53</v>
      </c>
      <c r="I395" s="2568">
        <f t="shared" si="60"/>
        <v>1455349091.0400002</v>
      </c>
    </row>
    <row r="396" spans="1:10" hidden="1" x14ac:dyDescent="0.2">
      <c r="A396" s="2566" t="s">
        <v>1010</v>
      </c>
      <c r="B396" s="2567"/>
      <c r="C396" s="2558">
        <f>SUM(C394:C395)</f>
        <v>4258287</v>
      </c>
      <c r="D396" s="2558">
        <f t="shared" ref="D396:I396" si="61">SUM(D394:D395)</f>
        <v>10957840</v>
      </c>
      <c r="E396" s="2558">
        <f t="shared" si="61"/>
        <v>10547790</v>
      </c>
      <c r="F396" s="2558">
        <f t="shared" si="61"/>
        <v>4224.0971939718647</v>
      </c>
      <c r="G396" s="2568">
        <f t="shared" si="61"/>
        <v>4258287000</v>
      </c>
      <c r="H396" s="2568">
        <f t="shared" si="61"/>
        <v>10957840255.799999</v>
      </c>
      <c r="I396" s="2568">
        <f t="shared" si="61"/>
        <v>10547789847.910002</v>
      </c>
    </row>
    <row r="397" spans="1:10" hidden="1" x14ac:dyDescent="0.2">
      <c r="A397" s="2569" t="s">
        <v>1011</v>
      </c>
      <c r="B397" s="2570"/>
      <c r="C397" s="2571">
        <f>SUM(C342)</f>
        <v>6223</v>
      </c>
      <c r="D397" s="2571">
        <f t="shared" ref="D397:I397" si="62">SUM(D342)</f>
        <v>6223</v>
      </c>
      <c r="E397" s="2571">
        <f t="shared" si="62"/>
        <v>217907</v>
      </c>
      <c r="F397" s="2571">
        <f t="shared" si="62"/>
        <v>3501.6390808291826</v>
      </c>
      <c r="G397" s="2572">
        <f t="shared" si="62"/>
        <v>6223000</v>
      </c>
      <c r="H397" s="2572">
        <f t="shared" si="62"/>
        <v>6223000</v>
      </c>
      <c r="I397" s="2572">
        <f t="shared" si="62"/>
        <v>217906940.10000002</v>
      </c>
    </row>
    <row r="398" spans="1:10" hidden="1" x14ac:dyDescent="0.2">
      <c r="A398" s="2566" t="s">
        <v>1653</v>
      </c>
      <c r="B398" s="2567"/>
      <c r="C398" s="2558">
        <f>C396-C397</f>
        <v>4252064</v>
      </c>
      <c r="D398" s="2558">
        <f t="shared" ref="D398:I398" si="63">D396-D397</f>
        <v>10951617</v>
      </c>
      <c r="E398" s="2558">
        <f t="shared" si="63"/>
        <v>10329883</v>
      </c>
      <c r="F398" s="2558">
        <f t="shared" si="63"/>
        <v>722.45811314268212</v>
      </c>
      <c r="G398" s="2568">
        <f t="shared" si="63"/>
        <v>4252064000</v>
      </c>
      <c r="H398" s="2568">
        <f t="shared" si="63"/>
        <v>10951617255.799999</v>
      </c>
      <c r="I398" s="2568">
        <f t="shared" si="63"/>
        <v>10329882907.810001</v>
      </c>
    </row>
  </sheetData>
  <mergeCells count="29">
    <mergeCell ref="A359:F360"/>
    <mergeCell ref="A1:F1"/>
    <mergeCell ref="A2:F2"/>
    <mergeCell ref="A242:A243"/>
    <mergeCell ref="A247:A248"/>
    <mergeCell ref="A222:A224"/>
    <mergeCell ref="A237:A238"/>
    <mergeCell ref="A207:A208"/>
    <mergeCell ref="A212:A213"/>
    <mergeCell ref="A217:A218"/>
    <mergeCell ref="A184:A185"/>
    <mergeCell ref="A189:A190"/>
    <mergeCell ref="A194:A195"/>
    <mergeCell ref="A270:A271"/>
    <mergeCell ref="A252:A253"/>
    <mergeCell ref="A149:A150"/>
    <mergeCell ref="A158:A160"/>
    <mergeCell ref="A228:A229"/>
    <mergeCell ref="A301:A303"/>
    <mergeCell ref="A336:B336"/>
    <mergeCell ref="A265:A266"/>
    <mergeCell ref="A275:A276"/>
    <mergeCell ref="A280:A281"/>
    <mergeCell ref="A285:A287"/>
    <mergeCell ref="A291:A292"/>
    <mergeCell ref="A296:A297"/>
    <mergeCell ref="A307:A308"/>
    <mergeCell ref="A312:A313"/>
    <mergeCell ref="A324:A325"/>
  </mergeCells>
  <phoneticPr fontId="33" type="noConversion"/>
  <pageMargins left="0.78740157480314965" right="0.78740157480314965" top="0.78740157480314965" bottom="0.98425196850393704" header="0.51181102362204722" footer="0.51181102362204722"/>
  <pageSetup paperSize="9" scale="85" firstPageNumber="22" orientation="portrait" useFirstPageNumber="1" r:id="rId1"/>
  <headerFooter alignWithMargins="0">
    <oddFooter xml:space="preserve">&amp;L&amp;"Arial,Kurzíva"Zastupitelstvo Olomouckého kraje 28. 6. 2013
6.- Závěrečný  účet Olomuckého kraje za rok 2012
Příloha č. 3: Plnění rozpočtu výdajů Olomouckého kraje k 31.12.2012&amp;R&amp;"Arial,Kurzíva"Strana &amp;P (Celkem 484)
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92D050"/>
  </sheetPr>
  <dimension ref="A1:S348"/>
  <sheetViews>
    <sheetView showGridLines="0" view="pageBreakPreview" zoomScaleNormal="100" zoomScaleSheetLayoutView="100" workbookViewId="0">
      <selection activeCell="F51" sqref="F51"/>
    </sheetView>
  </sheetViews>
  <sheetFormatPr defaultRowHeight="12.75" x14ac:dyDescent="0.2"/>
  <cols>
    <col min="1" max="2" width="4.7109375" style="726" customWidth="1"/>
    <col min="3" max="3" width="8.85546875" style="691" customWidth="1"/>
    <col min="4" max="4" width="45.85546875" style="558" customWidth="1"/>
    <col min="5" max="5" width="14.140625" style="517" customWidth="1"/>
    <col min="6" max="6" width="14.5703125" style="517" customWidth="1"/>
    <col min="7" max="7" width="13.140625" style="517" customWidth="1"/>
    <col min="8" max="8" width="7.28515625" style="692" customWidth="1"/>
    <col min="9" max="9" width="9.140625" style="558"/>
    <col min="10" max="10" width="11.42578125" style="558" bestFit="1" customWidth="1"/>
    <col min="11" max="11" width="9.42578125" style="558" bestFit="1" customWidth="1"/>
    <col min="12" max="16384" width="9.140625" style="558"/>
  </cols>
  <sheetData>
    <row r="1" spans="1:9" s="688" customFormat="1" ht="18.75" thickBot="1" x14ac:dyDescent="0.3">
      <c r="A1" s="501" t="s">
        <v>447</v>
      </c>
      <c r="B1" s="502"/>
      <c r="C1" s="503"/>
      <c r="D1" s="504"/>
      <c r="E1" s="505"/>
      <c r="F1" s="505" t="s">
        <v>448</v>
      </c>
      <c r="G1" s="506"/>
      <c r="H1" s="687"/>
    </row>
    <row r="2" spans="1:9" x14ac:dyDescent="0.2">
      <c r="A2" s="689"/>
      <c r="B2" s="690"/>
    </row>
    <row r="3" spans="1:9" s="526" customFormat="1" ht="14.25" x14ac:dyDescent="0.2">
      <c r="A3" s="694" t="s">
        <v>404</v>
      </c>
      <c r="B3" s="695"/>
      <c r="C3" s="696" t="s">
        <v>960</v>
      </c>
      <c r="E3" s="515"/>
      <c r="F3" s="515"/>
      <c r="G3" s="515"/>
      <c r="H3" s="697"/>
    </row>
    <row r="4" spans="1:9" s="693" customFormat="1" ht="14.25" x14ac:dyDescent="0.2">
      <c r="A4" s="689"/>
      <c r="B4" s="690"/>
      <c r="C4" s="696" t="s">
        <v>961</v>
      </c>
      <c r="E4" s="699"/>
      <c r="F4" s="699"/>
      <c r="G4" s="699"/>
      <c r="H4" s="700"/>
    </row>
    <row r="5" spans="1:9" x14ac:dyDescent="0.2">
      <c r="A5" s="689"/>
      <c r="B5" s="690"/>
    </row>
    <row r="6" spans="1:9" ht="15.75" x14ac:dyDescent="0.25">
      <c r="A6" s="701" t="s">
        <v>988</v>
      </c>
      <c r="B6" s="690"/>
    </row>
    <row r="7" spans="1:9" ht="13.5" thickBot="1" x14ac:dyDescent="0.25">
      <c r="H7" s="692" t="s">
        <v>179</v>
      </c>
    </row>
    <row r="8" spans="1:9" s="107" customFormat="1" ht="20.25" customHeight="1" thickTop="1" thickBot="1" x14ac:dyDescent="0.25">
      <c r="A8" s="657" t="s">
        <v>180</v>
      </c>
      <c r="B8" s="658" t="s">
        <v>181</v>
      </c>
      <c r="C8" s="702" t="s">
        <v>783</v>
      </c>
      <c r="D8" s="660" t="s">
        <v>182</v>
      </c>
      <c r="E8" s="660" t="s">
        <v>183</v>
      </c>
      <c r="F8" s="660" t="s">
        <v>985</v>
      </c>
      <c r="G8" s="660" t="s">
        <v>986</v>
      </c>
      <c r="H8" s="661" t="s">
        <v>987</v>
      </c>
    </row>
    <row r="9" spans="1:9" s="386" customFormat="1" ht="13.5" thickTop="1" thickBot="1" x14ac:dyDescent="0.25">
      <c r="A9" s="592">
        <v>1</v>
      </c>
      <c r="B9" s="593">
        <v>2</v>
      </c>
      <c r="C9" s="593">
        <v>3</v>
      </c>
      <c r="D9" s="593">
        <v>4</v>
      </c>
      <c r="E9" s="593">
        <v>5</v>
      </c>
      <c r="F9" s="567">
        <v>6</v>
      </c>
      <c r="G9" s="567">
        <v>7</v>
      </c>
      <c r="H9" s="662" t="s">
        <v>61</v>
      </c>
      <c r="I9" s="107"/>
    </row>
    <row r="10" spans="1:9" s="1166" customFormat="1" ht="15.75" thickTop="1" x14ac:dyDescent="0.25">
      <c r="A10" s="222">
        <v>3311</v>
      </c>
      <c r="B10" s="1170">
        <v>5212</v>
      </c>
      <c r="C10" s="1290"/>
      <c r="D10" s="681" t="s">
        <v>748</v>
      </c>
      <c r="E10" s="1182"/>
      <c r="F10" s="465">
        <v>350</v>
      </c>
      <c r="G10" s="372">
        <v>350</v>
      </c>
      <c r="H10" s="240">
        <f>(G10/F10)*100</f>
        <v>100</v>
      </c>
    </row>
    <row r="11" spans="1:9" s="1166" customFormat="1" ht="15" x14ac:dyDescent="0.25">
      <c r="A11" s="50"/>
      <c r="B11" s="19"/>
      <c r="C11" s="1195" t="s">
        <v>272</v>
      </c>
      <c r="D11" s="1173" t="s">
        <v>348</v>
      </c>
      <c r="E11" s="48"/>
      <c r="F11" s="314">
        <v>350</v>
      </c>
      <c r="G11" s="316">
        <v>350</v>
      </c>
      <c r="H11" s="1184">
        <f>(G11/F11)*100</f>
        <v>100</v>
      </c>
    </row>
    <row r="12" spans="1:9" s="1166" customFormat="1" ht="15" x14ac:dyDescent="0.25">
      <c r="A12" s="50">
        <v>3311</v>
      </c>
      <c r="B12" s="19">
        <v>5213</v>
      </c>
      <c r="C12" s="122"/>
      <c r="D12" s="1167" t="s">
        <v>496</v>
      </c>
      <c r="E12" s="48">
        <v>304</v>
      </c>
      <c r="F12" s="168">
        <v>384</v>
      </c>
      <c r="G12" s="462">
        <v>384</v>
      </c>
      <c r="H12" s="212">
        <f>(G12/F12)*100</f>
        <v>100</v>
      </c>
    </row>
    <row r="13" spans="1:9" s="1166" customFormat="1" ht="14.25" x14ac:dyDescent="0.2">
      <c r="A13" s="50"/>
      <c r="B13" s="19"/>
      <c r="C13" s="1178" t="s">
        <v>497</v>
      </c>
      <c r="D13" s="1173" t="s">
        <v>708</v>
      </c>
      <c r="E13" s="55">
        <v>304</v>
      </c>
      <c r="F13" s="314">
        <v>304</v>
      </c>
      <c r="G13" s="316">
        <v>304</v>
      </c>
      <c r="H13" s="1184">
        <f t="shared" ref="H13:H49" si="0">(G13/F13)*100</f>
        <v>100</v>
      </c>
    </row>
    <row r="14" spans="1:9" s="1166" customFormat="1" ht="14.25" x14ac:dyDescent="0.2">
      <c r="A14" s="50"/>
      <c r="B14" s="19"/>
      <c r="C14" s="1178" t="s">
        <v>480</v>
      </c>
      <c r="D14" s="312" t="s">
        <v>481</v>
      </c>
      <c r="E14" s="55"/>
      <c r="F14" s="314">
        <v>80</v>
      </c>
      <c r="G14" s="316">
        <v>80</v>
      </c>
      <c r="H14" s="1184">
        <f t="shared" si="0"/>
        <v>100</v>
      </c>
    </row>
    <row r="15" spans="1:9" s="1166" customFormat="1" ht="15" x14ac:dyDescent="0.25">
      <c r="A15" s="50">
        <v>3311</v>
      </c>
      <c r="B15" s="19">
        <v>5222</v>
      </c>
      <c r="C15" s="1178"/>
      <c r="D15" s="87" t="s">
        <v>482</v>
      </c>
      <c r="E15" s="71"/>
      <c r="F15" s="315">
        <f>F17+F18+F19+F16</f>
        <v>1865</v>
      </c>
      <c r="G15" s="315">
        <f>G17+G18+G19+G16</f>
        <v>1864</v>
      </c>
      <c r="H15" s="212">
        <f t="shared" si="0"/>
        <v>99.946380697050941</v>
      </c>
    </row>
    <row r="16" spans="1:9" s="1166" customFormat="1" ht="15" x14ac:dyDescent="0.25">
      <c r="A16" s="50"/>
      <c r="B16" s="19"/>
      <c r="C16" s="1195" t="s">
        <v>272</v>
      </c>
      <c r="D16" s="1173" t="s">
        <v>348</v>
      </c>
      <c r="E16" s="71"/>
      <c r="F16" s="314">
        <v>680</v>
      </c>
      <c r="G16" s="316">
        <v>680</v>
      </c>
      <c r="H16" s="1184">
        <f t="shared" si="0"/>
        <v>100</v>
      </c>
    </row>
    <row r="17" spans="1:8" s="1166" customFormat="1" ht="15" x14ac:dyDescent="0.25">
      <c r="A17" s="50"/>
      <c r="B17" s="19"/>
      <c r="C17" s="1195" t="s">
        <v>1350</v>
      </c>
      <c r="D17" s="1173" t="s">
        <v>1737</v>
      </c>
      <c r="E17" s="71"/>
      <c r="F17" s="314">
        <v>185</v>
      </c>
      <c r="G17" s="316">
        <v>184</v>
      </c>
      <c r="H17" s="1184">
        <f t="shared" si="0"/>
        <v>99.459459459459467</v>
      </c>
    </row>
    <row r="18" spans="1:8" s="1166" customFormat="1" ht="14.25" x14ac:dyDescent="0.2">
      <c r="A18" s="50"/>
      <c r="B18" s="19"/>
      <c r="C18" s="1178" t="s">
        <v>480</v>
      </c>
      <c r="D18" s="312" t="s">
        <v>481</v>
      </c>
      <c r="E18" s="55"/>
      <c r="F18" s="314">
        <v>300</v>
      </c>
      <c r="G18" s="316">
        <v>300</v>
      </c>
      <c r="H18" s="1184">
        <f t="shared" si="0"/>
        <v>100</v>
      </c>
    </row>
    <row r="19" spans="1:8" s="1166" customFormat="1" ht="14.25" x14ac:dyDescent="0.2">
      <c r="A19" s="50"/>
      <c r="B19" s="19"/>
      <c r="C19" s="1178" t="s">
        <v>1635</v>
      </c>
      <c r="D19" s="312" t="s">
        <v>1634</v>
      </c>
      <c r="E19" s="55"/>
      <c r="F19" s="314">
        <v>700</v>
      </c>
      <c r="G19" s="316">
        <v>700</v>
      </c>
      <c r="H19" s="1184">
        <f t="shared" si="0"/>
        <v>100</v>
      </c>
    </row>
    <row r="20" spans="1:8" s="1166" customFormat="1" ht="15" x14ac:dyDescent="0.25">
      <c r="A20" s="50">
        <v>3311</v>
      </c>
      <c r="B20" s="19">
        <v>5223</v>
      </c>
      <c r="C20" s="1178"/>
      <c r="D20" s="309" t="s">
        <v>1348</v>
      </c>
      <c r="E20" s="55"/>
      <c r="F20" s="313">
        <v>20</v>
      </c>
      <c r="G20" s="315">
        <v>20</v>
      </c>
      <c r="H20" s="212">
        <f t="shared" si="0"/>
        <v>100</v>
      </c>
    </row>
    <row r="21" spans="1:8" s="1166" customFormat="1" ht="14.25" x14ac:dyDescent="0.2">
      <c r="A21" s="50"/>
      <c r="B21" s="19"/>
      <c r="C21" s="1195" t="s">
        <v>1350</v>
      </c>
      <c r="D21" s="1173" t="s">
        <v>1737</v>
      </c>
      <c r="E21" s="55"/>
      <c r="F21" s="314">
        <v>20</v>
      </c>
      <c r="G21" s="316">
        <v>20</v>
      </c>
      <c r="H21" s="1184">
        <f t="shared" si="0"/>
        <v>100</v>
      </c>
    </row>
    <row r="22" spans="1:8" s="1166" customFormat="1" ht="15" x14ac:dyDescent="0.25">
      <c r="A22" s="50">
        <v>3311</v>
      </c>
      <c r="B22" s="19">
        <v>5321</v>
      </c>
      <c r="C22" s="1178"/>
      <c r="D22" s="1167" t="s">
        <v>1349</v>
      </c>
      <c r="E22" s="71">
        <v>1392</v>
      </c>
      <c r="F22" s="313">
        <v>1542</v>
      </c>
      <c r="G22" s="315">
        <v>1542</v>
      </c>
      <c r="H22" s="212">
        <f t="shared" si="0"/>
        <v>100</v>
      </c>
    </row>
    <row r="23" spans="1:8" s="1166" customFormat="1" ht="14.25" x14ac:dyDescent="0.2">
      <c r="A23" s="50"/>
      <c r="B23" s="19"/>
      <c r="C23" s="1178" t="s">
        <v>497</v>
      </c>
      <c r="D23" s="1173" t="s">
        <v>708</v>
      </c>
      <c r="E23" s="55">
        <v>1392</v>
      </c>
      <c r="F23" s="314">
        <v>1392</v>
      </c>
      <c r="G23" s="316">
        <v>1392</v>
      </c>
      <c r="H23" s="1184">
        <f t="shared" si="0"/>
        <v>100</v>
      </c>
    </row>
    <row r="24" spans="1:8" s="1166" customFormat="1" ht="14.25" x14ac:dyDescent="0.2">
      <c r="A24" s="50"/>
      <c r="B24" s="19"/>
      <c r="C24" s="1178" t="s">
        <v>480</v>
      </c>
      <c r="D24" s="312" t="s">
        <v>481</v>
      </c>
      <c r="E24" s="55"/>
      <c r="F24" s="314">
        <v>150</v>
      </c>
      <c r="G24" s="316">
        <v>150</v>
      </c>
      <c r="H24" s="1184">
        <f t="shared" si="0"/>
        <v>100</v>
      </c>
    </row>
    <row r="25" spans="1:8" s="1166" customFormat="1" ht="15" x14ac:dyDescent="0.25">
      <c r="A25" s="50">
        <v>3311</v>
      </c>
      <c r="B25" s="19">
        <v>5339</v>
      </c>
      <c r="C25" s="1178"/>
      <c r="D25" s="1167" t="s">
        <v>1389</v>
      </c>
      <c r="E25" s="55"/>
      <c r="F25" s="313">
        <v>100</v>
      </c>
      <c r="G25" s="315">
        <v>100</v>
      </c>
      <c r="H25" s="212">
        <f t="shared" si="0"/>
        <v>100</v>
      </c>
    </row>
    <row r="26" spans="1:8" s="1166" customFormat="1" ht="14.25" x14ac:dyDescent="0.2">
      <c r="A26" s="50"/>
      <c r="B26" s="19"/>
      <c r="C26" s="1178" t="s">
        <v>480</v>
      </c>
      <c r="D26" s="312" t="s">
        <v>481</v>
      </c>
      <c r="E26" s="55"/>
      <c r="F26" s="314">
        <v>100</v>
      </c>
      <c r="G26" s="316">
        <v>100</v>
      </c>
      <c r="H26" s="1184">
        <f t="shared" si="0"/>
        <v>100</v>
      </c>
    </row>
    <row r="27" spans="1:8" s="1166" customFormat="1" ht="15" x14ac:dyDescent="0.25">
      <c r="A27" s="50">
        <v>3311</v>
      </c>
      <c r="B27" s="19">
        <v>5493</v>
      </c>
      <c r="C27" s="1178"/>
      <c r="D27" s="309" t="s">
        <v>768</v>
      </c>
      <c r="E27" s="55"/>
      <c r="F27" s="313">
        <v>30</v>
      </c>
      <c r="G27" s="315">
        <v>30</v>
      </c>
      <c r="H27" s="212">
        <f t="shared" si="0"/>
        <v>100</v>
      </c>
    </row>
    <row r="28" spans="1:8" s="1166" customFormat="1" ht="14.25" x14ac:dyDescent="0.2">
      <c r="A28" s="50"/>
      <c r="B28" s="19"/>
      <c r="C28" s="1195" t="s">
        <v>1350</v>
      </c>
      <c r="D28" s="1173" t="s">
        <v>1737</v>
      </c>
      <c r="E28" s="55"/>
      <c r="F28" s="314">
        <v>30</v>
      </c>
      <c r="G28" s="316">
        <v>30</v>
      </c>
      <c r="H28" s="1184">
        <f t="shared" si="0"/>
        <v>100</v>
      </c>
    </row>
    <row r="29" spans="1:8" s="1166" customFormat="1" ht="15" x14ac:dyDescent="0.25">
      <c r="A29" s="50">
        <v>3312</v>
      </c>
      <c r="B29" s="19">
        <v>5212</v>
      </c>
      <c r="C29" s="1178"/>
      <c r="D29" s="382" t="s">
        <v>748</v>
      </c>
      <c r="E29" s="55"/>
      <c r="F29" s="315">
        <f>F30+F31</f>
        <v>430</v>
      </c>
      <c r="G29" s="315">
        <f>G30+G31</f>
        <v>430</v>
      </c>
      <c r="H29" s="212">
        <f t="shared" si="0"/>
        <v>100</v>
      </c>
    </row>
    <row r="30" spans="1:8" s="1166" customFormat="1" ht="14.25" x14ac:dyDescent="0.2">
      <c r="A30" s="50"/>
      <c r="B30" s="19"/>
      <c r="C30" s="1195" t="s">
        <v>1350</v>
      </c>
      <c r="D30" s="1173" t="s">
        <v>1737</v>
      </c>
      <c r="E30" s="55"/>
      <c r="F30" s="314">
        <v>120</v>
      </c>
      <c r="G30" s="316">
        <v>120</v>
      </c>
      <c r="H30" s="1184">
        <f t="shared" si="0"/>
        <v>100</v>
      </c>
    </row>
    <row r="31" spans="1:8" s="1166" customFormat="1" ht="14.25" x14ac:dyDescent="0.2">
      <c r="A31" s="50"/>
      <c r="B31" s="19"/>
      <c r="C31" s="1178" t="s">
        <v>480</v>
      </c>
      <c r="D31" s="312" t="s">
        <v>481</v>
      </c>
      <c r="E31" s="55"/>
      <c r="F31" s="314">
        <v>310</v>
      </c>
      <c r="G31" s="316">
        <v>310</v>
      </c>
      <c r="H31" s="1184">
        <f t="shared" si="0"/>
        <v>100</v>
      </c>
    </row>
    <row r="32" spans="1:8" s="1166" customFormat="1" ht="15" x14ac:dyDescent="0.25">
      <c r="A32" s="50">
        <v>3312</v>
      </c>
      <c r="B32" s="19">
        <v>5213</v>
      </c>
      <c r="C32" s="1179"/>
      <c r="D32" s="1167" t="s">
        <v>496</v>
      </c>
      <c r="E32" s="71"/>
      <c r="F32" s="315">
        <f>F33+F34+F35+F36</f>
        <v>1115</v>
      </c>
      <c r="G32" s="315">
        <f>G33+G34+G35+G36</f>
        <v>1115</v>
      </c>
      <c r="H32" s="212">
        <f t="shared" si="0"/>
        <v>100</v>
      </c>
    </row>
    <row r="33" spans="1:10" s="1166" customFormat="1" ht="15" x14ac:dyDescent="0.25">
      <c r="A33" s="50"/>
      <c r="B33" s="19"/>
      <c r="C33" s="1195" t="s">
        <v>272</v>
      </c>
      <c r="D33" s="1173" t="s">
        <v>348</v>
      </c>
      <c r="E33" s="71"/>
      <c r="F33" s="314">
        <v>200</v>
      </c>
      <c r="G33" s="316">
        <v>200</v>
      </c>
      <c r="H33" s="1184">
        <f t="shared" si="0"/>
        <v>100</v>
      </c>
    </row>
    <row r="34" spans="1:10" s="1166" customFormat="1" ht="15" x14ac:dyDescent="0.25">
      <c r="A34" s="50"/>
      <c r="B34" s="19"/>
      <c r="C34" s="1195" t="s">
        <v>1350</v>
      </c>
      <c r="D34" s="1173" t="s">
        <v>1737</v>
      </c>
      <c r="E34" s="71"/>
      <c r="F34" s="314">
        <v>25</v>
      </c>
      <c r="G34" s="316">
        <v>25</v>
      </c>
      <c r="H34" s="1184">
        <f t="shared" si="0"/>
        <v>100</v>
      </c>
    </row>
    <row r="35" spans="1:10" s="1166" customFormat="1" ht="14.25" x14ac:dyDescent="0.2">
      <c r="A35" s="50"/>
      <c r="B35" s="19"/>
      <c r="C35" s="1178" t="s">
        <v>480</v>
      </c>
      <c r="D35" s="312" t="s">
        <v>481</v>
      </c>
      <c r="E35" s="55"/>
      <c r="F35" s="314">
        <v>190</v>
      </c>
      <c r="G35" s="316">
        <v>190</v>
      </c>
      <c r="H35" s="1184">
        <f t="shared" si="0"/>
        <v>100</v>
      </c>
    </row>
    <row r="36" spans="1:10" s="1166" customFormat="1" ht="14.25" x14ac:dyDescent="0.2">
      <c r="A36" s="50"/>
      <c r="B36" s="19"/>
      <c r="C36" s="1178" t="s">
        <v>1635</v>
      </c>
      <c r="D36" s="312" t="s">
        <v>1634</v>
      </c>
      <c r="E36" s="55"/>
      <c r="F36" s="314">
        <v>700</v>
      </c>
      <c r="G36" s="316">
        <v>700</v>
      </c>
      <c r="H36" s="1184">
        <f t="shared" si="0"/>
        <v>100</v>
      </c>
    </row>
    <row r="37" spans="1:10" s="1166" customFormat="1" ht="15" x14ac:dyDescent="0.25">
      <c r="A37" s="50">
        <v>3312</v>
      </c>
      <c r="B37" s="19">
        <v>5221</v>
      </c>
      <c r="C37" s="1178"/>
      <c r="D37" s="1255" t="s">
        <v>1345</v>
      </c>
      <c r="E37" s="55"/>
      <c r="F37" s="313">
        <v>70</v>
      </c>
      <c r="G37" s="315">
        <v>70</v>
      </c>
      <c r="H37" s="212">
        <f t="shared" si="0"/>
        <v>100</v>
      </c>
    </row>
    <row r="38" spans="1:10" s="1166" customFormat="1" ht="14.25" x14ac:dyDescent="0.2">
      <c r="A38" s="50"/>
      <c r="B38" s="19"/>
      <c r="C38" s="1178" t="s">
        <v>480</v>
      </c>
      <c r="D38" s="312" t="s">
        <v>481</v>
      </c>
      <c r="E38" s="55"/>
      <c r="F38" s="314">
        <v>70</v>
      </c>
      <c r="G38" s="316">
        <v>70</v>
      </c>
      <c r="H38" s="1184">
        <f t="shared" si="0"/>
        <v>100</v>
      </c>
    </row>
    <row r="39" spans="1:10" s="1166" customFormat="1" ht="15" x14ac:dyDescent="0.25">
      <c r="A39" s="50">
        <v>3312</v>
      </c>
      <c r="B39" s="19">
        <v>5222</v>
      </c>
      <c r="C39" s="1178"/>
      <c r="D39" s="87" t="s">
        <v>482</v>
      </c>
      <c r="E39" s="71"/>
      <c r="F39" s="315">
        <f>F41+F42+F43+F40</f>
        <v>3315</v>
      </c>
      <c r="G39" s="315">
        <f>G41+G42+G43+G40</f>
        <v>3315</v>
      </c>
      <c r="H39" s="212">
        <f t="shared" si="0"/>
        <v>100</v>
      </c>
    </row>
    <row r="40" spans="1:10" s="1166" customFormat="1" ht="15" x14ac:dyDescent="0.25">
      <c r="A40" s="50"/>
      <c r="B40" s="19"/>
      <c r="C40" s="1195" t="s">
        <v>272</v>
      </c>
      <c r="D40" s="1173" t="s">
        <v>348</v>
      </c>
      <c r="E40" s="71"/>
      <c r="F40" s="314">
        <v>300</v>
      </c>
      <c r="G40" s="316">
        <v>300</v>
      </c>
      <c r="H40" s="1184">
        <f t="shared" si="0"/>
        <v>100</v>
      </c>
    </row>
    <row r="41" spans="1:10" s="1166" customFormat="1" ht="15" x14ac:dyDescent="0.25">
      <c r="A41" s="50"/>
      <c r="B41" s="19"/>
      <c r="C41" s="1195" t="s">
        <v>1350</v>
      </c>
      <c r="D41" s="1173" t="s">
        <v>1737</v>
      </c>
      <c r="E41" s="71"/>
      <c r="F41" s="314">
        <v>735</v>
      </c>
      <c r="G41" s="316">
        <v>735</v>
      </c>
      <c r="H41" s="1184">
        <f t="shared" si="0"/>
        <v>100</v>
      </c>
    </row>
    <row r="42" spans="1:10" s="1166" customFormat="1" ht="14.25" x14ac:dyDescent="0.2">
      <c r="A42" s="50"/>
      <c r="B42" s="19"/>
      <c r="C42" s="1178" t="s">
        <v>480</v>
      </c>
      <c r="D42" s="312" t="s">
        <v>481</v>
      </c>
      <c r="E42" s="55"/>
      <c r="F42" s="314">
        <v>1060</v>
      </c>
      <c r="G42" s="316">
        <v>1060</v>
      </c>
      <c r="H42" s="1184">
        <f t="shared" si="0"/>
        <v>100</v>
      </c>
    </row>
    <row r="43" spans="1:10" s="1166" customFormat="1" ht="14.25" x14ac:dyDescent="0.2">
      <c r="A43" s="50"/>
      <c r="B43" s="19"/>
      <c r="C43" s="1178" t="s">
        <v>1635</v>
      </c>
      <c r="D43" s="312" t="s">
        <v>1634</v>
      </c>
      <c r="E43" s="55"/>
      <c r="F43" s="314">
        <v>1220</v>
      </c>
      <c r="G43" s="316">
        <v>1220</v>
      </c>
      <c r="H43" s="1184">
        <f t="shared" si="0"/>
        <v>100</v>
      </c>
    </row>
    <row r="44" spans="1:10" s="1166" customFormat="1" ht="15" x14ac:dyDescent="0.25">
      <c r="A44" s="50">
        <v>3312</v>
      </c>
      <c r="B44" s="19">
        <v>5223</v>
      </c>
      <c r="C44" s="1178"/>
      <c r="D44" s="309" t="s">
        <v>1348</v>
      </c>
      <c r="E44" s="71">
        <v>6750</v>
      </c>
      <c r="F44" s="315">
        <f>F45+F46</f>
        <v>60</v>
      </c>
      <c r="G44" s="315">
        <f>G45+G46</f>
        <v>60</v>
      </c>
      <c r="H44" s="212">
        <f t="shared" si="0"/>
        <v>100</v>
      </c>
    </row>
    <row r="45" spans="1:10" s="1166" customFormat="1" ht="14.25" x14ac:dyDescent="0.2">
      <c r="A45" s="50"/>
      <c r="B45" s="19"/>
      <c r="C45" s="1195" t="s">
        <v>1350</v>
      </c>
      <c r="D45" s="1173" t="s">
        <v>1737</v>
      </c>
      <c r="E45" s="55"/>
      <c r="F45" s="314">
        <v>60</v>
      </c>
      <c r="G45" s="316">
        <v>60</v>
      </c>
      <c r="H45" s="1184">
        <f t="shared" si="0"/>
        <v>100</v>
      </c>
    </row>
    <row r="46" spans="1:10" s="1166" customFormat="1" ht="14.25" x14ac:dyDescent="0.2">
      <c r="A46" s="50"/>
      <c r="B46" s="19"/>
      <c r="C46" s="1178" t="s">
        <v>1635</v>
      </c>
      <c r="D46" s="312" t="s">
        <v>1634</v>
      </c>
      <c r="E46" s="55">
        <v>6750</v>
      </c>
      <c r="F46" s="314">
        <v>0</v>
      </c>
      <c r="G46" s="316">
        <v>0</v>
      </c>
      <c r="H46" s="1184">
        <v>0</v>
      </c>
    </row>
    <row r="47" spans="1:10" s="1166" customFormat="1" ht="15" x14ac:dyDescent="0.25">
      <c r="A47" s="50">
        <v>3312</v>
      </c>
      <c r="B47" s="19">
        <v>5229</v>
      </c>
      <c r="C47" s="1178"/>
      <c r="D47" s="309" t="s">
        <v>949</v>
      </c>
      <c r="E47" s="71"/>
      <c r="F47" s="313">
        <v>550</v>
      </c>
      <c r="G47" s="315">
        <v>550</v>
      </c>
      <c r="H47" s="212">
        <f t="shared" si="0"/>
        <v>100</v>
      </c>
      <c r="J47" s="1201"/>
    </row>
    <row r="48" spans="1:10" s="1166" customFormat="1" ht="14.25" x14ac:dyDescent="0.2">
      <c r="A48" s="50"/>
      <c r="B48" s="19"/>
      <c r="C48" s="1178" t="s">
        <v>1635</v>
      </c>
      <c r="D48" s="312" t="s">
        <v>1634</v>
      </c>
      <c r="E48" s="55"/>
      <c r="F48" s="314">
        <v>550</v>
      </c>
      <c r="G48" s="316">
        <v>550</v>
      </c>
      <c r="H48" s="1184">
        <f t="shared" si="0"/>
        <v>100</v>
      </c>
    </row>
    <row r="49" spans="1:8" s="1166" customFormat="1" ht="15" x14ac:dyDescent="0.25">
      <c r="A49" s="50">
        <v>3312</v>
      </c>
      <c r="B49" s="19">
        <v>5321</v>
      </c>
      <c r="C49" s="1178"/>
      <c r="D49" s="1167" t="s">
        <v>1349</v>
      </c>
      <c r="E49" s="71">
        <v>304</v>
      </c>
      <c r="F49" s="313">
        <v>2654</v>
      </c>
      <c r="G49" s="315">
        <v>2654</v>
      </c>
      <c r="H49" s="1183">
        <f t="shared" si="0"/>
        <v>100</v>
      </c>
    </row>
    <row r="50" spans="1:8" s="1166" customFormat="1" ht="15" x14ac:dyDescent="0.25">
      <c r="A50" s="50"/>
      <c r="B50" s="19"/>
      <c r="C50" s="1195" t="s">
        <v>1350</v>
      </c>
      <c r="D50" s="1173" t="s">
        <v>1737</v>
      </c>
      <c r="E50" s="71"/>
      <c r="F50" s="314">
        <v>25</v>
      </c>
      <c r="G50" s="316">
        <v>25</v>
      </c>
      <c r="H50" s="1184">
        <f t="shared" ref="H50:H57" si="1">(G50/F50)*100</f>
        <v>100</v>
      </c>
    </row>
    <row r="51" spans="1:8" s="1166" customFormat="1" ht="14.25" x14ac:dyDescent="0.2">
      <c r="A51" s="50"/>
      <c r="B51" s="19"/>
      <c r="C51" s="1178" t="s">
        <v>497</v>
      </c>
      <c r="D51" s="1173" t="s">
        <v>708</v>
      </c>
      <c r="E51" s="55">
        <v>304</v>
      </c>
      <c r="F51" s="314">
        <v>304</v>
      </c>
      <c r="G51" s="316">
        <v>304</v>
      </c>
      <c r="H51" s="1184">
        <f t="shared" si="1"/>
        <v>100</v>
      </c>
    </row>
    <row r="52" spans="1:8" s="1166" customFormat="1" ht="14.25" x14ac:dyDescent="0.2">
      <c r="A52" s="50"/>
      <c r="B52" s="19"/>
      <c r="C52" s="1178" t="s">
        <v>480</v>
      </c>
      <c r="D52" s="312" t="s">
        <v>481</v>
      </c>
      <c r="E52" s="55"/>
      <c r="F52" s="314">
        <v>475</v>
      </c>
      <c r="G52" s="316">
        <v>475</v>
      </c>
      <c r="H52" s="1184">
        <f t="shared" si="1"/>
        <v>100</v>
      </c>
    </row>
    <row r="53" spans="1:8" s="1166" customFormat="1" ht="14.25" x14ac:dyDescent="0.2">
      <c r="A53" s="50"/>
      <c r="B53" s="19"/>
      <c r="C53" s="1178" t="s">
        <v>1635</v>
      </c>
      <c r="D53" s="312" t="s">
        <v>1634</v>
      </c>
      <c r="E53" s="55"/>
      <c r="F53" s="314">
        <v>1850</v>
      </c>
      <c r="G53" s="316">
        <v>1850</v>
      </c>
      <c r="H53" s="1184">
        <f t="shared" si="1"/>
        <v>100</v>
      </c>
    </row>
    <row r="54" spans="1:8" s="1166" customFormat="1" ht="15" x14ac:dyDescent="0.25">
      <c r="A54" s="50">
        <v>3312</v>
      </c>
      <c r="B54" s="19">
        <v>5331</v>
      </c>
      <c r="C54" s="1178"/>
      <c r="D54" s="1191" t="s">
        <v>933</v>
      </c>
      <c r="E54" s="55"/>
      <c r="F54" s="313">
        <v>80</v>
      </c>
      <c r="G54" s="315">
        <v>80</v>
      </c>
      <c r="H54" s="212">
        <f t="shared" si="1"/>
        <v>100</v>
      </c>
    </row>
    <row r="55" spans="1:8" s="1166" customFormat="1" ht="14.25" x14ac:dyDescent="0.2">
      <c r="A55" s="50"/>
      <c r="B55" s="19"/>
      <c r="C55" s="1178" t="s">
        <v>480</v>
      </c>
      <c r="D55" s="312" t="s">
        <v>481</v>
      </c>
      <c r="E55" s="55"/>
      <c r="F55" s="314">
        <v>80</v>
      </c>
      <c r="G55" s="316">
        <v>80</v>
      </c>
      <c r="H55" s="1184">
        <f t="shared" si="1"/>
        <v>100</v>
      </c>
    </row>
    <row r="56" spans="1:8" s="1166" customFormat="1" ht="15" x14ac:dyDescent="0.25">
      <c r="A56" s="50">
        <v>3312</v>
      </c>
      <c r="B56" s="19">
        <v>5493</v>
      </c>
      <c r="C56" s="1195"/>
      <c r="D56" s="309" t="s">
        <v>768</v>
      </c>
      <c r="E56" s="55"/>
      <c r="F56" s="313">
        <v>192</v>
      </c>
      <c r="G56" s="315">
        <v>192</v>
      </c>
      <c r="H56" s="212">
        <f t="shared" si="1"/>
        <v>100</v>
      </c>
    </row>
    <row r="57" spans="1:8" s="1166" customFormat="1" ht="14.25" x14ac:dyDescent="0.2">
      <c r="A57" s="50"/>
      <c r="B57" s="19"/>
      <c r="C57" s="1195" t="s">
        <v>1350</v>
      </c>
      <c r="D57" s="1173" t="s">
        <v>1737</v>
      </c>
      <c r="E57" s="55"/>
      <c r="F57" s="314">
        <v>192</v>
      </c>
      <c r="G57" s="316">
        <v>192</v>
      </c>
      <c r="H57" s="1184">
        <f t="shared" si="1"/>
        <v>100</v>
      </c>
    </row>
    <row r="58" spans="1:8" s="1166" customFormat="1" ht="15" x14ac:dyDescent="0.25">
      <c r="A58" s="50">
        <v>3314</v>
      </c>
      <c r="B58" s="19">
        <v>5321</v>
      </c>
      <c r="C58" s="1178"/>
      <c r="D58" s="1167" t="s">
        <v>1349</v>
      </c>
      <c r="E58" s="71">
        <v>9300</v>
      </c>
      <c r="F58" s="313">
        <v>8400</v>
      </c>
      <c r="G58" s="315">
        <v>8400</v>
      </c>
      <c r="H58" s="212">
        <f t="shared" ref="H58:H65" si="2">(G58/F58)*100</f>
        <v>100</v>
      </c>
    </row>
    <row r="59" spans="1:8" s="1166" customFormat="1" ht="14.25" x14ac:dyDescent="0.2">
      <c r="A59" s="50"/>
      <c r="B59" s="19"/>
      <c r="C59" s="1195" t="s">
        <v>232</v>
      </c>
      <c r="D59" s="85" t="s">
        <v>709</v>
      </c>
      <c r="E59" s="55">
        <v>9300</v>
      </c>
      <c r="F59" s="314">
        <v>8400</v>
      </c>
      <c r="G59" s="316">
        <v>8400</v>
      </c>
      <c r="H59" s="1184">
        <f t="shared" si="2"/>
        <v>100</v>
      </c>
    </row>
    <row r="60" spans="1:8" s="1166" customFormat="1" ht="15" x14ac:dyDescent="0.25">
      <c r="A60" s="50">
        <v>3315</v>
      </c>
      <c r="B60" s="19">
        <v>5222</v>
      </c>
      <c r="C60" s="1195"/>
      <c r="D60" s="87" t="s">
        <v>482</v>
      </c>
      <c r="E60" s="55"/>
      <c r="F60" s="313">
        <v>25</v>
      </c>
      <c r="G60" s="315">
        <v>25</v>
      </c>
      <c r="H60" s="212">
        <f t="shared" si="2"/>
        <v>100</v>
      </c>
    </row>
    <row r="61" spans="1:8" s="1166" customFormat="1" ht="14.25" x14ac:dyDescent="0.2">
      <c r="A61" s="50"/>
      <c r="B61" s="19"/>
      <c r="C61" s="1195" t="s">
        <v>1350</v>
      </c>
      <c r="D61" s="1173" t="s">
        <v>1737</v>
      </c>
      <c r="E61" s="55"/>
      <c r="F61" s="314">
        <v>25</v>
      </c>
      <c r="G61" s="316">
        <v>25</v>
      </c>
      <c r="H61" s="1184">
        <f t="shared" si="2"/>
        <v>100</v>
      </c>
    </row>
    <row r="62" spans="1:8" s="1166" customFormat="1" ht="15" x14ac:dyDescent="0.25">
      <c r="A62" s="50">
        <v>3315</v>
      </c>
      <c r="B62" s="19">
        <v>5321</v>
      </c>
      <c r="C62" s="1195"/>
      <c r="D62" s="1167" t="s">
        <v>1349</v>
      </c>
      <c r="E62" s="55"/>
      <c r="F62" s="313">
        <v>1330</v>
      </c>
      <c r="G62" s="315">
        <v>1330</v>
      </c>
      <c r="H62" s="212">
        <f t="shared" si="2"/>
        <v>100</v>
      </c>
    </row>
    <row r="63" spans="1:8" s="1166" customFormat="1" ht="14.25" x14ac:dyDescent="0.2">
      <c r="A63" s="50"/>
      <c r="B63" s="19"/>
      <c r="C63" s="1195" t="s">
        <v>272</v>
      </c>
      <c r="D63" s="1173" t="s">
        <v>348</v>
      </c>
      <c r="E63" s="55"/>
      <c r="F63" s="314">
        <v>1330</v>
      </c>
      <c r="G63" s="316">
        <v>1330</v>
      </c>
      <c r="H63" s="1184">
        <f t="shared" si="2"/>
        <v>100</v>
      </c>
    </row>
    <row r="64" spans="1:8" s="1166" customFormat="1" ht="15" x14ac:dyDescent="0.25">
      <c r="A64" s="50">
        <v>3315</v>
      </c>
      <c r="B64" s="19">
        <v>5339</v>
      </c>
      <c r="C64" s="1195"/>
      <c r="D64" s="309" t="s">
        <v>1760</v>
      </c>
      <c r="E64" s="71">
        <v>25000</v>
      </c>
      <c r="F64" s="313">
        <v>25000</v>
      </c>
      <c r="G64" s="315">
        <v>25000</v>
      </c>
      <c r="H64" s="212">
        <f t="shared" si="2"/>
        <v>100</v>
      </c>
    </row>
    <row r="65" spans="1:11" s="1166" customFormat="1" ht="14.25" x14ac:dyDescent="0.2">
      <c r="A65" s="50"/>
      <c r="B65" s="19"/>
      <c r="C65" s="1195" t="s">
        <v>385</v>
      </c>
      <c r="D65" s="85" t="s">
        <v>996</v>
      </c>
      <c r="E65" s="55">
        <v>25000</v>
      </c>
      <c r="F65" s="314">
        <v>25000</v>
      </c>
      <c r="G65" s="316">
        <v>25000</v>
      </c>
      <c r="H65" s="1184">
        <f t="shared" si="2"/>
        <v>100</v>
      </c>
    </row>
    <row r="66" spans="1:11" s="1166" customFormat="1" ht="15" x14ac:dyDescent="0.25">
      <c r="A66" s="50">
        <v>3319</v>
      </c>
      <c r="B66" s="19">
        <v>5166</v>
      </c>
      <c r="C66" s="122"/>
      <c r="D66" s="1167" t="s">
        <v>677</v>
      </c>
      <c r="E66" s="48">
        <v>25</v>
      </c>
      <c r="F66" s="168">
        <v>0</v>
      </c>
      <c r="G66" s="315">
        <v>0</v>
      </c>
      <c r="H66" s="1183">
        <v>0</v>
      </c>
    </row>
    <row r="67" spans="1:11" s="1166" customFormat="1" ht="15" x14ac:dyDescent="0.25">
      <c r="A67" s="50">
        <v>3319</v>
      </c>
      <c r="B67" s="19">
        <v>5169</v>
      </c>
      <c r="C67" s="122"/>
      <c r="D67" s="1167" t="s">
        <v>955</v>
      </c>
      <c r="E67" s="48">
        <v>615</v>
      </c>
      <c r="F67" s="168">
        <v>460</v>
      </c>
      <c r="G67" s="462">
        <v>460</v>
      </c>
      <c r="H67" s="212">
        <f t="shared" ref="H67:H114" si="3">(G67/F67)*100</f>
        <v>100</v>
      </c>
      <c r="J67" s="1201">
        <f>F10+F12+F15+F20+F22+F25+F27+F29+F32+F37+F39+F44+F47+F49+F54+F56+F58+F60+F64+F66+F67+F62</f>
        <v>47972</v>
      </c>
      <c r="K67" s="1201">
        <f>G10+G12+G15+G20+G22+G25+G27+G29+G32+G37+G39+G44+G47+G49+G54+G56+G58+G60+G64+G66+G67+G62</f>
        <v>47971</v>
      </c>
    </row>
    <row r="68" spans="1:11" s="1166" customFormat="1" ht="14.25" x14ac:dyDescent="0.2">
      <c r="A68" s="50"/>
      <c r="B68" s="19"/>
      <c r="C68" s="1179" t="s">
        <v>838</v>
      </c>
      <c r="D68" s="1173" t="s">
        <v>1415</v>
      </c>
      <c r="E68" s="55">
        <v>535</v>
      </c>
      <c r="F68" s="314">
        <v>460</v>
      </c>
      <c r="G68" s="316">
        <v>460</v>
      </c>
      <c r="H68" s="1184">
        <f t="shared" si="3"/>
        <v>100</v>
      </c>
    </row>
    <row r="69" spans="1:11" s="1166" customFormat="1" ht="15" thickBot="1" x14ac:dyDescent="0.25">
      <c r="A69" s="1186"/>
      <c r="B69" s="1193"/>
      <c r="C69" s="1595" t="s">
        <v>385</v>
      </c>
      <c r="D69" s="1596" t="s">
        <v>996</v>
      </c>
      <c r="E69" s="1211">
        <v>80</v>
      </c>
      <c r="F69" s="456">
        <v>0</v>
      </c>
      <c r="G69" s="457">
        <v>0</v>
      </c>
      <c r="H69" s="1207">
        <v>0</v>
      </c>
    </row>
    <row r="70" spans="1:11" s="1166" customFormat="1" ht="15" thickTop="1" x14ac:dyDescent="0.2">
      <c r="A70" s="1199"/>
      <c r="B70" s="1199"/>
      <c r="C70" s="2091"/>
      <c r="D70" s="1174"/>
      <c r="E70" s="1401"/>
      <c r="F70" s="314"/>
      <c r="G70" s="314"/>
      <c r="H70" s="1314"/>
    </row>
    <row r="71" spans="1:11" s="1166" customFormat="1" ht="14.25" x14ac:dyDescent="0.2">
      <c r="A71" s="1199"/>
      <c r="B71" s="1199"/>
      <c r="C71" s="2091"/>
      <c r="D71" s="1174"/>
      <c r="E71" s="1401"/>
      <c r="F71" s="314"/>
      <c r="G71" s="314"/>
      <c r="H71" s="1314"/>
    </row>
    <row r="72" spans="1:11" ht="13.5" thickBot="1" x14ac:dyDescent="0.25">
      <c r="H72" s="692" t="s">
        <v>179</v>
      </c>
    </row>
    <row r="73" spans="1:11" s="107" customFormat="1" ht="20.25" customHeight="1" thickTop="1" thickBot="1" x14ac:dyDescent="0.25">
      <c r="A73" s="657" t="s">
        <v>180</v>
      </c>
      <c r="B73" s="658" t="s">
        <v>181</v>
      </c>
      <c r="C73" s="702" t="s">
        <v>783</v>
      </c>
      <c r="D73" s="660" t="s">
        <v>182</v>
      </c>
      <c r="E73" s="660" t="s">
        <v>183</v>
      </c>
      <c r="F73" s="660" t="s">
        <v>985</v>
      </c>
      <c r="G73" s="660" t="s">
        <v>986</v>
      </c>
      <c r="H73" s="661" t="s">
        <v>987</v>
      </c>
    </row>
    <row r="74" spans="1:11" s="386" customFormat="1" ht="13.5" thickTop="1" thickBot="1" x14ac:dyDescent="0.25">
      <c r="A74" s="592">
        <v>1</v>
      </c>
      <c r="B74" s="593">
        <v>2</v>
      </c>
      <c r="C74" s="593">
        <v>3</v>
      </c>
      <c r="D74" s="593">
        <v>4</v>
      </c>
      <c r="E74" s="593">
        <v>5</v>
      </c>
      <c r="F74" s="567">
        <v>6</v>
      </c>
      <c r="G74" s="567">
        <v>7</v>
      </c>
      <c r="H74" s="662" t="s">
        <v>61</v>
      </c>
      <c r="I74" s="107"/>
    </row>
    <row r="75" spans="1:11" s="1166" customFormat="1" ht="15.75" thickTop="1" x14ac:dyDescent="0.25">
      <c r="A75" s="50">
        <v>3319</v>
      </c>
      <c r="B75" s="19">
        <v>5194</v>
      </c>
      <c r="C75" s="122"/>
      <c r="D75" s="1167" t="s">
        <v>667</v>
      </c>
      <c r="E75" s="48">
        <v>140</v>
      </c>
      <c r="F75" s="168">
        <v>140</v>
      </c>
      <c r="G75" s="462">
        <v>140</v>
      </c>
      <c r="H75" s="212">
        <f t="shared" si="3"/>
        <v>100</v>
      </c>
    </row>
    <row r="76" spans="1:11" s="1166" customFormat="1" ht="15" x14ac:dyDescent="0.25">
      <c r="A76" s="50">
        <v>3319</v>
      </c>
      <c r="B76" s="19">
        <v>5212</v>
      </c>
      <c r="C76" s="122"/>
      <c r="D76" s="382" t="s">
        <v>748</v>
      </c>
      <c r="E76" s="48"/>
      <c r="F76" s="462">
        <f>F77+F78+F79</f>
        <v>1343</v>
      </c>
      <c r="G76" s="462">
        <f>G77+G78+G79</f>
        <v>1343</v>
      </c>
      <c r="H76" s="212">
        <f t="shared" si="3"/>
        <v>100</v>
      </c>
    </row>
    <row r="77" spans="1:11" s="1166" customFormat="1" ht="15" x14ac:dyDescent="0.25">
      <c r="A77" s="50"/>
      <c r="B77" s="19"/>
      <c r="C77" s="1195" t="s">
        <v>272</v>
      </c>
      <c r="D77" s="1173" t="s">
        <v>348</v>
      </c>
      <c r="E77" s="48"/>
      <c r="F77" s="314">
        <v>430</v>
      </c>
      <c r="G77" s="316">
        <v>430</v>
      </c>
      <c r="H77" s="1184">
        <f t="shared" si="3"/>
        <v>100</v>
      </c>
    </row>
    <row r="78" spans="1:11" s="1166" customFormat="1" ht="15" x14ac:dyDescent="0.25">
      <c r="A78" s="50"/>
      <c r="B78" s="19"/>
      <c r="C78" s="1195" t="s">
        <v>1350</v>
      </c>
      <c r="D78" s="1173" t="s">
        <v>1737</v>
      </c>
      <c r="E78" s="48"/>
      <c r="F78" s="314">
        <v>432</v>
      </c>
      <c r="G78" s="316">
        <v>432</v>
      </c>
      <c r="H78" s="1184">
        <f t="shared" si="3"/>
        <v>100</v>
      </c>
    </row>
    <row r="79" spans="1:11" s="1166" customFormat="1" ht="15" x14ac:dyDescent="0.25">
      <c r="A79" s="34"/>
      <c r="B79" s="19"/>
      <c r="C79" s="1178" t="s">
        <v>480</v>
      </c>
      <c r="D79" s="312" t="s">
        <v>481</v>
      </c>
      <c r="E79" s="48"/>
      <c r="F79" s="314">
        <v>481</v>
      </c>
      <c r="G79" s="316">
        <v>481</v>
      </c>
      <c r="H79" s="1184">
        <f t="shared" si="3"/>
        <v>100</v>
      </c>
    </row>
    <row r="80" spans="1:11" s="1166" customFormat="1" ht="15" x14ac:dyDescent="0.25">
      <c r="A80" s="50">
        <v>3319</v>
      </c>
      <c r="B80" s="19">
        <v>5213</v>
      </c>
      <c r="C80" s="1178"/>
      <c r="D80" s="1167" t="s">
        <v>496</v>
      </c>
      <c r="E80" s="48"/>
      <c r="F80" s="315">
        <f>F81+F82+F83</f>
        <v>1899</v>
      </c>
      <c r="G80" s="315">
        <f>G81+G82+G83</f>
        <v>1899</v>
      </c>
      <c r="H80" s="212">
        <f t="shared" si="3"/>
        <v>100</v>
      </c>
    </row>
    <row r="81" spans="1:8" s="1166" customFormat="1" ht="15" x14ac:dyDescent="0.25">
      <c r="A81" s="50"/>
      <c r="B81" s="19"/>
      <c r="C81" s="1195" t="s">
        <v>272</v>
      </c>
      <c r="D81" s="1173" t="s">
        <v>348</v>
      </c>
      <c r="E81" s="48"/>
      <c r="F81" s="314">
        <v>670</v>
      </c>
      <c r="G81" s="316">
        <v>670</v>
      </c>
      <c r="H81" s="1184">
        <f t="shared" si="3"/>
        <v>100</v>
      </c>
    </row>
    <row r="82" spans="1:8" s="1166" customFormat="1" ht="15" x14ac:dyDescent="0.25">
      <c r="A82" s="50"/>
      <c r="B82" s="19"/>
      <c r="C82" s="1195" t="s">
        <v>1350</v>
      </c>
      <c r="D82" s="1173" t="s">
        <v>1737</v>
      </c>
      <c r="E82" s="48"/>
      <c r="F82" s="314">
        <v>159</v>
      </c>
      <c r="G82" s="316">
        <v>159</v>
      </c>
      <c r="H82" s="1184">
        <f t="shared" si="3"/>
        <v>100</v>
      </c>
    </row>
    <row r="83" spans="1:8" s="1166" customFormat="1" ht="15" x14ac:dyDescent="0.25">
      <c r="A83" s="50"/>
      <c r="B83" s="19"/>
      <c r="C83" s="1178" t="s">
        <v>480</v>
      </c>
      <c r="D83" s="312" t="s">
        <v>481</v>
      </c>
      <c r="E83" s="48"/>
      <c r="F83" s="314">
        <v>1070</v>
      </c>
      <c r="G83" s="316">
        <v>1070</v>
      </c>
      <c r="H83" s="1184">
        <f t="shared" si="3"/>
        <v>100</v>
      </c>
    </row>
    <row r="84" spans="1:8" s="1166" customFormat="1" ht="15" x14ac:dyDescent="0.25">
      <c r="A84" s="34">
        <v>3319</v>
      </c>
      <c r="B84" s="1199">
        <v>5221</v>
      </c>
      <c r="C84" s="1178"/>
      <c r="D84" s="1255" t="s">
        <v>1345</v>
      </c>
      <c r="E84" s="48"/>
      <c r="F84" s="313">
        <v>152</v>
      </c>
      <c r="G84" s="462">
        <v>152</v>
      </c>
      <c r="H84" s="212">
        <f t="shared" si="3"/>
        <v>100</v>
      </c>
    </row>
    <row r="85" spans="1:8" s="1166" customFormat="1" ht="15" x14ac:dyDescent="0.25">
      <c r="A85" s="34"/>
      <c r="B85" s="1199"/>
      <c r="C85" s="1195" t="s">
        <v>1350</v>
      </c>
      <c r="D85" s="1173" t="s">
        <v>1737</v>
      </c>
      <c r="E85" s="48"/>
      <c r="F85" s="314">
        <v>102</v>
      </c>
      <c r="G85" s="316">
        <v>102</v>
      </c>
      <c r="H85" s="1184">
        <f t="shared" si="3"/>
        <v>100</v>
      </c>
    </row>
    <row r="86" spans="1:8" s="1166" customFormat="1" ht="15" x14ac:dyDescent="0.25">
      <c r="A86" s="34"/>
      <c r="B86" s="1199"/>
      <c r="C86" s="1178" t="s">
        <v>480</v>
      </c>
      <c r="D86" s="312" t="s">
        <v>481</v>
      </c>
      <c r="E86" s="48"/>
      <c r="F86" s="314">
        <v>50</v>
      </c>
      <c r="G86" s="316">
        <v>50</v>
      </c>
      <c r="H86" s="1184">
        <f t="shared" si="3"/>
        <v>100</v>
      </c>
    </row>
    <row r="87" spans="1:8" s="1166" customFormat="1" ht="15" x14ac:dyDescent="0.25">
      <c r="A87" s="34">
        <v>3319</v>
      </c>
      <c r="B87" s="1199">
        <v>5222</v>
      </c>
      <c r="C87" s="122"/>
      <c r="D87" s="87" t="s">
        <v>482</v>
      </c>
      <c r="E87" s="48"/>
      <c r="F87" s="168">
        <v>5702</v>
      </c>
      <c r="G87" s="462">
        <v>5688</v>
      </c>
      <c r="H87" s="212">
        <f t="shared" si="3"/>
        <v>99.754472115047349</v>
      </c>
    </row>
    <row r="88" spans="1:8" s="1166" customFormat="1" ht="15" x14ac:dyDescent="0.25">
      <c r="A88" s="34"/>
      <c r="B88" s="1199"/>
      <c r="C88" s="1195" t="s">
        <v>272</v>
      </c>
      <c r="D88" s="1173" t="s">
        <v>348</v>
      </c>
      <c r="E88" s="48"/>
      <c r="F88" s="314">
        <v>1620</v>
      </c>
      <c r="G88" s="316">
        <v>1620</v>
      </c>
      <c r="H88" s="1184">
        <f t="shared" si="3"/>
        <v>100</v>
      </c>
    </row>
    <row r="89" spans="1:8" s="1166" customFormat="1" ht="15" x14ac:dyDescent="0.25">
      <c r="A89" s="34"/>
      <c r="B89" s="1199"/>
      <c r="C89" s="1195" t="s">
        <v>1350</v>
      </c>
      <c r="D89" s="1173" t="s">
        <v>1737</v>
      </c>
      <c r="E89" s="48"/>
      <c r="F89" s="314">
        <v>2187</v>
      </c>
      <c r="G89" s="316">
        <v>2173</v>
      </c>
      <c r="H89" s="1184">
        <f t="shared" si="3"/>
        <v>99.35985368084134</v>
      </c>
    </row>
    <row r="90" spans="1:8" s="1166" customFormat="1" ht="15" x14ac:dyDescent="0.25">
      <c r="A90" s="34"/>
      <c r="B90" s="1199"/>
      <c r="C90" s="1178" t="s">
        <v>480</v>
      </c>
      <c r="D90" s="312" t="s">
        <v>481</v>
      </c>
      <c r="E90" s="48"/>
      <c r="F90" s="314">
        <v>1895</v>
      </c>
      <c r="G90" s="316">
        <v>1895</v>
      </c>
      <c r="H90" s="1184">
        <f t="shared" si="3"/>
        <v>100</v>
      </c>
    </row>
    <row r="91" spans="1:8" s="1166" customFormat="1" ht="15" x14ac:dyDescent="0.25">
      <c r="A91" s="34">
        <v>3319</v>
      </c>
      <c r="B91" s="1199">
        <v>5223</v>
      </c>
      <c r="C91" s="1178"/>
      <c r="D91" s="309" t="s">
        <v>1348</v>
      </c>
      <c r="E91" s="48"/>
      <c r="F91" s="313">
        <v>208</v>
      </c>
      <c r="G91" s="315">
        <v>208</v>
      </c>
      <c r="H91" s="212">
        <f t="shared" si="3"/>
        <v>100</v>
      </c>
    </row>
    <row r="92" spans="1:8" s="1166" customFormat="1" ht="15" x14ac:dyDescent="0.25">
      <c r="A92" s="34"/>
      <c r="B92" s="1199"/>
      <c r="C92" s="1195" t="s">
        <v>1350</v>
      </c>
      <c r="D92" s="1173" t="s">
        <v>1737</v>
      </c>
      <c r="E92" s="48"/>
      <c r="F92" s="314">
        <v>118</v>
      </c>
      <c r="G92" s="316">
        <v>118</v>
      </c>
      <c r="H92" s="1184">
        <f t="shared" si="3"/>
        <v>100</v>
      </c>
    </row>
    <row r="93" spans="1:8" s="1166" customFormat="1" ht="15" x14ac:dyDescent="0.25">
      <c r="A93" s="34"/>
      <c r="B93" s="1199"/>
      <c r="C93" s="1178" t="s">
        <v>480</v>
      </c>
      <c r="D93" s="312" t="s">
        <v>481</v>
      </c>
      <c r="E93" s="48"/>
      <c r="F93" s="314">
        <v>90</v>
      </c>
      <c r="G93" s="316">
        <v>90</v>
      </c>
      <c r="H93" s="1184">
        <f t="shared" si="3"/>
        <v>100</v>
      </c>
    </row>
    <row r="94" spans="1:8" s="1166" customFormat="1" ht="15" x14ac:dyDescent="0.25">
      <c r="A94" s="34">
        <v>3319</v>
      </c>
      <c r="B94" s="1199">
        <v>5229</v>
      </c>
      <c r="C94" s="1178"/>
      <c r="D94" s="1486" t="s">
        <v>1276</v>
      </c>
      <c r="E94" s="48"/>
      <c r="F94" s="313">
        <v>20</v>
      </c>
      <c r="G94" s="315">
        <v>20</v>
      </c>
      <c r="H94" s="212">
        <f t="shared" si="3"/>
        <v>100</v>
      </c>
    </row>
    <row r="95" spans="1:8" s="1166" customFormat="1" ht="15" x14ac:dyDescent="0.25">
      <c r="A95" s="34"/>
      <c r="B95" s="1199"/>
      <c r="C95" s="1195" t="s">
        <v>1350</v>
      </c>
      <c r="D95" s="1173" t="s">
        <v>1737</v>
      </c>
      <c r="E95" s="48"/>
      <c r="F95" s="314">
        <v>20</v>
      </c>
      <c r="G95" s="316">
        <v>20</v>
      </c>
      <c r="H95" s="1184">
        <f t="shared" si="3"/>
        <v>100</v>
      </c>
    </row>
    <row r="96" spans="1:8" s="1166" customFormat="1" ht="15" x14ac:dyDescent="0.25">
      <c r="A96" s="34">
        <v>3319</v>
      </c>
      <c r="B96" s="1199">
        <v>5321</v>
      </c>
      <c r="C96" s="1195"/>
      <c r="D96" s="1167" t="s">
        <v>1349</v>
      </c>
      <c r="E96" s="48"/>
      <c r="F96" s="313">
        <v>3779</v>
      </c>
      <c r="G96" s="462">
        <v>3778</v>
      </c>
      <c r="H96" s="212">
        <f t="shared" si="3"/>
        <v>99.973537973008732</v>
      </c>
    </row>
    <row r="97" spans="1:8" s="1166" customFormat="1" ht="15" x14ac:dyDescent="0.25">
      <c r="A97" s="34"/>
      <c r="B97" s="1199"/>
      <c r="C97" s="1195" t="s">
        <v>272</v>
      </c>
      <c r="D97" s="1173" t="s">
        <v>348</v>
      </c>
      <c r="E97" s="48"/>
      <c r="F97" s="314">
        <v>1380</v>
      </c>
      <c r="G97" s="316">
        <v>1380</v>
      </c>
      <c r="H97" s="1184">
        <f t="shared" si="3"/>
        <v>100</v>
      </c>
    </row>
    <row r="98" spans="1:8" s="1166" customFormat="1" ht="15" x14ac:dyDescent="0.25">
      <c r="A98" s="34"/>
      <c r="B98" s="1199"/>
      <c r="C98" s="1195" t="s">
        <v>1350</v>
      </c>
      <c r="D98" s="1173" t="s">
        <v>1737</v>
      </c>
      <c r="E98" s="48"/>
      <c r="F98" s="314">
        <v>110</v>
      </c>
      <c r="G98" s="316">
        <v>110</v>
      </c>
      <c r="H98" s="1184">
        <f t="shared" si="3"/>
        <v>100</v>
      </c>
    </row>
    <row r="99" spans="1:8" s="1166" customFormat="1" ht="14.25" x14ac:dyDescent="0.2">
      <c r="A99" s="34"/>
      <c r="B99" s="1199"/>
      <c r="C99" s="1178" t="s">
        <v>480</v>
      </c>
      <c r="D99" s="312" t="s">
        <v>481</v>
      </c>
      <c r="E99" s="55"/>
      <c r="F99" s="314">
        <v>2139</v>
      </c>
      <c r="G99" s="316">
        <v>2138</v>
      </c>
      <c r="H99" s="1184">
        <f t="shared" si="3"/>
        <v>99.953249181860684</v>
      </c>
    </row>
    <row r="100" spans="1:8" s="1166" customFormat="1" ht="14.25" x14ac:dyDescent="0.2">
      <c r="A100" s="34"/>
      <c r="B100" s="1199"/>
      <c r="C100" s="1178" t="s">
        <v>1635</v>
      </c>
      <c r="D100" s="312" t="s">
        <v>1634</v>
      </c>
      <c r="E100" s="55"/>
      <c r="F100" s="314">
        <v>150</v>
      </c>
      <c r="G100" s="316">
        <v>150</v>
      </c>
      <c r="H100" s="1184">
        <f t="shared" si="3"/>
        <v>100</v>
      </c>
    </row>
    <row r="101" spans="1:8" s="1166" customFormat="1" ht="15" x14ac:dyDescent="0.25">
      <c r="A101" s="34">
        <v>3319</v>
      </c>
      <c r="B101" s="1199">
        <v>5329</v>
      </c>
      <c r="C101" s="1178"/>
      <c r="D101" s="309" t="s">
        <v>734</v>
      </c>
      <c r="E101" s="55"/>
      <c r="F101" s="313">
        <v>20</v>
      </c>
      <c r="G101" s="315">
        <v>20</v>
      </c>
      <c r="H101" s="212">
        <f t="shared" si="3"/>
        <v>100</v>
      </c>
    </row>
    <row r="102" spans="1:8" s="1166" customFormat="1" ht="14.25" x14ac:dyDescent="0.2">
      <c r="A102" s="34"/>
      <c r="B102" s="1199"/>
      <c r="C102" s="1178" t="s">
        <v>480</v>
      </c>
      <c r="D102" s="312" t="s">
        <v>481</v>
      </c>
      <c r="E102" s="55"/>
      <c r="F102" s="314">
        <v>20</v>
      </c>
      <c r="G102" s="316">
        <v>20</v>
      </c>
      <c r="H102" s="1184">
        <f t="shared" si="3"/>
        <v>100</v>
      </c>
    </row>
    <row r="103" spans="1:8" s="1166" customFormat="1" ht="15" x14ac:dyDescent="0.25">
      <c r="A103" s="34">
        <v>3319</v>
      </c>
      <c r="B103" s="1199">
        <v>5339</v>
      </c>
      <c r="C103" s="1179"/>
      <c r="D103" s="309" t="s">
        <v>1760</v>
      </c>
      <c r="E103" s="48"/>
      <c r="F103" s="313">
        <v>1270</v>
      </c>
      <c r="G103" s="462">
        <v>1270</v>
      </c>
      <c r="H103" s="212">
        <f t="shared" si="3"/>
        <v>100</v>
      </c>
    </row>
    <row r="104" spans="1:8" s="1166" customFormat="1" ht="15" x14ac:dyDescent="0.25">
      <c r="A104" s="34"/>
      <c r="B104" s="1199"/>
      <c r="C104" s="1195" t="s">
        <v>272</v>
      </c>
      <c r="D104" s="1173" t="s">
        <v>348</v>
      </c>
      <c r="E104" s="48"/>
      <c r="F104" s="314">
        <v>100</v>
      </c>
      <c r="G104" s="316">
        <v>100</v>
      </c>
      <c r="H104" s="1184">
        <f t="shared" si="3"/>
        <v>100</v>
      </c>
    </row>
    <row r="105" spans="1:8" s="1166" customFormat="1" ht="15" x14ac:dyDescent="0.25">
      <c r="A105" s="34"/>
      <c r="B105" s="1199"/>
      <c r="C105" s="1195" t="s">
        <v>1350</v>
      </c>
      <c r="D105" s="1173" t="s">
        <v>1737</v>
      </c>
      <c r="E105" s="48"/>
      <c r="F105" s="314">
        <v>30</v>
      </c>
      <c r="G105" s="316">
        <v>30</v>
      </c>
      <c r="H105" s="1184">
        <f t="shared" si="3"/>
        <v>100</v>
      </c>
    </row>
    <row r="106" spans="1:8" s="1166" customFormat="1" ht="14.25" x14ac:dyDescent="0.2">
      <c r="A106" s="34"/>
      <c r="B106" s="1199"/>
      <c r="C106" s="1178" t="s">
        <v>480</v>
      </c>
      <c r="D106" s="312" t="s">
        <v>481</v>
      </c>
      <c r="E106" s="55"/>
      <c r="F106" s="314">
        <v>140</v>
      </c>
      <c r="G106" s="316">
        <v>140</v>
      </c>
      <c r="H106" s="1184">
        <f t="shared" si="3"/>
        <v>100</v>
      </c>
    </row>
    <row r="107" spans="1:8" s="1166" customFormat="1" ht="14.25" x14ac:dyDescent="0.2">
      <c r="A107" s="34"/>
      <c r="B107" s="1199"/>
      <c r="C107" s="1178" t="s">
        <v>1635</v>
      </c>
      <c r="D107" s="312" t="s">
        <v>1634</v>
      </c>
      <c r="E107" s="55"/>
      <c r="F107" s="314">
        <v>1000</v>
      </c>
      <c r="G107" s="316">
        <v>1000</v>
      </c>
      <c r="H107" s="1184">
        <f t="shared" si="3"/>
        <v>100</v>
      </c>
    </row>
    <row r="108" spans="1:8" s="1166" customFormat="1" ht="15" x14ac:dyDescent="0.25">
      <c r="A108" s="34">
        <v>3319</v>
      </c>
      <c r="B108" s="1199">
        <v>5493</v>
      </c>
      <c r="C108" s="1178"/>
      <c r="D108" s="309" t="s">
        <v>768</v>
      </c>
      <c r="E108" s="55"/>
      <c r="F108" s="313">
        <v>688</v>
      </c>
      <c r="G108" s="315">
        <v>688</v>
      </c>
      <c r="H108" s="212">
        <f t="shared" si="3"/>
        <v>100</v>
      </c>
    </row>
    <row r="109" spans="1:8" s="1166" customFormat="1" ht="14.25" x14ac:dyDescent="0.2">
      <c r="A109" s="34"/>
      <c r="B109" s="1199"/>
      <c r="C109" s="1195" t="s">
        <v>1350</v>
      </c>
      <c r="D109" s="1173" t="s">
        <v>1737</v>
      </c>
      <c r="E109" s="55"/>
      <c r="F109" s="314">
        <v>628</v>
      </c>
      <c r="G109" s="316">
        <v>628</v>
      </c>
      <c r="H109" s="1184">
        <f t="shared" si="3"/>
        <v>100</v>
      </c>
    </row>
    <row r="110" spans="1:8" s="1166" customFormat="1" ht="14.25" x14ac:dyDescent="0.2">
      <c r="A110" s="34"/>
      <c r="B110" s="1199"/>
      <c r="C110" s="1178" t="s">
        <v>480</v>
      </c>
      <c r="D110" s="312" t="s">
        <v>481</v>
      </c>
      <c r="E110" s="55"/>
      <c r="F110" s="314">
        <v>60</v>
      </c>
      <c r="G110" s="316">
        <v>60</v>
      </c>
      <c r="H110" s="1184">
        <f t="shared" si="3"/>
        <v>100</v>
      </c>
    </row>
    <row r="111" spans="1:8" s="1166" customFormat="1" ht="15" x14ac:dyDescent="0.25">
      <c r="A111" s="34">
        <v>3322</v>
      </c>
      <c r="B111" s="1199">
        <v>5213</v>
      </c>
      <c r="C111" s="1178"/>
      <c r="D111" s="1167" t="s">
        <v>496</v>
      </c>
      <c r="E111" s="71"/>
      <c r="F111" s="313">
        <v>300</v>
      </c>
      <c r="G111" s="315">
        <v>300</v>
      </c>
      <c r="H111" s="212">
        <f t="shared" si="3"/>
        <v>100</v>
      </c>
    </row>
    <row r="112" spans="1:8" s="1166" customFormat="1" ht="14.25" x14ac:dyDescent="0.2">
      <c r="A112" s="34"/>
      <c r="B112" s="1199"/>
      <c r="C112" s="1179" t="s">
        <v>931</v>
      </c>
      <c r="D112" s="312" t="s">
        <v>1346</v>
      </c>
      <c r="E112" s="55"/>
      <c r="F112" s="314">
        <v>300</v>
      </c>
      <c r="G112" s="316">
        <v>300</v>
      </c>
      <c r="H112" s="1184">
        <f t="shared" si="3"/>
        <v>100</v>
      </c>
    </row>
    <row r="113" spans="1:11" s="1166" customFormat="1" ht="15" x14ac:dyDescent="0.25">
      <c r="A113" s="34">
        <v>3322</v>
      </c>
      <c r="B113" s="1199">
        <v>5222</v>
      </c>
      <c r="C113" s="1179"/>
      <c r="D113" s="87" t="s">
        <v>482</v>
      </c>
      <c r="E113" s="55"/>
      <c r="F113" s="315">
        <v>595</v>
      </c>
      <c r="G113" s="315">
        <v>595</v>
      </c>
      <c r="H113" s="212">
        <f t="shared" si="3"/>
        <v>100</v>
      </c>
      <c r="J113" s="1201"/>
      <c r="K113" s="1201"/>
    </row>
    <row r="114" spans="1:11" s="1166" customFormat="1" ht="14.25" x14ac:dyDescent="0.2">
      <c r="A114" s="34"/>
      <c r="B114" s="1199"/>
      <c r="C114" s="1179" t="s">
        <v>931</v>
      </c>
      <c r="D114" s="312" t="s">
        <v>1346</v>
      </c>
      <c r="E114" s="55"/>
      <c r="F114" s="314">
        <v>595</v>
      </c>
      <c r="G114" s="316">
        <v>595</v>
      </c>
      <c r="H114" s="1184">
        <f t="shared" si="3"/>
        <v>100</v>
      </c>
    </row>
    <row r="115" spans="1:11" s="1166" customFormat="1" ht="15" x14ac:dyDescent="0.25">
      <c r="A115" s="34">
        <v>3322</v>
      </c>
      <c r="B115" s="1199">
        <v>5223</v>
      </c>
      <c r="C115" s="1179"/>
      <c r="D115" s="309" t="s">
        <v>1348</v>
      </c>
      <c r="E115" s="71">
        <v>23250</v>
      </c>
      <c r="F115" s="315">
        <v>6030</v>
      </c>
      <c r="G115" s="315">
        <v>6030</v>
      </c>
      <c r="H115" s="212">
        <f t="shared" ref="H115:H123" si="4">(G115/F115)*100</f>
        <v>100</v>
      </c>
    </row>
    <row r="116" spans="1:11" s="1166" customFormat="1" ht="14.25" x14ac:dyDescent="0.2">
      <c r="A116" s="34"/>
      <c r="B116" s="1199"/>
      <c r="C116" s="1179" t="s">
        <v>229</v>
      </c>
      <c r="D116" s="1173" t="s">
        <v>230</v>
      </c>
      <c r="E116" s="55">
        <v>23250</v>
      </c>
      <c r="F116" s="314">
        <v>0</v>
      </c>
      <c r="G116" s="316">
        <v>0</v>
      </c>
      <c r="H116" s="1184">
        <v>0</v>
      </c>
    </row>
    <row r="117" spans="1:11" s="1166" customFormat="1" ht="14.25" x14ac:dyDescent="0.2">
      <c r="A117" s="34"/>
      <c r="B117" s="1199"/>
      <c r="C117" s="1179" t="s">
        <v>931</v>
      </c>
      <c r="D117" s="312" t="s">
        <v>1346</v>
      </c>
      <c r="E117" s="55"/>
      <c r="F117" s="314">
        <v>5730</v>
      </c>
      <c r="G117" s="316">
        <v>5730</v>
      </c>
      <c r="H117" s="1184">
        <f t="shared" si="4"/>
        <v>100</v>
      </c>
    </row>
    <row r="118" spans="1:11" s="1166" customFormat="1" ht="14.25" x14ac:dyDescent="0.2">
      <c r="A118" s="34"/>
      <c r="B118" s="1199"/>
      <c r="C118" s="1179" t="s">
        <v>932</v>
      </c>
      <c r="D118" s="312" t="s">
        <v>1347</v>
      </c>
      <c r="E118" s="55"/>
      <c r="F118" s="314">
        <v>300</v>
      </c>
      <c r="G118" s="316">
        <v>300</v>
      </c>
      <c r="H118" s="1184">
        <f t="shared" si="4"/>
        <v>100</v>
      </c>
    </row>
    <row r="119" spans="1:11" s="1166" customFormat="1" ht="15" x14ac:dyDescent="0.25">
      <c r="A119" s="34">
        <v>3322</v>
      </c>
      <c r="B119" s="1199">
        <v>5321</v>
      </c>
      <c r="C119" s="1179"/>
      <c r="D119" s="1167" t="s">
        <v>1349</v>
      </c>
      <c r="E119" s="55"/>
      <c r="F119" s="315">
        <f>F120+F121</f>
        <v>6205</v>
      </c>
      <c r="G119" s="315">
        <f>G120+G121</f>
        <v>6204</v>
      </c>
      <c r="H119" s="212">
        <f t="shared" si="4"/>
        <v>99.983883964544717</v>
      </c>
    </row>
    <row r="120" spans="1:11" s="1166" customFormat="1" ht="14.25" x14ac:dyDescent="0.2">
      <c r="A120" s="34"/>
      <c r="B120" s="1199"/>
      <c r="C120" s="1179" t="s">
        <v>931</v>
      </c>
      <c r="D120" s="312" t="s">
        <v>1346</v>
      </c>
      <c r="E120" s="55"/>
      <c r="F120" s="314">
        <v>3716</v>
      </c>
      <c r="G120" s="316">
        <v>3715</v>
      </c>
      <c r="H120" s="1184">
        <f t="shared" si="4"/>
        <v>99.973089343379982</v>
      </c>
    </row>
    <row r="121" spans="1:11" s="1166" customFormat="1" ht="14.25" x14ac:dyDescent="0.2">
      <c r="A121" s="34"/>
      <c r="B121" s="1199"/>
      <c r="C121" s="1179" t="s">
        <v>932</v>
      </c>
      <c r="D121" s="312" t="s">
        <v>1347</v>
      </c>
      <c r="E121" s="55"/>
      <c r="F121" s="314">
        <v>2489</v>
      </c>
      <c r="G121" s="316">
        <v>2489</v>
      </c>
      <c r="H121" s="1184">
        <f t="shared" si="4"/>
        <v>100</v>
      </c>
    </row>
    <row r="122" spans="1:11" s="1166" customFormat="1" ht="15" x14ac:dyDescent="0.25">
      <c r="A122" s="34">
        <v>3322</v>
      </c>
      <c r="B122" s="1199">
        <v>5493</v>
      </c>
      <c r="C122" s="1195"/>
      <c r="D122" s="309" t="s">
        <v>768</v>
      </c>
      <c r="E122" s="55"/>
      <c r="F122" s="313">
        <v>900</v>
      </c>
      <c r="G122" s="315">
        <v>900</v>
      </c>
      <c r="H122" s="212">
        <f t="shared" si="4"/>
        <v>100</v>
      </c>
      <c r="J122" s="1201">
        <f>F75+F76+F80+F84+F87+F91+F94+F96+F101+F103+F108+F111+F113+F115+F119+F122</f>
        <v>29251</v>
      </c>
      <c r="K122" s="1201">
        <f>G75+G76+G80+G84+G87+G91+G94+G96+G101+G103+G108+G111+G113+G115+G119+G122</f>
        <v>29235</v>
      </c>
    </row>
    <row r="123" spans="1:11" s="1166" customFormat="1" ht="15" thickBot="1" x14ac:dyDescent="0.25">
      <c r="A123" s="34"/>
      <c r="B123" s="1199"/>
      <c r="C123" s="1179" t="s">
        <v>931</v>
      </c>
      <c r="D123" s="312" t="s">
        <v>1346</v>
      </c>
      <c r="E123" s="55"/>
      <c r="F123" s="314">
        <v>900</v>
      </c>
      <c r="G123" s="316">
        <v>900</v>
      </c>
      <c r="H123" s="1184">
        <f t="shared" si="4"/>
        <v>100</v>
      </c>
    </row>
    <row r="124" spans="1:11" s="362" customFormat="1" ht="35.25" customHeight="1" thickTop="1" thickBot="1" x14ac:dyDescent="0.3">
      <c r="A124" s="663" t="s">
        <v>266</v>
      </c>
      <c r="B124" s="809"/>
      <c r="C124" s="707"/>
      <c r="D124" s="809"/>
      <c r="E124" s="810">
        <f>E12+E22+E49+E58+E64+E66+E67+E75+E115+E44</f>
        <v>67080</v>
      </c>
      <c r="F124" s="667">
        <f>J122+J67</f>
        <v>77223</v>
      </c>
      <c r="G124" s="667">
        <f>K122+K67</f>
        <v>77206</v>
      </c>
      <c r="H124" s="811">
        <f>(G124/F124)*100</f>
        <v>99.977985833236218</v>
      </c>
      <c r="J124" s="725"/>
      <c r="K124" s="725"/>
    </row>
    <row r="125" spans="1:11" ht="13.5" thickTop="1" x14ac:dyDescent="0.2"/>
    <row r="139" spans="1:9" ht="15.75" x14ac:dyDescent="0.25">
      <c r="A139" s="33" t="s">
        <v>1403</v>
      </c>
      <c r="B139" s="669"/>
      <c r="C139" s="708"/>
      <c r="D139" s="709"/>
      <c r="E139" s="710"/>
      <c r="F139" s="711"/>
      <c r="G139" s="712"/>
      <c r="H139" s="713"/>
    </row>
    <row r="140" spans="1:9" ht="15.75" thickBot="1" x14ac:dyDescent="0.3">
      <c r="A140" s="669"/>
      <c r="B140" s="669"/>
      <c r="C140" s="708"/>
      <c r="D140" s="709"/>
      <c r="E140" s="710"/>
      <c r="F140" s="711"/>
      <c r="G140" s="712"/>
      <c r="H140" s="692" t="s">
        <v>179</v>
      </c>
    </row>
    <row r="141" spans="1:9" s="107" customFormat="1" ht="20.25" customHeight="1" thickTop="1" thickBot="1" x14ac:dyDescent="0.25">
      <c r="A141" s="714" t="s">
        <v>180</v>
      </c>
      <c r="B141" s="715" t="s">
        <v>181</v>
      </c>
      <c r="C141" s="716" t="s">
        <v>783</v>
      </c>
      <c r="D141" s="717" t="s">
        <v>182</v>
      </c>
      <c r="E141" s="718" t="s">
        <v>183</v>
      </c>
      <c r="F141" s="718" t="s">
        <v>985</v>
      </c>
      <c r="G141" s="718" t="s">
        <v>986</v>
      </c>
      <c r="H141" s="719" t="s">
        <v>987</v>
      </c>
    </row>
    <row r="142" spans="1:9" s="386" customFormat="1" ht="13.5" thickTop="1" thickBot="1" x14ac:dyDescent="0.25">
      <c r="A142" s="592">
        <v>1</v>
      </c>
      <c r="B142" s="593">
        <v>2</v>
      </c>
      <c r="C142" s="593">
        <v>3</v>
      </c>
      <c r="D142" s="593">
        <v>4</v>
      </c>
      <c r="E142" s="593">
        <v>5</v>
      </c>
      <c r="F142" s="567">
        <v>6</v>
      </c>
      <c r="G142" s="567">
        <v>7</v>
      </c>
      <c r="H142" s="662" t="s">
        <v>61</v>
      </c>
      <c r="I142" s="107"/>
    </row>
    <row r="143" spans="1:9" s="386" customFormat="1" ht="15.75" thickTop="1" x14ac:dyDescent="0.25">
      <c r="A143" s="2092">
        <v>3311</v>
      </c>
      <c r="B143" s="1558">
        <v>6312</v>
      </c>
      <c r="C143" s="2093"/>
      <c r="D143" s="383" t="s">
        <v>811</v>
      </c>
      <c r="E143" s="1121"/>
      <c r="F143" s="1574">
        <v>880</v>
      </c>
      <c r="G143" s="1574">
        <v>880</v>
      </c>
      <c r="H143" s="203">
        <f t="shared" ref="H143:H144" si="5">(G143/F143)*100</f>
        <v>100</v>
      </c>
      <c r="I143" s="107"/>
    </row>
    <row r="144" spans="1:9" s="386" customFormat="1" ht="14.25" x14ac:dyDescent="0.2">
      <c r="A144" s="2092"/>
      <c r="B144" s="1558"/>
      <c r="C144" s="1523" t="s">
        <v>272</v>
      </c>
      <c r="D144" s="117" t="s">
        <v>348</v>
      </c>
      <c r="E144" s="1121"/>
      <c r="F144" s="1692">
        <v>880</v>
      </c>
      <c r="G144" s="1692">
        <v>880</v>
      </c>
      <c r="H144" s="1175">
        <f t="shared" si="5"/>
        <v>100</v>
      </c>
      <c r="I144" s="107"/>
    </row>
    <row r="145" spans="1:13" s="386" customFormat="1" ht="15" x14ac:dyDescent="0.25">
      <c r="A145" s="2092">
        <v>3319</v>
      </c>
      <c r="B145" s="1558">
        <v>6313</v>
      </c>
      <c r="C145" s="2093"/>
      <c r="D145" s="383" t="s">
        <v>1315</v>
      </c>
      <c r="E145" s="1121"/>
      <c r="F145" s="1574">
        <v>730</v>
      </c>
      <c r="G145" s="1574">
        <v>730</v>
      </c>
      <c r="H145" s="203">
        <f t="shared" ref="H145:H153" si="6">(G145/F145)*100</f>
        <v>100</v>
      </c>
      <c r="I145" s="107"/>
    </row>
    <row r="146" spans="1:13" s="386" customFormat="1" ht="14.25" x14ac:dyDescent="0.2">
      <c r="A146" s="2092"/>
      <c r="B146" s="1558"/>
      <c r="C146" s="1523" t="s">
        <v>272</v>
      </c>
      <c r="D146" s="117" t="s">
        <v>348</v>
      </c>
      <c r="E146" s="1121"/>
      <c r="F146" s="1692">
        <v>730</v>
      </c>
      <c r="G146" s="1692">
        <v>730</v>
      </c>
      <c r="H146" s="1175">
        <f t="shared" si="6"/>
        <v>100</v>
      </c>
      <c r="I146" s="107"/>
    </row>
    <row r="147" spans="1:13" s="386" customFormat="1" ht="15" x14ac:dyDescent="0.25">
      <c r="A147" s="50">
        <v>3319</v>
      </c>
      <c r="B147" s="19">
        <v>6322</v>
      </c>
      <c r="C147" s="1463"/>
      <c r="D147" s="383" t="s">
        <v>1290</v>
      </c>
      <c r="E147" s="94"/>
      <c r="F147" s="315">
        <v>600</v>
      </c>
      <c r="G147" s="315">
        <v>600</v>
      </c>
      <c r="H147" s="203">
        <f t="shared" si="6"/>
        <v>100</v>
      </c>
      <c r="I147" s="107"/>
    </row>
    <row r="148" spans="1:13" s="386" customFormat="1" ht="14.25" x14ac:dyDescent="0.2">
      <c r="A148" s="50"/>
      <c r="B148" s="19"/>
      <c r="C148" s="1523" t="s">
        <v>272</v>
      </c>
      <c r="D148" s="117" t="s">
        <v>348</v>
      </c>
      <c r="E148" s="1401"/>
      <c r="F148" s="316">
        <v>600</v>
      </c>
      <c r="G148" s="316">
        <v>600</v>
      </c>
      <c r="H148" s="1175">
        <f t="shared" si="6"/>
        <v>100</v>
      </c>
      <c r="I148" s="107"/>
    </row>
    <row r="149" spans="1:13" s="1166" customFormat="1" ht="15" x14ac:dyDescent="0.25">
      <c r="A149" s="50">
        <v>3319</v>
      </c>
      <c r="B149" s="19">
        <v>6341</v>
      </c>
      <c r="C149" s="1463"/>
      <c r="D149" s="383" t="s">
        <v>271</v>
      </c>
      <c r="E149" s="94"/>
      <c r="F149" s="315">
        <v>2700</v>
      </c>
      <c r="G149" s="315">
        <v>2700</v>
      </c>
      <c r="H149" s="203">
        <f t="shared" si="6"/>
        <v>100</v>
      </c>
    </row>
    <row r="150" spans="1:13" s="1166" customFormat="1" ht="14.25" x14ac:dyDescent="0.2">
      <c r="A150" s="34"/>
      <c r="B150" s="154"/>
      <c r="C150" s="1195" t="s">
        <v>272</v>
      </c>
      <c r="D150" s="1237" t="s">
        <v>348</v>
      </c>
      <c r="E150" s="1401"/>
      <c r="F150" s="316">
        <v>2700</v>
      </c>
      <c r="G150" s="316">
        <v>2700</v>
      </c>
      <c r="H150" s="1175">
        <f t="shared" si="6"/>
        <v>100</v>
      </c>
    </row>
    <row r="151" spans="1:13" s="1166" customFormat="1" ht="15" x14ac:dyDescent="0.25">
      <c r="A151" s="34">
        <v>3319</v>
      </c>
      <c r="B151" s="154">
        <v>6359</v>
      </c>
      <c r="C151" s="1195"/>
      <c r="D151" s="1600" t="s">
        <v>1036</v>
      </c>
      <c r="E151" s="1401"/>
      <c r="F151" s="315">
        <v>2250</v>
      </c>
      <c r="G151" s="315">
        <v>2250</v>
      </c>
      <c r="H151" s="203">
        <f t="shared" si="6"/>
        <v>100</v>
      </c>
    </row>
    <row r="152" spans="1:13" s="1166" customFormat="1" ht="15" thickBot="1" x14ac:dyDescent="0.25">
      <c r="A152" s="1206"/>
      <c r="B152" s="2094"/>
      <c r="C152" s="1234" t="s">
        <v>272</v>
      </c>
      <c r="D152" s="2095" t="s">
        <v>348</v>
      </c>
      <c r="E152" s="1498"/>
      <c r="F152" s="457">
        <v>2250</v>
      </c>
      <c r="G152" s="457">
        <v>2250</v>
      </c>
      <c r="H152" s="1474">
        <f t="shared" si="6"/>
        <v>100</v>
      </c>
    </row>
    <row r="153" spans="1:13" s="362" customFormat="1" ht="35.25" customHeight="1" thickTop="1" thickBot="1" x14ac:dyDescent="0.3">
      <c r="A153" s="720" t="s">
        <v>267</v>
      </c>
      <c r="B153" s="721"/>
      <c r="C153" s="722"/>
      <c r="D153" s="721"/>
      <c r="E153" s="723">
        <v>0</v>
      </c>
      <c r="F153" s="723">
        <f>F143+F145+F147+F149+F151</f>
        <v>7160</v>
      </c>
      <c r="G153" s="723">
        <f>G143+G145+G147+G149+G151</f>
        <v>7160</v>
      </c>
      <c r="H153" s="724">
        <f t="shared" si="6"/>
        <v>100</v>
      </c>
      <c r="K153" s="725">
        <f>E153+E124</f>
        <v>67080</v>
      </c>
      <c r="L153" s="725">
        <f>F153+F124</f>
        <v>84383</v>
      </c>
      <c r="M153" s="725">
        <f>G153+G124</f>
        <v>84366</v>
      </c>
    </row>
    <row r="154" spans="1:13" s="362" customFormat="1" ht="18.75" thickTop="1" x14ac:dyDescent="0.25">
      <c r="A154" s="360"/>
      <c r="B154" s="361"/>
      <c r="C154" s="142"/>
      <c r="D154" s="361"/>
      <c r="E154" s="17"/>
      <c r="F154" s="17"/>
      <c r="G154" s="17"/>
      <c r="H154" s="1538"/>
      <c r="K154" s="725"/>
      <c r="L154" s="725"/>
      <c r="M154" s="725"/>
    </row>
    <row r="155" spans="1:13" s="362" customFormat="1" ht="18" x14ac:dyDescent="0.25">
      <c r="A155" s="360"/>
      <c r="B155" s="361"/>
      <c r="C155" s="142"/>
      <c r="D155" s="361"/>
      <c r="E155" s="17"/>
      <c r="F155" s="17"/>
      <c r="G155" s="17"/>
      <c r="H155" s="1538"/>
      <c r="K155" s="725"/>
      <c r="L155" s="725"/>
      <c r="M155" s="725"/>
    </row>
    <row r="156" spans="1:13" s="362" customFormat="1" ht="18" x14ac:dyDescent="0.25">
      <c r="A156" s="360"/>
      <c r="B156" s="361"/>
      <c r="C156" s="142"/>
      <c r="D156" s="361"/>
      <c r="E156" s="17"/>
      <c r="F156" s="17"/>
      <c r="G156" s="17"/>
      <c r="H156" s="1538"/>
      <c r="K156" s="725"/>
      <c r="L156" s="725"/>
      <c r="M156" s="725"/>
    </row>
    <row r="157" spans="1:13" ht="15.75" x14ac:dyDescent="0.25">
      <c r="A157" s="701" t="s">
        <v>691</v>
      </c>
      <c r="B157" s="690"/>
    </row>
    <row r="158" spans="1:13" ht="15.75" x14ac:dyDescent="0.25">
      <c r="A158" s="701"/>
      <c r="B158" s="690"/>
    </row>
    <row r="159" spans="1:13" s="693" customFormat="1" ht="15.75" x14ac:dyDescent="0.25">
      <c r="A159" s="727" t="s">
        <v>1012</v>
      </c>
      <c r="B159" s="690"/>
      <c r="C159" s="691"/>
      <c r="D159" s="558"/>
      <c r="E159" s="609" t="s">
        <v>934</v>
      </c>
      <c r="F159" s="699"/>
      <c r="G159" s="699"/>
      <c r="H159" s="700"/>
    </row>
    <row r="160" spans="1:13" ht="13.5" thickBot="1" x14ac:dyDescent="0.25">
      <c r="A160" s="812"/>
      <c r="B160" s="690"/>
      <c r="H160" s="692" t="s">
        <v>179</v>
      </c>
    </row>
    <row r="161" spans="1:9" s="735" customFormat="1" ht="20.25" customHeight="1" thickTop="1" thickBot="1" x14ac:dyDescent="0.25">
      <c r="A161" s="813" t="s">
        <v>180</v>
      </c>
      <c r="B161" s="730" t="s">
        <v>181</v>
      </c>
      <c r="C161" s="731" t="s">
        <v>783</v>
      </c>
      <c r="D161" s="732" t="s">
        <v>182</v>
      </c>
      <c r="E161" s="733" t="s">
        <v>183</v>
      </c>
      <c r="F161" s="733" t="s">
        <v>985</v>
      </c>
      <c r="G161" s="733" t="s">
        <v>986</v>
      </c>
      <c r="H161" s="734" t="s">
        <v>987</v>
      </c>
    </row>
    <row r="162" spans="1:9" s="386" customFormat="1" ht="13.5" thickTop="1" thickBot="1" x14ac:dyDescent="0.25">
      <c r="A162" s="592">
        <v>1</v>
      </c>
      <c r="B162" s="593">
        <v>2</v>
      </c>
      <c r="C162" s="593">
        <v>3</v>
      </c>
      <c r="D162" s="593">
        <v>4</v>
      </c>
      <c r="E162" s="593">
        <v>5</v>
      </c>
      <c r="F162" s="567">
        <v>6</v>
      </c>
      <c r="G162" s="567">
        <v>7</v>
      </c>
      <c r="H162" s="662" t="s">
        <v>61</v>
      </c>
      <c r="I162" s="107"/>
    </row>
    <row r="163" spans="1:9" ht="15.75" thickTop="1" x14ac:dyDescent="0.25">
      <c r="A163" s="2088">
        <v>3314</v>
      </c>
      <c r="B163" s="737">
        <v>5331</v>
      </c>
      <c r="C163" s="738"/>
      <c r="D163" s="650" t="s">
        <v>259</v>
      </c>
      <c r="E163" s="391">
        <f>E164+E165+E166+E167+E168+E169+E170+E171</f>
        <v>36690</v>
      </c>
      <c r="F163" s="391">
        <f>F164+F165+F166+F167+F168+F169+F170+F171</f>
        <v>38404</v>
      </c>
      <c r="G163" s="391">
        <f>G164+G165+G166+G167+G168+G169+G170+G171</f>
        <v>38404</v>
      </c>
      <c r="H163" s="814">
        <f t="shared" ref="H163:H178" si="7">G163/F163*100</f>
        <v>100</v>
      </c>
    </row>
    <row r="164" spans="1:9" ht="14.25" x14ac:dyDescent="0.2">
      <c r="A164" s="736"/>
      <c r="B164" s="753"/>
      <c r="C164" s="743" t="s">
        <v>641</v>
      </c>
      <c r="D164" s="780" t="s">
        <v>1416</v>
      </c>
      <c r="E164" s="356">
        <v>2614</v>
      </c>
      <c r="F164" s="356">
        <v>2566</v>
      </c>
      <c r="G164" s="356">
        <v>2566</v>
      </c>
      <c r="H164" s="742">
        <f t="shared" si="7"/>
        <v>100</v>
      </c>
    </row>
    <row r="165" spans="1:9" ht="13.5" customHeight="1" x14ac:dyDescent="0.2">
      <c r="A165" s="736"/>
      <c r="B165" s="753"/>
      <c r="C165" s="578" t="s">
        <v>636</v>
      </c>
      <c r="D165" s="574" t="s">
        <v>1220</v>
      </c>
      <c r="E165" s="815">
        <v>14655</v>
      </c>
      <c r="F165" s="815">
        <v>14705</v>
      </c>
      <c r="G165" s="316">
        <v>14705</v>
      </c>
      <c r="H165" s="742">
        <f t="shared" si="7"/>
        <v>100</v>
      </c>
    </row>
    <row r="166" spans="1:9" ht="13.5" customHeight="1" x14ac:dyDescent="0.2">
      <c r="A166" s="736"/>
      <c r="B166" s="753"/>
      <c r="C166" s="578" t="s">
        <v>1266</v>
      </c>
      <c r="D166" s="595" t="s">
        <v>376</v>
      </c>
      <c r="E166" s="815">
        <v>1596</v>
      </c>
      <c r="F166" s="815">
        <v>1478</v>
      </c>
      <c r="G166" s="316">
        <v>1478</v>
      </c>
      <c r="H166" s="742">
        <f t="shared" si="7"/>
        <v>100</v>
      </c>
    </row>
    <row r="167" spans="1:9" ht="13.5" customHeight="1" x14ac:dyDescent="0.2">
      <c r="A167" s="736"/>
      <c r="B167" s="753"/>
      <c r="C167" s="578" t="s">
        <v>735</v>
      </c>
      <c r="D167" s="595" t="s">
        <v>786</v>
      </c>
      <c r="E167" s="815">
        <v>17825</v>
      </c>
      <c r="F167" s="815">
        <v>17825</v>
      </c>
      <c r="G167" s="316">
        <v>17825</v>
      </c>
      <c r="H167" s="742">
        <f t="shared" si="7"/>
        <v>100</v>
      </c>
    </row>
    <row r="168" spans="1:9" ht="13.5" customHeight="1" x14ac:dyDescent="0.2">
      <c r="A168" s="736"/>
      <c r="B168" s="753"/>
      <c r="C168" s="578" t="s">
        <v>232</v>
      </c>
      <c r="D168" s="816" t="s">
        <v>709</v>
      </c>
      <c r="E168" s="815"/>
      <c r="F168" s="815">
        <v>900</v>
      </c>
      <c r="G168" s="316">
        <v>900</v>
      </c>
      <c r="H168" s="742">
        <f t="shared" si="7"/>
        <v>100</v>
      </c>
    </row>
    <row r="169" spans="1:9" ht="13.5" customHeight="1" x14ac:dyDescent="0.2">
      <c r="A169" s="736"/>
      <c r="B169" s="753"/>
      <c r="C169" s="754" t="s">
        <v>377</v>
      </c>
      <c r="D169" s="794" t="s">
        <v>992</v>
      </c>
      <c r="E169" s="755"/>
      <c r="F169" s="756">
        <v>419</v>
      </c>
      <c r="G169" s="756">
        <v>419</v>
      </c>
      <c r="H169" s="742">
        <f t="shared" si="7"/>
        <v>100</v>
      </c>
    </row>
    <row r="170" spans="1:9" ht="14.25" customHeight="1" x14ac:dyDescent="0.2">
      <c r="A170" s="736"/>
      <c r="B170" s="753"/>
      <c r="C170" s="754" t="s">
        <v>378</v>
      </c>
      <c r="D170" s="794" t="s">
        <v>993</v>
      </c>
      <c r="E170" s="755"/>
      <c r="F170" s="756">
        <v>38</v>
      </c>
      <c r="G170" s="756">
        <v>38</v>
      </c>
      <c r="H170" s="742">
        <f t="shared" si="7"/>
        <v>100</v>
      </c>
    </row>
    <row r="171" spans="1:9" ht="14.25" customHeight="1" x14ac:dyDescent="0.2">
      <c r="A171" s="736"/>
      <c r="B171" s="856"/>
      <c r="C171" s="1179" t="s">
        <v>470</v>
      </c>
      <c r="D171" s="1419" t="s">
        <v>471</v>
      </c>
      <c r="E171" s="755"/>
      <c r="F171" s="756">
        <v>473</v>
      </c>
      <c r="G171" s="756">
        <v>473</v>
      </c>
      <c r="H171" s="742">
        <f t="shared" si="7"/>
        <v>100</v>
      </c>
    </row>
    <row r="172" spans="1:9" ht="14.25" customHeight="1" x14ac:dyDescent="0.25">
      <c r="A172" s="736">
        <v>3314</v>
      </c>
      <c r="B172" s="856">
        <v>5336</v>
      </c>
      <c r="C172" s="1179"/>
      <c r="D172" s="2011" t="s">
        <v>1657</v>
      </c>
      <c r="E172" s="755"/>
      <c r="F172" s="2082">
        <v>65</v>
      </c>
      <c r="G172" s="2082">
        <v>65</v>
      </c>
      <c r="H172" s="577">
        <f t="shared" si="7"/>
        <v>100</v>
      </c>
    </row>
    <row r="173" spans="1:9" ht="14.25" customHeight="1" thickBot="1" x14ac:dyDescent="0.25">
      <c r="A173" s="736"/>
      <c r="B173" s="856"/>
      <c r="C173" s="578" t="s">
        <v>1720</v>
      </c>
      <c r="D173" s="574" t="s">
        <v>1743</v>
      </c>
      <c r="E173" s="755"/>
      <c r="F173" s="756">
        <v>65</v>
      </c>
      <c r="G173" s="756">
        <v>65</v>
      </c>
      <c r="H173" s="742">
        <f t="shared" si="7"/>
        <v>100</v>
      </c>
    </row>
    <row r="174" spans="1:9" s="369" customFormat="1" ht="18" thickTop="1" thickBot="1" x14ac:dyDescent="0.3">
      <c r="A174" s="744" t="s">
        <v>1246</v>
      </c>
      <c r="B174" s="745"/>
      <c r="C174" s="746"/>
      <c r="D174" s="747"/>
      <c r="E174" s="748">
        <f>SUM(E163)</f>
        <v>36690</v>
      </c>
      <c r="F174" s="748">
        <f>SUM(F163,F172)</f>
        <v>38469</v>
      </c>
      <c r="G174" s="748">
        <f>SUM(G163,G172)</f>
        <v>38469</v>
      </c>
      <c r="H174" s="760">
        <f t="shared" si="7"/>
        <v>100</v>
      </c>
    </row>
    <row r="175" spans="1:9" ht="15.75" thickTop="1" x14ac:dyDescent="0.25">
      <c r="A175" s="750">
        <v>3314</v>
      </c>
      <c r="B175" s="1629">
        <v>6351</v>
      </c>
      <c r="C175" s="738"/>
      <c r="D175" s="650" t="s">
        <v>1320</v>
      </c>
      <c r="E175" s="391">
        <f>E176+E177+E178</f>
        <v>700</v>
      </c>
      <c r="F175" s="391">
        <f>F176+F177+F178</f>
        <v>924</v>
      </c>
      <c r="G175" s="391">
        <f>G176+G177+G178</f>
        <v>924</v>
      </c>
      <c r="H175" s="739">
        <f>G175/F175*100</f>
        <v>100</v>
      </c>
    </row>
    <row r="176" spans="1:9" ht="15" x14ac:dyDescent="0.25">
      <c r="A176" s="740"/>
      <c r="B176" s="2086"/>
      <c r="C176" s="1179" t="s">
        <v>1329</v>
      </c>
      <c r="D176" s="1555" t="s">
        <v>1754</v>
      </c>
      <c r="E176" s="392"/>
      <c r="F176" s="446">
        <v>368</v>
      </c>
      <c r="G176" s="446">
        <v>368</v>
      </c>
      <c r="H176" s="742">
        <f t="shared" si="7"/>
        <v>100</v>
      </c>
    </row>
    <row r="177" spans="1:12" ht="14.25" x14ac:dyDescent="0.2">
      <c r="A177" s="740"/>
      <c r="B177" s="2086"/>
      <c r="C177" s="1179" t="s">
        <v>1536</v>
      </c>
      <c r="D177" s="2014" t="s">
        <v>1537</v>
      </c>
      <c r="E177" s="446">
        <v>700</v>
      </c>
      <c r="F177" s="446">
        <v>156</v>
      </c>
      <c r="G177" s="446">
        <v>156</v>
      </c>
      <c r="H177" s="742">
        <f t="shared" si="7"/>
        <v>100</v>
      </c>
    </row>
    <row r="178" spans="1:12" ht="15" thickBot="1" x14ac:dyDescent="0.25">
      <c r="A178" s="736"/>
      <c r="B178" s="753"/>
      <c r="C178" s="1179" t="s">
        <v>1755</v>
      </c>
      <c r="D178" s="1166" t="s">
        <v>1756</v>
      </c>
      <c r="E178" s="446"/>
      <c r="F178" s="446">
        <v>400</v>
      </c>
      <c r="G178" s="446">
        <v>400</v>
      </c>
      <c r="H178" s="742">
        <f t="shared" si="7"/>
        <v>100</v>
      </c>
    </row>
    <row r="179" spans="1:12" ht="20.25" customHeight="1" thickTop="1" thickBot="1" x14ac:dyDescent="0.3">
      <c r="A179" s="744" t="s">
        <v>1247</v>
      </c>
      <c r="B179" s="745"/>
      <c r="C179" s="746"/>
      <c r="D179" s="747"/>
      <c r="E179" s="748">
        <f>E175</f>
        <v>700</v>
      </c>
      <c r="F179" s="748">
        <f>SUM(F175)</f>
        <v>924</v>
      </c>
      <c r="G179" s="748">
        <f>SUM(G175)</f>
        <v>924</v>
      </c>
      <c r="H179" s="760">
        <f>G179/F179*100</f>
        <v>100</v>
      </c>
      <c r="J179" s="517"/>
      <c r="K179" s="517"/>
      <c r="L179" s="517"/>
    </row>
    <row r="180" spans="1:12" ht="13.5" thickTop="1" x14ac:dyDescent="0.2"/>
    <row r="181" spans="1:12" s="369" customFormat="1" ht="27.75" customHeight="1" thickBot="1" x14ac:dyDescent="0.3">
      <c r="A181" s="817" t="s">
        <v>1013</v>
      </c>
      <c r="B181" s="764"/>
      <c r="C181" s="765"/>
      <c r="D181" s="766"/>
      <c r="E181" s="767">
        <f>SUM(E174,E179)</f>
        <v>37390</v>
      </c>
      <c r="F181" s="767">
        <f>SUM(F174,F179)</f>
        <v>39393</v>
      </c>
      <c r="G181" s="767">
        <f>SUM(G174,G179)</f>
        <v>39393</v>
      </c>
      <c r="H181" s="818">
        <f>(G181/F181)*100</f>
        <v>100</v>
      </c>
    </row>
    <row r="182" spans="1:12" ht="13.5" thickTop="1" x14ac:dyDescent="0.2">
      <c r="A182" s="690"/>
      <c r="B182" s="690"/>
    </row>
    <row r="184" spans="1:12" s="693" customFormat="1" ht="15.75" x14ac:dyDescent="0.25">
      <c r="A184" s="727" t="s">
        <v>1014</v>
      </c>
      <c r="B184" s="690"/>
      <c r="C184" s="691"/>
      <c r="D184" s="558"/>
      <c r="E184" s="609" t="s">
        <v>935</v>
      </c>
      <c r="F184" s="699"/>
      <c r="G184" s="699"/>
      <c r="H184" s="700"/>
    </row>
    <row r="185" spans="1:12" ht="13.5" thickBot="1" x14ac:dyDescent="0.25">
      <c r="A185" s="812"/>
      <c r="B185" s="690"/>
      <c r="H185" s="692" t="s">
        <v>179</v>
      </c>
    </row>
    <row r="186" spans="1:12" s="735" customFormat="1" ht="20.25" customHeight="1" thickTop="1" thickBot="1" x14ac:dyDescent="0.25">
      <c r="A186" s="813" t="s">
        <v>180</v>
      </c>
      <c r="B186" s="730" t="s">
        <v>181</v>
      </c>
      <c r="C186" s="731" t="s">
        <v>783</v>
      </c>
      <c r="D186" s="732" t="s">
        <v>182</v>
      </c>
      <c r="E186" s="733" t="s">
        <v>183</v>
      </c>
      <c r="F186" s="733" t="s">
        <v>985</v>
      </c>
      <c r="G186" s="733" t="s">
        <v>986</v>
      </c>
      <c r="H186" s="734" t="s">
        <v>987</v>
      </c>
    </row>
    <row r="187" spans="1:12" s="386" customFormat="1" ht="13.5" thickTop="1" thickBot="1" x14ac:dyDescent="0.25">
      <c r="A187" s="592">
        <v>1</v>
      </c>
      <c r="B187" s="593">
        <v>2</v>
      </c>
      <c r="C187" s="593">
        <v>3</v>
      </c>
      <c r="D187" s="593">
        <v>4</v>
      </c>
      <c r="E187" s="593">
        <v>5</v>
      </c>
      <c r="F187" s="567">
        <v>6</v>
      </c>
      <c r="G187" s="567">
        <v>7</v>
      </c>
      <c r="H187" s="662" t="s">
        <v>61</v>
      </c>
      <c r="I187" s="107"/>
    </row>
    <row r="188" spans="1:12" ht="15.75" thickTop="1" x14ac:dyDescent="0.25">
      <c r="A188" s="2088">
        <v>3315</v>
      </c>
      <c r="B188" s="737">
        <v>5331</v>
      </c>
      <c r="C188" s="819"/>
      <c r="D188" s="650" t="s">
        <v>259</v>
      </c>
      <c r="E188" s="820">
        <f>E189+E192+E193+E190+E191+E194</f>
        <v>30380</v>
      </c>
      <c r="F188" s="820">
        <f>F189+F192+F193+F190+F191+F194</f>
        <v>30470</v>
      </c>
      <c r="G188" s="820">
        <f>G189+G192+G193+G190+G191+G194</f>
        <v>30470</v>
      </c>
      <c r="H188" s="739">
        <f t="shared" ref="H188:H197" si="8">G188/F188*100</f>
        <v>100</v>
      </c>
    </row>
    <row r="189" spans="1:12" ht="14.25" x14ac:dyDescent="0.2">
      <c r="A189" s="736"/>
      <c r="B189" s="753"/>
      <c r="C189" s="743" t="s">
        <v>641</v>
      </c>
      <c r="D189" s="780" t="s">
        <v>1416</v>
      </c>
      <c r="E189" s="781">
        <v>5440</v>
      </c>
      <c r="F189" s="356">
        <v>4974</v>
      </c>
      <c r="G189" s="356">
        <v>4974</v>
      </c>
      <c r="H189" s="742">
        <f t="shared" si="8"/>
        <v>100</v>
      </c>
    </row>
    <row r="190" spans="1:12" ht="14.25" x14ac:dyDescent="0.2">
      <c r="A190" s="736"/>
      <c r="B190" s="753"/>
      <c r="C190" s="578" t="s">
        <v>636</v>
      </c>
      <c r="D190" s="574" t="s">
        <v>1220</v>
      </c>
      <c r="E190" s="781">
        <v>11160</v>
      </c>
      <c r="F190" s="356">
        <v>11245</v>
      </c>
      <c r="G190" s="356">
        <v>11245</v>
      </c>
      <c r="H190" s="742">
        <f t="shared" si="8"/>
        <v>100</v>
      </c>
    </row>
    <row r="191" spans="1:12" ht="14.25" x14ac:dyDescent="0.2">
      <c r="A191" s="736"/>
      <c r="B191" s="753"/>
      <c r="C191" s="578" t="s">
        <v>735</v>
      </c>
      <c r="D191" s="595" t="s">
        <v>786</v>
      </c>
      <c r="E191" s="781">
        <v>13780</v>
      </c>
      <c r="F191" s="356">
        <v>13655</v>
      </c>
      <c r="G191" s="356">
        <v>13655</v>
      </c>
      <c r="H191" s="742">
        <f t="shared" si="8"/>
        <v>100</v>
      </c>
    </row>
    <row r="192" spans="1:12" ht="14.25" x14ac:dyDescent="0.2">
      <c r="A192" s="736"/>
      <c r="B192" s="753"/>
      <c r="C192" s="1178" t="s">
        <v>1637</v>
      </c>
      <c r="D192" s="2083" t="s">
        <v>1636</v>
      </c>
      <c r="E192" s="167"/>
      <c r="F192" s="356">
        <v>126</v>
      </c>
      <c r="G192" s="356">
        <v>126</v>
      </c>
      <c r="H192" s="742">
        <f t="shared" si="8"/>
        <v>100</v>
      </c>
    </row>
    <row r="193" spans="1:12" ht="14.25" x14ac:dyDescent="0.2">
      <c r="A193" s="736"/>
      <c r="B193" s="753"/>
      <c r="C193" s="1179" t="s">
        <v>1536</v>
      </c>
      <c r="D193" s="2015" t="s">
        <v>1537</v>
      </c>
      <c r="E193" s="167"/>
      <c r="F193" s="356">
        <v>400</v>
      </c>
      <c r="G193" s="356">
        <v>400</v>
      </c>
      <c r="H193" s="742">
        <f t="shared" si="8"/>
        <v>100</v>
      </c>
    </row>
    <row r="194" spans="1:12" ht="14.25" x14ac:dyDescent="0.2">
      <c r="A194" s="736"/>
      <c r="B194" s="753"/>
      <c r="C194" s="754" t="s">
        <v>378</v>
      </c>
      <c r="D194" s="2084" t="s">
        <v>993</v>
      </c>
      <c r="E194" s="821"/>
      <c r="F194" s="756">
        <v>70</v>
      </c>
      <c r="G194" s="756">
        <v>70</v>
      </c>
      <c r="H194" s="2085">
        <f t="shared" si="8"/>
        <v>100</v>
      </c>
    </row>
    <row r="195" spans="1:12" ht="14.25" customHeight="1" x14ac:dyDescent="0.25">
      <c r="A195" s="736">
        <v>3314</v>
      </c>
      <c r="B195" s="856">
        <v>5336</v>
      </c>
      <c r="C195" s="1179"/>
      <c r="D195" s="2012" t="s">
        <v>1657</v>
      </c>
      <c r="E195" s="755"/>
      <c r="F195" s="2082">
        <v>65</v>
      </c>
      <c r="G195" s="2082">
        <v>65</v>
      </c>
      <c r="H195" s="577">
        <f t="shared" si="8"/>
        <v>100</v>
      </c>
    </row>
    <row r="196" spans="1:12" ht="14.25" customHeight="1" thickBot="1" x14ac:dyDescent="0.25">
      <c r="A196" s="736"/>
      <c r="B196" s="856"/>
      <c r="C196" s="578" t="s">
        <v>1720</v>
      </c>
      <c r="D196" s="574" t="s">
        <v>1743</v>
      </c>
      <c r="E196" s="755"/>
      <c r="F196" s="756">
        <v>65</v>
      </c>
      <c r="G196" s="756">
        <v>65</v>
      </c>
      <c r="H196" s="742">
        <f t="shared" si="8"/>
        <v>100</v>
      </c>
    </row>
    <row r="197" spans="1:12" s="369" customFormat="1" ht="20.25" customHeight="1" thickTop="1" thickBot="1" x14ac:dyDescent="0.3">
      <c r="A197" s="744" t="s">
        <v>1246</v>
      </c>
      <c r="B197" s="745"/>
      <c r="C197" s="746"/>
      <c r="D197" s="747"/>
      <c r="E197" s="748">
        <f>SUM(E188)</f>
        <v>30380</v>
      </c>
      <c r="F197" s="748">
        <f>F188+F195</f>
        <v>30535</v>
      </c>
      <c r="G197" s="748">
        <f>G188+G195</f>
        <v>30535</v>
      </c>
      <c r="H197" s="760">
        <f t="shared" si="8"/>
        <v>100</v>
      </c>
    </row>
    <row r="198" spans="1:12" ht="15.75" thickTop="1" x14ac:dyDescent="0.25">
      <c r="A198" s="750">
        <v>3315</v>
      </c>
      <c r="B198" s="1629">
        <v>6351</v>
      </c>
      <c r="C198" s="738"/>
      <c r="D198" s="650" t="s">
        <v>1320</v>
      </c>
      <c r="E198" s="391">
        <v>500</v>
      </c>
      <c r="F198" s="391">
        <v>5079</v>
      </c>
      <c r="G198" s="391">
        <v>5079</v>
      </c>
      <c r="H198" s="739">
        <f>G198/F198*100</f>
        <v>100</v>
      </c>
    </row>
    <row r="199" spans="1:12" ht="15" thickBot="1" x14ac:dyDescent="0.25">
      <c r="A199" s="736"/>
      <c r="B199" s="753"/>
      <c r="C199" s="1179" t="s">
        <v>1536</v>
      </c>
      <c r="D199" s="2014" t="s">
        <v>1537</v>
      </c>
      <c r="E199" s="446">
        <v>500</v>
      </c>
      <c r="F199" s="446">
        <v>5079</v>
      </c>
      <c r="G199" s="446">
        <v>5079</v>
      </c>
      <c r="H199" s="742">
        <f>G199/F199*100</f>
        <v>100</v>
      </c>
    </row>
    <row r="200" spans="1:12" ht="20.25" customHeight="1" thickTop="1" thickBot="1" x14ac:dyDescent="0.3">
      <c r="A200" s="744" t="s">
        <v>1247</v>
      </c>
      <c r="B200" s="745"/>
      <c r="C200" s="746"/>
      <c r="D200" s="747"/>
      <c r="E200" s="748">
        <f>E198</f>
        <v>500</v>
      </c>
      <c r="F200" s="748">
        <f>SUM(F198)</f>
        <v>5079</v>
      </c>
      <c r="G200" s="748">
        <f>SUM(G198)</f>
        <v>5079</v>
      </c>
      <c r="H200" s="760">
        <f>G200/F200*100</f>
        <v>100</v>
      </c>
      <c r="J200" s="517"/>
      <c r="K200" s="517"/>
      <c r="L200" s="517"/>
    </row>
    <row r="201" spans="1:12" ht="20.25" customHeight="1" thickTop="1" x14ac:dyDescent="0.25">
      <c r="A201" s="363"/>
      <c r="B201" s="364"/>
      <c r="C201" s="365"/>
      <c r="D201" s="366"/>
      <c r="E201" s="762"/>
      <c r="F201" s="762"/>
      <c r="G201" s="762"/>
      <c r="H201" s="610"/>
      <c r="J201" s="517"/>
      <c r="K201" s="517"/>
      <c r="L201" s="517"/>
    </row>
    <row r="202" spans="1:12" s="369" customFormat="1" ht="27.75" customHeight="1" thickBot="1" x14ac:dyDescent="0.3">
      <c r="A202" s="817" t="s">
        <v>1015</v>
      </c>
      <c r="B202" s="764"/>
      <c r="C202" s="765"/>
      <c r="D202" s="766"/>
      <c r="E202" s="767">
        <f>E197+E200</f>
        <v>30880</v>
      </c>
      <c r="F202" s="767">
        <f>F197+F200</f>
        <v>35614</v>
      </c>
      <c r="G202" s="767">
        <f>G197+G200</f>
        <v>35614</v>
      </c>
      <c r="H202" s="822">
        <f>(G202/F202)*100</f>
        <v>100</v>
      </c>
      <c r="K202" s="548"/>
      <c r="L202" s="548"/>
    </row>
    <row r="203" spans="1:12" s="369" customFormat="1" ht="24.75" customHeight="1" thickTop="1" x14ac:dyDescent="0.25">
      <c r="A203" s="363"/>
      <c r="B203" s="364"/>
      <c r="C203" s="365"/>
      <c r="D203" s="366"/>
      <c r="E203" s="762"/>
      <c r="F203" s="762"/>
      <c r="G203" s="762"/>
      <c r="H203" s="368"/>
      <c r="K203" s="548"/>
      <c r="L203" s="548"/>
    </row>
    <row r="204" spans="1:12" s="369" customFormat="1" ht="21" customHeight="1" x14ac:dyDescent="0.25">
      <c r="A204" s="363"/>
      <c r="B204" s="364"/>
      <c r="C204" s="365"/>
      <c r="D204" s="366"/>
      <c r="E204" s="762"/>
      <c r="F204" s="762"/>
      <c r="G204" s="762"/>
      <c r="H204" s="368"/>
      <c r="K204" s="548"/>
      <c r="L204" s="548"/>
    </row>
    <row r="205" spans="1:12" s="693" customFormat="1" ht="15.75" x14ac:dyDescent="0.25">
      <c r="A205" s="727" t="s">
        <v>799</v>
      </c>
      <c r="B205" s="690"/>
      <c r="C205" s="691"/>
      <c r="D205" s="558"/>
      <c r="E205" s="609" t="s">
        <v>936</v>
      </c>
      <c r="F205" s="699"/>
      <c r="G205" s="699"/>
      <c r="H205" s="700"/>
    </row>
    <row r="206" spans="1:12" ht="13.5" thickBot="1" x14ac:dyDescent="0.25">
      <c r="A206" s="812"/>
      <c r="B206" s="690"/>
      <c r="H206" s="692" t="s">
        <v>179</v>
      </c>
    </row>
    <row r="207" spans="1:12" s="735" customFormat="1" ht="20.25" customHeight="1" thickTop="1" thickBot="1" x14ac:dyDescent="0.25">
      <c r="A207" s="813" t="s">
        <v>180</v>
      </c>
      <c r="B207" s="730" t="s">
        <v>181</v>
      </c>
      <c r="C207" s="731" t="s">
        <v>783</v>
      </c>
      <c r="D207" s="732" t="s">
        <v>182</v>
      </c>
      <c r="E207" s="733" t="s">
        <v>183</v>
      </c>
      <c r="F207" s="733" t="s">
        <v>985</v>
      </c>
      <c r="G207" s="733" t="s">
        <v>986</v>
      </c>
      <c r="H207" s="734" t="s">
        <v>987</v>
      </c>
    </row>
    <row r="208" spans="1:12" s="386" customFormat="1" ht="13.5" thickTop="1" thickBot="1" x14ac:dyDescent="0.25">
      <c r="A208" s="592">
        <v>1</v>
      </c>
      <c r="B208" s="593">
        <v>2</v>
      </c>
      <c r="C208" s="593">
        <v>3</v>
      </c>
      <c r="D208" s="593">
        <v>4</v>
      </c>
      <c r="E208" s="593">
        <v>5</v>
      </c>
      <c r="F208" s="567">
        <v>6</v>
      </c>
      <c r="G208" s="567">
        <v>7</v>
      </c>
      <c r="H208" s="662" t="s">
        <v>61</v>
      </c>
      <c r="I208" s="107"/>
    </row>
    <row r="209" spans="1:8" ht="15.75" thickTop="1" x14ac:dyDescent="0.25">
      <c r="A209" s="2088">
        <v>3315</v>
      </c>
      <c r="B209" s="737">
        <v>5331</v>
      </c>
      <c r="C209" s="738"/>
      <c r="D209" s="650" t="s">
        <v>259</v>
      </c>
      <c r="E209" s="391">
        <f>E210+E212+E213+E211</f>
        <v>4952</v>
      </c>
      <c r="F209" s="391">
        <f>F210+F212+F213+F211</f>
        <v>5378</v>
      </c>
      <c r="G209" s="391">
        <f>G210+G212+G213+G211</f>
        <v>5378</v>
      </c>
      <c r="H209" s="739">
        <f t="shared" ref="H209:H217" si="9">G209/F209*100</f>
        <v>100</v>
      </c>
    </row>
    <row r="210" spans="1:8" ht="14.25" x14ac:dyDescent="0.2">
      <c r="A210" s="736"/>
      <c r="B210" s="753"/>
      <c r="C210" s="743" t="s">
        <v>641</v>
      </c>
      <c r="D210" s="780" t="s">
        <v>1416</v>
      </c>
      <c r="E210" s="356">
        <v>473</v>
      </c>
      <c r="F210" s="356">
        <v>500</v>
      </c>
      <c r="G210" s="356">
        <v>500</v>
      </c>
      <c r="H210" s="742">
        <f t="shared" si="9"/>
        <v>100</v>
      </c>
    </row>
    <row r="211" spans="1:8" ht="14.25" x14ac:dyDescent="0.2">
      <c r="A211" s="736"/>
      <c r="B211" s="753"/>
      <c r="C211" s="1179" t="s">
        <v>203</v>
      </c>
      <c r="D211" s="117" t="s">
        <v>994</v>
      </c>
      <c r="E211" s="356"/>
      <c r="F211" s="356">
        <v>279</v>
      </c>
      <c r="G211" s="356">
        <v>279</v>
      </c>
      <c r="H211" s="742">
        <f t="shared" si="9"/>
        <v>100</v>
      </c>
    </row>
    <row r="212" spans="1:8" ht="14.25" x14ac:dyDescent="0.2">
      <c r="A212" s="736"/>
      <c r="B212" s="753"/>
      <c r="C212" s="578" t="s">
        <v>636</v>
      </c>
      <c r="D212" s="574" t="s">
        <v>1220</v>
      </c>
      <c r="E212" s="356">
        <v>2259</v>
      </c>
      <c r="F212" s="356">
        <v>2299</v>
      </c>
      <c r="G212" s="356">
        <v>2299</v>
      </c>
      <c r="H212" s="742">
        <f t="shared" si="9"/>
        <v>100</v>
      </c>
    </row>
    <row r="213" spans="1:8" ht="15" thickBot="1" x14ac:dyDescent="0.25">
      <c r="A213" s="736"/>
      <c r="B213" s="753"/>
      <c r="C213" s="578" t="s">
        <v>735</v>
      </c>
      <c r="D213" s="595" t="s">
        <v>786</v>
      </c>
      <c r="E213" s="356">
        <v>2220</v>
      </c>
      <c r="F213" s="356">
        <v>2300</v>
      </c>
      <c r="G213" s="356">
        <v>2300</v>
      </c>
      <c r="H213" s="742">
        <f t="shared" si="9"/>
        <v>100</v>
      </c>
    </row>
    <row r="214" spans="1:8" s="369" customFormat="1" ht="20.25" customHeight="1" thickTop="1" thickBot="1" x14ac:dyDescent="0.3">
      <c r="A214" s="744" t="s">
        <v>1246</v>
      </c>
      <c r="B214" s="745"/>
      <c r="C214" s="746"/>
      <c r="D214" s="747"/>
      <c r="E214" s="748">
        <f>SUM(E209)</f>
        <v>4952</v>
      </c>
      <c r="F214" s="748">
        <f>SUM(F209)</f>
        <v>5378</v>
      </c>
      <c r="G214" s="748">
        <f>SUM(G209)</f>
        <v>5378</v>
      </c>
      <c r="H214" s="760">
        <f t="shared" si="9"/>
        <v>100</v>
      </c>
    </row>
    <row r="215" spans="1:8" ht="15.75" thickTop="1" x14ac:dyDescent="0.25">
      <c r="A215" s="750">
        <v>3315</v>
      </c>
      <c r="B215" s="1629">
        <v>6351</v>
      </c>
      <c r="C215" s="738"/>
      <c r="D215" s="650" t="s">
        <v>1320</v>
      </c>
      <c r="E215" s="752">
        <v>345</v>
      </c>
      <c r="F215" s="752">
        <v>345</v>
      </c>
      <c r="G215" s="752">
        <v>345</v>
      </c>
      <c r="H215" s="739">
        <f t="shared" si="9"/>
        <v>100</v>
      </c>
    </row>
    <row r="216" spans="1:8" ht="15" thickBot="1" x14ac:dyDescent="0.25">
      <c r="A216" s="736"/>
      <c r="B216" s="753"/>
      <c r="C216" s="1179" t="s">
        <v>1536</v>
      </c>
      <c r="D216" s="2014" t="s">
        <v>1537</v>
      </c>
      <c r="E216" s="755">
        <v>345</v>
      </c>
      <c r="F216" s="756">
        <v>345</v>
      </c>
      <c r="G216" s="756">
        <v>345</v>
      </c>
      <c r="H216" s="742">
        <f t="shared" si="9"/>
        <v>100</v>
      </c>
    </row>
    <row r="217" spans="1:8" ht="20.25" customHeight="1" thickTop="1" thickBot="1" x14ac:dyDescent="0.3">
      <c r="A217" s="744" t="s">
        <v>1247</v>
      </c>
      <c r="B217" s="745"/>
      <c r="C217" s="746"/>
      <c r="D217" s="747"/>
      <c r="E217" s="759">
        <f>E215</f>
        <v>345</v>
      </c>
      <c r="F217" s="759">
        <f>SUM(F215)</f>
        <v>345</v>
      </c>
      <c r="G217" s="759">
        <f>SUM(G215)</f>
        <v>345</v>
      </c>
      <c r="H217" s="760">
        <f t="shared" si="9"/>
        <v>100</v>
      </c>
    </row>
    <row r="218" spans="1:8" ht="13.5" thickTop="1" x14ac:dyDescent="0.2"/>
    <row r="219" spans="1:8" s="369" customFormat="1" ht="27.75" customHeight="1" thickBot="1" x14ac:dyDescent="0.3">
      <c r="A219" s="817" t="s">
        <v>1401</v>
      </c>
      <c r="B219" s="764"/>
      <c r="C219" s="765"/>
      <c r="D219" s="766"/>
      <c r="E219" s="767">
        <f>SUM(E214,E217)</f>
        <v>5297</v>
      </c>
      <c r="F219" s="767">
        <f>SUM(F214,F217)</f>
        <v>5723</v>
      </c>
      <c r="G219" s="767">
        <f>SUM(G214,G217)</f>
        <v>5723</v>
      </c>
      <c r="H219" s="818">
        <f>(G219/F219)*100</f>
        <v>100</v>
      </c>
    </row>
    <row r="220" spans="1:8" ht="13.5" thickTop="1" x14ac:dyDescent="0.2">
      <c r="A220" s="689"/>
      <c r="B220" s="690"/>
    </row>
    <row r="221" spans="1:8" x14ac:dyDescent="0.2">
      <c r="A221" s="823"/>
    </row>
    <row r="222" spans="1:8" x14ac:dyDescent="0.2">
      <c r="A222" s="823"/>
    </row>
    <row r="223" spans="1:8" x14ac:dyDescent="0.2">
      <c r="A223" s="823"/>
    </row>
    <row r="224" spans="1:8" x14ac:dyDescent="0.2">
      <c r="A224" s="823"/>
    </row>
    <row r="225" spans="1:9" s="525" customFormat="1" ht="15.75" x14ac:dyDescent="0.25">
      <c r="A225" s="727" t="s">
        <v>1016</v>
      </c>
      <c r="B225" s="778"/>
      <c r="C225" s="779"/>
      <c r="E225" s="609" t="s">
        <v>937</v>
      </c>
      <c r="F225" s="609"/>
      <c r="G225" s="609"/>
      <c r="H225" s="768"/>
    </row>
    <row r="226" spans="1:9" ht="13.5" thickBot="1" x14ac:dyDescent="0.25">
      <c r="A226" s="812"/>
      <c r="B226" s="690"/>
      <c r="H226" s="692" t="s">
        <v>179</v>
      </c>
    </row>
    <row r="227" spans="1:9" s="735" customFormat="1" ht="20.25" customHeight="1" thickTop="1" thickBot="1" x14ac:dyDescent="0.25">
      <c r="A227" s="813" t="s">
        <v>180</v>
      </c>
      <c r="B227" s="730" t="s">
        <v>181</v>
      </c>
      <c r="C227" s="731" t="s">
        <v>783</v>
      </c>
      <c r="D227" s="732" t="s">
        <v>182</v>
      </c>
      <c r="E227" s="733" t="s">
        <v>183</v>
      </c>
      <c r="F227" s="733" t="s">
        <v>985</v>
      </c>
      <c r="G227" s="733" t="s">
        <v>986</v>
      </c>
      <c r="H227" s="734" t="s">
        <v>987</v>
      </c>
    </row>
    <row r="228" spans="1:9" s="386" customFormat="1" ht="13.5" thickTop="1" thickBot="1" x14ac:dyDescent="0.25">
      <c r="A228" s="592">
        <v>1</v>
      </c>
      <c r="B228" s="593">
        <v>2</v>
      </c>
      <c r="C228" s="593">
        <v>3</v>
      </c>
      <c r="D228" s="593">
        <v>4</v>
      </c>
      <c r="E228" s="593">
        <v>5</v>
      </c>
      <c r="F228" s="567">
        <v>6</v>
      </c>
      <c r="G228" s="567">
        <v>7</v>
      </c>
      <c r="H228" s="662" t="s">
        <v>61</v>
      </c>
      <c r="I228" s="107"/>
    </row>
    <row r="229" spans="1:9" ht="15.75" thickTop="1" x14ac:dyDescent="0.25">
      <c r="A229" s="2088">
        <v>3315</v>
      </c>
      <c r="B229" s="737">
        <v>5331</v>
      </c>
      <c r="C229" s="738"/>
      <c r="D229" s="650" t="s">
        <v>259</v>
      </c>
      <c r="E229" s="391">
        <f>E230+E231+E232</f>
        <v>10768</v>
      </c>
      <c r="F229" s="391">
        <f>F230+F231+F232+F233</f>
        <v>10875</v>
      </c>
      <c r="G229" s="391">
        <f>G230+G231+G232+G233</f>
        <v>10875</v>
      </c>
      <c r="H229" s="739">
        <f t="shared" ref="H229:H238" si="10">G229/F229*100</f>
        <v>100</v>
      </c>
    </row>
    <row r="230" spans="1:9" ht="14.25" x14ac:dyDescent="0.2">
      <c r="A230" s="736"/>
      <c r="B230" s="753"/>
      <c r="C230" s="743" t="s">
        <v>641</v>
      </c>
      <c r="D230" s="780" t="s">
        <v>1416</v>
      </c>
      <c r="E230" s="356">
        <v>933</v>
      </c>
      <c r="F230" s="356">
        <v>932</v>
      </c>
      <c r="G230" s="356">
        <v>932</v>
      </c>
      <c r="H230" s="742">
        <f t="shared" si="10"/>
        <v>100</v>
      </c>
    </row>
    <row r="231" spans="1:9" ht="14.25" x14ac:dyDescent="0.2">
      <c r="A231" s="736"/>
      <c r="B231" s="753"/>
      <c r="C231" s="578" t="s">
        <v>636</v>
      </c>
      <c r="D231" s="574" t="s">
        <v>1220</v>
      </c>
      <c r="E231" s="356">
        <v>4285</v>
      </c>
      <c r="F231" s="356">
        <v>4385</v>
      </c>
      <c r="G231" s="356">
        <v>4385</v>
      </c>
      <c r="H231" s="742">
        <f t="shared" si="10"/>
        <v>100</v>
      </c>
    </row>
    <row r="232" spans="1:9" ht="14.25" x14ac:dyDescent="0.2">
      <c r="A232" s="736"/>
      <c r="B232" s="753"/>
      <c r="C232" s="578" t="s">
        <v>735</v>
      </c>
      <c r="D232" s="595" t="s">
        <v>786</v>
      </c>
      <c r="E232" s="356">
        <v>5550</v>
      </c>
      <c r="F232" s="356">
        <v>5550</v>
      </c>
      <c r="G232" s="356">
        <v>5550</v>
      </c>
      <c r="H232" s="742">
        <f t="shared" si="10"/>
        <v>100</v>
      </c>
    </row>
    <row r="233" spans="1:9" ht="15" thickBot="1" x14ac:dyDescent="0.25">
      <c r="A233" s="736"/>
      <c r="B233" s="753"/>
      <c r="C233" s="754" t="s">
        <v>377</v>
      </c>
      <c r="D233" s="794" t="s">
        <v>992</v>
      </c>
      <c r="E233" s="356"/>
      <c r="F233" s="356">
        <v>8</v>
      </c>
      <c r="G233" s="356">
        <v>8</v>
      </c>
      <c r="H233" s="742">
        <f t="shared" si="10"/>
        <v>100</v>
      </c>
    </row>
    <row r="234" spans="1:9" s="369" customFormat="1" ht="20.25" customHeight="1" thickTop="1" thickBot="1" x14ac:dyDescent="0.3">
      <c r="A234" s="744" t="s">
        <v>1246</v>
      </c>
      <c r="B234" s="745"/>
      <c r="C234" s="746"/>
      <c r="D234" s="747"/>
      <c r="E234" s="748">
        <f>SUM(E229)</f>
        <v>10768</v>
      </c>
      <c r="F234" s="748">
        <f>SUM(F229)</f>
        <v>10875</v>
      </c>
      <c r="G234" s="748">
        <f>SUM(G229)</f>
        <v>10875</v>
      </c>
      <c r="H234" s="760">
        <f t="shared" si="10"/>
        <v>100</v>
      </c>
    </row>
    <row r="235" spans="1:9" ht="15.75" thickTop="1" x14ac:dyDescent="0.25">
      <c r="A235" s="750">
        <v>3315</v>
      </c>
      <c r="B235" s="1629">
        <v>6351</v>
      </c>
      <c r="C235" s="738"/>
      <c r="D235" s="650" t="s">
        <v>1320</v>
      </c>
      <c r="E235" s="752">
        <f>E236+E237</f>
        <v>230</v>
      </c>
      <c r="F235" s="752">
        <f>F236+F237</f>
        <v>3282</v>
      </c>
      <c r="G235" s="752">
        <f>G236+G237</f>
        <v>3282</v>
      </c>
      <c r="H235" s="739">
        <f t="shared" si="10"/>
        <v>100</v>
      </c>
    </row>
    <row r="236" spans="1:9" ht="14.25" x14ac:dyDescent="0.2">
      <c r="A236" s="740"/>
      <c r="B236" s="2086"/>
      <c r="C236" s="1179" t="s">
        <v>1536</v>
      </c>
      <c r="D236" s="2014" t="s">
        <v>1537</v>
      </c>
      <c r="E236" s="771">
        <v>230</v>
      </c>
      <c r="F236" s="771">
        <v>3230</v>
      </c>
      <c r="G236" s="771">
        <v>3230</v>
      </c>
      <c r="H236" s="2087">
        <f t="shared" si="10"/>
        <v>100</v>
      </c>
      <c r="I236" s="384"/>
    </row>
    <row r="237" spans="1:9" ht="15" thickBot="1" x14ac:dyDescent="0.25">
      <c r="A237" s="736"/>
      <c r="B237" s="753"/>
      <c r="C237" s="1179" t="s">
        <v>1755</v>
      </c>
      <c r="D237" s="1166" t="s">
        <v>1756</v>
      </c>
      <c r="E237" s="755"/>
      <c r="F237" s="756">
        <v>52</v>
      </c>
      <c r="G237" s="756">
        <v>52</v>
      </c>
      <c r="H237" s="742">
        <f t="shared" si="10"/>
        <v>100</v>
      </c>
    </row>
    <row r="238" spans="1:9" ht="20.25" customHeight="1" thickTop="1" thickBot="1" x14ac:dyDescent="0.3">
      <c r="A238" s="744" t="s">
        <v>1247</v>
      </c>
      <c r="B238" s="745"/>
      <c r="C238" s="746"/>
      <c r="D238" s="747"/>
      <c r="E238" s="759">
        <f>E235</f>
        <v>230</v>
      </c>
      <c r="F238" s="759">
        <f>SUM(F235)</f>
        <v>3282</v>
      </c>
      <c r="G238" s="759">
        <f>SUM(G235)</f>
        <v>3282</v>
      </c>
      <c r="H238" s="760">
        <f t="shared" si="10"/>
        <v>100</v>
      </c>
    </row>
    <row r="239" spans="1:9" ht="14.25" customHeight="1" thickTop="1" x14ac:dyDescent="0.25">
      <c r="A239" s="363"/>
      <c r="B239" s="364"/>
      <c r="C239" s="365"/>
      <c r="D239" s="366"/>
      <c r="E239" s="762"/>
      <c r="F239" s="762"/>
      <c r="G239" s="762"/>
      <c r="H239" s="824"/>
    </row>
    <row r="240" spans="1:9" s="369" customFormat="1" ht="27.75" customHeight="1" thickBot="1" x14ac:dyDescent="0.3">
      <c r="A240" s="817" t="s">
        <v>1017</v>
      </c>
      <c r="B240" s="764"/>
      <c r="C240" s="765"/>
      <c r="D240" s="766"/>
      <c r="E240" s="767">
        <f>E234+E238</f>
        <v>10998</v>
      </c>
      <c r="F240" s="767">
        <f>F234+F238</f>
        <v>14157</v>
      </c>
      <c r="G240" s="767">
        <f>G234+G238</f>
        <v>14157</v>
      </c>
      <c r="H240" s="818">
        <f>(G240/F240)*100</f>
        <v>100</v>
      </c>
    </row>
    <row r="241" spans="1:9" s="369" customFormat="1" ht="16.5" customHeight="1" thickTop="1" x14ac:dyDescent="0.25">
      <c r="A241" s="363"/>
      <c r="B241" s="364"/>
      <c r="C241" s="365"/>
      <c r="D241" s="366"/>
      <c r="E241" s="762"/>
      <c r="F241" s="762"/>
      <c r="G241" s="762"/>
      <c r="H241" s="824"/>
    </row>
    <row r="242" spans="1:9" s="369" customFormat="1" ht="16.5" customHeight="1" x14ac:dyDescent="0.25">
      <c r="A242" s="363"/>
      <c r="B242" s="364"/>
      <c r="C242" s="365"/>
      <c r="D242" s="366"/>
      <c r="E242" s="762"/>
      <c r="F242" s="762"/>
      <c r="G242" s="762"/>
      <c r="H242" s="824"/>
    </row>
    <row r="243" spans="1:9" s="369" customFormat="1" ht="16.5" customHeight="1" x14ac:dyDescent="0.25">
      <c r="A243" s="363"/>
      <c r="B243" s="364"/>
      <c r="C243" s="365"/>
      <c r="D243" s="366"/>
      <c r="E243" s="762"/>
      <c r="F243" s="762"/>
      <c r="G243" s="762"/>
      <c r="H243" s="824"/>
    </row>
    <row r="244" spans="1:9" s="369" customFormat="1" ht="16.5" customHeight="1" x14ac:dyDescent="0.25">
      <c r="A244" s="363"/>
      <c r="B244" s="364"/>
      <c r="C244" s="365"/>
      <c r="D244" s="366"/>
      <c r="E244" s="762"/>
      <c r="F244" s="762"/>
      <c r="G244" s="762"/>
      <c r="H244" s="824"/>
    </row>
    <row r="245" spans="1:9" s="525" customFormat="1" ht="15.75" x14ac:dyDescent="0.25">
      <c r="A245" s="727" t="s">
        <v>1018</v>
      </c>
      <c r="B245" s="778"/>
      <c r="C245" s="779"/>
      <c r="E245" s="609" t="s">
        <v>938</v>
      </c>
      <c r="F245" s="609"/>
      <c r="G245" s="609"/>
      <c r="H245" s="768"/>
    </row>
    <row r="246" spans="1:9" ht="13.5" thickBot="1" x14ac:dyDescent="0.25">
      <c r="A246" s="812"/>
      <c r="B246" s="690"/>
      <c r="H246" s="692" t="s">
        <v>179</v>
      </c>
    </row>
    <row r="247" spans="1:9" s="735" customFormat="1" ht="20.25" customHeight="1" thickTop="1" thickBot="1" x14ac:dyDescent="0.25">
      <c r="A247" s="813" t="s">
        <v>180</v>
      </c>
      <c r="B247" s="730" t="s">
        <v>181</v>
      </c>
      <c r="C247" s="731" t="s">
        <v>783</v>
      </c>
      <c r="D247" s="732" t="s">
        <v>182</v>
      </c>
      <c r="E247" s="733" t="s">
        <v>183</v>
      </c>
      <c r="F247" s="733" t="s">
        <v>985</v>
      </c>
      <c r="G247" s="733" t="s">
        <v>986</v>
      </c>
      <c r="H247" s="734" t="s">
        <v>987</v>
      </c>
    </row>
    <row r="248" spans="1:9" s="386" customFormat="1" ht="13.5" thickTop="1" thickBot="1" x14ac:dyDescent="0.25">
      <c r="A248" s="592">
        <v>1</v>
      </c>
      <c r="B248" s="593">
        <v>2</v>
      </c>
      <c r="C248" s="593">
        <v>3</v>
      </c>
      <c r="D248" s="593">
        <v>4</v>
      </c>
      <c r="E248" s="593">
        <v>5</v>
      </c>
      <c r="F248" s="567">
        <v>6</v>
      </c>
      <c r="G248" s="567">
        <v>7</v>
      </c>
      <c r="H248" s="662" t="s">
        <v>61</v>
      </c>
      <c r="I248" s="107"/>
    </row>
    <row r="249" spans="1:9" ht="15.75" thickTop="1" x14ac:dyDescent="0.25">
      <c r="A249" s="2088">
        <v>3319</v>
      </c>
      <c r="B249" s="737">
        <v>5331</v>
      </c>
      <c r="C249" s="738"/>
      <c r="D249" s="650" t="s">
        <v>259</v>
      </c>
      <c r="E249" s="391">
        <f>E250+E251+E252</f>
        <v>2358</v>
      </c>
      <c r="F249" s="391">
        <f>F250+F251+F252</f>
        <v>2349</v>
      </c>
      <c r="G249" s="391">
        <f>G250+G251+G252</f>
        <v>2349</v>
      </c>
      <c r="H249" s="739">
        <f>G249/F249*100</f>
        <v>100</v>
      </c>
    </row>
    <row r="250" spans="1:9" ht="14.25" x14ac:dyDescent="0.2">
      <c r="A250" s="736"/>
      <c r="B250" s="753"/>
      <c r="C250" s="743" t="s">
        <v>641</v>
      </c>
      <c r="D250" s="780" t="s">
        <v>1416</v>
      </c>
      <c r="E250" s="356">
        <v>100</v>
      </c>
      <c r="F250" s="356">
        <v>91</v>
      </c>
      <c r="G250" s="356">
        <v>91</v>
      </c>
      <c r="H250" s="742">
        <f>G250/F250*100</f>
        <v>100</v>
      </c>
    </row>
    <row r="251" spans="1:9" ht="14.25" x14ac:dyDescent="0.2">
      <c r="A251" s="736"/>
      <c r="B251" s="753"/>
      <c r="C251" s="578" t="s">
        <v>636</v>
      </c>
      <c r="D251" s="574" t="s">
        <v>1220</v>
      </c>
      <c r="E251" s="356">
        <v>1106</v>
      </c>
      <c r="F251" s="356">
        <v>1106</v>
      </c>
      <c r="G251" s="356">
        <v>1106</v>
      </c>
      <c r="H251" s="742">
        <f>G251/F251*100</f>
        <v>100</v>
      </c>
    </row>
    <row r="252" spans="1:9" ht="15" thickBot="1" x14ac:dyDescent="0.25">
      <c r="A252" s="736"/>
      <c r="B252" s="753"/>
      <c r="C252" s="578" t="s">
        <v>735</v>
      </c>
      <c r="D252" s="595" t="s">
        <v>786</v>
      </c>
      <c r="E252" s="356">
        <v>1152</v>
      </c>
      <c r="F252" s="356">
        <v>1152</v>
      </c>
      <c r="G252" s="356">
        <v>1152</v>
      </c>
      <c r="H252" s="742">
        <f>G252/F252*100</f>
        <v>100</v>
      </c>
    </row>
    <row r="253" spans="1:9" s="369" customFormat="1" ht="20.25" customHeight="1" thickTop="1" thickBot="1" x14ac:dyDescent="0.3">
      <c r="A253" s="744" t="s">
        <v>1246</v>
      </c>
      <c r="B253" s="745"/>
      <c r="C253" s="746"/>
      <c r="D253" s="747"/>
      <c r="E253" s="748">
        <f>SUM(E249)</f>
        <v>2358</v>
      </c>
      <c r="F253" s="748">
        <f>SUM(F249)</f>
        <v>2349</v>
      </c>
      <c r="G253" s="748">
        <f>SUM(G249)</f>
        <v>2349</v>
      </c>
      <c r="H253" s="760">
        <f>G253/F253*100</f>
        <v>100</v>
      </c>
    </row>
    <row r="254" spans="1:9" ht="13.5" thickTop="1" x14ac:dyDescent="0.2">
      <c r="A254" s="812"/>
      <c r="B254" s="690"/>
    </row>
    <row r="255" spans="1:9" s="369" customFormat="1" ht="27.75" customHeight="1" thickBot="1" x14ac:dyDescent="0.3">
      <c r="A255" s="817" t="s">
        <v>1019</v>
      </c>
      <c r="B255" s="764"/>
      <c r="C255" s="765"/>
      <c r="D255" s="766"/>
      <c r="E255" s="767">
        <f>SUM(E253)</f>
        <v>2358</v>
      </c>
      <c r="F255" s="767">
        <f>F253</f>
        <v>2349</v>
      </c>
      <c r="G255" s="767">
        <f>G253</f>
        <v>2349</v>
      </c>
      <c r="H255" s="818">
        <f>(G255/F255)*100</f>
        <v>100</v>
      </c>
    </row>
    <row r="256" spans="1:9" ht="13.5" thickTop="1" x14ac:dyDescent="0.2">
      <c r="A256" s="689"/>
      <c r="B256" s="690"/>
    </row>
    <row r="257" spans="1:9" x14ac:dyDescent="0.2">
      <c r="A257" s="823"/>
    </row>
    <row r="258" spans="1:9" x14ac:dyDescent="0.2">
      <c r="A258" s="823"/>
    </row>
    <row r="259" spans="1:9" x14ac:dyDescent="0.2">
      <c r="A259" s="823"/>
    </row>
    <row r="260" spans="1:9" x14ac:dyDescent="0.2">
      <c r="A260" s="823"/>
    </row>
    <row r="261" spans="1:9" x14ac:dyDescent="0.2">
      <c r="A261" s="823"/>
    </row>
    <row r="262" spans="1:9" x14ac:dyDescent="0.2">
      <c r="A262" s="823"/>
    </row>
    <row r="263" spans="1:9" x14ac:dyDescent="0.2">
      <c r="A263" s="823"/>
    </row>
    <row r="264" spans="1:9" x14ac:dyDescent="0.2">
      <c r="A264" s="823"/>
    </row>
    <row r="265" spans="1:9" x14ac:dyDescent="0.2">
      <c r="A265" s="823"/>
    </row>
    <row r="266" spans="1:9" x14ac:dyDescent="0.2">
      <c r="A266" s="823"/>
    </row>
    <row r="267" spans="1:9" x14ac:dyDescent="0.2">
      <c r="A267" s="823"/>
    </row>
    <row r="268" spans="1:9" s="525" customFormat="1" ht="15.75" x14ac:dyDescent="0.25">
      <c r="A268" s="727" t="s">
        <v>1020</v>
      </c>
      <c r="B268" s="778"/>
      <c r="C268" s="779"/>
      <c r="E268" s="609" t="s">
        <v>939</v>
      </c>
      <c r="F268" s="609"/>
      <c r="G268" s="609"/>
      <c r="H268" s="768"/>
    </row>
    <row r="269" spans="1:9" ht="13.5" thickBot="1" x14ac:dyDescent="0.25">
      <c r="A269" s="812"/>
      <c r="B269" s="690"/>
      <c r="H269" s="692" t="s">
        <v>179</v>
      </c>
    </row>
    <row r="270" spans="1:9" s="735" customFormat="1" ht="20.25" customHeight="1" thickTop="1" thickBot="1" x14ac:dyDescent="0.25">
      <c r="A270" s="813" t="s">
        <v>180</v>
      </c>
      <c r="B270" s="730" t="s">
        <v>181</v>
      </c>
      <c r="C270" s="731" t="s">
        <v>783</v>
      </c>
      <c r="D270" s="732" t="s">
        <v>182</v>
      </c>
      <c r="E270" s="733" t="s">
        <v>183</v>
      </c>
      <c r="F270" s="733" t="s">
        <v>985</v>
      </c>
      <c r="G270" s="733" t="s">
        <v>986</v>
      </c>
      <c r="H270" s="734" t="s">
        <v>987</v>
      </c>
    </row>
    <row r="271" spans="1:9" s="386" customFormat="1" ht="13.5" thickTop="1" thickBot="1" x14ac:dyDescent="0.25">
      <c r="A271" s="592">
        <v>1</v>
      </c>
      <c r="B271" s="593">
        <v>2</v>
      </c>
      <c r="C271" s="593">
        <v>3</v>
      </c>
      <c r="D271" s="593">
        <v>4</v>
      </c>
      <c r="E271" s="593">
        <v>5</v>
      </c>
      <c r="F271" s="567">
        <v>6</v>
      </c>
      <c r="G271" s="567">
        <v>7</v>
      </c>
      <c r="H271" s="662" t="s">
        <v>61</v>
      </c>
      <c r="I271" s="107"/>
    </row>
    <row r="272" spans="1:9" ht="15.75" thickTop="1" x14ac:dyDescent="0.25">
      <c r="A272" s="2088">
        <v>3315</v>
      </c>
      <c r="B272" s="737">
        <v>5331</v>
      </c>
      <c r="C272" s="738"/>
      <c r="D272" s="650" t="s">
        <v>259</v>
      </c>
      <c r="E272" s="391">
        <f>E273+E274+E275+E276</f>
        <v>18432</v>
      </c>
      <c r="F272" s="391">
        <f>F273+F274+F275+F276</f>
        <v>18559</v>
      </c>
      <c r="G272" s="391">
        <f>G273+G274+G275+G276</f>
        <v>18559</v>
      </c>
      <c r="H272" s="739">
        <f t="shared" ref="H272:H282" si="11">G272/F272*100</f>
        <v>100</v>
      </c>
    </row>
    <row r="273" spans="1:8" ht="14.25" x14ac:dyDescent="0.2">
      <c r="A273" s="736"/>
      <c r="B273" s="753"/>
      <c r="C273" s="743" t="s">
        <v>641</v>
      </c>
      <c r="D273" s="780" t="s">
        <v>1416</v>
      </c>
      <c r="E273" s="356">
        <v>777</v>
      </c>
      <c r="F273" s="356">
        <v>860</v>
      </c>
      <c r="G273" s="356">
        <v>860</v>
      </c>
      <c r="H273" s="742">
        <f t="shared" si="11"/>
        <v>100</v>
      </c>
    </row>
    <row r="274" spans="1:8" ht="14.25" x14ac:dyDescent="0.2">
      <c r="A274" s="736"/>
      <c r="B274" s="753"/>
      <c r="C274" s="578" t="s">
        <v>636</v>
      </c>
      <c r="D274" s="574" t="s">
        <v>72</v>
      </c>
      <c r="E274" s="356">
        <v>7461</v>
      </c>
      <c r="F274" s="356">
        <v>7461</v>
      </c>
      <c r="G274" s="356">
        <v>7461</v>
      </c>
      <c r="H274" s="742">
        <f t="shared" si="11"/>
        <v>100</v>
      </c>
    </row>
    <row r="275" spans="1:8" ht="14.25" x14ac:dyDescent="0.2">
      <c r="A275" s="736"/>
      <c r="B275" s="753"/>
      <c r="C275" s="578" t="s">
        <v>735</v>
      </c>
      <c r="D275" s="595" t="s">
        <v>786</v>
      </c>
      <c r="E275" s="356">
        <v>10194</v>
      </c>
      <c r="F275" s="356">
        <v>10194</v>
      </c>
      <c r="G275" s="356">
        <v>10194</v>
      </c>
      <c r="H275" s="742">
        <f t="shared" si="11"/>
        <v>100</v>
      </c>
    </row>
    <row r="276" spans="1:8" ht="15" thickBot="1" x14ac:dyDescent="0.25">
      <c r="A276" s="736"/>
      <c r="B276" s="753"/>
      <c r="C276" s="754" t="s">
        <v>377</v>
      </c>
      <c r="D276" s="794" t="s">
        <v>992</v>
      </c>
      <c r="E276" s="470"/>
      <c r="F276" s="470">
        <v>44</v>
      </c>
      <c r="G276" s="470">
        <v>44</v>
      </c>
      <c r="H276" s="742">
        <f t="shared" si="11"/>
        <v>100</v>
      </c>
    </row>
    <row r="277" spans="1:8" s="369" customFormat="1" ht="20.25" customHeight="1" thickTop="1" thickBot="1" x14ac:dyDescent="0.3">
      <c r="A277" s="744" t="s">
        <v>1246</v>
      </c>
      <c r="B277" s="745"/>
      <c r="C277" s="746"/>
      <c r="D277" s="747"/>
      <c r="E277" s="748">
        <f>SUM(E272)</f>
        <v>18432</v>
      </c>
      <c r="F277" s="748">
        <f>SUM(F272)</f>
        <v>18559</v>
      </c>
      <c r="G277" s="748">
        <f>SUM(G272)</f>
        <v>18559</v>
      </c>
      <c r="H277" s="760">
        <f t="shared" si="11"/>
        <v>100</v>
      </c>
    </row>
    <row r="278" spans="1:8" ht="15.75" thickTop="1" x14ac:dyDescent="0.25">
      <c r="A278" s="750">
        <v>3315</v>
      </c>
      <c r="B278" s="1629">
        <v>6351</v>
      </c>
      <c r="C278" s="738"/>
      <c r="D278" s="650" t="s">
        <v>1320</v>
      </c>
      <c r="E278" s="752">
        <f>E279+E280+E281</f>
        <v>990</v>
      </c>
      <c r="F278" s="752">
        <f>F279+F280+F281</f>
        <v>2186</v>
      </c>
      <c r="G278" s="752">
        <f>G279+G280+G281</f>
        <v>2186</v>
      </c>
      <c r="H278" s="739">
        <f t="shared" si="11"/>
        <v>100</v>
      </c>
    </row>
    <row r="279" spans="1:8" ht="14.25" x14ac:dyDescent="0.2">
      <c r="A279" s="736"/>
      <c r="B279" s="753"/>
      <c r="C279" s="1179" t="s">
        <v>203</v>
      </c>
      <c r="D279" s="1166" t="s">
        <v>994</v>
      </c>
      <c r="E279" s="755"/>
      <c r="F279" s="756">
        <v>100</v>
      </c>
      <c r="G279" s="756">
        <v>100</v>
      </c>
      <c r="H279" s="742">
        <f t="shared" si="11"/>
        <v>100</v>
      </c>
    </row>
    <row r="280" spans="1:8" ht="14.25" x14ac:dyDescent="0.2">
      <c r="A280" s="736"/>
      <c r="B280" s="753"/>
      <c r="C280" s="1179" t="s">
        <v>1536</v>
      </c>
      <c r="D280" s="2014" t="s">
        <v>1537</v>
      </c>
      <c r="E280" s="755">
        <v>990</v>
      </c>
      <c r="F280" s="756">
        <v>1830</v>
      </c>
      <c r="G280" s="756">
        <v>1830</v>
      </c>
      <c r="H280" s="742">
        <f t="shared" si="11"/>
        <v>100</v>
      </c>
    </row>
    <row r="281" spans="1:8" ht="15" thickBot="1" x14ac:dyDescent="0.25">
      <c r="A281" s="736"/>
      <c r="B281" s="753"/>
      <c r="C281" s="1179" t="s">
        <v>1755</v>
      </c>
      <c r="D281" s="1166" t="s">
        <v>1756</v>
      </c>
      <c r="E281" s="755"/>
      <c r="F281" s="756">
        <v>256</v>
      </c>
      <c r="G281" s="756">
        <v>256</v>
      </c>
      <c r="H281" s="742">
        <f t="shared" si="11"/>
        <v>100</v>
      </c>
    </row>
    <row r="282" spans="1:8" ht="20.25" customHeight="1" thickTop="1" thickBot="1" x14ac:dyDescent="0.3">
      <c r="A282" s="744" t="s">
        <v>1247</v>
      </c>
      <c r="B282" s="745"/>
      <c r="C282" s="746"/>
      <c r="D282" s="747"/>
      <c r="E282" s="759">
        <f>E278</f>
        <v>990</v>
      </c>
      <c r="F282" s="759">
        <f>SUM(F278)</f>
        <v>2186</v>
      </c>
      <c r="G282" s="759">
        <f>SUM(G278)</f>
        <v>2186</v>
      </c>
      <c r="H282" s="760">
        <f t="shared" si="11"/>
        <v>100</v>
      </c>
    </row>
    <row r="283" spans="1:8" ht="15" thickTop="1" x14ac:dyDescent="0.2">
      <c r="A283" s="823"/>
      <c r="H283" s="825"/>
    </row>
    <row r="284" spans="1:8" s="369" customFormat="1" ht="27.75" customHeight="1" thickBot="1" x14ac:dyDescent="0.3">
      <c r="A284" s="817" t="s">
        <v>591</v>
      </c>
      <c r="B284" s="764"/>
      <c r="C284" s="765"/>
      <c r="D284" s="766"/>
      <c r="E284" s="767">
        <f>E277+E282</f>
        <v>19422</v>
      </c>
      <c r="F284" s="767">
        <f>F277+F282</f>
        <v>20745</v>
      </c>
      <c r="G284" s="767">
        <f>G277+G282</f>
        <v>20745</v>
      </c>
      <c r="H284" s="826">
        <f>G284/F284*100</f>
        <v>100</v>
      </c>
    </row>
    <row r="285" spans="1:8" ht="13.5" thickTop="1" x14ac:dyDescent="0.2">
      <c r="A285" s="690"/>
      <c r="B285" s="690"/>
    </row>
    <row r="286" spans="1:8" x14ac:dyDescent="0.2">
      <c r="A286" s="690"/>
      <c r="B286" s="690"/>
    </row>
    <row r="287" spans="1:8" s="525" customFormat="1" ht="15.75" x14ac:dyDescent="0.25">
      <c r="A287" s="727" t="s">
        <v>1021</v>
      </c>
      <c r="B287" s="778"/>
      <c r="C287" s="779"/>
      <c r="E287" s="609" t="s">
        <v>940</v>
      </c>
      <c r="F287" s="609"/>
      <c r="G287" s="609"/>
      <c r="H287" s="768"/>
    </row>
    <row r="288" spans="1:8" ht="13.5" thickBot="1" x14ac:dyDescent="0.25">
      <c r="A288" s="812"/>
      <c r="B288" s="690"/>
      <c r="H288" s="692" t="s">
        <v>179</v>
      </c>
    </row>
    <row r="289" spans="1:9" s="735" customFormat="1" ht="20.25" customHeight="1" thickTop="1" thickBot="1" x14ac:dyDescent="0.25">
      <c r="A289" s="813" t="s">
        <v>180</v>
      </c>
      <c r="B289" s="730" t="s">
        <v>181</v>
      </c>
      <c r="C289" s="731" t="s">
        <v>783</v>
      </c>
      <c r="D289" s="732" t="s">
        <v>182</v>
      </c>
      <c r="E289" s="733" t="s">
        <v>183</v>
      </c>
      <c r="F289" s="733" t="s">
        <v>985</v>
      </c>
      <c r="G289" s="733" t="s">
        <v>986</v>
      </c>
      <c r="H289" s="734" t="s">
        <v>987</v>
      </c>
    </row>
    <row r="290" spans="1:9" s="386" customFormat="1" ht="13.5" thickTop="1" thickBot="1" x14ac:dyDescent="0.25">
      <c r="A290" s="592">
        <v>1</v>
      </c>
      <c r="B290" s="593">
        <v>2</v>
      </c>
      <c r="C290" s="593">
        <v>3</v>
      </c>
      <c r="D290" s="593">
        <v>4</v>
      </c>
      <c r="E290" s="593">
        <v>5</v>
      </c>
      <c r="F290" s="567">
        <v>6</v>
      </c>
      <c r="G290" s="567">
        <v>7</v>
      </c>
      <c r="H290" s="662" t="s">
        <v>61</v>
      </c>
      <c r="I290" s="107"/>
    </row>
    <row r="291" spans="1:9" ht="15.75" thickTop="1" x14ac:dyDescent="0.25">
      <c r="A291" s="2088">
        <v>3315</v>
      </c>
      <c r="B291" s="737">
        <v>5331</v>
      </c>
      <c r="C291" s="738"/>
      <c r="D291" s="650" t="s">
        <v>259</v>
      </c>
      <c r="E291" s="391">
        <f>E292+E293+E294</f>
        <v>21397</v>
      </c>
      <c r="F291" s="391">
        <f>F292+F293+F294</f>
        <v>21457</v>
      </c>
      <c r="G291" s="391">
        <f>G292+G293+G294</f>
        <v>21457</v>
      </c>
      <c r="H291" s="739">
        <f>G291/F291*100</f>
        <v>100</v>
      </c>
    </row>
    <row r="292" spans="1:9" ht="14.25" x14ac:dyDescent="0.2">
      <c r="A292" s="736"/>
      <c r="B292" s="753"/>
      <c r="C292" s="743" t="s">
        <v>641</v>
      </c>
      <c r="D292" s="780" t="s">
        <v>1416</v>
      </c>
      <c r="E292" s="356">
        <v>692</v>
      </c>
      <c r="F292" s="356">
        <v>752</v>
      </c>
      <c r="G292" s="356">
        <v>752</v>
      </c>
      <c r="H292" s="742">
        <f>G292/F292*100</f>
        <v>100</v>
      </c>
    </row>
    <row r="293" spans="1:9" ht="12.75" customHeight="1" x14ac:dyDescent="0.2">
      <c r="A293" s="736"/>
      <c r="B293" s="753"/>
      <c r="C293" s="578" t="s">
        <v>636</v>
      </c>
      <c r="D293" s="574" t="s">
        <v>161</v>
      </c>
      <c r="E293" s="316">
        <v>10039</v>
      </c>
      <c r="F293" s="316">
        <v>10039</v>
      </c>
      <c r="G293" s="316">
        <v>10039</v>
      </c>
      <c r="H293" s="742">
        <f>G293/F293*100</f>
        <v>100</v>
      </c>
    </row>
    <row r="294" spans="1:9" ht="12.75" customHeight="1" thickBot="1" x14ac:dyDescent="0.25">
      <c r="A294" s="736"/>
      <c r="B294" s="753"/>
      <c r="C294" s="578" t="s">
        <v>735</v>
      </c>
      <c r="D294" s="595" t="s">
        <v>786</v>
      </c>
      <c r="E294" s="316">
        <v>10666</v>
      </c>
      <c r="F294" s="316">
        <v>10666</v>
      </c>
      <c r="G294" s="316">
        <v>10666</v>
      </c>
      <c r="H294" s="742">
        <f>G294/F294*100</f>
        <v>100</v>
      </c>
    </row>
    <row r="295" spans="1:9" s="369" customFormat="1" ht="20.25" customHeight="1" thickTop="1" thickBot="1" x14ac:dyDescent="0.3">
      <c r="A295" s="744" t="s">
        <v>1246</v>
      </c>
      <c r="B295" s="745"/>
      <c r="C295" s="746"/>
      <c r="D295" s="747"/>
      <c r="E295" s="748">
        <f>SUM(E291)</f>
        <v>21397</v>
      </c>
      <c r="F295" s="748">
        <f>SUM(F291)</f>
        <v>21457</v>
      </c>
      <c r="G295" s="748">
        <f>SUM(G291)</f>
        <v>21457</v>
      </c>
      <c r="H295" s="827">
        <f>(G295/F295)*100</f>
        <v>100</v>
      </c>
    </row>
    <row r="296" spans="1:9" ht="15.75" thickTop="1" x14ac:dyDescent="0.25">
      <c r="A296" s="750">
        <v>3315</v>
      </c>
      <c r="B296" s="1629">
        <v>6351</v>
      </c>
      <c r="C296" s="738"/>
      <c r="D296" s="650" t="s">
        <v>1320</v>
      </c>
      <c r="E296" s="391"/>
      <c r="F296" s="391">
        <f>F297+F298+F299</f>
        <v>2710</v>
      </c>
      <c r="G296" s="391">
        <f>G297+G298+G299</f>
        <v>2710</v>
      </c>
      <c r="H296" s="739">
        <f>G296/F296*100</f>
        <v>100</v>
      </c>
    </row>
    <row r="297" spans="1:9" ht="14.25" x14ac:dyDescent="0.2">
      <c r="A297" s="736"/>
      <c r="B297" s="753"/>
      <c r="C297" s="594" t="s">
        <v>203</v>
      </c>
      <c r="D297" s="828" t="s">
        <v>994</v>
      </c>
      <c r="E297" s="470"/>
      <c r="F297" s="2089">
        <v>160</v>
      </c>
      <c r="G297" s="2089">
        <v>160</v>
      </c>
      <c r="H297" s="742">
        <f>G297/F297*100</f>
        <v>100</v>
      </c>
    </row>
    <row r="298" spans="1:9" ht="14.25" x14ac:dyDescent="0.2">
      <c r="A298" s="736"/>
      <c r="B298" s="753"/>
      <c r="C298" s="1179" t="s">
        <v>1536</v>
      </c>
      <c r="D298" s="2090" t="s">
        <v>1537</v>
      </c>
      <c r="E298" s="470"/>
      <c r="F298" s="2089">
        <v>2480</v>
      </c>
      <c r="G298" s="2089">
        <v>2480</v>
      </c>
      <c r="H298" s="742">
        <f t="shared" ref="H298:H299" si="12">G298/F298*100</f>
        <v>100</v>
      </c>
    </row>
    <row r="299" spans="1:9" ht="15" thickBot="1" x14ac:dyDescent="0.25">
      <c r="A299" s="736"/>
      <c r="B299" s="753"/>
      <c r="C299" s="1179" t="s">
        <v>1757</v>
      </c>
      <c r="D299" s="994" t="s">
        <v>1758</v>
      </c>
      <c r="E299" s="1495"/>
      <c r="F299" s="1496">
        <v>70</v>
      </c>
      <c r="G299" s="1496">
        <v>70</v>
      </c>
      <c r="H299" s="742">
        <f t="shared" si="12"/>
        <v>100</v>
      </c>
    </row>
    <row r="300" spans="1:9" ht="20.25" customHeight="1" thickTop="1" thickBot="1" x14ac:dyDescent="0.3">
      <c r="A300" s="744" t="s">
        <v>1247</v>
      </c>
      <c r="B300" s="745"/>
      <c r="C300" s="746"/>
      <c r="D300" s="869"/>
      <c r="E300" s="1303">
        <f>E296</f>
        <v>0</v>
      </c>
      <c r="F300" s="1303">
        <f>SUM(F296)</f>
        <v>2710</v>
      </c>
      <c r="G300" s="1303">
        <f>SUM(G296)</f>
        <v>2710</v>
      </c>
      <c r="H300" s="760">
        <f>G300/F300*100</f>
        <v>100</v>
      </c>
    </row>
    <row r="301" spans="1:9" ht="15" thickTop="1" x14ac:dyDescent="0.2">
      <c r="A301" s="823"/>
      <c r="H301" s="825"/>
    </row>
    <row r="302" spans="1:9" s="369" customFormat="1" ht="27.75" customHeight="1" thickBot="1" x14ac:dyDescent="0.3">
      <c r="A302" s="817" t="s">
        <v>1022</v>
      </c>
      <c r="B302" s="764"/>
      <c r="C302" s="765"/>
      <c r="D302" s="766"/>
      <c r="E302" s="767">
        <f>SUM(E295,E300)</f>
        <v>21397</v>
      </c>
      <c r="F302" s="767">
        <f>F295+F300</f>
        <v>24167</v>
      </c>
      <c r="G302" s="767">
        <f>G295+G300</f>
        <v>24167</v>
      </c>
      <c r="H302" s="818">
        <f>(G302/F302)*100</f>
        <v>100</v>
      </c>
    </row>
    <row r="303" spans="1:9" s="369" customFormat="1" ht="22.5" customHeight="1" thickTop="1" x14ac:dyDescent="0.25">
      <c r="A303" s="363"/>
      <c r="B303" s="364"/>
      <c r="C303" s="365"/>
      <c r="D303" s="366"/>
      <c r="E303" s="762"/>
      <c r="F303" s="762"/>
      <c r="G303" s="762"/>
      <c r="H303" s="824"/>
    </row>
    <row r="304" spans="1:9" s="369" customFormat="1" ht="14.25" customHeight="1" x14ac:dyDescent="0.25">
      <c r="A304" s="363"/>
      <c r="B304" s="364"/>
      <c r="C304" s="365"/>
      <c r="D304" s="366"/>
      <c r="E304" s="762"/>
      <c r="F304" s="762"/>
      <c r="G304" s="762"/>
      <c r="H304" s="824"/>
    </row>
    <row r="305" spans="1:9" s="525" customFormat="1" ht="15.75" customHeight="1" x14ac:dyDescent="0.25">
      <c r="A305" s="727" t="s">
        <v>968</v>
      </c>
      <c r="B305" s="778"/>
      <c r="C305" s="779"/>
      <c r="E305" s="609" t="s">
        <v>941</v>
      </c>
      <c r="F305" s="609"/>
      <c r="G305" s="609"/>
      <c r="H305" s="768"/>
    </row>
    <row r="306" spans="1:9" ht="13.5" thickBot="1" x14ac:dyDescent="0.25">
      <c r="A306" s="812"/>
      <c r="B306" s="690"/>
      <c r="H306" s="692" t="s">
        <v>179</v>
      </c>
    </row>
    <row r="307" spans="1:9" s="735" customFormat="1" ht="20.25" customHeight="1" thickTop="1" thickBot="1" x14ac:dyDescent="0.25">
      <c r="A307" s="813" t="s">
        <v>180</v>
      </c>
      <c r="B307" s="730" t="s">
        <v>181</v>
      </c>
      <c r="C307" s="731" t="s">
        <v>783</v>
      </c>
      <c r="D307" s="732" t="s">
        <v>182</v>
      </c>
      <c r="E307" s="733" t="s">
        <v>183</v>
      </c>
      <c r="F307" s="733" t="s">
        <v>985</v>
      </c>
      <c r="G307" s="733" t="s">
        <v>986</v>
      </c>
      <c r="H307" s="734" t="s">
        <v>987</v>
      </c>
    </row>
    <row r="308" spans="1:9" s="386" customFormat="1" ht="13.5" thickTop="1" thickBot="1" x14ac:dyDescent="0.25">
      <c r="A308" s="592">
        <v>1</v>
      </c>
      <c r="B308" s="593">
        <v>2</v>
      </c>
      <c r="C308" s="593">
        <v>3</v>
      </c>
      <c r="D308" s="593">
        <v>4</v>
      </c>
      <c r="E308" s="593">
        <v>5</v>
      </c>
      <c r="F308" s="567">
        <v>6</v>
      </c>
      <c r="G308" s="567">
        <v>7</v>
      </c>
      <c r="H308" s="662" t="s">
        <v>61</v>
      </c>
      <c r="I308" s="107"/>
    </row>
    <row r="309" spans="1:9" ht="15.75" thickTop="1" x14ac:dyDescent="0.25">
      <c r="A309" s="2088">
        <v>3315</v>
      </c>
      <c r="B309" s="737">
        <v>5331</v>
      </c>
      <c r="C309" s="738"/>
      <c r="D309" s="650" t="s">
        <v>259</v>
      </c>
      <c r="E309" s="391">
        <f>E310+E311+E312+E313</f>
        <v>3104</v>
      </c>
      <c r="F309" s="391">
        <f>F310+F311+F312+F313</f>
        <v>3235</v>
      </c>
      <c r="G309" s="391">
        <f>G310+G311+G312+G313</f>
        <v>3235</v>
      </c>
      <c r="H309" s="739">
        <f>G309/F309*100</f>
        <v>100</v>
      </c>
    </row>
    <row r="310" spans="1:9" ht="14.25" x14ac:dyDescent="0.2">
      <c r="A310" s="736"/>
      <c r="B310" s="753"/>
      <c r="C310" s="743" t="s">
        <v>641</v>
      </c>
      <c r="D310" s="780" t="s">
        <v>1416</v>
      </c>
      <c r="E310" s="446">
        <v>1460</v>
      </c>
      <c r="F310" s="446">
        <v>1399</v>
      </c>
      <c r="G310" s="446">
        <v>1399</v>
      </c>
      <c r="H310" s="742">
        <f>G310/F310*100</f>
        <v>100</v>
      </c>
    </row>
    <row r="311" spans="1:9" ht="14.25" x14ac:dyDescent="0.2">
      <c r="A311" s="736"/>
      <c r="B311" s="753"/>
      <c r="C311" s="1179" t="s">
        <v>203</v>
      </c>
      <c r="D311" s="117" t="s">
        <v>994</v>
      </c>
      <c r="E311" s="446">
        <v>300</v>
      </c>
      <c r="F311" s="446">
        <v>300</v>
      </c>
      <c r="G311" s="446">
        <v>300</v>
      </c>
      <c r="H311" s="742">
        <f>G311/F311*100</f>
        <v>100</v>
      </c>
    </row>
    <row r="312" spans="1:9" ht="14.25" x14ac:dyDescent="0.2">
      <c r="A312" s="736"/>
      <c r="B312" s="753"/>
      <c r="C312" s="578" t="s">
        <v>636</v>
      </c>
      <c r="D312" s="574" t="s">
        <v>161</v>
      </c>
      <c r="E312" s="356">
        <v>1344</v>
      </c>
      <c r="F312" s="356">
        <v>1374</v>
      </c>
      <c r="G312" s="356">
        <v>1374</v>
      </c>
      <c r="H312" s="742">
        <f>G312/F312*100</f>
        <v>100</v>
      </c>
    </row>
    <row r="313" spans="1:9" ht="15" thickBot="1" x14ac:dyDescent="0.25">
      <c r="A313" s="736"/>
      <c r="B313" s="753"/>
      <c r="C313" s="1301" t="s">
        <v>1637</v>
      </c>
      <c r="D313" s="1416" t="s">
        <v>1636</v>
      </c>
      <c r="E313" s="356"/>
      <c r="F313" s="356">
        <v>162</v>
      </c>
      <c r="G313" s="356">
        <v>162</v>
      </c>
      <c r="H313" s="742">
        <f>G313/F313*100</f>
        <v>100</v>
      </c>
    </row>
    <row r="314" spans="1:9" s="369" customFormat="1" ht="20.25" customHeight="1" thickTop="1" thickBot="1" x14ac:dyDescent="0.3">
      <c r="A314" s="744" t="s">
        <v>1246</v>
      </c>
      <c r="B314" s="745"/>
      <c r="C314" s="746"/>
      <c r="D314" s="747"/>
      <c r="E314" s="748">
        <f>SUM(E309)</f>
        <v>3104</v>
      </c>
      <c r="F314" s="748">
        <f>F309</f>
        <v>3235</v>
      </c>
      <c r="G314" s="748">
        <f>G309</f>
        <v>3235</v>
      </c>
      <c r="H314" s="827">
        <f>(G314/F314)*100</f>
        <v>100</v>
      </c>
    </row>
    <row r="315" spans="1:9" ht="15.75" thickTop="1" x14ac:dyDescent="0.25">
      <c r="A315" s="750">
        <v>3315</v>
      </c>
      <c r="B315" s="1629">
        <v>6351</v>
      </c>
      <c r="C315" s="738"/>
      <c r="D315" s="650" t="s">
        <v>1320</v>
      </c>
      <c r="E315" s="391"/>
      <c r="F315" s="391">
        <v>700</v>
      </c>
      <c r="G315" s="391">
        <v>700</v>
      </c>
      <c r="H315" s="739">
        <f>G315/F315*100</f>
        <v>100</v>
      </c>
    </row>
    <row r="316" spans="1:9" ht="15" thickBot="1" x14ac:dyDescent="0.25">
      <c r="A316" s="736"/>
      <c r="B316" s="753"/>
      <c r="C316" s="1278" t="s">
        <v>22</v>
      </c>
      <c r="D316" s="226" t="s">
        <v>1351</v>
      </c>
      <c r="E316" s="1495"/>
      <c r="F316" s="1496">
        <v>700</v>
      </c>
      <c r="G316" s="1496">
        <v>700</v>
      </c>
      <c r="H316" s="742">
        <f>G316/F316*100</f>
        <v>100</v>
      </c>
    </row>
    <row r="317" spans="1:9" ht="20.25" customHeight="1" thickTop="1" thickBot="1" x14ac:dyDescent="0.3">
      <c r="A317" s="744" t="s">
        <v>1247</v>
      </c>
      <c r="B317" s="745"/>
      <c r="C317" s="746"/>
      <c r="D317" s="869"/>
      <c r="E317" s="1303">
        <f>E315</f>
        <v>0</v>
      </c>
      <c r="F317" s="1303">
        <f>SUM(F315)</f>
        <v>700</v>
      </c>
      <c r="G317" s="1303">
        <f>SUM(G315)</f>
        <v>700</v>
      </c>
      <c r="H317" s="760">
        <f>G317/F317*100</f>
        <v>100</v>
      </c>
    </row>
    <row r="318" spans="1:9" ht="15" thickTop="1" x14ac:dyDescent="0.2">
      <c r="H318" s="825"/>
    </row>
    <row r="319" spans="1:9" s="369" customFormat="1" ht="27.75" customHeight="1" thickBot="1" x14ac:dyDescent="0.3">
      <c r="A319" s="817" t="s">
        <v>525</v>
      </c>
      <c r="B319" s="764"/>
      <c r="C319" s="765"/>
      <c r="D319" s="766"/>
      <c r="E319" s="767">
        <f>SUM(E314,E317)</f>
        <v>3104</v>
      </c>
      <c r="F319" s="767">
        <f>SUM(F314,F317)</f>
        <v>3935</v>
      </c>
      <c r="G319" s="767">
        <f>SUM(G314,G317)</f>
        <v>3935</v>
      </c>
      <c r="H319" s="818">
        <f>(G319/F319)*100</f>
        <v>100</v>
      </c>
    </row>
    <row r="320" spans="1:9" ht="13.5" thickTop="1" x14ac:dyDescent="0.2">
      <c r="A320" s="690"/>
      <c r="B320" s="690"/>
    </row>
    <row r="323" spans="1:19" s="525" customFormat="1" ht="15.75" x14ac:dyDescent="0.25">
      <c r="A323" s="874" t="s">
        <v>1224</v>
      </c>
      <c r="B323" s="875"/>
      <c r="C323" s="875"/>
      <c r="D323" s="875"/>
      <c r="E323" s="511"/>
      <c r="F323" s="511"/>
      <c r="G323" s="511"/>
      <c r="H323" s="850"/>
    </row>
    <row r="324" spans="1:19" s="693" customFormat="1" ht="15" thickBot="1" x14ac:dyDescent="0.25">
      <c r="A324" s="690"/>
      <c r="B324" s="690"/>
      <c r="C324" s="691"/>
      <c r="D324" s="558"/>
      <c r="E324" s="851"/>
      <c r="F324" s="851"/>
      <c r="G324" s="851"/>
      <c r="H324" s="700" t="s">
        <v>179</v>
      </c>
    </row>
    <row r="325" spans="1:19" s="693" customFormat="1" ht="14.25" thickTop="1" thickBot="1" x14ac:dyDescent="0.25">
      <c r="A325" s="657" t="s">
        <v>180</v>
      </c>
      <c r="B325" s="658" t="s">
        <v>181</v>
      </c>
      <c r="C325" s="702" t="s">
        <v>783</v>
      </c>
      <c r="D325" s="660" t="s">
        <v>182</v>
      </c>
      <c r="E325" s="660" t="s">
        <v>183</v>
      </c>
      <c r="F325" s="660" t="s">
        <v>985</v>
      </c>
      <c r="G325" s="660" t="s">
        <v>986</v>
      </c>
      <c r="H325" s="661" t="s">
        <v>987</v>
      </c>
    </row>
    <row r="326" spans="1:19" s="693" customFormat="1" ht="14.25" thickTop="1" thickBot="1" x14ac:dyDescent="0.25">
      <c r="A326" s="592">
        <v>1</v>
      </c>
      <c r="B326" s="593">
        <v>2</v>
      </c>
      <c r="C326" s="593">
        <v>3</v>
      </c>
      <c r="D326" s="593">
        <v>4</v>
      </c>
      <c r="E326" s="593">
        <v>5</v>
      </c>
      <c r="F326" s="567">
        <v>6</v>
      </c>
      <c r="G326" s="567">
        <v>7</v>
      </c>
      <c r="H326" s="662" t="s">
        <v>61</v>
      </c>
    </row>
    <row r="327" spans="1:19" s="1166" customFormat="1" ht="15.75" thickTop="1" x14ac:dyDescent="0.25">
      <c r="A327" s="34">
        <v>3319</v>
      </c>
      <c r="B327" s="1199">
        <v>5331</v>
      </c>
      <c r="C327" s="122"/>
      <c r="D327" s="1191" t="s">
        <v>933</v>
      </c>
      <c r="E327" s="48">
        <f>E328+E329</f>
        <v>600</v>
      </c>
      <c r="F327" s="1420">
        <v>0</v>
      </c>
      <c r="G327" s="315">
        <v>0</v>
      </c>
      <c r="H327" s="212">
        <v>0</v>
      </c>
    </row>
    <row r="328" spans="1:19" s="693" customFormat="1" ht="15" x14ac:dyDescent="0.25">
      <c r="A328" s="1490"/>
      <c r="B328" s="1191"/>
      <c r="C328" s="1179" t="s">
        <v>636</v>
      </c>
      <c r="D328" s="85" t="s">
        <v>1638</v>
      </c>
      <c r="E328" s="55">
        <v>300</v>
      </c>
      <c r="F328" s="314">
        <v>0</v>
      </c>
      <c r="G328" s="316">
        <v>0</v>
      </c>
      <c r="H328" s="1184">
        <v>0</v>
      </c>
    </row>
    <row r="329" spans="1:19" s="693" customFormat="1" ht="15.75" thickBot="1" x14ac:dyDescent="0.3">
      <c r="A329" s="1490"/>
      <c r="B329" s="1191"/>
      <c r="C329" s="1179" t="s">
        <v>1637</v>
      </c>
      <c r="D329" s="85" t="s">
        <v>1636</v>
      </c>
      <c r="E329" s="55">
        <v>300</v>
      </c>
      <c r="F329" s="314">
        <v>0</v>
      </c>
      <c r="G329" s="316">
        <v>0</v>
      </c>
      <c r="H329" s="1184">
        <v>0</v>
      </c>
    </row>
    <row r="330" spans="1:19" s="860" customFormat="1" ht="20.25" customHeight="1" thickTop="1" thickBot="1" x14ac:dyDescent="0.3">
      <c r="A330" s="744" t="s">
        <v>1225</v>
      </c>
      <c r="B330" s="745"/>
      <c r="C330" s="746"/>
      <c r="D330" s="747"/>
      <c r="E330" s="759">
        <f>E327</f>
        <v>600</v>
      </c>
      <c r="F330" s="759">
        <f>SUM(F327)</f>
        <v>0</v>
      </c>
      <c r="G330" s="759">
        <f>SUM(G327)</f>
        <v>0</v>
      </c>
      <c r="H330" s="857">
        <f>SUM(H327)</f>
        <v>0</v>
      </c>
      <c r="J330" s="548"/>
      <c r="K330" s="548"/>
      <c r="L330" s="548"/>
      <c r="M330" s="547"/>
      <c r="S330" s="860">
        <v>0</v>
      </c>
    </row>
    <row r="331" spans="1:19" ht="13.5" thickTop="1" x14ac:dyDescent="0.2"/>
    <row r="333" spans="1:19" s="693" customFormat="1" ht="16.5" x14ac:dyDescent="0.25">
      <c r="A333" s="363" t="s">
        <v>384</v>
      </c>
      <c r="B333" s="364"/>
      <c r="C333" s="365"/>
      <c r="D333" s="366"/>
      <c r="E333" s="609">
        <f>E334+E335+E336+E337</f>
        <v>67080</v>
      </c>
      <c r="F333" s="609">
        <f>F334+F335+F336+F337</f>
        <v>84383</v>
      </c>
      <c r="G333" s="609">
        <f>G334+G335+G336+G337</f>
        <v>84366</v>
      </c>
      <c r="H333" s="829">
        <f>H334</f>
        <v>99.977985833236218</v>
      </c>
    </row>
    <row r="334" spans="1:19" ht="15" x14ac:dyDescent="0.2">
      <c r="A334" s="581" t="s">
        <v>288</v>
      </c>
      <c r="B334" s="611"/>
      <c r="C334" s="612"/>
      <c r="D334" s="613"/>
      <c r="E334" s="614">
        <f>E124</f>
        <v>67080</v>
      </c>
      <c r="F334" s="614">
        <f>F124</f>
        <v>77223</v>
      </c>
      <c r="G334" s="614">
        <f>G124</f>
        <v>77206</v>
      </c>
      <c r="H334" s="631">
        <f>G334/F334*100</f>
        <v>99.977985833236218</v>
      </c>
    </row>
    <row r="335" spans="1:19" s="693" customFormat="1" ht="15" x14ac:dyDescent="0.2">
      <c r="A335" s="581" t="s">
        <v>289</v>
      </c>
      <c r="B335" s="616"/>
      <c r="C335" s="612"/>
      <c r="D335" s="617"/>
      <c r="E335" s="614">
        <f>E153</f>
        <v>0</v>
      </c>
      <c r="F335" s="614">
        <f>F153</f>
        <v>7160</v>
      </c>
      <c r="G335" s="614">
        <f>G153</f>
        <v>7160</v>
      </c>
      <c r="H335" s="631">
        <f>G335/F335*100</f>
        <v>100</v>
      </c>
    </row>
    <row r="336" spans="1:19" s="693" customFormat="1" ht="15" x14ac:dyDescent="0.2">
      <c r="A336" s="581" t="s">
        <v>227</v>
      </c>
      <c r="B336" s="616"/>
      <c r="C336" s="612"/>
      <c r="D336" s="617"/>
      <c r="E336" s="614">
        <v>0</v>
      </c>
      <c r="F336" s="614">
        <v>0</v>
      </c>
      <c r="G336" s="614">
        <v>0</v>
      </c>
      <c r="H336" s="830">
        <v>0</v>
      </c>
    </row>
    <row r="337" spans="1:13" s="693" customFormat="1" ht="15" x14ac:dyDescent="0.2">
      <c r="A337" s="581" t="s">
        <v>1291</v>
      </c>
      <c r="B337" s="616"/>
      <c r="C337" s="612"/>
      <c r="D337" s="617"/>
      <c r="E337" s="614">
        <v>0</v>
      </c>
      <c r="F337" s="614">
        <v>0</v>
      </c>
      <c r="G337" s="614">
        <v>0</v>
      </c>
      <c r="H337" s="830">
        <v>0</v>
      </c>
    </row>
    <row r="338" spans="1:13" s="693" customFormat="1" ht="15" x14ac:dyDescent="0.2">
      <c r="A338" s="581"/>
      <c r="B338" s="616"/>
      <c r="C338" s="612"/>
      <c r="D338" s="617"/>
      <c r="E338" s="699"/>
      <c r="F338" s="699"/>
      <c r="G338" s="699"/>
      <c r="H338" s="700"/>
    </row>
    <row r="339" spans="1:13" ht="16.5" x14ac:dyDescent="0.25">
      <c r="A339" s="797" t="s">
        <v>290</v>
      </c>
      <c r="B339" s="616"/>
      <c r="C339" s="612"/>
      <c r="D339" s="617"/>
      <c r="E339" s="609">
        <f>E340+E341+E342+E343</f>
        <v>131446</v>
      </c>
      <c r="F339" s="609">
        <f>F340+F341+F342+F343</f>
        <v>146083</v>
      </c>
      <c r="G339" s="609">
        <f>G340+G341+G342+G343</f>
        <v>146083</v>
      </c>
      <c r="H339" s="651">
        <f>G339/F339*100</f>
        <v>100</v>
      </c>
    </row>
    <row r="340" spans="1:13" ht="15" x14ac:dyDescent="0.2">
      <c r="A340" s="581" t="s">
        <v>1292</v>
      </c>
      <c r="B340" s="616"/>
      <c r="C340" s="612"/>
      <c r="D340" s="617"/>
      <c r="E340" s="614">
        <f>E174+E197+E214+E234+E253+E277+E295+E314-E342+E330</f>
        <v>128681</v>
      </c>
      <c r="F340" s="614">
        <f>F174+F197+F214+F234+F253+F277+F295+F314-F342</f>
        <v>129675</v>
      </c>
      <c r="G340" s="614">
        <f>G174+G197+G214+G234+G253+G277+G295+G314-G342</f>
        <v>129675</v>
      </c>
      <c r="H340" s="631">
        <f>G340/F340*100</f>
        <v>100</v>
      </c>
      <c r="J340" s="517"/>
      <c r="K340" s="517"/>
      <c r="L340" s="517"/>
    </row>
    <row r="341" spans="1:13" ht="15" x14ac:dyDescent="0.2">
      <c r="A341" s="581" t="s">
        <v>1293</v>
      </c>
      <c r="B341" s="616"/>
      <c r="C341" s="612"/>
      <c r="D341" s="617"/>
      <c r="E341" s="614">
        <f>E317+E300+E282+E238+E217+E200+E179</f>
        <v>2765</v>
      </c>
      <c r="F341" s="614">
        <f>F317+F300+F282+F238+F217+F200+F179-F343</f>
        <v>14448</v>
      </c>
      <c r="G341" s="614">
        <f>G317+G300+G282+G238+G217+G200+G179-G343</f>
        <v>14448</v>
      </c>
      <c r="H341" s="631">
        <f>G341/F341*100</f>
        <v>100</v>
      </c>
    </row>
    <row r="342" spans="1:13" ht="15" x14ac:dyDescent="0.2">
      <c r="A342" s="581" t="s">
        <v>227</v>
      </c>
      <c r="B342" s="798"/>
      <c r="E342" s="614">
        <v>0</v>
      </c>
      <c r="F342" s="614">
        <f>F169+F170+F171+F173+F194+F196+F233+F276</f>
        <v>1182</v>
      </c>
      <c r="G342" s="614">
        <f>G169+G170+G171+G173+G194+G196+G233+G276</f>
        <v>1182</v>
      </c>
      <c r="H342" s="631">
        <f>G342/F342*100</f>
        <v>100</v>
      </c>
      <c r="K342" s="517">
        <f>F342+F343</f>
        <v>1960</v>
      </c>
      <c r="L342" s="517">
        <f>G342+G343</f>
        <v>1960</v>
      </c>
      <c r="M342" s="558" t="s">
        <v>656</v>
      </c>
    </row>
    <row r="343" spans="1:13" ht="15" x14ac:dyDescent="0.2">
      <c r="A343" s="581" t="s">
        <v>1291</v>
      </c>
      <c r="B343" s="798"/>
      <c r="E343" s="614">
        <v>0</v>
      </c>
      <c r="F343" s="614">
        <f>F299+F281+F237+F178</f>
        <v>778</v>
      </c>
      <c r="G343" s="614">
        <f>G299+G281+G237+G178</f>
        <v>778</v>
      </c>
      <c r="H343" s="631">
        <f>G343/F343*100</f>
        <v>100</v>
      </c>
      <c r="K343" s="517"/>
    </row>
    <row r="344" spans="1:13" x14ac:dyDescent="0.2">
      <c r="K344" s="517"/>
    </row>
    <row r="347" spans="1:13" s="58" customFormat="1" ht="47.25" customHeight="1" thickBot="1" x14ac:dyDescent="0.4">
      <c r="A347" s="2778" t="s">
        <v>1298</v>
      </c>
      <c r="B347" s="2779"/>
      <c r="C347" s="2779"/>
      <c r="D347" s="2779"/>
      <c r="E347" s="685">
        <f>E333+E339</f>
        <v>198526</v>
      </c>
      <c r="F347" s="685">
        <f>F333+F339</f>
        <v>230466</v>
      </c>
      <c r="G347" s="685">
        <f>G333+G339</f>
        <v>230449</v>
      </c>
      <c r="H347" s="686">
        <f>(G347/F347)*100</f>
        <v>99.992623640797333</v>
      </c>
    </row>
    <row r="348" spans="1:13" ht="13.5" thickTop="1" x14ac:dyDescent="0.2">
      <c r="A348" s="690"/>
      <c r="B348" s="690"/>
    </row>
  </sheetData>
  <mergeCells count="1">
    <mergeCell ref="A347:D347"/>
  </mergeCells>
  <phoneticPr fontId="0" type="noConversion"/>
  <pageMargins left="0.98425196850393704" right="0.98425196850393704" top="0.98425196850393704" bottom="0.98425196850393704" header="0.51181102362204722" footer="0.51181102362204722"/>
  <pageSetup paperSize="9" scale="70" firstPageNumber="108" orientation="portrait" useFirstPageNumber="1" r:id="rId1"/>
  <headerFooter alignWithMargins="0">
    <oddFooter xml:space="preserve">&amp;L&amp;"Arial,Kurzíva"Zastupitelstvo Olomouckého kraje 28. 6. 2013
6.- Závěrečný  účet Olomuckého kraje za rok 2012
Příloha č. 3: Plnění rozpočtu výdajů Olomouckého kraje k 31.12.2012&amp;R&amp;"Arial,Kurzíva"Strana &amp;P (Celkem 484)
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 enableFormatConditionsCalculation="0">
    <tabColor rgb="FF92D050"/>
  </sheetPr>
  <dimension ref="A1:U166"/>
  <sheetViews>
    <sheetView showGridLines="0" view="pageBreakPreview" zoomScaleNormal="100" zoomScaleSheetLayoutView="100" workbookViewId="0">
      <selection activeCell="C4" sqref="C4"/>
    </sheetView>
  </sheetViews>
  <sheetFormatPr defaultRowHeight="14.25" x14ac:dyDescent="0.2"/>
  <cols>
    <col min="1" max="2" width="4.7109375" style="690" customWidth="1"/>
    <col min="3" max="3" width="9" style="691" customWidth="1"/>
    <col min="4" max="4" width="45.85546875" style="558" customWidth="1"/>
    <col min="5" max="6" width="14.5703125" style="517" customWidth="1"/>
    <col min="7" max="7" width="14.85546875" style="517" customWidth="1"/>
    <col min="8" max="8" width="8.42578125" style="1411" customWidth="1"/>
    <col min="9" max="9" width="9.140625" style="558"/>
    <col min="10" max="10" width="10.85546875" style="526" bestFit="1" customWidth="1"/>
    <col min="11" max="11" width="11" style="526" customWidth="1"/>
    <col min="12" max="12" width="11.5703125" style="526" customWidth="1"/>
    <col min="13" max="15" width="9.140625" style="526"/>
    <col min="16" max="16384" width="9.140625" style="693"/>
  </cols>
  <sheetData>
    <row r="1" spans="1:15" s="688" customFormat="1" ht="18.75" thickBot="1" x14ac:dyDescent="0.3">
      <c r="A1" s="501" t="s">
        <v>1332</v>
      </c>
      <c r="B1" s="502"/>
      <c r="C1" s="503"/>
      <c r="D1" s="504"/>
      <c r="E1" s="505"/>
      <c r="F1" s="505" t="s">
        <v>93</v>
      </c>
      <c r="G1" s="506"/>
      <c r="H1" s="1657"/>
      <c r="J1" s="547"/>
      <c r="K1" s="547"/>
      <c r="L1" s="547"/>
      <c r="M1" s="547"/>
      <c r="N1" s="547"/>
      <c r="O1" s="547"/>
    </row>
    <row r="2" spans="1:15" x14ac:dyDescent="0.2">
      <c r="A2" s="689"/>
    </row>
    <row r="3" spans="1:15" s="526" customFormat="1" x14ac:dyDescent="0.2">
      <c r="A3" s="694" t="s">
        <v>404</v>
      </c>
      <c r="B3" s="695"/>
      <c r="C3" s="2781" t="s">
        <v>1957</v>
      </c>
      <c r="D3" s="2782"/>
      <c r="E3" s="515"/>
      <c r="F3" s="515"/>
      <c r="G3" s="515"/>
      <c r="H3" s="1658"/>
    </row>
    <row r="4" spans="1:15" x14ac:dyDescent="0.2">
      <c r="A4" s="689"/>
      <c r="C4" s="2021" t="s">
        <v>1956</v>
      </c>
      <c r="D4" s="695"/>
      <c r="E4" s="698"/>
      <c r="F4" s="693"/>
      <c r="G4" s="699"/>
      <c r="H4" s="1659"/>
      <c r="I4" s="693"/>
    </row>
    <row r="5" spans="1:15" ht="12.75" customHeight="1" x14ac:dyDescent="0.2">
      <c r="A5" s="689"/>
      <c r="C5" s="698"/>
      <c r="D5" s="693"/>
      <c r="E5" s="699"/>
      <c r="F5" s="699"/>
      <c r="G5" s="699"/>
      <c r="H5" s="1659"/>
      <c r="I5" s="693"/>
    </row>
    <row r="6" spans="1:15" ht="15.75" x14ac:dyDescent="0.25">
      <c r="A6" s="701" t="s">
        <v>988</v>
      </c>
    </row>
    <row r="7" spans="1:15" ht="15" thickBot="1" x14ac:dyDescent="0.25">
      <c r="H7" s="1411" t="s">
        <v>179</v>
      </c>
    </row>
    <row r="8" spans="1:15" s="107" customFormat="1" ht="20.25" customHeight="1" thickTop="1" thickBot="1" x14ac:dyDescent="0.25">
      <c r="A8" s="657" t="s">
        <v>180</v>
      </c>
      <c r="B8" s="658" t="s">
        <v>181</v>
      </c>
      <c r="C8" s="702" t="s">
        <v>783</v>
      </c>
      <c r="D8" s="660" t="s">
        <v>182</v>
      </c>
      <c r="E8" s="660" t="s">
        <v>183</v>
      </c>
      <c r="F8" s="660" t="s">
        <v>985</v>
      </c>
      <c r="G8" s="660" t="s">
        <v>986</v>
      </c>
      <c r="H8" s="1660" t="s">
        <v>987</v>
      </c>
      <c r="J8" s="703"/>
      <c r="K8" s="703"/>
      <c r="L8" s="703"/>
      <c r="M8" s="703"/>
      <c r="N8" s="703"/>
      <c r="O8" s="703"/>
    </row>
    <row r="9" spans="1:15" s="386" customFormat="1" ht="13.5" thickTop="1" thickBot="1" x14ac:dyDescent="0.25">
      <c r="A9" s="592">
        <v>1</v>
      </c>
      <c r="B9" s="593">
        <v>2</v>
      </c>
      <c r="C9" s="593">
        <v>3</v>
      </c>
      <c r="D9" s="593">
        <v>4</v>
      </c>
      <c r="E9" s="593">
        <v>5</v>
      </c>
      <c r="F9" s="567">
        <v>6</v>
      </c>
      <c r="G9" s="567">
        <v>7</v>
      </c>
      <c r="H9" s="1661" t="s">
        <v>61</v>
      </c>
      <c r="I9" s="107"/>
    </row>
    <row r="10" spans="1:15" s="1166" customFormat="1" ht="15.75" thickTop="1" x14ac:dyDescent="0.25">
      <c r="A10" s="222">
        <v>3513</v>
      </c>
      <c r="B10" s="241">
        <v>5169</v>
      </c>
      <c r="C10" s="1306"/>
      <c r="D10" s="1304" t="s">
        <v>955</v>
      </c>
      <c r="E10" s="88">
        <f>E11+E12</f>
        <v>9929</v>
      </c>
      <c r="F10" s="88">
        <f>F11+F12</f>
        <v>9929</v>
      </c>
      <c r="G10" s="88">
        <f>G11+G12</f>
        <v>9903</v>
      </c>
      <c r="H10" s="240">
        <f>G10/F10*100</f>
        <v>99.738140799677709</v>
      </c>
    </row>
    <row r="11" spans="1:15" s="1166" customFormat="1" x14ac:dyDescent="0.2">
      <c r="A11" s="50"/>
      <c r="B11" s="31"/>
      <c r="C11" s="1195" t="s">
        <v>162</v>
      </c>
      <c r="D11" s="1173" t="s">
        <v>163</v>
      </c>
      <c r="E11" s="55">
        <v>9597</v>
      </c>
      <c r="F11" s="314">
        <v>9597</v>
      </c>
      <c r="G11" s="316">
        <v>9596</v>
      </c>
      <c r="H11" s="1184">
        <f t="shared" ref="H11:H29" si="0">(G11/F11)*100</f>
        <v>99.989580077107433</v>
      </c>
    </row>
    <row r="12" spans="1:15" s="1166" customFormat="1" x14ac:dyDescent="0.2">
      <c r="A12" s="50"/>
      <c r="B12" s="31"/>
      <c r="C12" s="1195" t="s">
        <v>164</v>
      </c>
      <c r="D12" s="1173" t="s">
        <v>165</v>
      </c>
      <c r="E12" s="55">
        <v>332</v>
      </c>
      <c r="F12" s="314">
        <v>332</v>
      </c>
      <c r="G12" s="316">
        <v>307</v>
      </c>
      <c r="H12" s="1184">
        <f t="shared" si="0"/>
        <v>92.46987951807229</v>
      </c>
    </row>
    <row r="13" spans="1:15" s="1166" customFormat="1" ht="15" x14ac:dyDescent="0.25">
      <c r="A13" s="50">
        <v>3522</v>
      </c>
      <c r="B13" s="31">
        <v>5169</v>
      </c>
      <c r="C13" s="1227"/>
      <c r="D13" s="87" t="s">
        <v>955</v>
      </c>
      <c r="E13" s="71">
        <v>6099</v>
      </c>
      <c r="F13" s="315">
        <f>F14</f>
        <v>6099</v>
      </c>
      <c r="G13" s="315">
        <f>G14</f>
        <v>6099</v>
      </c>
      <c r="H13" s="212">
        <f t="shared" si="0"/>
        <v>100</v>
      </c>
    </row>
    <row r="14" spans="1:15" s="1166" customFormat="1" x14ac:dyDescent="0.2">
      <c r="A14" s="50"/>
      <c r="B14" s="31"/>
      <c r="C14" s="1195" t="s">
        <v>166</v>
      </c>
      <c r="D14" s="1173" t="s">
        <v>167</v>
      </c>
      <c r="E14" s="55">
        <v>6099</v>
      </c>
      <c r="F14" s="314">
        <v>6099</v>
      </c>
      <c r="G14" s="316">
        <v>6099</v>
      </c>
      <c r="H14" s="1184">
        <f t="shared" si="0"/>
        <v>100</v>
      </c>
    </row>
    <row r="15" spans="1:15" s="1166" customFormat="1" ht="15" x14ac:dyDescent="0.25">
      <c r="A15" s="50">
        <v>3522</v>
      </c>
      <c r="B15" s="31">
        <v>5171</v>
      </c>
      <c r="C15" s="1195"/>
      <c r="D15" s="87" t="s">
        <v>1001</v>
      </c>
      <c r="E15" s="55"/>
      <c r="F15" s="313">
        <v>336</v>
      </c>
      <c r="G15" s="315">
        <v>336</v>
      </c>
      <c r="H15" s="212">
        <f t="shared" si="0"/>
        <v>100</v>
      </c>
    </row>
    <row r="16" spans="1:15" s="1166" customFormat="1" x14ac:dyDescent="0.2">
      <c r="A16" s="50"/>
      <c r="B16" s="31"/>
      <c r="C16" s="1179" t="s">
        <v>903</v>
      </c>
      <c r="D16" s="1174" t="s">
        <v>904</v>
      </c>
      <c r="E16" s="55"/>
      <c r="F16" s="314">
        <v>336</v>
      </c>
      <c r="G16" s="316">
        <v>336</v>
      </c>
      <c r="H16" s="1184">
        <f t="shared" si="0"/>
        <v>100</v>
      </c>
    </row>
    <row r="17" spans="1:8" s="1166" customFormat="1" ht="15" x14ac:dyDescent="0.25">
      <c r="A17" s="50">
        <v>3532</v>
      </c>
      <c r="B17" s="31">
        <v>5169</v>
      </c>
      <c r="C17" s="1195"/>
      <c r="D17" s="87" t="s">
        <v>955</v>
      </c>
      <c r="E17" s="71">
        <v>15</v>
      </c>
      <c r="F17" s="313">
        <v>12</v>
      </c>
      <c r="G17" s="315">
        <v>12</v>
      </c>
      <c r="H17" s="212">
        <f t="shared" si="0"/>
        <v>100</v>
      </c>
    </row>
    <row r="18" spans="1:8" s="1166" customFormat="1" ht="15" x14ac:dyDescent="0.25">
      <c r="A18" s="50">
        <v>3541</v>
      </c>
      <c r="B18" s="31">
        <v>5221</v>
      </c>
      <c r="C18" s="1195"/>
      <c r="D18" s="1255" t="s">
        <v>1345</v>
      </c>
      <c r="E18" s="71">
        <v>250</v>
      </c>
      <c r="F18" s="313">
        <v>250</v>
      </c>
      <c r="G18" s="315">
        <v>250</v>
      </c>
      <c r="H18" s="212">
        <f t="shared" si="0"/>
        <v>100</v>
      </c>
    </row>
    <row r="19" spans="1:8" s="1166" customFormat="1" x14ac:dyDescent="0.2">
      <c r="A19" s="50"/>
      <c r="B19" s="31"/>
      <c r="C19" s="1195" t="s">
        <v>168</v>
      </c>
      <c r="D19" s="1173" t="s">
        <v>169</v>
      </c>
      <c r="E19" s="55">
        <v>250</v>
      </c>
      <c r="F19" s="314">
        <v>250</v>
      </c>
      <c r="G19" s="316">
        <v>250</v>
      </c>
      <c r="H19" s="1184">
        <f t="shared" si="0"/>
        <v>100</v>
      </c>
    </row>
    <row r="20" spans="1:8" s="1166" customFormat="1" ht="15.75" customHeight="1" x14ac:dyDescent="0.25">
      <c r="A20" s="50">
        <v>3541</v>
      </c>
      <c r="B20" s="31">
        <v>5222</v>
      </c>
      <c r="C20" s="1195"/>
      <c r="D20" s="87" t="s">
        <v>678</v>
      </c>
      <c r="E20" s="71">
        <v>2250</v>
      </c>
      <c r="F20" s="313">
        <v>2250</v>
      </c>
      <c r="G20" s="315">
        <v>2250</v>
      </c>
      <c r="H20" s="212">
        <f t="shared" si="0"/>
        <v>100</v>
      </c>
    </row>
    <row r="21" spans="1:8" s="1166" customFormat="1" ht="15.75" customHeight="1" x14ac:dyDescent="0.2">
      <c r="A21" s="50"/>
      <c r="B21" s="31"/>
      <c r="C21" s="1195" t="s">
        <v>168</v>
      </c>
      <c r="D21" s="1173" t="s">
        <v>169</v>
      </c>
      <c r="E21" s="55">
        <v>2250</v>
      </c>
      <c r="F21" s="314">
        <v>2250</v>
      </c>
      <c r="G21" s="316">
        <v>2250</v>
      </c>
      <c r="H21" s="1184">
        <f t="shared" si="0"/>
        <v>100</v>
      </c>
    </row>
    <row r="22" spans="1:8" s="1166" customFormat="1" ht="15.75" customHeight="1" x14ac:dyDescent="0.25">
      <c r="A22" s="50">
        <v>3543</v>
      </c>
      <c r="B22" s="31">
        <v>5222</v>
      </c>
      <c r="C22" s="1195"/>
      <c r="D22" s="87" t="s">
        <v>678</v>
      </c>
      <c r="E22" s="55"/>
      <c r="F22" s="313">
        <v>60</v>
      </c>
      <c r="G22" s="315">
        <v>60</v>
      </c>
      <c r="H22" s="212">
        <f t="shared" si="0"/>
        <v>100</v>
      </c>
    </row>
    <row r="23" spans="1:8" s="1166" customFormat="1" ht="15.75" customHeight="1" x14ac:dyDescent="0.2">
      <c r="A23" s="50"/>
      <c r="B23" s="31"/>
      <c r="C23" s="1195" t="s">
        <v>1350</v>
      </c>
      <c r="D23" s="1173" t="s">
        <v>1737</v>
      </c>
      <c r="E23" s="55"/>
      <c r="F23" s="314">
        <v>60</v>
      </c>
      <c r="G23" s="316">
        <v>60</v>
      </c>
      <c r="H23" s="1184">
        <f t="shared" si="0"/>
        <v>100</v>
      </c>
    </row>
    <row r="24" spans="1:8" s="1166" customFormat="1" ht="15.75" customHeight="1" x14ac:dyDescent="0.25">
      <c r="A24" s="50">
        <v>3543</v>
      </c>
      <c r="B24" s="31">
        <v>5229</v>
      </c>
      <c r="C24" s="1195"/>
      <c r="D24" s="309" t="s">
        <v>949</v>
      </c>
      <c r="E24" s="55"/>
      <c r="F24" s="313">
        <v>90</v>
      </c>
      <c r="G24" s="315">
        <v>90</v>
      </c>
      <c r="H24" s="212">
        <f t="shared" si="0"/>
        <v>100</v>
      </c>
    </row>
    <row r="25" spans="1:8" s="1166" customFormat="1" ht="15.75" customHeight="1" x14ac:dyDescent="0.2">
      <c r="A25" s="50"/>
      <c r="B25" s="31"/>
      <c r="C25" s="1195" t="s">
        <v>1350</v>
      </c>
      <c r="D25" s="1173" t="s">
        <v>1737</v>
      </c>
      <c r="E25" s="55"/>
      <c r="F25" s="314">
        <v>90</v>
      </c>
      <c r="G25" s="316">
        <v>90</v>
      </c>
      <c r="H25" s="1184">
        <f t="shared" si="0"/>
        <v>100</v>
      </c>
    </row>
    <row r="26" spans="1:8" s="1166" customFormat="1" ht="15.75" customHeight="1" x14ac:dyDescent="0.25">
      <c r="A26" s="50">
        <v>3544</v>
      </c>
      <c r="B26" s="31">
        <v>5139</v>
      </c>
      <c r="C26" s="1195"/>
      <c r="D26" s="87" t="s">
        <v>693</v>
      </c>
      <c r="E26" s="55"/>
      <c r="F26" s="313">
        <v>85</v>
      </c>
      <c r="G26" s="315">
        <v>53</v>
      </c>
      <c r="H26" s="212">
        <f t="shared" si="0"/>
        <v>62.352941176470587</v>
      </c>
    </row>
    <row r="27" spans="1:8" s="1166" customFormat="1" ht="15.75" customHeight="1" x14ac:dyDescent="0.2">
      <c r="A27" s="50"/>
      <c r="B27" s="31"/>
      <c r="C27" s="1195" t="s">
        <v>170</v>
      </c>
      <c r="D27" s="312" t="s">
        <v>171</v>
      </c>
      <c r="E27" s="55"/>
      <c r="F27" s="314">
        <v>85</v>
      </c>
      <c r="G27" s="316">
        <v>53</v>
      </c>
      <c r="H27" s="1184">
        <f t="shared" si="0"/>
        <v>62.352941176470587</v>
      </c>
    </row>
    <row r="28" spans="1:8" s="1166" customFormat="1" ht="15" x14ac:dyDescent="0.25">
      <c r="A28" s="50">
        <v>3544</v>
      </c>
      <c r="B28" s="31">
        <v>5169</v>
      </c>
      <c r="C28" s="122"/>
      <c r="D28" s="87" t="s">
        <v>955</v>
      </c>
      <c r="E28" s="71">
        <v>100</v>
      </c>
      <c r="F28" s="313">
        <v>15</v>
      </c>
      <c r="G28" s="315">
        <v>15</v>
      </c>
      <c r="H28" s="212">
        <f t="shared" si="0"/>
        <v>100</v>
      </c>
    </row>
    <row r="29" spans="1:8" s="1166" customFormat="1" x14ac:dyDescent="0.2">
      <c r="A29" s="50"/>
      <c r="B29" s="31"/>
      <c r="C29" s="1195" t="s">
        <v>170</v>
      </c>
      <c r="D29" s="312" t="s">
        <v>171</v>
      </c>
      <c r="E29" s="55">
        <v>100</v>
      </c>
      <c r="F29" s="314">
        <v>15</v>
      </c>
      <c r="G29" s="316">
        <v>15</v>
      </c>
      <c r="H29" s="1184">
        <f t="shared" si="0"/>
        <v>100</v>
      </c>
    </row>
    <row r="30" spans="1:8" s="1166" customFormat="1" ht="15" x14ac:dyDescent="0.25">
      <c r="A30" s="50">
        <v>3592</v>
      </c>
      <c r="B30" s="31">
        <v>5212</v>
      </c>
      <c r="C30" s="1195"/>
      <c r="D30" s="382" t="s">
        <v>748</v>
      </c>
      <c r="E30" s="71">
        <v>700</v>
      </c>
      <c r="F30" s="313">
        <v>391</v>
      </c>
      <c r="G30" s="315">
        <v>391</v>
      </c>
      <c r="H30" s="212">
        <f>(G30/F30)*100</f>
        <v>100</v>
      </c>
    </row>
    <row r="31" spans="1:8" s="1166" customFormat="1" x14ac:dyDescent="0.2">
      <c r="A31" s="50"/>
      <c r="B31" s="31"/>
      <c r="C31" s="1195" t="s">
        <v>1640</v>
      </c>
      <c r="D31" s="312" t="s">
        <v>1639</v>
      </c>
      <c r="E31" s="55">
        <v>700</v>
      </c>
      <c r="F31" s="314">
        <v>391</v>
      </c>
      <c r="G31" s="316">
        <v>391</v>
      </c>
      <c r="H31" s="1184">
        <f>(G31/F31)*100</f>
        <v>100</v>
      </c>
    </row>
    <row r="32" spans="1:8" s="1166" customFormat="1" ht="15" customHeight="1" x14ac:dyDescent="0.25">
      <c r="A32" s="50">
        <v>3592</v>
      </c>
      <c r="B32" s="31">
        <v>5213</v>
      </c>
      <c r="C32" s="1195"/>
      <c r="D32" s="2790" t="s">
        <v>243</v>
      </c>
      <c r="E32" s="55"/>
      <c r="F32" s="313"/>
      <c r="G32" s="315"/>
      <c r="H32" s="212"/>
    </row>
    <row r="33" spans="1:21" s="1166" customFormat="1" ht="15" x14ac:dyDescent="0.25">
      <c r="A33" s="50"/>
      <c r="B33" s="31"/>
      <c r="C33" s="1195"/>
      <c r="D33" s="2790"/>
      <c r="E33" s="71">
        <v>1300</v>
      </c>
      <c r="F33" s="313">
        <v>1609</v>
      </c>
      <c r="G33" s="315">
        <v>1289</v>
      </c>
      <c r="H33" s="212">
        <f>(G33/F33)*100</f>
        <v>80.111870727159726</v>
      </c>
    </row>
    <row r="34" spans="1:21" s="1166" customFormat="1" x14ac:dyDescent="0.2">
      <c r="A34" s="50"/>
      <c r="B34" s="31"/>
      <c r="C34" s="1195" t="s">
        <v>1640</v>
      </c>
      <c r="D34" s="312" t="s">
        <v>1639</v>
      </c>
      <c r="E34" s="55">
        <v>1300</v>
      </c>
      <c r="F34" s="314">
        <v>1609</v>
      </c>
      <c r="G34" s="316">
        <v>1289</v>
      </c>
      <c r="H34" s="1184">
        <f>(G34/F34)*100</f>
        <v>80.111870727159726</v>
      </c>
    </row>
    <row r="35" spans="1:21" s="1166" customFormat="1" ht="15" x14ac:dyDescent="0.25">
      <c r="A35" s="223">
        <v>3599</v>
      </c>
      <c r="B35" s="96">
        <v>5166</v>
      </c>
      <c r="C35" s="1213"/>
      <c r="D35" s="128" t="s">
        <v>677</v>
      </c>
      <c r="E35" s="60">
        <v>50</v>
      </c>
      <c r="F35" s="313">
        <v>511</v>
      </c>
      <c r="G35" s="315">
        <v>511</v>
      </c>
      <c r="H35" s="212">
        <f t="shared" ref="H35:H49" si="1">(G35/F35)*100</f>
        <v>100</v>
      </c>
      <c r="I35" s="1219"/>
      <c r="J35" s="1219"/>
      <c r="K35" s="1219"/>
      <c r="L35" s="1219"/>
      <c r="M35" s="1219"/>
      <c r="N35" s="1219"/>
      <c r="O35" s="1219"/>
      <c r="P35" s="1219"/>
      <c r="Q35" s="1219"/>
      <c r="R35" s="1219"/>
      <c r="S35" s="1219"/>
      <c r="T35" s="1219"/>
      <c r="U35" s="1219"/>
    </row>
    <row r="36" spans="1:21" s="1166" customFormat="1" ht="15" x14ac:dyDescent="0.25">
      <c r="A36" s="50">
        <v>3599</v>
      </c>
      <c r="B36" s="19">
        <v>5169</v>
      </c>
      <c r="C36" s="1227"/>
      <c r="D36" s="87" t="s">
        <v>955</v>
      </c>
      <c r="E36" s="71">
        <f>E37+E38</f>
        <v>600</v>
      </c>
      <c r="F36" s="71">
        <f>F37+F38</f>
        <v>2293</v>
      </c>
      <c r="G36" s="71">
        <f>G37+G38</f>
        <v>2293</v>
      </c>
      <c r="H36" s="212">
        <f t="shared" si="1"/>
        <v>100</v>
      </c>
    </row>
    <row r="37" spans="1:21" s="1166" customFormat="1" x14ac:dyDescent="0.2">
      <c r="A37" s="50"/>
      <c r="B37" s="19"/>
      <c r="C37" s="1179" t="s">
        <v>1139</v>
      </c>
      <c r="D37" s="1202" t="s">
        <v>172</v>
      </c>
      <c r="E37" s="55">
        <v>100</v>
      </c>
      <c r="F37" s="314">
        <v>393</v>
      </c>
      <c r="G37" s="316">
        <v>393</v>
      </c>
      <c r="H37" s="1184">
        <f t="shared" si="1"/>
        <v>100</v>
      </c>
    </row>
    <row r="38" spans="1:21" s="1166" customFormat="1" x14ac:dyDescent="0.2">
      <c r="A38" s="50"/>
      <c r="B38" s="19"/>
      <c r="C38" s="1179" t="s">
        <v>1140</v>
      </c>
      <c r="D38" s="1305" t="s">
        <v>579</v>
      </c>
      <c r="E38" s="55">
        <v>500</v>
      </c>
      <c r="F38" s="314">
        <v>1900</v>
      </c>
      <c r="G38" s="316">
        <v>1900</v>
      </c>
      <c r="H38" s="1184">
        <f t="shared" si="1"/>
        <v>100</v>
      </c>
    </row>
    <row r="39" spans="1:21" s="1166" customFormat="1" ht="15" x14ac:dyDescent="0.25">
      <c r="A39" s="50">
        <v>3599</v>
      </c>
      <c r="B39" s="19">
        <v>5213</v>
      </c>
      <c r="C39" s="1179"/>
      <c r="D39" s="2790" t="s">
        <v>243</v>
      </c>
      <c r="E39" s="55"/>
      <c r="F39" s="313">
        <v>30</v>
      </c>
      <c r="G39" s="315">
        <v>30</v>
      </c>
      <c r="H39" s="212">
        <f t="shared" si="1"/>
        <v>100</v>
      </c>
    </row>
    <row r="40" spans="1:21" s="1166" customFormat="1" x14ac:dyDescent="0.2">
      <c r="A40" s="50"/>
      <c r="B40" s="19"/>
      <c r="C40" s="1179"/>
      <c r="D40" s="2790"/>
      <c r="E40" s="55"/>
      <c r="F40" s="314"/>
      <c r="G40" s="316"/>
      <c r="H40" s="1184"/>
    </row>
    <row r="41" spans="1:21" s="1166" customFormat="1" x14ac:dyDescent="0.2">
      <c r="A41" s="50"/>
      <c r="B41" s="19"/>
      <c r="C41" s="1195" t="s">
        <v>1350</v>
      </c>
      <c r="D41" s="1173" t="s">
        <v>1737</v>
      </c>
      <c r="E41" s="55"/>
      <c r="F41" s="314">
        <v>30</v>
      </c>
      <c r="G41" s="316">
        <v>30</v>
      </c>
      <c r="H41" s="1184">
        <f t="shared" si="1"/>
        <v>100</v>
      </c>
    </row>
    <row r="42" spans="1:21" s="1166" customFormat="1" ht="15" x14ac:dyDescent="0.25">
      <c r="A42" s="50">
        <v>3599</v>
      </c>
      <c r="B42" s="19">
        <v>5221</v>
      </c>
      <c r="C42" s="1179"/>
      <c r="D42" s="1255" t="s">
        <v>1345</v>
      </c>
      <c r="E42" s="55"/>
      <c r="F42" s="313">
        <v>320</v>
      </c>
      <c r="G42" s="315">
        <v>320</v>
      </c>
      <c r="H42" s="212">
        <f t="shared" si="1"/>
        <v>100</v>
      </c>
    </row>
    <row r="43" spans="1:21" s="1166" customFormat="1" x14ac:dyDescent="0.2">
      <c r="A43" s="50"/>
      <c r="B43" s="19"/>
      <c r="C43" s="1195" t="s">
        <v>272</v>
      </c>
      <c r="D43" s="1173" t="s">
        <v>348</v>
      </c>
      <c r="E43" s="55"/>
      <c r="F43" s="314">
        <v>320</v>
      </c>
      <c r="G43" s="316">
        <v>320</v>
      </c>
      <c r="H43" s="1184">
        <f t="shared" si="1"/>
        <v>100</v>
      </c>
    </row>
    <row r="44" spans="1:21" s="1166" customFormat="1" ht="15" x14ac:dyDescent="0.25">
      <c r="A44" s="50">
        <v>3599</v>
      </c>
      <c r="B44" s="19">
        <v>5222</v>
      </c>
      <c r="C44" s="1195"/>
      <c r="D44" s="87" t="s">
        <v>678</v>
      </c>
      <c r="E44" s="55"/>
      <c r="F44" s="313">
        <v>60</v>
      </c>
      <c r="G44" s="315">
        <v>60</v>
      </c>
      <c r="H44" s="212">
        <f t="shared" si="1"/>
        <v>100</v>
      </c>
    </row>
    <row r="45" spans="1:21" s="1166" customFormat="1" x14ac:dyDescent="0.2">
      <c r="A45" s="50"/>
      <c r="B45" s="19"/>
      <c r="C45" s="1195" t="s">
        <v>1350</v>
      </c>
      <c r="D45" s="1173" t="s">
        <v>1737</v>
      </c>
      <c r="E45" s="55"/>
      <c r="F45" s="314">
        <v>60</v>
      </c>
      <c r="G45" s="316">
        <v>60</v>
      </c>
      <c r="H45" s="1184">
        <f t="shared" si="1"/>
        <v>100</v>
      </c>
    </row>
    <row r="46" spans="1:21" s="1166" customFormat="1" ht="15" x14ac:dyDescent="0.25">
      <c r="A46" s="50">
        <v>3599</v>
      </c>
      <c r="B46" s="19">
        <v>5229</v>
      </c>
      <c r="C46" s="1195"/>
      <c r="D46" s="309" t="s">
        <v>949</v>
      </c>
      <c r="E46" s="55"/>
      <c r="F46" s="313">
        <v>150</v>
      </c>
      <c r="G46" s="315">
        <v>150</v>
      </c>
      <c r="H46" s="212">
        <f t="shared" si="1"/>
        <v>100</v>
      </c>
    </row>
    <row r="47" spans="1:21" s="1166" customFormat="1" x14ac:dyDescent="0.2">
      <c r="A47" s="50"/>
      <c r="B47" s="19"/>
      <c r="C47" s="1195" t="s">
        <v>272</v>
      </c>
      <c r="D47" s="1173" t="s">
        <v>348</v>
      </c>
      <c r="E47" s="55"/>
      <c r="F47" s="314">
        <v>150</v>
      </c>
      <c r="G47" s="316">
        <v>150</v>
      </c>
      <c r="H47" s="1184">
        <f t="shared" si="1"/>
        <v>100</v>
      </c>
    </row>
    <row r="48" spans="1:21" s="1166" customFormat="1" ht="15" x14ac:dyDescent="0.25">
      <c r="A48" s="50">
        <v>3599</v>
      </c>
      <c r="B48" s="19">
        <v>5339</v>
      </c>
      <c r="C48" s="1195"/>
      <c r="D48" s="309" t="s">
        <v>1760</v>
      </c>
      <c r="E48" s="71"/>
      <c r="F48" s="313">
        <v>20</v>
      </c>
      <c r="G48" s="315">
        <v>20</v>
      </c>
      <c r="H48" s="212">
        <f t="shared" si="1"/>
        <v>100</v>
      </c>
    </row>
    <row r="49" spans="1:19" s="1166" customFormat="1" x14ac:dyDescent="0.2">
      <c r="A49" s="50"/>
      <c r="B49" s="19"/>
      <c r="C49" s="1195" t="s">
        <v>1350</v>
      </c>
      <c r="D49" s="1173" t="s">
        <v>1737</v>
      </c>
      <c r="E49" s="55"/>
      <c r="F49" s="314">
        <v>20</v>
      </c>
      <c r="G49" s="316">
        <v>20</v>
      </c>
      <c r="H49" s="1184">
        <f t="shared" si="1"/>
        <v>100</v>
      </c>
    </row>
    <row r="50" spans="1:19" s="1166" customFormat="1" ht="15.75" thickBot="1" x14ac:dyDescent="0.3">
      <c r="A50" s="1186">
        <v>6172</v>
      </c>
      <c r="B50" s="1193">
        <v>5169</v>
      </c>
      <c r="C50" s="1228"/>
      <c r="D50" s="1271" t="s">
        <v>955</v>
      </c>
      <c r="E50" s="1235">
        <v>15</v>
      </c>
      <c r="F50" s="460">
        <v>0</v>
      </c>
      <c r="G50" s="458">
        <v>0</v>
      </c>
      <c r="H50" s="267">
        <v>0</v>
      </c>
    </row>
    <row r="51" spans="1:19" s="362" customFormat="1" ht="35.25" customHeight="1" thickTop="1" thickBot="1" x14ac:dyDescent="0.3">
      <c r="A51" s="663" t="s">
        <v>266</v>
      </c>
      <c r="B51" s="666"/>
      <c r="C51" s="707"/>
      <c r="D51" s="666"/>
      <c r="E51" s="667">
        <f>E10+E13+E17+E18+E20+E28+E33+E35+E36+E48+E50+E30</f>
        <v>21308</v>
      </c>
      <c r="F51" s="667">
        <f>F10+F13+F15+F17+F18+F20+F22+F24+F26+F28+F30+F33+F35+F36+F39+F42+F44+F46+F48+F50</f>
        <v>24510</v>
      </c>
      <c r="G51" s="667">
        <f>G10+G13+G15+G17+G18+G20+G22+G24+G26+G28+G30+G33+G35+G36+G39+G42+G44+G46+G48+G50</f>
        <v>24132</v>
      </c>
      <c r="H51" s="1118">
        <f>(G51/F51)*100</f>
        <v>98.457772337821297</v>
      </c>
      <c r="J51" s="703"/>
      <c r="K51" s="703"/>
      <c r="L51" s="703"/>
      <c r="M51" s="703"/>
      <c r="N51" s="703"/>
      <c r="O51" s="703"/>
    </row>
    <row r="52" spans="1:19" s="362" customFormat="1" ht="18" customHeight="1" thickTop="1" x14ac:dyDescent="0.25">
      <c r="A52" s="360"/>
      <c r="B52" s="361"/>
      <c r="C52" s="142"/>
      <c r="D52" s="361"/>
      <c r="E52" s="17"/>
      <c r="F52" s="17"/>
      <c r="G52" s="17"/>
      <c r="H52" s="374"/>
      <c r="J52" s="703"/>
      <c r="K52" s="703"/>
      <c r="L52" s="703"/>
      <c r="M52" s="703"/>
      <c r="N52" s="703"/>
      <c r="O52" s="703"/>
    </row>
    <row r="53" spans="1:19" s="362" customFormat="1" ht="18" customHeight="1" x14ac:dyDescent="0.25">
      <c r="A53" s="360"/>
      <c r="B53" s="361"/>
      <c r="C53" s="142"/>
      <c r="D53" s="361"/>
      <c r="E53" s="17"/>
      <c r="F53" s="17"/>
      <c r="G53" s="17"/>
      <c r="H53" s="374"/>
      <c r="J53" s="703"/>
      <c r="K53" s="703"/>
      <c r="L53" s="703"/>
      <c r="M53" s="703"/>
      <c r="N53" s="703"/>
      <c r="O53" s="703"/>
    </row>
    <row r="54" spans="1:19" s="558" customFormat="1" ht="15.75" x14ac:dyDescent="0.25">
      <c r="A54" s="33" t="s">
        <v>1403</v>
      </c>
      <c r="B54" s="669"/>
      <c r="C54" s="708"/>
      <c r="D54" s="709"/>
      <c r="E54" s="710"/>
      <c r="F54" s="711"/>
      <c r="G54" s="712"/>
      <c r="H54" s="1662"/>
    </row>
    <row r="55" spans="1:19" s="558" customFormat="1" ht="15.75" thickBot="1" x14ac:dyDescent="0.3">
      <c r="A55" s="669"/>
      <c r="B55" s="669"/>
      <c r="C55" s="708"/>
      <c r="D55" s="709"/>
      <c r="E55" s="710"/>
      <c r="F55" s="711"/>
      <c r="G55" s="712"/>
      <c r="H55" s="1411" t="s">
        <v>179</v>
      </c>
    </row>
    <row r="56" spans="1:19" s="107" customFormat="1" ht="20.25" customHeight="1" thickTop="1" thickBot="1" x14ac:dyDescent="0.25">
      <c r="A56" s="714" t="s">
        <v>180</v>
      </c>
      <c r="B56" s="715" t="s">
        <v>181</v>
      </c>
      <c r="C56" s="716" t="s">
        <v>783</v>
      </c>
      <c r="D56" s="717" t="s">
        <v>182</v>
      </c>
      <c r="E56" s="718" t="s">
        <v>183</v>
      </c>
      <c r="F56" s="718" t="s">
        <v>985</v>
      </c>
      <c r="G56" s="718" t="s">
        <v>986</v>
      </c>
      <c r="H56" s="1663" t="s">
        <v>987</v>
      </c>
    </row>
    <row r="57" spans="1:19" s="386" customFormat="1" ht="13.5" thickTop="1" thickBot="1" x14ac:dyDescent="0.25">
      <c r="A57" s="592">
        <v>1</v>
      </c>
      <c r="B57" s="593">
        <v>2</v>
      </c>
      <c r="C57" s="593">
        <v>3</v>
      </c>
      <c r="D57" s="593">
        <v>4</v>
      </c>
      <c r="E57" s="593">
        <v>5</v>
      </c>
      <c r="F57" s="567">
        <v>6</v>
      </c>
      <c r="G57" s="567">
        <v>7</v>
      </c>
      <c r="H57" s="1661" t="s">
        <v>61</v>
      </c>
      <c r="I57" s="107"/>
    </row>
    <row r="58" spans="1:19" s="1166" customFormat="1" ht="15.75" thickTop="1" x14ac:dyDescent="0.25">
      <c r="A58" s="1205">
        <v>3522</v>
      </c>
      <c r="B58" s="1635">
        <v>6202</v>
      </c>
      <c r="C58" s="1632"/>
      <c r="D58" s="62" t="s">
        <v>1395</v>
      </c>
      <c r="E58" s="1633">
        <v>6000</v>
      </c>
      <c r="F58" s="465">
        <v>6000</v>
      </c>
      <c r="G58" s="372">
        <v>6000</v>
      </c>
      <c r="H58" s="240">
        <f t="shared" ref="H58:H64" si="2">(G58/F58)*100</f>
        <v>100</v>
      </c>
    </row>
    <row r="59" spans="1:19" s="1166" customFormat="1" ht="15" x14ac:dyDescent="0.25">
      <c r="A59" s="34">
        <v>3533</v>
      </c>
      <c r="B59" s="1626">
        <v>6341</v>
      </c>
      <c r="C59" s="1523"/>
      <c r="D59" s="72" t="s">
        <v>271</v>
      </c>
      <c r="E59" s="1634"/>
      <c r="F59" s="313">
        <v>500</v>
      </c>
      <c r="G59" s="315">
        <v>500</v>
      </c>
      <c r="H59" s="212">
        <f t="shared" si="2"/>
        <v>100</v>
      </c>
    </row>
    <row r="60" spans="1:19" s="1166" customFormat="1" ht="15" x14ac:dyDescent="0.25">
      <c r="A60" s="34">
        <v>3539</v>
      </c>
      <c r="B60" s="1626">
        <v>6322</v>
      </c>
      <c r="C60" s="1523"/>
      <c r="D60" s="383" t="s">
        <v>1290</v>
      </c>
      <c r="E60" s="1634"/>
      <c r="F60" s="313">
        <v>150</v>
      </c>
      <c r="G60" s="315">
        <v>150</v>
      </c>
      <c r="H60" s="212">
        <f t="shared" si="2"/>
        <v>100</v>
      </c>
    </row>
    <row r="61" spans="1:19" s="1166" customFormat="1" ht="15" x14ac:dyDescent="0.25">
      <c r="A61" s="34"/>
      <c r="B61" s="31"/>
      <c r="C61" s="1195" t="s">
        <v>272</v>
      </c>
      <c r="D61" s="1237" t="s">
        <v>348</v>
      </c>
      <c r="E61" s="1634"/>
      <c r="F61" s="314">
        <v>150</v>
      </c>
      <c r="G61" s="316">
        <v>150</v>
      </c>
      <c r="H61" s="1636">
        <f t="shared" si="2"/>
        <v>100</v>
      </c>
    </row>
    <row r="62" spans="1:19" s="1166" customFormat="1" ht="15" x14ac:dyDescent="0.25">
      <c r="A62" s="34">
        <v>3599</v>
      </c>
      <c r="B62" s="31">
        <v>6329</v>
      </c>
      <c r="C62" s="1195"/>
      <c r="D62" s="72" t="s">
        <v>1761</v>
      </c>
      <c r="E62" s="1634"/>
      <c r="F62" s="313">
        <v>150</v>
      </c>
      <c r="G62" s="315">
        <v>150</v>
      </c>
      <c r="H62" s="212">
        <f t="shared" si="2"/>
        <v>100</v>
      </c>
    </row>
    <row r="63" spans="1:19" s="1166" customFormat="1" ht="15.75" thickBot="1" x14ac:dyDescent="0.3">
      <c r="A63" s="1206"/>
      <c r="B63" s="1198"/>
      <c r="C63" s="1637" t="s">
        <v>272</v>
      </c>
      <c r="D63" s="2095" t="s">
        <v>348</v>
      </c>
      <c r="E63" s="1631"/>
      <c r="F63" s="456">
        <v>150</v>
      </c>
      <c r="G63" s="457">
        <v>150</v>
      </c>
      <c r="H63" s="1207">
        <f t="shared" si="2"/>
        <v>100</v>
      </c>
    </row>
    <row r="64" spans="1:19" s="362" customFormat="1" ht="35.25" customHeight="1" thickTop="1" thickBot="1" x14ac:dyDescent="0.3">
      <c r="A64" s="720" t="s">
        <v>267</v>
      </c>
      <c r="B64" s="721"/>
      <c r="C64" s="722"/>
      <c r="D64" s="721"/>
      <c r="E64" s="723">
        <f>E58</f>
        <v>6000</v>
      </c>
      <c r="F64" s="723">
        <f>F58+F60+F59+F62</f>
        <v>6800</v>
      </c>
      <c r="G64" s="723">
        <f>G58+G60+G59+G62</f>
        <v>6800</v>
      </c>
      <c r="H64" s="1664">
        <f t="shared" si="2"/>
        <v>100</v>
      </c>
      <c r="J64" s="725">
        <f>E51+E64</f>
        <v>27308</v>
      </c>
      <c r="K64" s="725">
        <f>F51+F64</f>
        <v>31310</v>
      </c>
      <c r="L64" s="725">
        <f>G51+G64</f>
        <v>30932</v>
      </c>
      <c r="M64" s="725"/>
      <c r="N64" s="725"/>
      <c r="O64" s="725"/>
      <c r="P64" s="725"/>
      <c r="Q64" s="725"/>
      <c r="R64" s="725"/>
      <c r="S64" s="725"/>
    </row>
    <row r="65" spans="1:15" ht="15" thickTop="1" x14ac:dyDescent="0.2">
      <c r="A65" s="726"/>
      <c r="B65" s="726"/>
    </row>
    <row r="66" spans="1:15" ht="15.75" x14ac:dyDescent="0.25">
      <c r="A66" s="701" t="s">
        <v>691</v>
      </c>
    </row>
    <row r="67" spans="1:15" ht="9.75" customHeight="1" x14ac:dyDescent="0.25">
      <c r="A67" s="701"/>
    </row>
    <row r="68" spans="1:15" ht="15.75" x14ac:dyDescent="0.25">
      <c r="A68" s="727" t="s">
        <v>1399</v>
      </c>
      <c r="E68" s="609" t="s">
        <v>342</v>
      </c>
      <c r="F68" s="699"/>
      <c r="G68" s="699"/>
      <c r="H68" s="1659"/>
      <c r="I68" s="693"/>
    </row>
    <row r="69" spans="1:15" ht="15" thickBot="1" x14ac:dyDescent="0.25">
      <c r="A69" s="728"/>
      <c r="H69" s="1411" t="s">
        <v>179</v>
      </c>
    </row>
    <row r="70" spans="1:15" s="735" customFormat="1" ht="20.25" customHeight="1" thickTop="1" thickBot="1" x14ac:dyDescent="0.25">
      <c r="A70" s="729" t="s">
        <v>180</v>
      </c>
      <c r="B70" s="730" t="s">
        <v>181</v>
      </c>
      <c r="C70" s="731" t="s">
        <v>783</v>
      </c>
      <c r="D70" s="732" t="s">
        <v>182</v>
      </c>
      <c r="E70" s="733" t="s">
        <v>183</v>
      </c>
      <c r="F70" s="733" t="s">
        <v>985</v>
      </c>
      <c r="G70" s="733" t="s">
        <v>986</v>
      </c>
      <c r="H70" s="1665" t="s">
        <v>987</v>
      </c>
      <c r="J70" s="526"/>
      <c r="K70" s="526"/>
      <c r="L70" s="526"/>
      <c r="M70" s="526"/>
      <c r="N70" s="526"/>
      <c r="O70" s="526"/>
    </row>
    <row r="71" spans="1:15" s="386" customFormat="1" ht="13.5" thickTop="1" thickBot="1" x14ac:dyDescent="0.25">
      <c r="A71" s="592">
        <v>1</v>
      </c>
      <c r="B71" s="593">
        <v>2</v>
      </c>
      <c r="C71" s="593">
        <v>3</v>
      </c>
      <c r="D71" s="593">
        <v>4</v>
      </c>
      <c r="E71" s="593">
        <v>5</v>
      </c>
      <c r="F71" s="567">
        <v>6</v>
      </c>
      <c r="G71" s="567">
        <v>7</v>
      </c>
      <c r="H71" s="1661" t="s">
        <v>61</v>
      </c>
      <c r="I71" s="107"/>
    </row>
    <row r="72" spans="1:15" ht="15.75" thickTop="1" x14ac:dyDescent="0.25">
      <c r="A72" s="736">
        <v>3523</v>
      </c>
      <c r="B72" s="737">
        <v>5331</v>
      </c>
      <c r="C72" s="738"/>
      <c r="D72" s="650" t="s">
        <v>259</v>
      </c>
      <c r="E72" s="391">
        <f>E73</f>
        <v>17850</v>
      </c>
      <c r="F72" s="391">
        <f>F73</f>
        <v>17850</v>
      </c>
      <c r="G72" s="391">
        <f>G73</f>
        <v>17850</v>
      </c>
      <c r="H72" s="1666">
        <f t="shared" ref="H72:H79" si="3">G72/F72*100</f>
        <v>100</v>
      </c>
    </row>
    <row r="73" spans="1:15" ht="15" thickBot="1" x14ac:dyDescent="0.25">
      <c r="A73" s="740"/>
      <c r="B73" s="741"/>
      <c r="C73" s="578" t="s">
        <v>636</v>
      </c>
      <c r="D73" s="574" t="s">
        <v>1220</v>
      </c>
      <c r="E73" s="356">
        <v>17850</v>
      </c>
      <c r="F73" s="356">
        <v>17850</v>
      </c>
      <c r="G73" s="356">
        <v>17850</v>
      </c>
      <c r="H73" s="742">
        <f t="shared" si="3"/>
        <v>100</v>
      </c>
    </row>
    <row r="74" spans="1:15" s="369" customFormat="1" ht="20.25" customHeight="1" thickTop="1" thickBot="1" x14ac:dyDescent="0.3">
      <c r="A74" s="744" t="s">
        <v>1246</v>
      </c>
      <c r="B74" s="745"/>
      <c r="C74" s="746"/>
      <c r="D74" s="747"/>
      <c r="E74" s="748">
        <f>SUM(E72)</f>
        <v>17850</v>
      </c>
      <c r="F74" s="748">
        <f>SUM(F72)</f>
        <v>17850</v>
      </c>
      <c r="G74" s="748">
        <f>SUM(G72)</f>
        <v>17850</v>
      </c>
      <c r="H74" s="749">
        <f t="shared" si="3"/>
        <v>100</v>
      </c>
      <c r="J74" s="548"/>
      <c r="K74" s="548"/>
      <c r="L74" s="548"/>
      <c r="M74" s="547"/>
      <c r="N74" s="547"/>
      <c r="O74" s="547"/>
    </row>
    <row r="75" spans="1:15" s="558" customFormat="1" ht="15.75" thickTop="1" x14ac:dyDescent="0.25">
      <c r="A75" s="750">
        <v>3523</v>
      </c>
      <c r="B75" s="751">
        <v>6351</v>
      </c>
      <c r="C75" s="738"/>
      <c r="D75" s="650" t="s">
        <v>1320</v>
      </c>
      <c r="E75" s="752">
        <f>E76+E77+E78</f>
        <v>4900</v>
      </c>
      <c r="F75" s="752">
        <f>F76+F77+F78</f>
        <v>5986</v>
      </c>
      <c r="G75" s="752">
        <f>G76+G77+G78</f>
        <v>5286</v>
      </c>
      <c r="H75" s="1666">
        <f t="shared" si="3"/>
        <v>88.306047444036082</v>
      </c>
    </row>
    <row r="76" spans="1:15" s="558" customFormat="1" x14ac:dyDescent="0.2">
      <c r="A76" s="740"/>
      <c r="B76" s="741"/>
      <c r="C76" s="578" t="s">
        <v>1266</v>
      </c>
      <c r="D76" s="595" t="s">
        <v>376</v>
      </c>
      <c r="E76" s="771">
        <v>4000</v>
      </c>
      <c r="F76" s="771">
        <v>4000</v>
      </c>
      <c r="G76" s="771">
        <v>4000</v>
      </c>
      <c r="H76" s="742">
        <f t="shared" si="3"/>
        <v>100</v>
      </c>
    </row>
    <row r="77" spans="1:15" s="558" customFormat="1" x14ac:dyDescent="0.2">
      <c r="A77" s="740"/>
      <c r="B77" s="741"/>
      <c r="C77" s="1179" t="s">
        <v>1329</v>
      </c>
      <c r="D77" s="1555" t="s">
        <v>1754</v>
      </c>
      <c r="E77" s="771"/>
      <c r="F77" s="771">
        <v>1036</v>
      </c>
      <c r="G77" s="771">
        <v>1036</v>
      </c>
      <c r="H77" s="742">
        <f t="shared" si="3"/>
        <v>100</v>
      </c>
    </row>
    <row r="78" spans="1:15" s="558" customFormat="1" ht="15" thickBot="1" x14ac:dyDescent="0.25">
      <c r="A78" s="740"/>
      <c r="B78" s="741"/>
      <c r="C78" s="1179" t="s">
        <v>1536</v>
      </c>
      <c r="D78" s="2090" t="s">
        <v>1537</v>
      </c>
      <c r="E78" s="771">
        <v>900</v>
      </c>
      <c r="F78" s="771">
        <v>950</v>
      </c>
      <c r="G78" s="771">
        <v>250</v>
      </c>
      <c r="H78" s="742">
        <f t="shared" si="3"/>
        <v>26.315789473684209</v>
      </c>
    </row>
    <row r="79" spans="1:15" s="558" customFormat="1" ht="20.25" customHeight="1" thickTop="1" thickBot="1" x14ac:dyDescent="0.3">
      <c r="A79" s="744" t="s">
        <v>1247</v>
      </c>
      <c r="B79" s="745"/>
      <c r="C79" s="746"/>
      <c r="D79" s="747"/>
      <c r="E79" s="759">
        <f>E75</f>
        <v>4900</v>
      </c>
      <c r="F79" s="759">
        <f>SUM(F75)</f>
        <v>5986</v>
      </c>
      <c r="G79" s="759">
        <f>SUM(G75)</f>
        <v>5286</v>
      </c>
      <c r="H79" s="760">
        <f t="shared" si="3"/>
        <v>88.306047444036082</v>
      </c>
    </row>
    <row r="80" spans="1:15" ht="14.25" customHeight="1" thickTop="1" x14ac:dyDescent="0.25">
      <c r="A80" s="761"/>
      <c r="B80" s="364"/>
      <c r="C80" s="365"/>
      <c r="D80" s="366"/>
      <c r="E80" s="762"/>
      <c r="F80" s="762"/>
      <c r="G80" s="762"/>
      <c r="H80" s="1667"/>
      <c r="I80" s="693"/>
    </row>
    <row r="81" spans="1:15" s="369" customFormat="1" ht="27.75" customHeight="1" thickBot="1" x14ac:dyDescent="0.3">
      <c r="A81" s="763" t="s">
        <v>1400</v>
      </c>
      <c r="B81" s="764"/>
      <c r="C81" s="765"/>
      <c r="D81" s="766"/>
      <c r="E81" s="767">
        <f>E74+E79</f>
        <v>22750</v>
      </c>
      <c r="F81" s="767">
        <f>F74+F79</f>
        <v>23836</v>
      </c>
      <c r="G81" s="767">
        <f>G74+G79</f>
        <v>23136</v>
      </c>
      <c r="H81" s="1668">
        <f>(G81/F81)*100</f>
        <v>97.063265648598758</v>
      </c>
      <c r="J81" s="547"/>
      <c r="K81" s="547"/>
      <c r="L81" s="547"/>
      <c r="M81" s="547"/>
      <c r="N81" s="547"/>
      <c r="O81" s="547"/>
    </row>
    <row r="82" spans="1:15" ht="15" thickTop="1" x14ac:dyDescent="0.2">
      <c r="A82" s="689"/>
    </row>
    <row r="83" spans="1:15" x14ac:dyDescent="0.2">
      <c r="A83" s="2788" t="s">
        <v>1297</v>
      </c>
      <c r="B83" s="2789"/>
      <c r="C83" s="2789"/>
      <c r="D83" s="2789"/>
    </row>
    <row r="84" spans="1:15" s="525" customFormat="1" ht="15.75" customHeight="1" x14ac:dyDescent="0.25">
      <c r="A84" s="2789"/>
      <c r="B84" s="2789"/>
      <c r="C84" s="2789"/>
      <c r="D84" s="2789"/>
      <c r="E84" s="609" t="s">
        <v>343</v>
      </c>
      <c r="F84" s="609"/>
      <c r="G84" s="609"/>
      <c r="H84" s="1669"/>
      <c r="J84" s="547"/>
      <c r="K84" s="547"/>
      <c r="L84" s="547"/>
      <c r="M84" s="547"/>
      <c r="N84" s="547"/>
      <c r="O84" s="547"/>
    </row>
    <row r="85" spans="1:15" s="525" customFormat="1" ht="16.5" thickBot="1" x14ac:dyDescent="0.3">
      <c r="A85" s="769"/>
      <c r="B85" s="770"/>
      <c r="C85" s="770"/>
      <c r="D85" s="770"/>
      <c r="E85" s="609"/>
      <c r="F85" s="609"/>
      <c r="G85" s="609"/>
      <c r="H85" s="1411" t="s">
        <v>179</v>
      </c>
      <c r="J85" s="547"/>
      <c r="K85" s="547"/>
      <c r="L85" s="547"/>
      <c r="M85" s="547"/>
      <c r="N85" s="547"/>
      <c r="O85" s="547"/>
    </row>
    <row r="86" spans="1:15" s="735" customFormat="1" ht="20.25" customHeight="1" thickTop="1" thickBot="1" x14ac:dyDescent="0.25">
      <c r="A86" s="729" t="s">
        <v>180</v>
      </c>
      <c r="B86" s="730" t="s">
        <v>181</v>
      </c>
      <c r="C86" s="731" t="s">
        <v>783</v>
      </c>
      <c r="D86" s="732" t="s">
        <v>182</v>
      </c>
      <c r="E86" s="733" t="s">
        <v>183</v>
      </c>
      <c r="F86" s="733" t="s">
        <v>985</v>
      </c>
      <c r="G86" s="733" t="s">
        <v>986</v>
      </c>
      <c r="H86" s="1665" t="s">
        <v>987</v>
      </c>
      <c r="J86" s="526"/>
      <c r="K86" s="526"/>
      <c r="L86" s="526"/>
      <c r="M86" s="526"/>
      <c r="N86" s="526"/>
      <c r="O86" s="526"/>
    </row>
    <row r="87" spans="1:15" s="386" customFormat="1" ht="13.5" thickTop="1" thickBot="1" x14ac:dyDescent="0.25">
      <c r="A87" s="592">
        <v>1</v>
      </c>
      <c r="B87" s="593">
        <v>2</v>
      </c>
      <c r="C87" s="593">
        <v>3</v>
      </c>
      <c r="D87" s="593">
        <v>4</v>
      </c>
      <c r="E87" s="593">
        <v>5</v>
      </c>
      <c r="F87" s="567">
        <v>6</v>
      </c>
      <c r="G87" s="567">
        <v>7</v>
      </c>
      <c r="H87" s="1661" t="s">
        <v>61</v>
      </c>
      <c r="I87" s="107"/>
    </row>
    <row r="88" spans="1:15" ht="15.75" thickTop="1" x14ac:dyDescent="0.25">
      <c r="A88" s="736">
        <v>3523</v>
      </c>
      <c r="B88" s="737">
        <v>5331</v>
      </c>
      <c r="C88" s="738"/>
      <c r="D88" s="650" t="s">
        <v>259</v>
      </c>
      <c r="E88" s="391">
        <f>E89</f>
        <v>9600</v>
      </c>
      <c r="F88" s="391">
        <f>F89</f>
        <v>11150</v>
      </c>
      <c r="G88" s="391">
        <f>G89</f>
        <v>11150</v>
      </c>
      <c r="H88" s="1666">
        <f t="shared" ref="H88:H94" si="4">G88/F88*100</f>
        <v>100</v>
      </c>
    </row>
    <row r="89" spans="1:15" ht="15" thickBot="1" x14ac:dyDescent="0.25">
      <c r="A89" s="740"/>
      <c r="B89" s="741"/>
      <c r="C89" s="578" t="s">
        <v>636</v>
      </c>
      <c r="D89" s="574" t="s">
        <v>1220</v>
      </c>
      <c r="E89" s="356">
        <v>9600</v>
      </c>
      <c r="F89" s="356">
        <v>11150</v>
      </c>
      <c r="G89" s="356">
        <v>11150</v>
      </c>
      <c r="H89" s="742">
        <f t="shared" si="4"/>
        <v>100</v>
      </c>
    </row>
    <row r="90" spans="1:15" s="369" customFormat="1" ht="20.25" customHeight="1" thickTop="1" thickBot="1" x14ac:dyDescent="0.3">
      <c r="A90" s="744" t="s">
        <v>1246</v>
      </c>
      <c r="B90" s="745"/>
      <c r="C90" s="746"/>
      <c r="D90" s="747"/>
      <c r="E90" s="748">
        <f>SUM(E88)</f>
        <v>9600</v>
      </c>
      <c r="F90" s="748">
        <f>SUM(F88)</f>
        <v>11150</v>
      </c>
      <c r="G90" s="748">
        <f>SUM(G88)</f>
        <v>11150</v>
      </c>
      <c r="H90" s="749">
        <f t="shared" si="4"/>
        <v>100</v>
      </c>
      <c r="J90" s="548"/>
      <c r="K90" s="548"/>
      <c r="L90" s="548"/>
      <c r="M90" s="547"/>
      <c r="N90" s="547"/>
      <c r="O90" s="547"/>
    </row>
    <row r="91" spans="1:15" s="558" customFormat="1" ht="15.75" thickTop="1" x14ac:dyDescent="0.25">
      <c r="A91" s="750">
        <v>3523</v>
      </c>
      <c r="B91" s="751">
        <v>6351</v>
      </c>
      <c r="C91" s="738"/>
      <c r="D91" s="650" t="s">
        <v>1320</v>
      </c>
      <c r="E91" s="752">
        <f>E92+E93</f>
        <v>2170</v>
      </c>
      <c r="F91" s="752">
        <f>F92+F93</f>
        <v>1751</v>
      </c>
      <c r="G91" s="752">
        <f>G92+G93</f>
        <v>1751</v>
      </c>
      <c r="H91" s="1666">
        <f t="shared" si="4"/>
        <v>100</v>
      </c>
    </row>
    <row r="92" spans="1:15" s="558" customFormat="1" x14ac:dyDescent="0.2">
      <c r="A92" s="736"/>
      <c r="B92" s="753"/>
      <c r="C92" s="578" t="s">
        <v>1266</v>
      </c>
      <c r="D92" s="595" t="s">
        <v>376</v>
      </c>
      <c r="E92" s="755">
        <v>1320</v>
      </c>
      <c r="F92" s="756">
        <v>1335</v>
      </c>
      <c r="G92" s="756">
        <v>1335</v>
      </c>
      <c r="H92" s="742">
        <f t="shared" si="4"/>
        <v>100</v>
      </c>
    </row>
    <row r="93" spans="1:15" s="558" customFormat="1" ht="15" thickBot="1" x14ac:dyDescent="0.25">
      <c r="A93" s="736"/>
      <c r="B93" s="753"/>
      <c r="C93" s="1179" t="s">
        <v>1536</v>
      </c>
      <c r="D93" s="2090" t="s">
        <v>1537</v>
      </c>
      <c r="E93" s="755">
        <v>850</v>
      </c>
      <c r="F93" s="756">
        <v>416</v>
      </c>
      <c r="G93" s="756">
        <v>416</v>
      </c>
      <c r="H93" s="742">
        <f t="shared" si="4"/>
        <v>100</v>
      </c>
    </row>
    <row r="94" spans="1:15" s="558" customFormat="1" ht="20.25" customHeight="1" thickTop="1" thickBot="1" x14ac:dyDescent="0.3">
      <c r="A94" s="744" t="s">
        <v>1247</v>
      </c>
      <c r="B94" s="745"/>
      <c r="C94" s="746"/>
      <c r="D94" s="747"/>
      <c r="E94" s="759">
        <f>E91</f>
        <v>2170</v>
      </c>
      <c r="F94" s="759">
        <f>SUM(F91)</f>
        <v>1751</v>
      </c>
      <c r="G94" s="759">
        <f>SUM(G91)</f>
        <v>1751</v>
      </c>
      <c r="H94" s="760">
        <f t="shared" si="4"/>
        <v>100</v>
      </c>
    </row>
    <row r="95" spans="1:15" ht="17.25" thickTop="1" x14ac:dyDescent="0.25">
      <c r="A95" s="772"/>
      <c r="B95" s="773"/>
      <c r="C95" s="774"/>
      <c r="D95" s="775"/>
      <c r="E95" s="776"/>
      <c r="F95" s="776"/>
      <c r="G95" s="776"/>
      <c r="H95" s="1670"/>
      <c r="I95" s="693"/>
    </row>
    <row r="96" spans="1:15" x14ac:dyDescent="0.2">
      <c r="A96" s="2783" t="s">
        <v>521</v>
      </c>
      <c r="B96" s="2784"/>
      <c r="C96" s="2784"/>
      <c r="D96" s="2784"/>
      <c r="E96" s="2786"/>
      <c r="F96" s="2787"/>
      <c r="G96" s="2787"/>
      <c r="H96" s="2787"/>
      <c r="I96" s="693"/>
    </row>
    <row r="97" spans="1:15" s="369" customFormat="1" ht="22.5" customHeight="1" thickBot="1" x14ac:dyDescent="0.3">
      <c r="A97" s="2785"/>
      <c r="B97" s="2785"/>
      <c r="C97" s="2785"/>
      <c r="D97" s="2785"/>
      <c r="E97" s="777">
        <f>E90+E94</f>
        <v>11770</v>
      </c>
      <c r="F97" s="777">
        <f>F90+F94</f>
        <v>12901</v>
      </c>
      <c r="G97" s="777">
        <f>G90+G94</f>
        <v>12901</v>
      </c>
      <c r="H97" s="1671">
        <f>(G97/F97)*100</f>
        <v>100</v>
      </c>
      <c r="J97" s="547"/>
      <c r="K97" s="547"/>
      <c r="L97" s="547"/>
      <c r="M97" s="547"/>
      <c r="N97" s="547"/>
      <c r="O97" s="547"/>
    </row>
    <row r="98" spans="1:15" s="369" customFormat="1" ht="18" customHeight="1" thickTop="1" x14ac:dyDescent="0.25">
      <c r="A98" s="363"/>
      <c r="B98" s="364"/>
      <c r="C98" s="365"/>
      <c r="D98" s="366"/>
      <c r="E98" s="762"/>
      <c r="F98" s="762"/>
      <c r="G98" s="762"/>
      <c r="H98" s="1672"/>
      <c r="J98" s="547"/>
      <c r="K98" s="547"/>
      <c r="L98" s="547"/>
      <c r="M98" s="547"/>
      <c r="N98" s="547"/>
      <c r="O98" s="547"/>
    </row>
    <row r="99" spans="1:15" s="369" customFormat="1" ht="15.75" customHeight="1" x14ac:dyDescent="0.25">
      <c r="A99" s="727" t="s">
        <v>592</v>
      </c>
      <c r="B99" s="364"/>
      <c r="C99" s="365"/>
      <c r="D99" s="366"/>
      <c r="E99" s="609" t="s">
        <v>344</v>
      </c>
      <c r="F99" s="762"/>
      <c r="G99" s="762"/>
      <c r="H99" s="1672"/>
      <c r="J99" s="547"/>
      <c r="K99" s="547"/>
      <c r="L99" s="547"/>
      <c r="M99" s="547"/>
      <c r="N99" s="547"/>
      <c r="O99" s="547"/>
    </row>
    <row r="100" spans="1:15" s="525" customFormat="1" ht="16.5" thickBot="1" x14ac:dyDescent="0.3">
      <c r="A100" s="769"/>
      <c r="B100" s="778"/>
      <c r="C100" s="779"/>
      <c r="E100" s="609"/>
      <c r="F100" s="609"/>
      <c r="G100" s="609"/>
      <c r="H100" s="1411" t="s">
        <v>179</v>
      </c>
      <c r="J100" s="547"/>
      <c r="K100" s="547"/>
      <c r="L100" s="547"/>
      <c r="M100" s="547"/>
      <c r="N100" s="547"/>
      <c r="O100" s="547"/>
    </row>
    <row r="101" spans="1:15" s="735" customFormat="1" ht="20.25" customHeight="1" thickTop="1" thickBot="1" x14ac:dyDescent="0.25">
      <c r="A101" s="729" t="s">
        <v>180</v>
      </c>
      <c r="B101" s="730" t="s">
        <v>181</v>
      </c>
      <c r="C101" s="731" t="s">
        <v>783</v>
      </c>
      <c r="D101" s="732" t="s">
        <v>182</v>
      </c>
      <c r="E101" s="733" t="s">
        <v>183</v>
      </c>
      <c r="F101" s="733" t="s">
        <v>985</v>
      </c>
      <c r="G101" s="733" t="s">
        <v>986</v>
      </c>
      <c r="H101" s="1665" t="s">
        <v>987</v>
      </c>
      <c r="J101" s="526"/>
      <c r="K101" s="526"/>
      <c r="L101" s="526"/>
      <c r="M101" s="526"/>
      <c r="N101" s="526"/>
      <c r="O101" s="526"/>
    </row>
    <row r="102" spans="1:15" s="386" customFormat="1" ht="13.5" thickTop="1" thickBot="1" x14ac:dyDescent="0.25">
      <c r="A102" s="592">
        <v>1</v>
      </c>
      <c r="B102" s="593">
        <v>2</v>
      </c>
      <c r="C102" s="593">
        <v>3</v>
      </c>
      <c r="D102" s="593">
        <v>4</v>
      </c>
      <c r="E102" s="593">
        <v>5</v>
      </c>
      <c r="F102" s="567">
        <v>6</v>
      </c>
      <c r="G102" s="567">
        <v>7</v>
      </c>
      <c r="H102" s="1661" t="s">
        <v>61</v>
      </c>
      <c r="I102" s="107"/>
    </row>
    <row r="103" spans="1:15" ht="15.75" thickTop="1" x14ac:dyDescent="0.25">
      <c r="A103" s="736">
        <v>3529</v>
      </c>
      <c r="B103" s="737">
        <v>5331</v>
      </c>
      <c r="C103" s="738"/>
      <c r="D103" s="650" t="s">
        <v>259</v>
      </c>
      <c r="E103" s="391">
        <f>E104+E105+E106</f>
        <v>31000</v>
      </c>
      <c r="F103" s="391">
        <f>F104+F105+F106+F107</f>
        <v>34860</v>
      </c>
      <c r="G103" s="391">
        <f>G104+G105+G106+G107</f>
        <v>34860</v>
      </c>
      <c r="H103" s="577">
        <f>G103/F103*100</f>
        <v>100</v>
      </c>
    </row>
    <row r="104" spans="1:15" x14ac:dyDescent="0.2">
      <c r="A104" s="740"/>
      <c r="B104" s="741"/>
      <c r="C104" s="743" t="s">
        <v>641</v>
      </c>
      <c r="D104" s="780" t="s">
        <v>1416</v>
      </c>
      <c r="E104" s="356">
        <v>1400</v>
      </c>
      <c r="F104" s="356">
        <v>1272</v>
      </c>
      <c r="G104" s="356">
        <v>1272</v>
      </c>
      <c r="H104" s="742">
        <f>G104/F104*100</f>
        <v>100</v>
      </c>
    </row>
    <row r="105" spans="1:15" x14ac:dyDescent="0.2">
      <c r="A105" s="740"/>
      <c r="B105" s="741"/>
      <c r="C105" s="578" t="s">
        <v>636</v>
      </c>
      <c r="D105" s="574" t="s">
        <v>72</v>
      </c>
      <c r="E105" s="356">
        <v>7600</v>
      </c>
      <c r="F105" s="781">
        <v>8100</v>
      </c>
      <c r="G105" s="356">
        <v>8100</v>
      </c>
      <c r="H105" s="742">
        <f>G105/F105*100</f>
        <v>100</v>
      </c>
    </row>
    <row r="106" spans="1:15" x14ac:dyDescent="0.2">
      <c r="A106" s="740"/>
      <c r="B106" s="741"/>
      <c r="C106" s="578" t="s">
        <v>735</v>
      </c>
      <c r="D106" s="758" t="s">
        <v>1454</v>
      </c>
      <c r="E106" s="356">
        <v>22000</v>
      </c>
      <c r="F106" s="167">
        <v>21000</v>
      </c>
      <c r="G106" s="356">
        <v>21000</v>
      </c>
      <c r="H106" s="742">
        <f>G106/F106*100</f>
        <v>100</v>
      </c>
    </row>
    <row r="107" spans="1:15" x14ac:dyDescent="0.2">
      <c r="A107" s="740"/>
      <c r="B107" s="741"/>
      <c r="C107" s="578" t="s">
        <v>642</v>
      </c>
      <c r="D107" s="2780" t="s">
        <v>1141</v>
      </c>
      <c r="E107" s="782"/>
      <c r="F107" s="783">
        <v>4488</v>
      </c>
      <c r="G107" s="356">
        <v>4488</v>
      </c>
      <c r="H107" s="742">
        <f>G107/F107*100</f>
        <v>100</v>
      </c>
    </row>
    <row r="108" spans="1:15" ht="15" thickBot="1" x14ac:dyDescent="0.25">
      <c r="A108" s="740"/>
      <c r="B108" s="741"/>
      <c r="C108" s="578"/>
      <c r="D108" s="2780"/>
      <c r="E108" s="782"/>
      <c r="F108" s="783"/>
      <c r="G108" s="356"/>
      <c r="H108" s="742"/>
    </row>
    <row r="109" spans="1:15" s="369" customFormat="1" ht="20.25" customHeight="1" thickTop="1" thickBot="1" x14ac:dyDescent="0.3">
      <c r="A109" s="744" t="s">
        <v>1246</v>
      </c>
      <c r="B109" s="745"/>
      <c r="C109" s="746"/>
      <c r="D109" s="747"/>
      <c r="E109" s="748">
        <f>SUM(E103)</f>
        <v>31000</v>
      </c>
      <c r="F109" s="748">
        <f>SUM(F103)</f>
        <v>34860</v>
      </c>
      <c r="G109" s="748">
        <f>SUM(G103)</f>
        <v>34860</v>
      </c>
      <c r="H109" s="1673">
        <f>(G109/F109)*100</f>
        <v>100</v>
      </c>
      <c r="J109" s="548"/>
      <c r="K109" s="548"/>
      <c r="L109" s="548"/>
      <c r="M109" s="547"/>
      <c r="N109" s="547"/>
      <c r="O109" s="547"/>
    </row>
    <row r="110" spans="1:15" s="369" customFormat="1" ht="27.75" customHeight="1" thickTop="1" thickBot="1" x14ac:dyDescent="0.3">
      <c r="A110" s="763" t="s">
        <v>524</v>
      </c>
      <c r="B110" s="764"/>
      <c r="C110" s="765"/>
      <c r="D110" s="766"/>
      <c r="E110" s="767">
        <f>E109</f>
        <v>31000</v>
      </c>
      <c r="F110" s="767">
        <f>F109</f>
        <v>34860</v>
      </c>
      <c r="G110" s="767">
        <f>G109</f>
        <v>34860</v>
      </c>
      <c r="H110" s="1668">
        <f>(G110/F110)*100</f>
        <v>100</v>
      </c>
      <c r="J110" s="547"/>
      <c r="K110" s="547"/>
      <c r="L110" s="547"/>
      <c r="M110" s="547"/>
      <c r="N110" s="547"/>
      <c r="O110" s="547"/>
    </row>
    <row r="111" spans="1:15" ht="15" thickTop="1" x14ac:dyDescent="0.2"/>
    <row r="112" spans="1:15" ht="15.75" x14ac:dyDescent="0.25">
      <c r="A112" s="727" t="s">
        <v>593</v>
      </c>
      <c r="E112" s="609" t="s">
        <v>59</v>
      </c>
      <c r="F112" s="699"/>
      <c r="G112" s="699"/>
      <c r="H112" s="1659"/>
      <c r="I112" s="693"/>
    </row>
    <row r="113" spans="1:15" s="525" customFormat="1" ht="16.5" thickBot="1" x14ac:dyDescent="0.3">
      <c r="A113" s="769"/>
      <c r="B113" s="778"/>
      <c r="C113" s="779"/>
      <c r="E113" s="609"/>
      <c r="F113" s="609"/>
      <c r="G113" s="609"/>
      <c r="H113" s="1411" t="s">
        <v>179</v>
      </c>
      <c r="J113" s="547"/>
      <c r="K113" s="547"/>
      <c r="L113" s="547"/>
      <c r="M113" s="547"/>
      <c r="N113" s="547"/>
      <c r="O113" s="547"/>
    </row>
    <row r="114" spans="1:15" s="735" customFormat="1" ht="20.25" customHeight="1" thickTop="1" thickBot="1" x14ac:dyDescent="0.25">
      <c r="A114" s="729" t="s">
        <v>180</v>
      </c>
      <c r="B114" s="730" t="s">
        <v>181</v>
      </c>
      <c r="C114" s="731" t="s">
        <v>783</v>
      </c>
      <c r="D114" s="732" t="s">
        <v>182</v>
      </c>
      <c r="E114" s="733" t="s">
        <v>183</v>
      </c>
      <c r="F114" s="733" t="s">
        <v>985</v>
      </c>
      <c r="G114" s="733" t="s">
        <v>986</v>
      </c>
      <c r="H114" s="1665" t="s">
        <v>987</v>
      </c>
      <c r="J114" s="526"/>
      <c r="K114" s="526"/>
      <c r="L114" s="526"/>
      <c r="M114" s="526"/>
      <c r="N114" s="526"/>
      <c r="O114" s="526"/>
    </row>
    <row r="115" spans="1:15" s="386" customFormat="1" ht="13.5" thickTop="1" thickBot="1" x14ac:dyDescent="0.25">
      <c r="A115" s="592">
        <v>1</v>
      </c>
      <c r="B115" s="593">
        <v>2</v>
      </c>
      <c r="C115" s="593">
        <v>3</v>
      </c>
      <c r="D115" s="593">
        <v>4</v>
      </c>
      <c r="E115" s="593">
        <v>5</v>
      </c>
      <c r="F115" s="567">
        <v>6</v>
      </c>
      <c r="G115" s="567">
        <v>7</v>
      </c>
      <c r="H115" s="1661" t="s">
        <v>61</v>
      </c>
      <c r="I115" s="107"/>
    </row>
    <row r="116" spans="1:15" ht="15.75" thickTop="1" x14ac:dyDescent="0.25">
      <c r="A116" s="736">
        <v>3529</v>
      </c>
      <c r="B116" s="737">
        <v>5331</v>
      </c>
      <c r="C116" s="738"/>
      <c r="D116" s="650" t="s">
        <v>259</v>
      </c>
      <c r="E116" s="391">
        <f>E117+E118+E119</f>
        <v>20560</v>
      </c>
      <c r="F116" s="391">
        <f>F117+F118+F119+F120+F122</f>
        <v>24086</v>
      </c>
      <c r="G116" s="391">
        <f>G117+G118+G119+G120+G122</f>
        <v>24086</v>
      </c>
      <c r="H116" s="1666">
        <f t="shared" ref="H116:H122" si="5">G116/F116*100</f>
        <v>100</v>
      </c>
    </row>
    <row r="117" spans="1:15" x14ac:dyDescent="0.2">
      <c r="A117" s="740"/>
      <c r="B117" s="741"/>
      <c r="C117" s="743" t="s">
        <v>641</v>
      </c>
      <c r="D117" s="780" t="s">
        <v>1416</v>
      </c>
      <c r="E117" s="356">
        <v>310</v>
      </c>
      <c r="F117" s="356">
        <v>309</v>
      </c>
      <c r="G117" s="356">
        <v>309</v>
      </c>
      <c r="H117" s="742">
        <f t="shared" si="5"/>
        <v>100</v>
      </c>
    </row>
    <row r="118" spans="1:15" x14ac:dyDescent="0.2">
      <c r="A118" s="740"/>
      <c r="B118" s="741"/>
      <c r="C118" s="578" t="s">
        <v>636</v>
      </c>
      <c r="D118" s="574" t="s">
        <v>1220</v>
      </c>
      <c r="E118" s="781">
        <v>7050</v>
      </c>
      <c r="F118" s="356">
        <v>6350</v>
      </c>
      <c r="G118" s="356">
        <v>6350</v>
      </c>
      <c r="H118" s="742">
        <f t="shared" si="5"/>
        <v>100</v>
      </c>
    </row>
    <row r="119" spans="1:15" x14ac:dyDescent="0.2">
      <c r="A119" s="740"/>
      <c r="B119" s="741"/>
      <c r="C119" s="578" t="s">
        <v>735</v>
      </c>
      <c r="D119" s="574" t="s">
        <v>1454</v>
      </c>
      <c r="E119" s="781">
        <v>13200</v>
      </c>
      <c r="F119" s="356">
        <v>13200</v>
      </c>
      <c r="G119" s="356">
        <v>13200</v>
      </c>
      <c r="H119" s="742">
        <f t="shared" si="5"/>
        <v>100</v>
      </c>
    </row>
    <row r="120" spans="1:15" s="790" customFormat="1" x14ac:dyDescent="0.2">
      <c r="A120" s="784"/>
      <c r="B120" s="785"/>
      <c r="C120" s="578" t="s">
        <v>642</v>
      </c>
      <c r="D120" s="2780" t="s">
        <v>1141</v>
      </c>
      <c r="E120" s="786"/>
      <c r="F120" s="786">
        <v>4178</v>
      </c>
      <c r="G120" s="786">
        <v>4178</v>
      </c>
      <c r="H120" s="787">
        <f t="shared" si="5"/>
        <v>100</v>
      </c>
      <c r="I120" s="788"/>
      <c r="J120" s="789"/>
      <c r="K120" s="789"/>
      <c r="L120" s="789"/>
      <c r="M120" s="789"/>
      <c r="N120" s="789"/>
      <c r="O120" s="789"/>
    </row>
    <row r="121" spans="1:15" s="790" customFormat="1" x14ac:dyDescent="0.2">
      <c r="A121" s="784"/>
      <c r="B121" s="792"/>
      <c r="C121" s="578"/>
      <c r="D121" s="2780"/>
      <c r="E121" s="786"/>
      <c r="F121" s="786"/>
      <c r="G121" s="786"/>
      <c r="H121" s="787"/>
      <c r="I121" s="788"/>
      <c r="J121" s="789"/>
      <c r="K121" s="789"/>
      <c r="L121" s="789"/>
      <c r="M121" s="789"/>
      <c r="N121" s="789"/>
      <c r="O121" s="789"/>
    </row>
    <row r="122" spans="1:15" s="790" customFormat="1" ht="26.25" thickBot="1" x14ac:dyDescent="0.25">
      <c r="A122" s="791"/>
      <c r="B122" s="792"/>
      <c r="C122" s="1301" t="s">
        <v>244</v>
      </c>
      <c r="D122" s="1416" t="s">
        <v>245</v>
      </c>
      <c r="E122" s="786"/>
      <c r="F122" s="786">
        <v>49</v>
      </c>
      <c r="G122" s="786">
        <v>49</v>
      </c>
      <c r="H122" s="787">
        <f t="shared" si="5"/>
        <v>100</v>
      </c>
      <c r="I122" s="788"/>
      <c r="J122" s="789"/>
      <c r="K122" s="789"/>
      <c r="L122" s="789"/>
      <c r="M122" s="789"/>
      <c r="N122" s="789"/>
      <c r="O122" s="789"/>
    </row>
    <row r="123" spans="1:15" s="369" customFormat="1" ht="20.25" customHeight="1" thickTop="1" thickBot="1" x14ac:dyDescent="0.3">
      <c r="A123" s="793" t="s">
        <v>1246</v>
      </c>
      <c r="B123" s="745"/>
      <c r="C123" s="746"/>
      <c r="D123" s="747"/>
      <c r="E123" s="748">
        <f>SUM(E116)</f>
        <v>20560</v>
      </c>
      <c r="F123" s="748">
        <f>SUM(F116)</f>
        <v>24086</v>
      </c>
      <c r="G123" s="748">
        <f>SUM(G116)</f>
        <v>24086</v>
      </c>
      <c r="H123" s="1673">
        <f>(G123/F123)*100</f>
        <v>100</v>
      </c>
      <c r="J123" s="548"/>
      <c r="K123" s="548"/>
      <c r="L123" s="548"/>
      <c r="M123" s="547"/>
      <c r="N123" s="547"/>
      <c r="O123" s="547"/>
    </row>
    <row r="124" spans="1:15" ht="17.25" thickTop="1" x14ac:dyDescent="0.25">
      <c r="A124" s="772"/>
    </row>
    <row r="125" spans="1:15" s="369" customFormat="1" ht="27.75" customHeight="1" thickBot="1" x14ac:dyDescent="0.3">
      <c r="A125" s="763" t="s">
        <v>522</v>
      </c>
      <c r="B125" s="764"/>
      <c r="C125" s="765"/>
      <c r="D125" s="766"/>
      <c r="E125" s="767">
        <f>E123</f>
        <v>20560</v>
      </c>
      <c r="F125" s="767">
        <f>F123</f>
        <v>24086</v>
      </c>
      <c r="G125" s="767">
        <f>G123</f>
        <v>24086</v>
      </c>
      <c r="H125" s="1668">
        <f>(G125/F125)*100</f>
        <v>100</v>
      </c>
      <c r="J125" s="547"/>
      <c r="K125" s="547"/>
      <c r="L125" s="547"/>
      <c r="M125" s="547"/>
      <c r="N125" s="547"/>
      <c r="O125" s="547"/>
    </row>
    <row r="126" spans="1:15" s="369" customFormat="1" ht="16.5" customHeight="1" thickTop="1" x14ac:dyDescent="0.25">
      <c r="A126" s="363"/>
      <c r="B126" s="364"/>
      <c r="C126" s="365"/>
      <c r="D126" s="366"/>
      <c r="E126" s="762"/>
      <c r="F126" s="762"/>
      <c r="G126" s="762"/>
      <c r="H126" s="1667"/>
      <c r="J126" s="547"/>
      <c r="K126" s="547"/>
      <c r="L126" s="547"/>
      <c r="M126" s="547"/>
      <c r="N126" s="547"/>
      <c r="O126" s="547"/>
    </row>
    <row r="127" spans="1:15" s="369" customFormat="1" ht="15" customHeight="1" x14ac:dyDescent="0.25">
      <c r="A127" s="363"/>
      <c r="B127" s="364"/>
      <c r="C127" s="365"/>
      <c r="D127" s="366"/>
      <c r="E127" s="762"/>
      <c r="F127" s="762"/>
      <c r="G127" s="762"/>
      <c r="H127" s="1667"/>
      <c r="J127" s="547"/>
      <c r="K127" s="547"/>
      <c r="L127" s="547"/>
      <c r="M127" s="547"/>
      <c r="N127" s="547"/>
      <c r="O127" s="547"/>
    </row>
    <row r="128" spans="1:15" s="369" customFormat="1" ht="15" customHeight="1" x14ac:dyDescent="0.25">
      <c r="A128" s="727" t="s">
        <v>818</v>
      </c>
      <c r="B128" s="364"/>
      <c r="C128" s="365"/>
      <c r="D128" s="366"/>
      <c r="E128" s="609" t="s">
        <v>60</v>
      </c>
      <c r="F128" s="762"/>
      <c r="G128" s="762"/>
      <c r="H128" s="1667"/>
      <c r="J128" s="547"/>
      <c r="K128" s="547"/>
      <c r="L128" s="547"/>
      <c r="M128" s="547"/>
      <c r="N128" s="547"/>
      <c r="O128" s="547"/>
    </row>
    <row r="129" spans="1:15" s="525" customFormat="1" ht="13.5" customHeight="1" thickBot="1" x14ac:dyDescent="0.3">
      <c r="A129" s="769"/>
      <c r="B129" s="778"/>
      <c r="C129" s="779"/>
      <c r="E129" s="609"/>
      <c r="F129" s="609"/>
      <c r="G129" s="609"/>
      <c r="H129" s="1411" t="s">
        <v>179</v>
      </c>
      <c r="J129" s="547"/>
      <c r="K129" s="547"/>
      <c r="L129" s="547"/>
      <c r="M129" s="547"/>
      <c r="N129" s="547"/>
      <c r="O129" s="547"/>
    </row>
    <row r="130" spans="1:15" s="735" customFormat="1" ht="20.25" customHeight="1" thickTop="1" thickBot="1" x14ac:dyDescent="0.25">
      <c r="A130" s="729" t="s">
        <v>180</v>
      </c>
      <c r="B130" s="730" t="s">
        <v>181</v>
      </c>
      <c r="C130" s="731" t="s">
        <v>783</v>
      </c>
      <c r="D130" s="732" t="s">
        <v>182</v>
      </c>
      <c r="E130" s="733" t="s">
        <v>183</v>
      </c>
      <c r="F130" s="733" t="s">
        <v>985</v>
      </c>
      <c r="G130" s="733" t="s">
        <v>986</v>
      </c>
      <c r="H130" s="1665" t="s">
        <v>987</v>
      </c>
      <c r="J130" s="526"/>
      <c r="K130" s="526"/>
      <c r="L130" s="526"/>
      <c r="M130" s="526"/>
      <c r="N130" s="526"/>
      <c r="O130" s="526"/>
    </row>
    <row r="131" spans="1:15" s="386" customFormat="1" ht="13.5" thickTop="1" thickBot="1" x14ac:dyDescent="0.25">
      <c r="A131" s="592">
        <v>1</v>
      </c>
      <c r="B131" s="593">
        <v>2</v>
      </c>
      <c r="C131" s="593">
        <v>3</v>
      </c>
      <c r="D131" s="593">
        <v>4</v>
      </c>
      <c r="E131" s="593">
        <v>5</v>
      </c>
      <c r="F131" s="567">
        <v>6</v>
      </c>
      <c r="G131" s="567">
        <v>7</v>
      </c>
      <c r="H131" s="1661" t="s">
        <v>61</v>
      </c>
      <c r="I131" s="107"/>
    </row>
    <row r="132" spans="1:15" ht="15.75" thickTop="1" x14ac:dyDescent="0.25">
      <c r="A132" s="736">
        <v>3533</v>
      </c>
      <c r="B132" s="737">
        <v>5331</v>
      </c>
      <c r="C132" s="738"/>
      <c r="D132" s="650" t="s">
        <v>259</v>
      </c>
      <c r="E132" s="391">
        <f>E133+E134+E135</f>
        <v>160618</v>
      </c>
      <c r="F132" s="391">
        <f>F133+F134+F135</f>
        <v>164243</v>
      </c>
      <c r="G132" s="391">
        <f>G133+G134+G135</f>
        <v>164243</v>
      </c>
      <c r="H132" s="1666">
        <f>G132/F132*100</f>
        <v>100</v>
      </c>
    </row>
    <row r="133" spans="1:15" x14ac:dyDescent="0.2">
      <c r="A133" s="740"/>
      <c r="B133" s="741"/>
      <c r="C133" s="743" t="s">
        <v>641</v>
      </c>
      <c r="D133" s="780" t="s">
        <v>1416</v>
      </c>
      <c r="E133" s="446">
        <v>18920</v>
      </c>
      <c r="F133" s="446">
        <v>18920</v>
      </c>
      <c r="G133" s="446">
        <v>18920</v>
      </c>
      <c r="H133" s="742">
        <f>G133/F133*100</f>
        <v>100</v>
      </c>
    </row>
    <row r="134" spans="1:15" x14ac:dyDescent="0.2">
      <c r="A134" s="740"/>
      <c r="B134" s="741"/>
      <c r="C134" s="578" t="s">
        <v>636</v>
      </c>
      <c r="D134" s="574" t="s">
        <v>1220</v>
      </c>
      <c r="E134" s="356">
        <v>139000</v>
      </c>
      <c r="F134" s="356">
        <v>142625</v>
      </c>
      <c r="G134" s="356">
        <v>142625</v>
      </c>
      <c r="H134" s="742">
        <f>G134/F134*100</f>
        <v>100</v>
      </c>
    </row>
    <row r="135" spans="1:15" ht="15" thickBot="1" x14ac:dyDescent="0.25">
      <c r="A135" s="740"/>
      <c r="B135" s="741"/>
      <c r="C135" s="578" t="s">
        <v>1266</v>
      </c>
      <c r="D135" s="595" t="s">
        <v>376</v>
      </c>
      <c r="E135" s="356">
        <v>2698</v>
      </c>
      <c r="F135" s="356">
        <v>2698</v>
      </c>
      <c r="G135" s="356">
        <v>2698</v>
      </c>
      <c r="H135" s="742">
        <f>G135/F135*100</f>
        <v>100</v>
      </c>
    </row>
    <row r="136" spans="1:15" s="369" customFormat="1" ht="20.25" customHeight="1" thickTop="1" thickBot="1" x14ac:dyDescent="0.3">
      <c r="A136" s="744" t="s">
        <v>1246</v>
      </c>
      <c r="B136" s="745"/>
      <c r="C136" s="746"/>
      <c r="D136" s="747"/>
      <c r="E136" s="748">
        <f>SUM(E132)</f>
        <v>160618</v>
      </c>
      <c r="F136" s="748">
        <f>SUM(F132)</f>
        <v>164243</v>
      </c>
      <c r="G136" s="748">
        <f>SUM(G132)</f>
        <v>164243</v>
      </c>
      <c r="H136" s="1673">
        <f>(G136/F136)*100</f>
        <v>100</v>
      </c>
      <c r="J136" s="548"/>
      <c r="K136" s="548"/>
      <c r="L136" s="548"/>
      <c r="M136" s="547"/>
      <c r="N136" s="547"/>
      <c r="O136" s="547"/>
    </row>
    <row r="137" spans="1:15" s="558" customFormat="1" ht="15.75" thickTop="1" x14ac:dyDescent="0.25">
      <c r="A137" s="750">
        <v>3533</v>
      </c>
      <c r="B137" s="1629">
        <v>6351</v>
      </c>
      <c r="C137" s="738"/>
      <c r="D137" s="650" t="s">
        <v>1320</v>
      </c>
      <c r="E137" s="752">
        <f>E138</f>
        <v>2850</v>
      </c>
      <c r="F137" s="752">
        <f>F138</f>
        <v>2850</v>
      </c>
      <c r="G137" s="752">
        <f>G138</f>
        <v>2850</v>
      </c>
      <c r="H137" s="1666">
        <f>G137/F137*100</f>
        <v>100</v>
      </c>
    </row>
    <row r="138" spans="1:15" s="558" customFormat="1" ht="15" thickBot="1" x14ac:dyDescent="0.25">
      <c r="A138" s="736"/>
      <c r="B138" s="753"/>
      <c r="C138" s="1179" t="s">
        <v>1536</v>
      </c>
      <c r="D138" s="2090" t="s">
        <v>1537</v>
      </c>
      <c r="E138" s="755">
        <v>2850</v>
      </c>
      <c r="F138" s="756">
        <v>2850</v>
      </c>
      <c r="G138" s="756">
        <v>2850</v>
      </c>
      <c r="H138" s="742">
        <f>G138/F138*100</f>
        <v>100</v>
      </c>
    </row>
    <row r="139" spans="1:15" s="558" customFormat="1" ht="20.25" customHeight="1" thickTop="1" thickBot="1" x14ac:dyDescent="0.3">
      <c r="A139" s="744" t="s">
        <v>1247</v>
      </c>
      <c r="B139" s="745"/>
      <c r="C139" s="746"/>
      <c r="D139" s="747"/>
      <c r="E139" s="759">
        <f>E137</f>
        <v>2850</v>
      </c>
      <c r="F139" s="759">
        <f>SUM(F137)</f>
        <v>2850</v>
      </c>
      <c r="G139" s="759">
        <f>SUM(G137)</f>
        <v>2850</v>
      </c>
      <c r="H139" s="760">
        <f>G139/F139*100</f>
        <v>100</v>
      </c>
    </row>
    <row r="140" spans="1:15" ht="17.25" thickTop="1" x14ac:dyDescent="0.25">
      <c r="A140" s="772"/>
    </row>
    <row r="141" spans="1:15" s="369" customFormat="1" ht="27.75" customHeight="1" thickBot="1" x14ac:dyDescent="0.3">
      <c r="A141" s="763" t="s">
        <v>523</v>
      </c>
      <c r="B141" s="764"/>
      <c r="C141" s="765"/>
      <c r="D141" s="766"/>
      <c r="E141" s="767">
        <f>E136+E139</f>
        <v>163468</v>
      </c>
      <c r="F141" s="767">
        <f>F136+F139</f>
        <v>167093</v>
      </c>
      <c r="G141" s="767">
        <f>G136+G139</f>
        <v>167093</v>
      </c>
      <c r="H141" s="1668">
        <f>(G141/F141)*100</f>
        <v>100</v>
      </c>
      <c r="J141" s="547"/>
      <c r="K141" s="547"/>
      <c r="L141" s="547"/>
      <c r="M141" s="547"/>
      <c r="N141" s="547"/>
      <c r="O141" s="547"/>
    </row>
    <row r="142" spans="1:15" s="369" customFormat="1" ht="20.25" customHeight="1" thickTop="1" x14ac:dyDescent="0.25">
      <c r="A142" s="363"/>
      <c r="B142" s="364"/>
      <c r="C142" s="365"/>
      <c r="D142" s="366"/>
      <c r="E142" s="762"/>
      <c r="F142" s="762"/>
      <c r="G142" s="762"/>
      <c r="H142" s="1672"/>
      <c r="J142" s="547"/>
      <c r="K142" s="547"/>
      <c r="L142" s="547"/>
      <c r="M142" s="547"/>
      <c r="N142" s="547"/>
      <c r="O142" s="547"/>
    </row>
    <row r="143" spans="1:15" s="525" customFormat="1" ht="15.75" x14ac:dyDescent="0.25">
      <c r="A143" s="874" t="s">
        <v>1224</v>
      </c>
      <c r="B143" s="875"/>
      <c r="C143" s="875"/>
      <c r="D143" s="875"/>
      <c r="E143" s="511"/>
      <c r="F143" s="511"/>
      <c r="G143" s="511"/>
      <c r="H143" s="1674"/>
    </row>
    <row r="144" spans="1:15" ht="15" thickBot="1" x14ac:dyDescent="0.25">
      <c r="E144" s="851"/>
      <c r="F144" s="851"/>
      <c r="G144" s="851"/>
      <c r="H144" s="1659" t="s">
        <v>179</v>
      </c>
      <c r="I144" s="693"/>
      <c r="J144" s="693"/>
      <c r="K144" s="693"/>
      <c r="L144" s="693"/>
      <c r="M144" s="693"/>
      <c r="N144" s="693"/>
      <c r="O144" s="693"/>
    </row>
    <row r="145" spans="1:19" thickTop="1" thickBot="1" x14ac:dyDescent="0.25">
      <c r="A145" s="657" t="s">
        <v>180</v>
      </c>
      <c r="B145" s="658" t="s">
        <v>181</v>
      </c>
      <c r="C145" s="702" t="s">
        <v>783</v>
      </c>
      <c r="D145" s="660" t="s">
        <v>182</v>
      </c>
      <c r="E145" s="660" t="s">
        <v>183</v>
      </c>
      <c r="F145" s="660" t="s">
        <v>985</v>
      </c>
      <c r="G145" s="660" t="s">
        <v>986</v>
      </c>
      <c r="H145" s="1660" t="s">
        <v>987</v>
      </c>
      <c r="I145" s="693"/>
      <c r="J145" s="693"/>
      <c r="K145" s="693"/>
      <c r="L145" s="693"/>
      <c r="M145" s="693"/>
      <c r="N145" s="693"/>
      <c r="O145" s="693"/>
    </row>
    <row r="146" spans="1:19" thickTop="1" thickBot="1" x14ac:dyDescent="0.25">
      <c r="A146" s="592">
        <v>1</v>
      </c>
      <c r="B146" s="593">
        <v>2</v>
      </c>
      <c r="C146" s="593">
        <v>3</v>
      </c>
      <c r="D146" s="593">
        <v>4</v>
      </c>
      <c r="E146" s="593">
        <v>5</v>
      </c>
      <c r="F146" s="567">
        <v>6</v>
      </c>
      <c r="G146" s="567">
        <v>7</v>
      </c>
      <c r="H146" s="1661" t="s">
        <v>61</v>
      </c>
      <c r="I146" s="693"/>
      <c r="J146" s="693"/>
      <c r="K146" s="693"/>
      <c r="L146" s="693"/>
      <c r="M146" s="693"/>
      <c r="N146" s="693"/>
      <c r="O146" s="693"/>
    </row>
    <row r="147" spans="1:19" s="1166" customFormat="1" ht="15.75" thickTop="1" x14ac:dyDescent="0.25">
      <c r="A147" s="34">
        <v>3599</v>
      </c>
      <c r="B147" s="1199">
        <v>5331</v>
      </c>
      <c r="C147" s="122"/>
      <c r="D147" s="1191" t="s">
        <v>933</v>
      </c>
      <c r="E147" s="48">
        <f>E148</f>
        <v>1000</v>
      </c>
      <c r="F147" s="48">
        <f>F148</f>
        <v>146</v>
      </c>
      <c r="G147" s="315">
        <v>0</v>
      </c>
      <c r="H147" s="212"/>
    </row>
    <row r="148" spans="1:19" ht="15.75" thickBot="1" x14ac:dyDescent="0.3">
      <c r="A148" s="1490"/>
      <c r="B148" s="1191"/>
      <c r="C148" s="1179" t="s">
        <v>636</v>
      </c>
      <c r="D148" s="85" t="s">
        <v>657</v>
      </c>
      <c r="E148" s="55">
        <v>1000</v>
      </c>
      <c r="F148" s="314">
        <v>146</v>
      </c>
      <c r="G148" s="316">
        <v>0</v>
      </c>
      <c r="H148" s="1184">
        <v>0</v>
      </c>
      <c r="I148" s="693"/>
      <c r="J148" s="314">
        <v>886</v>
      </c>
      <c r="K148" s="699">
        <f>E77</f>
        <v>0</v>
      </c>
      <c r="L148" s="699">
        <f>F77</f>
        <v>1036</v>
      </c>
      <c r="M148" s="699">
        <f>G77</f>
        <v>1036</v>
      </c>
      <c r="N148" s="693"/>
      <c r="O148" s="693"/>
    </row>
    <row r="149" spans="1:19" s="860" customFormat="1" ht="20.25" customHeight="1" thickTop="1" thickBot="1" x14ac:dyDescent="0.3">
      <c r="A149" s="744" t="s">
        <v>1225</v>
      </c>
      <c r="B149" s="745"/>
      <c r="C149" s="746"/>
      <c r="D149" s="747"/>
      <c r="E149" s="759">
        <f>SUM(E147)</f>
        <v>1000</v>
      </c>
      <c r="F149" s="759">
        <f>SUM(F147)</f>
        <v>146</v>
      </c>
      <c r="G149" s="759">
        <f>SUM(G147)</f>
        <v>0</v>
      </c>
      <c r="H149" s="1675">
        <f>SUM(H147)</f>
        <v>0</v>
      </c>
      <c r="J149" s="1736" t="s">
        <v>1759</v>
      </c>
      <c r="K149" s="548">
        <f>E78+E93+E138</f>
        <v>4600</v>
      </c>
      <c r="L149" s="548">
        <f>F78+F93+F138</f>
        <v>4216</v>
      </c>
      <c r="M149" s="548">
        <f>G78+G93+G138</f>
        <v>3516</v>
      </c>
      <c r="S149" s="860">
        <v>0</v>
      </c>
    </row>
    <row r="150" spans="1:19" s="369" customFormat="1" ht="20.25" customHeight="1" thickTop="1" x14ac:dyDescent="0.25">
      <c r="A150" s="363"/>
      <c r="B150" s="364"/>
      <c r="C150" s="365"/>
      <c r="D150" s="366"/>
      <c r="E150" s="762"/>
      <c r="F150" s="762"/>
      <c r="G150" s="762"/>
      <c r="H150" s="1672"/>
      <c r="J150" s="547"/>
      <c r="K150" s="547"/>
      <c r="L150" s="547"/>
      <c r="M150" s="547"/>
      <c r="N150" s="547"/>
      <c r="O150" s="547"/>
    </row>
    <row r="151" spans="1:19" s="369" customFormat="1" ht="20.25" customHeight="1" x14ac:dyDescent="0.25">
      <c r="A151" s="363"/>
      <c r="B151" s="364"/>
      <c r="C151" s="365"/>
      <c r="D151" s="366"/>
      <c r="E151" s="762"/>
      <c r="F151" s="762"/>
      <c r="G151" s="762"/>
      <c r="H151" s="1672"/>
      <c r="J151" s="547"/>
      <c r="K151" s="547"/>
      <c r="L151" s="547"/>
      <c r="M151" s="547"/>
      <c r="N151" s="547"/>
      <c r="O151" s="547"/>
    </row>
    <row r="152" spans="1:19" s="369" customFormat="1" ht="18" customHeight="1" x14ac:dyDescent="0.25">
      <c r="A152" s="363" t="s">
        <v>287</v>
      </c>
      <c r="B152" s="364"/>
      <c r="C152" s="365"/>
      <c r="D152" s="366"/>
      <c r="E152" s="762">
        <f>E153+E154+E155+E156</f>
        <v>27308</v>
      </c>
      <c r="F152" s="762">
        <f>F153+F154+F155+F156</f>
        <v>31310</v>
      </c>
      <c r="G152" s="762">
        <f>G153+G154+G155+G156</f>
        <v>30932</v>
      </c>
      <c r="H152" s="1669">
        <f>G152/F152*100</f>
        <v>98.792717981475562</v>
      </c>
      <c r="J152" s="547"/>
      <c r="K152" s="547"/>
      <c r="L152" s="547"/>
      <c r="M152" s="547"/>
      <c r="N152" s="547"/>
      <c r="O152" s="547"/>
    </row>
    <row r="153" spans="1:19" s="369" customFormat="1" ht="18" customHeight="1" x14ac:dyDescent="0.25">
      <c r="A153" s="581" t="s">
        <v>288</v>
      </c>
      <c r="B153" s="364"/>
      <c r="C153" s="365"/>
      <c r="D153" s="366"/>
      <c r="E153" s="795">
        <f>E51-E155</f>
        <v>20708</v>
      </c>
      <c r="F153" s="795">
        <f>F51-F155</f>
        <v>22217</v>
      </c>
      <c r="G153" s="795">
        <f>G51-G155</f>
        <v>21839</v>
      </c>
      <c r="H153" s="1676">
        <f>G153/F153*100</f>
        <v>98.298600171040192</v>
      </c>
      <c r="J153" s="547"/>
      <c r="K153" s="547"/>
      <c r="L153" s="547"/>
      <c r="M153" s="547"/>
      <c r="N153" s="547"/>
      <c r="O153" s="547"/>
    </row>
    <row r="154" spans="1:19" s="525" customFormat="1" ht="15.75" x14ac:dyDescent="0.25">
      <c r="A154" s="581" t="s">
        <v>289</v>
      </c>
      <c r="B154" s="611"/>
      <c r="C154" s="612"/>
      <c r="D154" s="613"/>
      <c r="E154" s="796">
        <f>E64</f>
        <v>6000</v>
      </c>
      <c r="F154" s="796">
        <f>F64</f>
        <v>6800</v>
      </c>
      <c r="G154" s="796">
        <f>G64</f>
        <v>6800</v>
      </c>
      <c r="H154" s="1676">
        <f>G154/F154*100</f>
        <v>100</v>
      </c>
      <c r="J154" s="547"/>
      <c r="K154" s="547"/>
      <c r="L154" s="547"/>
      <c r="M154" s="547"/>
      <c r="N154" s="547"/>
      <c r="O154" s="547"/>
    </row>
    <row r="155" spans="1:19" s="525" customFormat="1" ht="15.75" x14ac:dyDescent="0.25">
      <c r="A155" s="581" t="s">
        <v>227</v>
      </c>
      <c r="B155" s="616"/>
      <c r="C155" s="612"/>
      <c r="D155" s="617"/>
      <c r="E155" s="796">
        <f>E37+E38</f>
        <v>600</v>
      </c>
      <c r="F155" s="796">
        <f>F37+F38</f>
        <v>2293</v>
      </c>
      <c r="G155" s="796">
        <f>G37+G38</f>
        <v>2293</v>
      </c>
      <c r="H155" s="1676">
        <f>G155/F155*100</f>
        <v>100</v>
      </c>
      <c r="J155" s="547"/>
      <c r="K155" s="547"/>
      <c r="L155" s="547"/>
      <c r="M155" s="547"/>
      <c r="N155" s="547"/>
      <c r="O155" s="547"/>
    </row>
    <row r="156" spans="1:19" s="1642" customFormat="1" ht="15.75" x14ac:dyDescent="0.2">
      <c r="A156" s="1625" t="s">
        <v>1291</v>
      </c>
      <c r="B156" s="1630"/>
      <c r="C156" s="1639"/>
      <c r="D156" s="1640"/>
      <c r="E156" s="1641">
        <v>0</v>
      </c>
      <c r="F156" s="1641">
        <v>0</v>
      </c>
      <c r="G156" s="1641">
        <v>0</v>
      </c>
      <c r="H156" s="1677">
        <v>0</v>
      </c>
      <c r="J156" s="1643"/>
      <c r="K156" s="1643"/>
      <c r="L156" s="1643"/>
      <c r="M156" s="1643"/>
      <c r="N156" s="1643"/>
      <c r="O156" s="1643"/>
    </row>
    <row r="157" spans="1:19" s="525" customFormat="1" ht="15.75" x14ac:dyDescent="0.25">
      <c r="A157" s="581"/>
      <c r="B157" s="616"/>
      <c r="C157" s="612"/>
      <c r="D157" s="617"/>
      <c r="E157" s="796"/>
      <c r="F157" s="1644"/>
      <c r="G157" s="796"/>
      <c r="H157" s="1676"/>
      <c r="J157" s="547"/>
      <c r="K157" s="547"/>
      <c r="L157" s="547"/>
      <c r="M157" s="547"/>
      <c r="N157" s="547"/>
      <c r="O157" s="547"/>
    </row>
    <row r="158" spans="1:19" s="525" customFormat="1" ht="16.5" x14ac:dyDescent="0.25">
      <c r="A158" s="797" t="s">
        <v>290</v>
      </c>
      <c r="B158" s="1630"/>
      <c r="C158" s="612"/>
      <c r="D158" s="617"/>
      <c r="E158" s="609">
        <f>E159+E160+E161+E162</f>
        <v>250548</v>
      </c>
      <c r="F158" s="609">
        <f>F159+F160+F161+F162</f>
        <v>262922</v>
      </c>
      <c r="G158" s="609">
        <f>G159+G160+G161+G162</f>
        <v>262076</v>
      </c>
      <c r="H158" s="1669">
        <f>G158/F158*100</f>
        <v>99.678231566776461</v>
      </c>
      <c r="J158" s="547"/>
      <c r="K158" s="547"/>
      <c r="L158" s="547"/>
      <c r="M158" s="547"/>
      <c r="N158" s="547"/>
      <c r="O158" s="547"/>
    </row>
    <row r="159" spans="1:19" s="525" customFormat="1" ht="15.75" x14ac:dyDescent="0.25">
      <c r="A159" s="581" t="s">
        <v>1292</v>
      </c>
      <c r="B159" s="616"/>
      <c r="C159" s="612"/>
      <c r="D159" s="617"/>
      <c r="E159" s="796">
        <f>E136+E123+E109+E90+E74+E149-E161</f>
        <v>240628</v>
      </c>
      <c r="F159" s="796">
        <f>F136+F123+F109+F90+F74+F149-F161</f>
        <v>243620</v>
      </c>
      <c r="G159" s="796">
        <f>G136+G123+G109+G90+G74+G149-G161</f>
        <v>243474</v>
      </c>
      <c r="H159" s="1676">
        <f>G159/F159*100</f>
        <v>99.94007060175683</v>
      </c>
      <c r="J159" s="547"/>
      <c r="K159" s="547"/>
      <c r="L159" s="547"/>
      <c r="M159" s="547"/>
      <c r="N159" s="547"/>
      <c r="O159" s="547"/>
    </row>
    <row r="160" spans="1:19" s="525" customFormat="1" ht="15.75" x14ac:dyDescent="0.25">
      <c r="A160" s="581" t="s">
        <v>1293</v>
      </c>
      <c r="B160" s="616"/>
      <c r="C160" s="612"/>
      <c r="D160" s="617"/>
      <c r="E160" s="796">
        <f>E94+E79+E139</f>
        <v>9920</v>
      </c>
      <c r="F160" s="796">
        <f>F94+F79+F139</f>
        <v>10587</v>
      </c>
      <c r="G160" s="796">
        <f>G94+G79+G139</f>
        <v>9887</v>
      </c>
      <c r="H160" s="1676">
        <f>G160/F160*100</f>
        <v>93.388117502597524</v>
      </c>
      <c r="J160" s="548"/>
      <c r="K160" s="548"/>
      <c r="L160" s="548"/>
      <c r="M160" s="547"/>
      <c r="N160" s="547"/>
      <c r="O160" s="547"/>
    </row>
    <row r="161" spans="1:15" s="525" customFormat="1" ht="15.75" x14ac:dyDescent="0.25">
      <c r="A161" s="581" t="s">
        <v>227</v>
      </c>
      <c r="B161" s="616"/>
      <c r="C161" s="612"/>
      <c r="D161" s="617"/>
      <c r="E161" s="796">
        <f>E107+E120+E122</f>
        <v>0</v>
      </c>
      <c r="F161" s="796">
        <f>F107+F120+F122</f>
        <v>8715</v>
      </c>
      <c r="G161" s="796">
        <f>G107+G120+G122</f>
        <v>8715</v>
      </c>
      <c r="H161" s="1676">
        <f>G161/F161*100</f>
        <v>100</v>
      </c>
      <c r="J161" s="547"/>
      <c r="K161" s="548">
        <f>F155+F156+F161+F162</f>
        <v>11008</v>
      </c>
      <c r="L161" s="548">
        <f>G155+G156+G161+G162</f>
        <v>11008</v>
      </c>
      <c r="M161" s="548"/>
      <c r="N161" s="547"/>
      <c r="O161" s="547"/>
    </row>
    <row r="162" spans="1:15" ht="15" x14ac:dyDescent="0.2">
      <c r="A162" s="581" t="s">
        <v>1291</v>
      </c>
      <c r="B162" s="798"/>
      <c r="E162" s="796">
        <v>0</v>
      </c>
      <c r="F162" s="796">
        <v>0</v>
      </c>
      <c r="G162" s="796">
        <v>0</v>
      </c>
      <c r="H162" s="1676">
        <v>0</v>
      </c>
      <c r="I162" s="693"/>
      <c r="J162" s="548"/>
      <c r="K162" s="548"/>
      <c r="L162" s="515"/>
    </row>
    <row r="163" spans="1:15" ht="15" x14ac:dyDescent="0.2">
      <c r="A163" s="799"/>
      <c r="E163" s="796"/>
      <c r="F163" s="614"/>
      <c r="G163" s="614"/>
      <c r="H163" s="1676"/>
      <c r="I163" s="693"/>
      <c r="J163" s="548"/>
      <c r="K163" s="548"/>
      <c r="L163" s="515"/>
    </row>
    <row r="164" spans="1:15" x14ac:dyDescent="0.2">
      <c r="A164" s="1539"/>
      <c r="J164" s="548"/>
      <c r="K164" s="548"/>
      <c r="L164" s="515"/>
    </row>
    <row r="165" spans="1:15" s="58" customFormat="1" ht="47.25" customHeight="1" thickBot="1" x14ac:dyDescent="0.4">
      <c r="A165" s="800" t="s">
        <v>1409</v>
      </c>
      <c r="B165" s="801"/>
      <c r="C165" s="801"/>
      <c r="D165" s="801"/>
      <c r="E165" s="619">
        <f>SUM(E152,E158)</f>
        <v>277856</v>
      </c>
      <c r="F165" s="619">
        <f>SUM(F152,F158)</f>
        <v>294232</v>
      </c>
      <c r="G165" s="619">
        <f>SUM(G152,G158)</f>
        <v>293008</v>
      </c>
      <c r="H165" s="620">
        <f>(G165/F165)*100</f>
        <v>99.584001740123441</v>
      </c>
      <c r="J165" s="585"/>
      <c r="K165" s="585"/>
      <c r="L165" s="585"/>
      <c r="M165" s="585"/>
      <c r="N165" s="585"/>
      <c r="O165" s="585"/>
    </row>
    <row r="166" spans="1:15" ht="15" thickTop="1" x14ac:dyDescent="0.2"/>
  </sheetData>
  <mergeCells count="8">
    <mergeCell ref="D107:D108"/>
    <mergeCell ref="D120:D121"/>
    <mergeCell ref="C3:D3"/>
    <mergeCell ref="A96:D97"/>
    <mergeCell ref="E96:H96"/>
    <mergeCell ref="A83:D84"/>
    <mergeCell ref="D32:D33"/>
    <mergeCell ref="D39:D40"/>
  </mergeCells>
  <phoneticPr fontId="0" type="noConversion"/>
  <pageMargins left="0.98425196850393704" right="0.98425196850393704" top="0.98425196850393704" bottom="0.98425196850393704" header="0.51181102362204722" footer="0.51181102362204722"/>
  <pageSetup paperSize="9" scale="70" firstPageNumber="114" orientation="portrait" useFirstPageNumber="1" r:id="rId1"/>
  <headerFooter alignWithMargins="0">
    <oddFooter xml:space="preserve">&amp;L&amp;"Arial,Kurzíva"Zastupitelstvo Olomouckého kraje 28. 6. 2013
6.- Závěrečný  účet Olomuckého kraje za rok 2012
Příloha č. 3: Plnění rozpočtu výdajů Olomouckého kraje k 31.12.2012&amp;R&amp;"Arial,Kurzíva"Strana &amp;P (Celkem 484)
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 enableFormatConditionsCalculation="0">
    <tabColor rgb="FF92D050"/>
  </sheetPr>
  <dimension ref="A1:I16"/>
  <sheetViews>
    <sheetView showGridLines="0" view="pageBreakPreview" zoomScaleNormal="100" zoomScaleSheetLayoutView="100" workbookViewId="0">
      <selection activeCell="P28" sqref="P28"/>
    </sheetView>
  </sheetViews>
  <sheetFormatPr defaultRowHeight="12.75" x14ac:dyDescent="0.2"/>
  <cols>
    <col min="1" max="1" width="4.7109375" style="349" customWidth="1"/>
    <col min="2" max="2" width="4.85546875" style="349" customWidth="1"/>
    <col min="3" max="3" width="6.140625" style="349" customWidth="1"/>
    <col min="4" max="4" width="46.42578125" style="349" customWidth="1"/>
    <col min="5" max="6" width="13.85546875" style="349" customWidth="1"/>
    <col min="7" max="7" width="14.140625" style="349" customWidth="1"/>
    <col min="8" max="8" width="6.28515625" style="654" customWidth="1"/>
    <col min="9" max="16384" width="9.140625" style="349"/>
  </cols>
  <sheetData>
    <row r="1" spans="1:9" ht="21.75" customHeight="1" thickBot="1" x14ac:dyDescent="0.3">
      <c r="A1" s="487" t="s">
        <v>429</v>
      </c>
      <c r="B1" s="488"/>
      <c r="C1" s="488"/>
      <c r="D1" s="499"/>
      <c r="E1" s="500"/>
      <c r="F1" s="491" t="s">
        <v>430</v>
      </c>
      <c r="G1" s="449"/>
      <c r="I1" s="17"/>
    </row>
    <row r="2" spans="1:9" ht="12.75" customHeight="1" x14ac:dyDescent="0.25">
      <c r="A2" s="6"/>
      <c r="B2" s="28"/>
      <c r="C2" s="28"/>
      <c r="D2" s="10"/>
      <c r="E2" s="15"/>
      <c r="F2" s="15"/>
      <c r="G2" s="16"/>
      <c r="H2" s="194"/>
      <c r="I2" s="17"/>
    </row>
    <row r="3" spans="1:9" ht="12.75" customHeight="1" x14ac:dyDescent="0.25">
      <c r="A3" s="67" t="s">
        <v>404</v>
      </c>
      <c r="B3" s="28"/>
      <c r="C3" s="526" t="s">
        <v>431</v>
      </c>
      <c r="D3" s="653"/>
      <c r="E3" s="15"/>
      <c r="F3" s="16"/>
      <c r="G3" s="17"/>
      <c r="H3" s="194"/>
    </row>
    <row r="4" spans="1:9" ht="12.75" customHeight="1" x14ac:dyDescent="0.25">
      <c r="A4" s="6"/>
      <c r="B4" s="28"/>
      <c r="C4" s="526" t="s">
        <v>432</v>
      </c>
      <c r="D4" s="449"/>
      <c r="E4" s="15"/>
      <c r="F4" s="16"/>
      <c r="G4" s="17"/>
      <c r="H4" s="194"/>
    </row>
    <row r="5" spans="1:9" ht="12.75" customHeight="1" x14ac:dyDescent="0.25">
      <c r="A5" s="6"/>
      <c r="B5" s="28"/>
      <c r="C5" s="28"/>
      <c r="D5" s="10"/>
      <c r="E5" s="15"/>
      <c r="F5" s="15"/>
      <c r="G5" s="16"/>
      <c r="H5" s="194"/>
      <c r="I5" s="17"/>
    </row>
    <row r="6" spans="1:9" ht="18" x14ac:dyDescent="0.25">
      <c r="A6" s="33" t="s">
        <v>988</v>
      </c>
      <c r="B6" s="28"/>
      <c r="C6" s="28"/>
      <c r="D6" s="10"/>
      <c r="E6" s="15"/>
      <c r="F6" s="15"/>
      <c r="G6" s="16"/>
      <c r="H6" s="194"/>
      <c r="I6" s="17"/>
    </row>
    <row r="7" spans="1:9" ht="13.5" thickBot="1" x14ac:dyDescent="0.25">
      <c r="A7" s="655"/>
      <c r="B7" s="655"/>
      <c r="C7" s="655"/>
      <c r="D7" s="656"/>
      <c r="E7" s="449"/>
      <c r="F7" s="449"/>
      <c r="G7" s="426"/>
      <c r="H7" s="654" t="s">
        <v>179</v>
      </c>
    </row>
    <row r="8" spans="1:9" s="107" customFormat="1" ht="20.25" customHeight="1" thickTop="1" thickBot="1" x14ac:dyDescent="0.25">
      <c r="A8" s="657" t="s">
        <v>180</v>
      </c>
      <c r="B8" s="658" t="s">
        <v>181</v>
      </c>
      <c r="C8" s="660" t="s">
        <v>783</v>
      </c>
      <c r="D8" s="660" t="s">
        <v>182</v>
      </c>
      <c r="E8" s="660" t="s">
        <v>183</v>
      </c>
      <c r="F8" s="660" t="s">
        <v>985</v>
      </c>
      <c r="G8" s="660" t="s">
        <v>986</v>
      </c>
      <c r="H8" s="661" t="s">
        <v>987</v>
      </c>
    </row>
    <row r="9" spans="1:9" s="386" customFormat="1" ht="13.5" thickTop="1" thickBot="1" x14ac:dyDescent="0.25">
      <c r="A9" s="592">
        <v>1</v>
      </c>
      <c r="B9" s="593">
        <v>2</v>
      </c>
      <c r="C9" s="593">
        <v>3</v>
      </c>
      <c r="D9" s="593">
        <v>4</v>
      </c>
      <c r="E9" s="593">
        <v>5</v>
      </c>
      <c r="F9" s="567">
        <v>6</v>
      </c>
      <c r="G9" s="567">
        <v>7</v>
      </c>
      <c r="H9" s="662" t="s">
        <v>61</v>
      </c>
      <c r="I9" s="107"/>
    </row>
    <row r="10" spans="1:9" s="1166" customFormat="1" ht="16.5" thickTop="1" thickBot="1" x14ac:dyDescent="0.3">
      <c r="A10" s="1186">
        <v>6172</v>
      </c>
      <c r="B10" s="1198">
        <v>5192</v>
      </c>
      <c r="C10" s="1291"/>
      <c r="D10" s="1284" t="s">
        <v>888</v>
      </c>
      <c r="E10" s="1289">
        <v>20</v>
      </c>
      <c r="F10" s="1285">
        <v>10</v>
      </c>
      <c r="G10" s="1288">
        <v>0</v>
      </c>
      <c r="H10" s="1287">
        <f>(G10/F10)*100</f>
        <v>0</v>
      </c>
      <c r="I10" s="1282"/>
    </row>
    <row r="11" spans="1:9" s="362" customFormat="1" ht="35.25" customHeight="1" thickTop="1" thickBot="1" x14ac:dyDescent="0.3">
      <c r="A11" s="663" t="s">
        <v>268</v>
      </c>
      <c r="B11" s="664"/>
      <c r="C11" s="665"/>
      <c r="D11" s="666"/>
      <c r="E11" s="667">
        <f>E10</f>
        <v>20</v>
      </c>
      <c r="F11" s="667">
        <f>F10</f>
        <v>10</v>
      </c>
      <c r="G11" s="667">
        <v>0</v>
      </c>
      <c r="H11" s="1286">
        <f>(G11/F11)*100</f>
        <v>0</v>
      </c>
    </row>
    <row r="12" spans="1:9" ht="15.75" thickTop="1" x14ac:dyDescent="0.25">
      <c r="A12" s="669"/>
      <c r="B12" s="669"/>
      <c r="C12" s="669"/>
      <c r="D12" s="670"/>
      <c r="E12" s="670"/>
      <c r="F12" s="671"/>
      <c r="G12" s="672"/>
      <c r="H12" s="683"/>
    </row>
    <row r="13" spans="1:9" x14ac:dyDescent="0.2">
      <c r="A13" s="669"/>
      <c r="H13" s="684"/>
    </row>
    <row r="14" spans="1:9" x14ac:dyDescent="0.2">
      <c r="A14" s="669"/>
      <c r="H14" s="684"/>
    </row>
    <row r="15" spans="1:9" s="58" customFormat="1" ht="47.25" customHeight="1" thickBot="1" x14ac:dyDescent="0.4">
      <c r="A15" s="674" t="s">
        <v>433</v>
      </c>
      <c r="B15" s="675"/>
      <c r="C15" s="676"/>
      <c r="D15" s="677"/>
      <c r="E15" s="685">
        <f>SUM(E11)</f>
        <v>20</v>
      </c>
      <c r="F15" s="685">
        <f>SUM(F11)</f>
        <v>10</v>
      </c>
      <c r="G15" s="685">
        <f>SUM(G11)</f>
        <v>0</v>
      </c>
      <c r="H15" s="686">
        <f>(G15/F15)*100</f>
        <v>0</v>
      </c>
      <c r="I15" s="679"/>
    </row>
    <row r="16" spans="1:9" ht="13.5" thickTop="1" x14ac:dyDescent="0.2"/>
  </sheetData>
  <phoneticPr fontId="33" type="noConversion"/>
  <pageMargins left="0.98425196850393704" right="0.98425196850393704" top="0.98425196850393704" bottom="0.98425196850393704" header="0.51181102362204722" footer="0.51181102362204722"/>
  <pageSetup paperSize="9" scale="70" firstPageNumber="117" orientation="portrait" useFirstPageNumber="1" r:id="rId1"/>
  <headerFooter alignWithMargins="0">
    <oddFooter xml:space="preserve">&amp;L&amp;"Arial,Kurzíva"Zastupitelstvo Olomouckého kraje 28. 6. 2013
6.- Závěrečný  účet Olomuckého kraje za rok 2012
Příloha č. 3: Plnění rozpočtu výdajů Olomouckého kraje k 31.12.2012&amp;R&amp;"Arial,Kurzíva"Strana &amp;P (Celkem 484)
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 enableFormatConditionsCalculation="0">
    <tabColor rgb="FF92D050"/>
  </sheetPr>
  <dimension ref="A1:U16"/>
  <sheetViews>
    <sheetView showGridLines="0" view="pageBreakPreview" zoomScaleNormal="100" zoomScaleSheetLayoutView="100" workbookViewId="0">
      <selection activeCell="E25" sqref="E25"/>
    </sheetView>
  </sheetViews>
  <sheetFormatPr defaultRowHeight="12.75" x14ac:dyDescent="0.2"/>
  <cols>
    <col min="1" max="1" width="4.7109375" style="349" customWidth="1"/>
    <col min="2" max="2" width="4.85546875" style="349" customWidth="1"/>
    <col min="3" max="3" width="6.140625" style="349" customWidth="1"/>
    <col min="4" max="4" width="46.42578125" style="349" customWidth="1"/>
    <col min="5" max="6" width="13.85546875" style="349" customWidth="1"/>
    <col min="7" max="7" width="12.85546875" style="349" customWidth="1"/>
    <col min="8" max="8" width="8" style="654" customWidth="1"/>
    <col min="9" max="16384" width="9.140625" style="349"/>
  </cols>
  <sheetData>
    <row r="1" spans="1:21" ht="21.75" customHeight="1" thickBot="1" x14ac:dyDescent="0.3">
      <c r="A1" s="487" t="s">
        <v>410</v>
      </c>
      <c r="B1" s="488"/>
      <c r="C1" s="488"/>
      <c r="D1" s="499"/>
      <c r="E1" s="500"/>
      <c r="F1" s="491" t="s">
        <v>411</v>
      </c>
      <c r="G1" s="449"/>
      <c r="I1" s="17"/>
    </row>
    <row r="2" spans="1:21" ht="12.75" customHeight="1" x14ac:dyDescent="0.25">
      <c r="A2" s="6"/>
      <c r="B2" s="28"/>
      <c r="C2" s="28"/>
      <c r="D2" s="10"/>
      <c r="E2" s="15"/>
      <c r="F2" s="15"/>
      <c r="G2" s="16"/>
      <c r="H2" s="194"/>
      <c r="I2" s="17"/>
    </row>
    <row r="3" spans="1:21" ht="12.75" customHeight="1" x14ac:dyDescent="0.25">
      <c r="A3" s="67" t="s">
        <v>404</v>
      </c>
      <c r="B3" s="28"/>
      <c r="C3" s="526" t="s">
        <v>1226</v>
      </c>
      <c r="D3" s="653"/>
      <c r="E3" s="15"/>
      <c r="F3" s="16"/>
      <c r="G3" s="17"/>
      <c r="H3" s="194"/>
    </row>
    <row r="4" spans="1:21" ht="16.5" customHeight="1" x14ac:dyDescent="0.25">
      <c r="A4" s="6"/>
      <c r="B4" s="28"/>
      <c r="C4" s="526" t="s">
        <v>1227</v>
      </c>
      <c r="D4" s="449"/>
      <c r="E4" s="15"/>
      <c r="F4" s="16"/>
      <c r="G4" s="17"/>
      <c r="H4" s="194"/>
    </row>
    <row r="5" spans="1:21" ht="12.75" customHeight="1" x14ac:dyDescent="0.25">
      <c r="A5" s="6"/>
      <c r="B5" s="28"/>
      <c r="C5" s="28"/>
      <c r="D5" s="10"/>
      <c r="E5" s="15"/>
      <c r="F5" s="15"/>
      <c r="G5" s="16"/>
      <c r="H5" s="194"/>
      <c r="I5" s="17"/>
    </row>
    <row r="6" spans="1:21" ht="18" x14ac:dyDescent="0.25">
      <c r="A6" s="33" t="s">
        <v>988</v>
      </c>
      <c r="B6" s="28"/>
      <c r="C6" s="28"/>
      <c r="D6" s="10"/>
      <c r="E6" s="15"/>
      <c r="F6" s="15"/>
      <c r="G6" s="16"/>
      <c r="H6" s="194"/>
      <c r="I6" s="17"/>
    </row>
    <row r="7" spans="1:21" ht="13.5" thickBot="1" x14ac:dyDescent="0.25">
      <c r="A7" s="655"/>
      <c r="B7" s="655"/>
      <c r="C7" s="655"/>
      <c r="D7" s="656"/>
      <c r="E7" s="449"/>
      <c r="F7" s="449"/>
      <c r="G7" s="426"/>
      <c r="H7" s="560" t="s">
        <v>179</v>
      </c>
    </row>
    <row r="8" spans="1:21" s="107" customFormat="1" ht="20.25" customHeight="1" thickTop="1" thickBot="1" x14ac:dyDescent="0.25">
      <c r="A8" s="657" t="s">
        <v>180</v>
      </c>
      <c r="B8" s="658" t="s">
        <v>181</v>
      </c>
      <c r="C8" s="659" t="s">
        <v>783</v>
      </c>
      <c r="D8" s="660" t="s">
        <v>182</v>
      </c>
      <c r="E8" s="660" t="s">
        <v>183</v>
      </c>
      <c r="F8" s="660" t="s">
        <v>985</v>
      </c>
      <c r="G8" s="660" t="s">
        <v>986</v>
      </c>
      <c r="H8" s="661" t="s">
        <v>987</v>
      </c>
    </row>
    <row r="9" spans="1:21" s="386" customFormat="1" ht="13.5" thickTop="1" thickBot="1" x14ac:dyDescent="0.25">
      <c r="A9" s="592">
        <v>1</v>
      </c>
      <c r="B9" s="593">
        <v>2</v>
      </c>
      <c r="C9" s="593">
        <v>3</v>
      </c>
      <c r="D9" s="593">
        <v>4</v>
      </c>
      <c r="E9" s="593">
        <v>5</v>
      </c>
      <c r="F9" s="567">
        <v>6</v>
      </c>
      <c r="G9" s="567">
        <v>7</v>
      </c>
      <c r="H9" s="662" t="s">
        <v>61</v>
      </c>
      <c r="I9" s="107"/>
    </row>
    <row r="10" spans="1:21" s="1166" customFormat="1" ht="19.5" thickTop="1" thickBot="1" x14ac:dyDescent="0.3">
      <c r="A10" s="1299">
        <v>6172</v>
      </c>
      <c r="B10" s="1292">
        <v>5166</v>
      </c>
      <c r="C10" s="1298"/>
      <c r="D10" s="1293" t="s">
        <v>677</v>
      </c>
      <c r="E10" s="1297">
        <v>20</v>
      </c>
      <c r="F10" s="1294">
        <v>0</v>
      </c>
      <c r="G10" s="1296">
        <v>0</v>
      </c>
      <c r="H10" s="1295">
        <v>0</v>
      </c>
      <c r="I10" s="166"/>
      <c r="J10" s="166"/>
      <c r="K10" s="166"/>
      <c r="L10" s="166"/>
      <c r="M10" s="166"/>
      <c r="N10" s="166"/>
      <c r="O10" s="166"/>
      <c r="P10" s="166"/>
      <c r="Q10" s="166"/>
      <c r="R10" s="166"/>
      <c r="S10" s="166"/>
      <c r="T10" s="166"/>
      <c r="U10" s="166"/>
    </row>
    <row r="11" spans="1:21" s="362" customFormat="1" ht="35.25" customHeight="1" thickTop="1" thickBot="1" x14ac:dyDescent="0.3">
      <c r="A11" s="663" t="s">
        <v>268</v>
      </c>
      <c r="B11" s="664"/>
      <c r="C11" s="665"/>
      <c r="D11" s="666"/>
      <c r="E11" s="667">
        <f>SUM(E10)</f>
        <v>20</v>
      </c>
      <c r="F11" s="667">
        <f>SUM(F10)</f>
        <v>0</v>
      </c>
      <c r="G11" s="667">
        <f>SUM(G10)</f>
        <v>0</v>
      </c>
      <c r="H11" s="668">
        <v>0</v>
      </c>
    </row>
    <row r="12" spans="1:21" ht="15.75" thickTop="1" x14ac:dyDescent="0.25">
      <c r="A12" s="669"/>
      <c r="B12" s="669"/>
      <c r="C12" s="669"/>
      <c r="D12" s="670"/>
      <c r="E12" s="670"/>
      <c r="F12" s="671"/>
      <c r="G12" s="672"/>
      <c r="H12" s="673"/>
    </row>
    <row r="13" spans="1:21" x14ac:dyDescent="0.2">
      <c r="A13" s="669"/>
    </row>
    <row r="14" spans="1:21" x14ac:dyDescent="0.2">
      <c r="A14" s="669"/>
    </row>
    <row r="15" spans="1:21" s="58" customFormat="1" ht="47.25" customHeight="1" thickBot="1" x14ac:dyDescent="0.4">
      <c r="A15" s="674" t="s">
        <v>1493</v>
      </c>
      <c r="B15" s="675"/>
      <c r="C15" s="676"/>
      <c r="D15" s="677"/>
      <c r="E15" s="619">
        <f>SUM(E11)</f>
        <v>20</v>
      </c>
      <c r="F15" s="619">
        <f>SUM(F11)</f>
        <v>0</v>
      </c>
      <c r="G15" s="619">
        <f>SUM(G11)</f>
        <v>0</v>
      </c>
      <c r="H15" s="678">
        <v>0</v>
      </c>
      <c r="I15" s="679"/>
    </row>
    <row r="16" spans="1:21" ht="13.5" thickTop="1" x14ac:dyDescent="0.2"/>
  </sheetData>
  <phoneticPr fontId="33" type="noConversion"/>
  <pageMargins left="0.98425196850393704" right="0.98425196850393704" top="0.98425196850393704" bottom="0.98425196850393704" header="0.51181102362204722" footer="0.51181102362204722"/>
  <pageSetup paperSize="9" scale="70" firstPageNumber="118" orientation="portrait" useFirstPageNumber="1" r:id="rId1"/>
  <headerFooter alignWithMargins="0">
    <oddFooter xml:space="preserve">&amp;L&amp;"Arial,Kurzíva"Zastupitelstvo Olomouckého kraje 28. 6. 2013
6.- Závěrečný  účet Olomuckého kraje za rok 2012
Příloha č. 3: Plnění rozpočtu výdajů Olomouckého kraje k 31.12.2012&amp;R&amp;"Arial,Kurzíva"Strana &amp;P (Celkem 484)
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 enableFormatConditionsCalculation="0">
    <tabColor rgb="FF92D050"/>
  </sheetPr>
  <dimension ref="A1:U192"/>
  <sheetViews>
    <sheetView showGridLines="0" tabSelected="1" view="pageBreakPreview" topLeftCell="D47" zoomScaleNormal="100" zoomScaleSheetLayoutView="100" workbookViewId="0">
      <selection activeCell="N83" sqref="N83"/>
    </sheetView>
  </sheetViews>
  <sheetFormatPr defaultRowHeight="12.75" x14ac:dyDescent="0.2"/>
  <cols>
    <col min="1" max="1" width="4.7109375" style="669" customWidth="1"/>
    <col min="2" max="2" width="4.7109375" style="558" customWidth="1"/>
    <col min="3" max="3" width="8.42578125" style="1069" customWidth="1"/>
    <col min="4" max="4" width="47.28515625" style="558" customWidth="1"/>
    <col min="5" max="5" width="13.140625" style="517" customWidth="1"/>
    <col min="6" max="6" width="15.28515625" style="517" customWidth="1"/>
    <col min="7" max="7" width="14.5703125" style="517" customWidth="1"/>
    <col min="8" max="8" width="8.7109375" style="692" customWidth="1"/>
    <col min="9" max="9" width="9.140625" style="517"/>
    <col min="10" max="10" width="11.42578125" style="517" bestFit="1" customWidth="1"/>
    <col min="11" max="11" width="9.140625" style="558"/>
    <col min="12" max="12" width="9.140625" style="558" customWidth="1"/>
    <col min="13" max="13" width="19.5703125" style="558" customWidth="1"/>
    <col min="14" max="14" width="15.7109375" style="558" customWidth="1"/>
    <col min="15" max="16384" width="9.140625" style="558"/>
  </cols>
  <sheetData>
    <row r="1" spans="1:21" s="693" customFormat="1" ht="18.75" thickBot="1" x14ac:dyDescent="0.3">
      <c r="A1" s="518" t="s">
        <v>707</v>
      </c>
      <c r="B1" s="519"/>
      <c r="C1" s="522"/>
      <c r="D1" s="521"/>
      <c r="E1" s="520"/>
      <c r="F1" s="521"/>
      <c r="G1" s="505" t="s">
        <v>1023</v>
      </c>
      <c r="H1" s="700"/>
      <c r="I1" s="699"/>
    </row>
    <row r="2" spans="1:21" s="693" customFormat="1" ht="18" x14ac:dyDescent="0.25">
      <c r="A2" s="1309"/>
      <c r="B2" s="1310"/>
      <c r="C2" s="1311"/>
      <c r="D2" s="138"/>
      <c r="E2" s="1312"/>
      <c r="F2" s="138"/>
      <c r="G2" s="1313"/>
      <c r="H2" s="700"/>
      <c r="I2" s="699"/>
    </row>
    <row r="3" spans="1:21" ht="12.75" customHeight="1" x14ac:dyDescent="0.25">
      <c r="A3" s="67" t="s">
        <v>404</v>
      </c>
      <c r="B3" s="28"/>
      <c r="C3" s="588" t="s">
        <v>379</v>
      </c>
      <c r="D3" s="653"/>
      <c r="E3" s="137"/>
      <c r="F3" s="16"/>
      <c r="G3" s="17"/>
      <c r="H3" s="194"/>
      <c r="I3" s="558"/>
      <c r="J3" s="558"/>
    </row>
    <row r="4" spans="1:21" ht="12.75" customHeight="1" x14ac:dyDescent="0.25">
      <c r="A4" s="6"/>
      <c r="B4" s="28"/>
      <c r="C4" s="588" t="s">
        <v>380</v>
      </c>
      <c r="D4" s="699"/>
      <c r="E4" s="138"/>
      <c r="F4" s="16"/>
      <c r="G4" s="17"/>
      <c r="H4" s="194"/>
      <c r="I4" s="558"/>
      <c r="J4" s="558"/>
    </row>
    <row r="5" spans="1:21" ht="12.75" customHeight="1" x14ac:dyDescent="0.25">
      <c r="A5" s="6"/>
      <c r="B5" s="28"/>
      <c r="C5" s="588"/>
      <c r="D5" s="699"/>
      <c r="E5" s="138"/>
      <c r="F5" s="16"/>
      <c r="G5" s="17"/>
      <c r="H5" s="194"/>
      <c r="I5" s="558"/>
      <c r="J5" s="558"/>
    </row>
    <row r="6" spans="1:21" ht="12.75" customHeight="1" x14ac:dyDescent="0.25">
      <c r="A6" s="6"/>
      <c r="B6" s="28"/>
      <c r="C6" s="588"/>
      <c r="D6" s="699"/>
      <c r="E6" s="138"/>
      <c r="F6" s="16"/>
      <c r="G6" s="17"/>
      <c r="H6" s="194"/>
      <c r="I6" s="558"/>
      <c r="J6" s="558"/>
    </row>
    <row r="7" spans="1:21" ht="16.5" customHeight="1" x14ac:dyDescent="0.25">
      <c r="A7" s="33" t="s">
        <v>988</v>
      </c>
      <c r="B7" s="28"/>
      <c r="C7" s="588"/>
      <c r="D7" s="699"/>
      <c r="E7" s="138"/>
      <c r="F7" s="16"/>
      <c r="G7" s="17"/>
      <c r="H7" s="194"/>
      <c r="I7" s="558"/>
      <c r="J7" s="558"/>
    </row>
    <row r="8" spans="1:21" ht="12.75" customHeight="1" thickBot="1" x14ac:dyDescent="0.3">
      <c r="A8" s="33"/>
      <c r="B8" s="28"/>
      <c r="C8" s="588"/>
      <c r="D8" s="699"/>
      <c r="E8" s="138"/>
      <c r="F8" s="16"/>
      <c r="G8" s="17"/>
      <c r="H8" s="692" t="s">
        <v>179</v>
      </c>
      <c r="I8" s="558"/>
      <c r="J8" s="558"/>
    </row>
    <row r="9" spans="1:21" s="1064" customFormat="1" ht="20.25" customHeight="1" thickTop="1" thickBot="1" x14ac:dyDescent="0.25">
      <c r="A9" s="1058" t="s">
        <v>180</v>
      </c>
      <c r="B9" s="1059" t="s">
        <v>181</v>
      </c>
      <c r="C9" s="1060" t="s">
        <v>783</v>
      </c>
      <c r="D9" s="1060" t="s">
        <v>182</v>
      </c>
      <c r="E9" s="1060" t="s">
        <v>183</v>
      </c>
      <c r="F9" s="1060" t="s">
        <v>985</v>
      </c>
      <c r="G9" s="1061" t="s">
        <v>986</v>
      </c>
      <c r="H9" s="1062" t="s">
        <v>987</v>
      </c>
      <c r="I9" s="1063"/>
      <c r="J9" s="1063"/>
    </row>
    <row r="10" spans="1:21" s="386" customFormat="1" ht="13.5" thickTop="1" thickBot="1" x14ac:dyDescent="0.25">
      <c r="A10" s="592">
        <v>1</v>
      </c>
      <c r="B10" s="593">
        <v>2</v>
      </c>
      <c r="C10" s="593">
        <v>3</v>
      </c>
      <c r="D10" s="593">
        <v>4</v>
      </c>
      <c r="E10" s="593">
        <v>5</v>
      </c>
      <c r="F10" s="567">
        <v>6</v>
      </c>
      <c r="G10" s="567">
        <v>7</v>
      </c>
      <c r="H10" s="662" t="s">
        <v>61</v>
      </c>
      <c r="I10" s="107"/>
    </row>
    <row r="11" spans="1:21" s="1166" customFormat="1" ht="15.75" thickTop="1" x14ac:dyDescent="0.25">
      <c r="A11" s="1280">
        <v>2212</v>
      </c>
      <c r="B11" s="268">
        <v>5171</v>
      </c>
      <c r="C11" s="1179"/>
      <c r="D11" s="128" t="s">
        <v>1001</v>
      </c>
      <c r="E11" s="60"/>
      <c r="F11" s="372">
        <f>F12+F13</f>
        <v>4901</v>
      </c>
      <c r="G11" s="372">
        <f>G12+G13</f>
        <v>3022</v>
      </c>
      <c r="H11" s="203">
        <f t="shared" ref="H11:H32" si="0">(G11/F11)*100</f>
        <v>61.660885533564581</v>
      </c>
      <c r="I11" s="166"/>
      <c r="J11" s="166"/>
      <c r="K11" s="166"/>
      <c r="L11" s="166"/>
      <c r="M11" s="166"/>
      <c r="N11" s="166"/>
      <c r="O11" s="166"/>
      <c r="P11" s="166"/>
      <c r="Q11" s="166"/>
      <c r="R11" s="166"/>
      <c r="S11" s="166"/>
      <c r="T11" s="166"/>
      <c r="U11" s="166"/>
    </row>
    <row r="12" spans="1:21" s="1166" customFormat="1" ht="14.25" x14ac:dyDescent="0.2">
      <c r="A12" s="1280"/>
      <c r="B12" s="268"/>
      <c r="C12" s="1179" t="s">
        <v>201</v>
      </c>
      <c r="D12" s="1173" t="s">
        <v>865</v>
      </c>
      <c r="E12" s="124"/>
      <c r="F12" s="314">
        <v>734</v>
      </c>
      <c r="G12" s="316">
        <v>0</v>
      </c>
      <c r="H12" s="1175">
        <f t="shared" si="0"/>
        <v>0</v>
      </c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</row>
    <row r="13" spans="1:21" s="1166" customFormat="1" ht="14.25" x14ac:dyDescent="0.2">
      <c r="A13" s="1280"/>
      <c r="B13" s="268"/>
      <c r="C13" s="1179" t="s">
        <v>1536</v>
      </c>
      <c r="D13" s="1966" t="s">
        <v>1537</v>
      </c>
      <c r="E13" s="124"/>
      <c r="F13" s="314">
        <v>4167</v>
      </c>
      <c r="G13" s="316">
        <v>3022</v>
      </c>
      <c r="H13" s="1175">
        <f t="shared" si="0"/>
        <v>72.522198224142059</v>
      </c>
      <c r="I13" s="166"/>
      <c r="J13" s="166"/>
      <c r="K13" s="166"/>
      <c r="L13" s="166"/>
      <c r="M13" s="166"/>
      <c r="N13" s="166"/>
      <c r="O13" s="166"/>
      <c r="P13" s="166"/>
      <c r="Q13" s="166"/>
      <c r="R13" s="166"/>
      <c r="S13" s="166"/>
      <c r="T13" s="166"/>
      <c r="U13" s="166"/>
    </row>
    <row r="14" spans="1:21" s="1166" customFormat="1" ht="15" x14ac:dyDescent="0.25">
      <c r="A14" s="1280">
        <v>3114</v>
      </c>
      <c r="B14" s="268">
        <v>5137</v>
      </c>
      <c r="C14" s="1178"/>
      <c r="D14" s="128" t="s">
        <v>173</v>
      </c>
      <c r="E14" s="124"/>
      <c r="F14" s="463">
        <f>F15+F16</f>
        <v>17773</v>
      </c>
      <c r="G14" s="463">
        <f>G15+G16</f>
        <v>17773</v>
      </c>
      <c r="H14" s="203">
        <f t="shared" si="0"/>
        <v>100</v>
      </c>
      <c r="I14" s="166"/>
      <c r="J14" s="166"/>
      <c r="K14" s="166"/>
      <c r="L14" s="166"/>
      <c r="M14" s="166"/>
      <c r="N14" s="166"/>
      <c r="O14" s="166"/>
      <c r="P14" s="166"/>
      <c r="Q14" s="166"/>
      <c r="R14" s="166"/>
      <c r="S14" s="166"/>
      <c r="T14" s="166"/>
      <c r="U14" s="166"/>
    </row>
    <row r="15" spans="1:21" s="1166" customFormat="1" ht="14.25" x14ac:dyDescent="0.2">
      <c r="A15" s="1280"/>
      <c r="B15" s="268"/>
      <c r="C15" s="1179" t="s">
        <v>202</v>
      </c>
      <c r="D15" s="1173" t="s">
        <v>791</v>
      </c>
      <c r="E15" s="124"/>
      <c r="F15" s="1470">
        <v>5864</v>
      </c>
      <c r="G15" s="1469">
        <v>5864</v>
      </c>
      <c r="H15" s="1175">
        <f t="shared" si="0"/>
        <v>100</v>
      </c>
      <c r="I15" s="166"/>
      <c r="J15" s="166"/>
      <c r="K15" s="166"/>
      <c r="L15" s="166"/>
      <c r="M15" s="166"/>
      <c r="N15" s="166"/>
      <c r="O15" s="166"/>
      <c r="P15" s="166"/>
      <c r="Q15" s="166"/>
      <c r="R15" s="166"/>
      <c r="S15" s="166"/>
      <c r="T15" s="166"/>
      <c r="U15" s="166"/>
    </row>
    <row r="16" spans="1:21" s="1166" customFormat="1" ht="14.25" x14ac:dyDescent="0.2">
      <c r="A16" s="1280"/>
      <c r="B16" s="268"/>
      <c r="C16" s="1179" t="s">
        <v>866</v>
      </c>
      <c r="D16" s="1173" t="s">
        <v>867</v>
      </c>
      <c r="E16" s="124"/>
      <c r="F16" s="1470">
        <v>11909</v>
      </c>
      <c r="G16" s="1469">
        <v>11909</v>
      </c>
      <c r="H16" s="1175">
        <f t="shared" si="0"/>
        <v>100</v>
      </c>
      <c r="I16" s="166"/>
      <c r="J16" s="166"/>
      <c r="K16" s="166"/>
      <c r="L16" s="166"/>
      <c r="M16" s="166"/>
      <c r="N16" s="166"/>
      <c r="O16" s="166"/>
      <c r="P16" s="166"/>
      <c r="Q16" s="166"/>
      <c r="R16" s="166"/>
      <c r="S16" s="166"/>
      <c r="T16" s="166"/>
      <c r="U16" s="166"/>
    </row>
    <row r="17" spans="1:21" s="1166" customFormat="1" ht="15" x14ac:dyDescent="0.25">
      <c r="A17" s="1280">
        <v>3114</v>
      </c>
      <c r="B17" s="268">
        <v>5171</v>
      </c>
      <c r="C17" s="1179"/>
      <c r="D17" s="128" t="s">
        <v>1001</v>
      </c>
      <c r="E17" s="60">
        <f>E18+E19</f>
        <v>3100</v>
      </c>
      <c r="F17" s="315">
        <f>F18+F19</f>
        <v>3038</v>
      </c>
      <c r="G17" s="315">
        <f>G18+G19</f>
        <v>3038</v>
      </c>
      <c r="H17" s="203">
        <f t="shared" si="0"/>
        <v>100</v>
      </c>
      <c r="I17" s="166"/>
      <c r="J17" s="166"/>
      <c r="K17" s="166"/>
      <c r="L17" s="166"/>
      <c r="M17" s="166"/>
      <c r="N17" s="166"/>
      <c r="O17" s="166"/>
      <c r="P17" s="166"/>
      <c r="Q17" s="166"/>
      <c r="R17" s="166"/>
      <c r="S17" s="166"/>
      <c r="T17" s="166"/>
      <c r="U17" s="166"/>
    </row>
    <row r="18" spans="1:21" s="1166" customFormat="1" ht="14.25" x14ac:dyDescent="0.2">
      <c r="A18" s="1280"/>
      <c r="B18" s="268"/>
      <c r="C18" s="1179" t="s">
        <v>202</v>
      </c>
      <c r="D18" s="1173" t="s">
        <v>791</v>
      </c>
      <c r="E18" s="124">
        <v>2150</v>
      </c>
      <c r="F18" s="314">
        <v>2353</v>
      </c>
      <c r="G18" s="316">
        <v>2353</v>
      </c>
      <c r="H18" s="1175">
        <f t="shared" si="0"/>
        <v>100</v>
      </c>
      <c r="I18" s="166"/>
      <c r="J18" s="166"/>
      <c r="K18" s="166"/>
      <c r="L18" s="166"/>
      <c r="M18" s="166"/>
      <c r="N18" s="166"/>
      <c r="O18" s="166"/>
      <c r="P18" s="166"/>
      <c r="Q18" s="166"/>
      <c r="R18" s="166"/>
      <c r="S18" s="166"/>
      <c r="T18" s="166"/>
      <c r="U18" s="166"/>
    </row>
    <row r="19" spans="1:21" s="1166" customFormat="1" ht="14.25" x14ac:dyDescent="0.2">
      <c r="A19" s="1280"/>
      <c r="B19" s="268"/>
      <c r="C19" s="1179" t="s">
        <v>1536</v>
      </c>
      <c r="D19" s="1966" t="s">
        <v>1537</v>
      </c>
      <c r="E19" s="124">
        <v>950</v>
      </c>
      <c r="F19" s="314">
        <v>685</v>
      </c>
      <c r="G19" s="316">
        <v>685</v>
      </c>
      <c r="H19" s="1175">
        <f t="shared" si="0"/>
        <v>100</v>
      </c>
      <c r="I19" s="166"/>
      <c r="J19" s="166"/>
      <c r="K19" s="166"/>
      <c r="L19" s="166"/>
      <c r="M19" s="166"/>
      <c r="N19" s="166"/>
      <c r="O19" s="166"/>
      <c r="P19" s="166"/>
      <c r="Q19" s="166"/>
      <c r="R19" s="166"/>
      <c r="S19" s="166"/>
      <c r="T19" s="166"/>
      <c r="U19" s="166"/>
    </row>
    <row r="20" spans="1:21" s="1166" customFormat="1" ht="15" x14ac:dyDescent="0.25">
      <c r="A20" s="1280">
        <v>3114</v>
      </c>
      <c r="B20" s="268">
        <v>5172</v>
      </c>
      <c r="C20" s="1179"/>
      <c r="D20" s="1967" t="s">
        <v>1002</v>
      </c>
      <c r="E20" s="124"/>
      <c r="F20" s="313">
        <v>60</v>
      </c>
      <c r="G20" s="315">
        <v>60</v>
      </c>
      <c r="H20" s="203">
        <f t="shared" si="0"/>
        <v>100</v>
      </c>
      <c r="I20" s="166"/>
      <c r="J20" s="166"/>
      <c r="K20" s="166"/>
      <c r="L20" s="166"/>
      <c r="M20" s="166"/>
      <c r="N20" s="166"/>
      <c r="O20" s="166"/>
      <c r="P20" s="166"/>
      <c r="Q20" s="166"/>
      <c r="R20" s="166"/>
      <c r="S20" s="166"/>
      <c r="T20" s="166"/>
      <c r="U20" s="166"/>
    </row>
    <row r="21" spans="1:21" s="1166" customFormat="1" ht="14.25" x14ac:dyDescent="0.2">
      <c r="A21" s="1280"/>
      <c r="B21" s="268"/>
      <c r="C21" s="1179" t="s">
        <v>866</v>
      </c>
      <c r="D21" s="1173" t="s">
        <v>867</v>
      </c>
      <c r="E21" s="124"/>
      <c r="F21" s="314">
        <v>60</v>
      </c>
      <c r="G21" s="316">
        <v>60</v>
      </c>
      <c r="H21" s="1175">
        <f t="shared" si="0"/>
        <v>100</v>
      </c>
      <c r="I21" s="166"/>
      <c r="J21" s="166"/>
      <c r="K21" s="166"/>
      <c r="L21" s="166"/>
      <c r="M21" s="166"/>
      <c r="N21" s="166"/>
      <c r="O21" s="166"/>
      <c r="P21" s="166"/>
      <c r="Q21" s="166"/>
      <c r="R21" s="166"/>
      <c r="S21" s="166"/>
      <c r="T21" s="166"/>
      <c r="U21" s="166"/>
    </row>
    <row r="22" spans="1:21" s="1166" customFormat="1" ht="15" x14ac:dyDescent="0.25">
      <c r="A22" s="1280">
        <v>3121</v>
      </c>
      <c r="B22" s="268">
        <v>5137</v>
      </c>
      <c r="C22" s="1178"/>
      <c r="D22" s="128" t="s">
        <v>173</v>
      </c>
      <c r="E22" s="124"/>
      <c r="F22" s="313">
        <v>841</v>
      </c>
      <c r="G22" s="315">
        <v>841</v>
      </c>
      <c r="H22" s="203">
        <f t="shared" si="0"/>
        <v>100</v>
      </c>
      <c r="I22" s="166"/>
      <c r="J22" s="166"/>
      <c r="K22" s="166"/>
      <c r="L22" s="166"/>
      <c r="M22" s="166"/>
      <c r="N22" s="166"/>
      <c r="O22" s="166"/>
      <c r="P22" s="166"/>
      <c r="Q22" s="166"/>
      <c r="R22" s="166"/>
      <c r="S22" s="166"/>
      <c r="T22" s="166"/>
      <c r="U22" s="166"/>
    </row>
    <row r="23" spans="1:21" s="1166" customFormat="1" ht="14.25" x14ac:dyDescent="0.2">
      <c r="A23" s="1280"/>
      <c r="B23" s="268"/>
      <c r="C23" s="1179" t="s">
        <v>1536</v>
      </c>
      <c r="D23" s="1190" t="s">
        <v>1537</v>
      </c>
      <c r="E23" s="124"/>
      <c r="F23" s="314">
        <v>841</v>
      </c>
      <c r="G23" s="316">
        <v>841</v>
      </c>
      <c r="H23" s="1175">
        <f t="shared" si="0"/>
        <v>100</v>
      </c>
      <c r="I23" s="166"/>
      <c r="J23" s="166"/>
      <c r="K23" s="166"/>
      <c r="L23" s="166"/>
      <c r="M23" s="166"/>
      <c r="N23" s="166"/>
      <c r="O23" s="166"/>
      <c r="P23" s="166"/>
      <c r="Q23" s="166"/>
      <c r="R23" s="166"/>
      <c r="S23" s="166"/>
      <c r="T23" s="166"/>
      <c r="U23" s="166"/>
    </row>
    <row r="24" spans="1:21" s="1166" customFormat="1" ht="15" x14ac:dyDescent="0.25">
      <c r="A24" s="1280">
        <v>3121</v>
      </c>
      <c r="B24" s="268">
        <v>5171</v>
      </c>
      <c r="C24" s="1179"/>
      <c r="D24" s="128" t="s">
        <v>1001</v>
      </c>
      <c r="E24" s="60">
        <f>E25+E26</f>
        <v>3500</v>
      </c>
      <c r="F24" s="60">
        <f>F25+F26</f>
        <v>2009</v>
      </c>
      <c r="G24" s="60">
        <f>G25+G26</f>
        <v>2009</v>
      </c>
      <c r="H24" s="203">
        <f t="shared" si="0"/>
        <v>100</v>
      </c>
      <c r="I24" s="166"/>
      <c r="J24" s="166"/>
      <c r="K24" s="166"/>
      <c r="L24" s="166"/>
      <c r="M24" s="166"/>
      <c r="N24" s="166"/>
      <c r="O24" s="166"/>
      <c r="P24" s="166"/>
      <c r="Q24" s="166"/>
      <c r="R24" s="166"/>
      <c r="S24" s="166"/>
      <c r="T24" s="166"/>
      <c r="U24" s="166"/>
    </row>
    <row r="25" spans="1:21" s="1166" customFormat="1" ht="14.25" x14ac:dyDescent="0.2">
      <c r="A25" s="1280"/>
      <c r="B25" s="268"/>
      <c r="C25" s="1179" t="s">
        <v>202</v>
      </c>
      <c r="D25" s="1173" t="s">
        <v>791</v>
      </c>
      <c r="E25" s="124">
        <v>200</v>
      </c>
      <c r="F25" s="314">
        <v>0</v>
      </c>
      <c r="G25" s="316">
        <v>0</v>
      </c>
      <c r="H25" s="1175">
        <v>0</v>
      </c>
      <c r="I25" s="166"/>
      <c r="J25" s="166"/>
      <c r="K25" s="166"/>
      <c r="L25" s="166"/>
      <c r="M25" s="166"/>
      <c r="N25" s="166"/>
      <c r="O25" s="166"/>
      <c r="P25" s="166"/>
      <c r="Q25" s="166"/>
      <c r="R25" s="166"/>
      <c r="S25" s="166"/>
      <c r="T25" s="166"/>
      <c r="U25" s="166"/>
    </row>
    <row r="26" spans="1:21" s="1166" customFormat="1" ht="14.25" x14ac:dyDescent="0.2">
      <c r="A26" s="1280"/>
      <c r="B26" s="268"/>
      <c r="C26" s="1179" t="s">
        <v>1536</v>
      </c>
      <c r="D26" s="1190" t="s">
        <v>1537</v>
      </c>
      <c r="E26" s="124">
        <v>3300</v>
      </c>
      <c r="F26" s="314">
        <v>2009</v>
      </c>
      <c r="G26" s="316">
        <v>2009</v>
      </c>
      <c r="H26" s="1175">
        <f t="shared" si="0"/>
        <v>100</v>
      </c>
      <c r="I26" s="166"/>
      <c r="J26" s="166"/>
      <c r="K26" s="166"/>
      <c r="L26" s="166"/>
      <c r="M26" s="166"/>
      <c r="N26" s="166"/>
      <c r="O26" s="166"/>
      <c r="P26" s="166"/>
      <c r="Q26" s="166"/>
      <c r="R26" s="166"/>
      <c r="S26" s="166"/>
      <c r="T26" s="166"/>
      <c r="U26" s="166"/>
    </row>
    <row r="27" spans="1:21" s="1166" customFormat="1" ht="15" x14ac:dyDescent="0.25">
      <c r="A27" s="1280">
        <v>3122</v>
      </c>
      <c r="B27" s="268">
        <v>5137</v>
      </c>
      <c r="C27" s="1179"/>
      <c r="D27" s="128" t="s">
        <v>173</v>
      </c>
      <c r="E27" s="124"/>
      <c r="F27" s="315">
        <f>F28+F29</f>
        <v>110</v>
      </c>
      <c r="G27" s="315">
        <f>G28+G29</f>
        <v>99</v>
      </c>
      <c r="H27" s="203">
        <f t="shared" si="0"/>
        <v>90</v>
      </c>
      <c r="I27" s="166"/>
      <c r="J27" s="166"/>
      <c r="K27" s="166"/>
      <c r="L27" s="166"/>
      <c r="M27" s="166"/>
      <c r="N27" s="166"/>
      <c r="O27" s="166"/>
      <c r="P27" s="166"/>
      <c r="Q27" s="166"/>
      <c r="R27" s="166"/>
      <c r="S27" s="166"/>
      <c r="T27" s="166"/>
      <c r="U27" s="166"/>
    </row>
    <row r="28" spans="1:21" s="1166" customFormat="1" ht="14.25" x14ac:dyDescent="0.2">
      <c r="A28" s="1280"/>
      <c r="B28" s="268"/>
      <c r="C28" s="1179" t="s">
        <v>866</v>
      </c>
      <c r="D28" s="1173" t="s">
        <v>867</v>
      </c>
      <c r="E28" s="124"/>
      <c r="F28" s="314">
        <v>11</v>
      </c>
      <c r="G28" s="316">
        <v>0</v>
      </c>
      <c r="H28" s="1175">
        <f t="shared" si="0"/>
        <v>0</v>
      </c>
      <c r="I28" s="166"/>
      <c r="J28" s="166"/>
      <c r="K28" s="166"/>
      <c r="L28" s="166"/>
      <c r="M28" s="166"/>
      <c r="N28" s="166"/>
      <c r="O28" s="166"/>
      <c r="P28" s="166"/>
      <c r="Q28" s="166"/>
      <c r="R28" s="166"/>
      <c r="S28" s="166"/>
      <c r="T28" s="166"/>
      <c r="U28" s="166"/>
    </row>
    <row r="29" spans="1:21" s="1166" customFormat="1" ht="14.25" x14ac:dyDescent="0.2">
      <c r="A29" s="1280"/>
      <c r="B29" s="268"/>
      <c r="C29" s="1179" t="s">
        <v>1536</v>
      </c>
      <c r="D29" s="1190" t="s">
        <v>1537</v>
      </c>
      <c r="E29" s="124"/>
      <c r="F29" s="314">
        <v>99</v>
      </c>
      <c r="G29" s="316">
        <v>99</v>
      </c>
      <c r="H29" s="1175">
        <f t="shared" si="0"/>
        <v>100</v>
      </c>
      <c r="I29" s="166"/>
      <c r="J29" s="166"/>
      <c r="K29" s="166"/>
      <c r="L29" s="166"/>
      <c r="M29" s="166"/>
      <c r="N29" s="166"/>
      <c r="O29" s="166"/>
      <c r="P29" s="166"/>
      <c r="Q29" s="166"/>
      <c r="R29" s="166"/>
      <c r="S29" s="166"/>
      <c r="T29" s="166"/>
      <c r="U29" s="166"/>
    </row>
    <row r="30" spans="1:21" s="1166" customFormat="1" ht="15" x14ac:dyDescent="0.25">
      <c r="A30" s="1280">
        <v>3122</v>
      </c>
      <c r="B30" s="268">
        <v>5171</v>
      </c>
      <c r="C30" s="1179"/>
      <c r="D30" s="128" t="s">
        <v>1001</v>
      </c>
      <c r="E30" s="60">
        <f>E31+E32</f>
        <v>18809</v>
      </c>
      <c r="F30" s="60">
        <f>F31+F32</f>
        <v>13978</v>
      </c>
      <c r="G30" s="60">
        <f>G31+G32</f>
        <v>13695</v>
      </c>
      <c r="H30" s="203">
        <f t="shared" si="0"/>
        <v>97.975389898411791</v>
      </c>
      <c r="I30" s="166"/>
      <c r="J30" s="166"/>
      <c r="K30" s="166"/>
      <c r="L30" s="166"/>
      <c r="M30" s="166"/>
      <c r="N30" s="166"/>
      <c r="O30" s="166"/>
      <c r="P30" s="166"/>
      <c r="Q30" s="166"/>
      <c r="R30" s="166"/>
      <c r="S30" s="166"/>
      <c r="T30" s="166"/>
      <c r="U30" s="166"/>
    </row>
    <row r="31" spans="1:21" s="1166" customFormat="1" ht="14.25" x14ac:dyDescent="0.2">
      <c r="A31" s="1280"/>
      <c r="B31" s="268"/>
      <c r="C31" s="1179" t="s">
        <v>202</v>
      </c>
      <c r="D31" s="1173" t="s">
        <v>791</v>
      </c>
      <c r="E31" s="124">
        <v>1100</v>
      </c>
      <c r="F31" s="314">
        <v>547</v>
      </c>
      <c r="G31" s="316">
        <v>400</v>
      </c>
      <c r="H31" s="1175">
        <f t="shared" si="0"/>
        <v>73.126142595978067</v>
      </c>
      <c r="I31" s="166"/>
      <c r="J31" s="166"/>
      <c r="K31" s="166"/>
      <c r="L31" s="166"/>
      <c r="M31" s="166"/>
      <c r="N31" s="166"/>
      <c r="O31" s="166"/>
      <c r="P31" s="166"/>
      <c r="Q31" s="166"/>
      <c r="R31" s="166"/>
      <c r="S31" s="166"/>
      <c r="T31" s="166"/>
      <c r="U31" s="166"/>
    </row>
    <row r="32" spans="1:21" s="1166" customFormat="1" ht="14.25" x14ac:dyDescent="0.2">
      <c r="A32" s="1280"/>
      <c r="B32" s="268"/>
      <c r="C32" s="1179" t="s">
        <v>1536</v>
      </c>
      <c r="D32" s="1190" t="s">
        <v>1537</v>
      </c>
      <c r="E32" s="124">
        <v>17709</v>
      </c>
      <c r="F32" s="314">
        <v>13431</v>
      </c>
      <c r="G32" s="316">
        <v>13295</v>
      </c>
      <c r="H32" s="1175">
        <f t="shared" si="0"/>
        <v>98.987417169235343</v>
      </c>
      <c r="I32" s="166"/>
      <c r="J32" s="166"/>
      <c r="K32" s="166"/>
      <c r="L32" s="166"/>
      <c r="M32" s="166"/>
      <c r="N32" s="166"/>
      <c r="O32" s="166"/>
      <c r="P32" s="166"/>
      <c r="Q32" s="166"/>
      <c r="R32" s="166"/>
      <c r="S32" s="166"/>
      <c r="T32" s="166"/>
      <c r="U32" s="166"/>
    </row>
    <row r="33" spans="1:21" s="1166" customFormat="1" ht="15" x14ac:dyDescent="0.25">
      <c r="A33" s="1280">
        <v>3123</v>
      </c>
      <c r="B33" s="268">
        <v>5171</v>
      </c>
      <c r="C33" s="1179"/>
      <c r="D33" s="128" t="s">
        <v>1001</v>
      </c>
      <c r="E33" s="60">
        <f>E34+E35</f>
        <v>3786</v>
      </c>
      <c r="F33" s="60">
        <f>F34+F35</f>
        <v>4253</v>
      </c>
      <c r="G33" s="60">
        <f>G34+G35</f>
        <v>4252</v>
      </c>
      <c r="H33" s="203">
        <f t="shared" ref="H33:H36" si="1">(G33/F33)*100</f>
        <v>99.976487185516106</v>
      </c>
      <c r="I33" s="166"/>
      <c r="J33" s="166"/>
      <c r="K33" s="166"/>
      <c r="L33" s="166"/>
      <c r="M33" s="166"/>
      <c r="N33" s="166"/>
      <c r="O33" s="166"/>
      <c r="P33" s="166"/>
      <c r="Q33" s="166"/>
      <c r="R33" s="166"/>
      <c r="S33" s="166"/>
      <c r="T33" s="166"/>
      <c r="U33" s="166"/>
    </row>
    <row r="34" spans="1:21" s="1166" customFormat="1" ht="14.25" x14ac:dyDescent="0.2">
      <c r="A34" s="1280"/>
      <c r="B34" s="268"/>
      <c r="C34" s="1179" t="s">
        <v>202</v>
      </c>
      <c r="D34" s="1173" t="s">
        <v>791</v>
      </c>
      <c r="E34" s="124">
        <v>416</v>
      </c>
      <c r="F34" s="314">
        <v>786</v>
      </c>
      <c r="G34" s="316">
        <v>786</v>
      </c>
      <c r="H34" s="1175">
        <f>(G34/F34)*100</f>
        <v>100</v>
      </c>
      <c r="I34" s="166"/>
      <c r="J34" s="166"/>
      <c r="K34" s="166"/>
      <c r="L34" s="166"/>
      <c r="M34" s="166"/>
      <c r="N34" s="166"/>
      <c r="O34" s="166"/>
      <c r="P34" s="166"/>
      <c r="Q34" s="166"/>
      <c r="R34" s="166"/>
      <c r="S34" s="166"/>
      <c r="T34" s="166"/>
      <c r="U34" s="166"/>
    </row>
    <row r="35" spans="1:21" s="1166" customFormat="1" ht="14.25" x14ac:dyDescent="0.2">
      <c r="A35" s="1280"/>
      <c r="B35" s="268"/>
      <c r="C35" s="1179" t="s">
        <v>1536</v>
      </c>
      <c r="D35" s="1190" t="s">
        <v>1537</v>
      </c>
      <c r="E35" s="124">
        <v>3370</v>
      </c>
      <c r="F35" s="314">
        <v>3467</v>
      </c>
      <c r="G35" s="316">
        <v>3466</v>
      </c>
      <c r="H35" s="1175">
        <f>(G35/F35)*100</f>
        <v>99.971156619555813</v>
      </c>
      <c r="I35" s="166"/>
      <c r="J35" s="166"/>
      <c r="K35" s="166"/>
      <c r="L35" s="166"/>
      <c r="M35" s="166"/>
      <c r="N35" s="166"/>
      <c r="O35" s="166"/>
      <c r="P35" s="166"/>
      <c r="Q35" s="166"/>
      <c r="R35" s="166"/>
      <c r="S35" s="166"/>
      <c r="T35" s="166"/>
      <c r="U35" s="166"/>
    </row>
    <row r="36" spans="1:21" s="1166" customFormat="1" ht="15" x14ac:dyDescent="0.25">
      <c r="A36" s="1280">
        <v>3142</v>
      </c>
      <c r="B36" s="268">
        <v>5171</v>
      </c>
      <c r="C36" s="1179"/>
      <c r="D36" s="128" t="s">
        <v>1001</v>
      </c>
      <c r="E36" s="60">
        <f>E37+E38</f>
        <v>500</v>
      </c>
      <c r="F36" s="60">
        <f>F37+F38</f>
        <v>505</v>
      </c>
      <c r="G36" s="60">
        <f>G37+G38</f>
        <v>505</v>
      </c>
      <c r="H36" s="203">
        <f t="shared" si="1"/>
        <v>100</v>
      </c>
      <c r="I36" s="166"/>
      <c r="J36" s="166"/>
      <c r="K36" s="166"/>
      <c r="L36" s="166"/>
      <c r="M36" s="166"/>
      <c r="N36" s="166"/>
      <c r="O36" s="166"/>
      <c r="P36" s="166"/>
      <c r="Q36" s="166"/>
      <c r="R36" s="166"/>
      <c r="S36" s="166"/>
      <c r="T36" s="166"/>
      <c r="U36" s="166"/>
    </row>
    <row r="37" spans="1:21" s="1166" customFormat="1" ht="14.25" x14ac:dyDescent="0.2">
      <c r="A37" s="1280"/>
      <c r="B37" s="268"/>
      <c r="C37" s="1179" t="s">
        <v>202</v>
      </c>
      <c r="D37" s="1173" t="s">
        <v>791</v>
      </c>
      <c r="E37" s="124">
        <v>100</v>
      </c>
      <c r="F37" s="314">
        <v>100</v>
      </c>
      <c r="G37" s="316">
        <v>100</v>
      </c>
      <c r="H37" s="1175">
        <f>(G37/F37)*100</f>
        <v>100</v>
      </c>
      <c r="I37" s="166"/>
      <c r="J37" s="166"/>
      <c r="K37" s="166"/>
      <c r="L37" s="166"/>
      <c r="M37" s="166"/>
      <c r="N37" s="166"/>
      <c r="O37" s="166"/>
      <c r="P37" s="166"/>
      <c r="Q37" s="166"/>
      <c r="R37" s="166"/>
      <c r="S37" s="166"/>
      <c r="T37" s="166"/>
      <c r="U37" s="166"/>
    </row>
    <row r="38" spans="1:21" s="1166" customFormat="1" ht="14.25" x14ac:dyDescent="0.2">
      <c r="A38" s="1280"/>
      <c r="B38" s="268"/>
      <c r="C38" s="1179" t="s">
        <v>1536</v>
      </c>
      <c r="D38" s="1966" t="s">
        <v>1537</v>
      </c>
      <c r="E38" s="124">
        <v>400</v>
      </c>
      <c r="F38" s="314">
        <v>405</v>
      </c>
      <c r="G38" s="316">
        <v>405</v>
      </c>
      <c r="H38" s="1175">
        <f>(G38/F38)*100</f>
        <v>100</v>
      </c>
      <c r="I38" s="166"/>
      <c r="J38" s="166"/>
      <c r="K38" s="166"/>
      <c r="L38" s="166"/>
      <c r="M38" s="166"/>
      <c r="N38" s="166"/>
      <c r="O38" s="166"/>
      <c r="P38" s="166"/>
      <c r="Q38" s="166"/>
      <c r="R38" s="166"/>
      <c r="S38" s="166"/>
      <c r="T38" s="166"/>
      <c r="U38" s="166"/>
    </row>
    <row r="39" spans="1:21" s="1166" customFormat="1" ht="15" x14ac:dyDescent="0.25">
      <c r="A39" s="1280">
        <v>3146</v>
      </c>
      <c r="B39" s="268">
        <v>5171</v>
      </c>
      <c r="C39" s="1179"/>
      <c r="D39" s="128" t="s">
        <v>1001</v>
      </c>
      <c r="E39" s="60">
        <v>800</v>
      </c>
      <c r="F39" s="313">
        <v>651</v>
      </c>
      <c r="G39" s="315">
        <v>651</v>
      </c>
      <c r="H39" s="203">
        <f>(G39/F39)*100</f>
        <v>100</v>
      </c>
      <c r="I39" s="166"/>
      <c r="J39" s="166"/>
      <c r="K39" s="166"/>
      <c r="L39" s="166"/>
      <c r="M39" s="166"/>
      <c r="N39" s="166"/>
      <c r="O39" s="166"/>
      <c r="P39" s="166"/>
      <c r="Q39" s="166"/>
      <c r="R39" s="166"/>
      <c r="S39" s="166"/>
      <c r="T39" s="166"/>
      <c r="U39" s="166"/>
    </row>
    <row r="40" spans="1:21" s="1166" customFormat="1" ht="14.25" x14ac:dyDescent="0.2">
      <c r="A40" s="1280"/>
      <c r="B40" s="268"/>
      <c r="C40" s="1179" t="s">
        <v>1536</v>
      </c>
      <c r="D40" s="1966" t="s">
        <v>1537</v>
      </c>
      <c r="E40" s="124">
        <v>800</v>
      </c>
      <c r="F40" s="314">
        <v>651</v>
      </c>
      <c r="G40" s="316">
        <v>651</v>
      </c>
      <c r="H40" s="1175">
        <f>(G40/F40)*100</f>
        <v>100</v>
      </c>
      <c r="I40" s="166"/>
      <c r="J40" s="166"/>
      <c r="K40" s="166"/>
      <c r="L40" s="166"/>
      <c r="M40" s="166"/>
      <c r="N40" s="166"/>
      <c r="O40" s="166"/>
      <c r="P40" s="166"/>
      <c r="Q40" s="166"/>
      <c r="R40" s="166"/>
      <c r="S40" s="166"/>
      <c r="T40" s="166"/>
      <c r="U40" s="166"/>
    </row>
    <row r="41" spans="1:21" s="1166" customFormat="1" ht="15" x14ac:dyDescent="0.25">
      <c r="A41" s="1280">
        <v>3149</v>
      </c>
      <c r="B41" s="268">
        <v>5171</v>
      </c>
      <c r="C41" s="1179"/>
      <c r="D41" s="128" t="s">
        <v>1001</v>
      </c>
      <c r="E41" s="60">
        <v>720</v>
      </c>
      <c r="F41" s="313">
        <v>0</v>
      </c>
      <c r="G41" s="315">
        <v>0</v>
      </c>
      <c r="H41" s="203">
        <v>0</v>
      </c>
      <c r="I41" s="166"/>
      <c r="J41" s="166"/>
      <c r="K41" s="166"/>
      <c r="L41" s="166"/>
      <c r="M41" s="166"/>
      <c r="N41" s="166"/>
      <c r="O41" s="166"/>
      <c r="P41" s="166"/>
      <c r="Q41" s="166"/>
      <c r="R41" s="166"/>
      <c r="S41" s="166"/>
      <c r="T41" s="166"/>
      <c r="U41" s="166"/>
    </row>
    <row r="42" spans="1:21" s="1166" customFormat="1" ht="14.25" x14ac:dyDescent="0.2">
      <c r="A42" s="1280"/>
      <c r="B42" s="268"/>
      <c r="C42" s="1179" t="s">
        <v>202</v>
      </c>
      <c r="D42" s="1173" t="s">
        <v>791</v>
      </c>
      <c r="E42" s="124">
        <v>80</v>
      </c>
      <c r="F42" s="314">
        <v>0</v>
      </c>
      <c r="G42" s="316">
        <v>0</v>
      </c>
      <c r="H42" s="1175">
        <v>0</v>
      </c>
      <c r="I42" s="166"/>
      <c r="J42" s="166"/>
      <c r="K42" s="166"/>
      <c r="L42" s="166"/>
      <c r="M42" s="166"/>
      <c r="N42" s="166"/>
      <c r="O42" s="166"/>
      <c r="P42" s="166"/>
      <c r="Q42" s="166"/>
      <c r="R42" s="166"/>
      <c r="S42" s="166"/>
      <c r="T42" s="166"/>
      <c r="U42" s="166"/>
    </row>
    <row r="43" spans="1:21" s="1166" customFormat="1" ht="14.25" x14ac:dyDescent="0.2">
      <c r="A43" s="1280"/>
      <c r="B43" s="268"/>
      <c r="C43" s="1179" t="s">
        <v>1536</v>
      </c>
      <c r="D43" s="1966" t="s">
        <v>1537</v>
      </c>
      <c r="E43" s="124">
        <v>640</v>
      </c>
      <c r="F43" s="314">
        <v>0</v>
      </c>
      <c r="G43" s="316">
        <v>0</v>
      </c>
      <c r="H43" s="1175">
        <v>0</v>
      </c>
      <c r="I43" s="166"/>
      <c r="J43" s="166"/>
      <c r="K43" s="166"/>
      <c r="L43" s="166"/>
      <c r="M43" s="166"/>
      <c r="N43" s="166"/>
      <c r="O43" s="166"/>
      <c r="P43" s="166"/>
      <c r="Q43" s="166"/>
      <c r="R43" s="166"/>
      <c r="S43" s="166"/>
      <c r="T43" s="166"/>
      <c r="U43" s="166"/>
    </row>
    <row r="44" spans="1:21" s="1166" customFormat="1" ht="15" x14ac:dyDescent="0.25">
      <c r="A44" s="1280">
        <v>3231</v>
      </c>
      <c r="B44" s="268">
        <v>5171</v>
      </c>
      <c r="C44" s="1179"/>
      <c r="D44" s="128" t="s">
        <v>1001</v>
      </c>
      <c r="E44" s="60">
        <f>E45+E46</f>
        <v>350</v>
      </c>
      <c r="F44" s="315">
        <f>F45+F46</f>
        <v>0</v>
      </c>
      <c r="G44" s="315">
        <f>G45+G46</f>
        <v>0</v>
      </c>
      <c r="H44" s="203">
        <v>0</v>
      </c>
      <c r="I44" s="166"/>
      <c r="J44" s="166"/>
      <c r="K44" s="166"/>
      <c r="L44" s="166"/>
      <c r="M44" s="166"/>
      <c r="N44" s="166"/>
      <c r="O44" s="166"/>
      <c r="P44" s="166"/>
      <c r="Q44" s="166"/>
      <c r="R44" s="166"/>
      <c r="S44" s="166"/>
      <c r="T44" s="166"/>
      <c r="U44" s="166"/>
    </row>
    <row r="45" spans="1:21" s="1166" customFormat="1" ht="14.25" x14ac:dyDescent="0.2">
      <c r="A45" s="1280"/>
      <c r="B45" s="268"/>
      <c r="C45" s="1179" t="s">
        <v>202</v>
      </c>
      <c r="D45" s="1173" t="s">
        <v>791</v>
      </c>
      <c r="E45" s="124">
        <v>50</v>
      </c>
      <c r="F45" s="314">
        <v>0</v>
      </c>
      <c r="G45" s="316">
        <v>0</v>
      </c>
      <c r="H45" s="1175">
        <v>0</v>
      </c>
      <c r="I45" s="166"/>
      <c r="J45" s="166"/>
      <c r="K45" s="166"/>
      <c r="L45" s="166"/>
      <c r="M45" s="166"/>
      <c r="N45" s="166"/>
      <c r="O45" s="166"/>
      <c r="P45" s="166"/>
      <c r="Q45" s="166"/>
      <c r="R45" s="166"/>
      <c r="S45" s="166"/>
      <c r="T45" s="166"/>
      <c r="U45" s="166"/>
    </row>
    <row r="46" spans="1:21" s="1166" customFormat="1" ht="14.25" x14ac:dyDescent="0.2">
      <c r="A46" s="1280"/>
      <c r="B46" s="268"/>
      <c r="C46" s="1179" t="s">
        <v>1536</v>
      </c>
      <c r="D46" s="1190" t="s">
        <v>1537</v>
      </c>
      <c r="E46" s="124">
        <v>300</v>
      </c>
      <c r="F46" s="314">
        <v>0</v>
      </c>
      <c r="G46" s="316">
        <v>0</v>
      </c>
      <c r="H46" s="1175">
        <v>0</v>
      </c>
      <c r="I46" s="166"/>
      <c r="J46" s="166"/>
      <c r="K46" s="166"/>
      <c r="L46" s="166"/>
      <c r="M46" s="166"/>
      <c r="N46" s="166"/>
      <c r="O46" s="166"/>
      <c r="P46" s="166"/>
      <c r="Q46" s="166"/>
      <c r="R46" s="166"/>
      <c r="S46" s="166"/>
      <c r="T46" s="166"/>
      <c r="U46" s="166"/>
    </row>
    <row r="47" spans="1:21" s="1166" customFormat="1" ht="15" x14ac:dyDescent="0.25">
      <c r="A47" s="1280">
        <v>3315</v>
      </c>
      <c r="B47" s="268">
        <v>5137</v>
      </c>
      <c r="C47" s="1179"/>
      <c r="D47" s="128" t="s">
        <v>173</v>
      </c>
      <c r="E47" s="124"/>
      <c r="F47" s="315">
        <v>1184</v>
      </c>
      <c r="G47" s="315">
        <v>1184</v>
      </c>
      <c r="H47" s="203">
        <f t="shared" ref="H47:H56" si="2">(G47/F47)*100</f>
        <v>100</v>
      </c>
      <c r="I47" s="166"/>
      <c r="J47" s="166"/>
      <c r="K47" s="166"/>
      <c r="L47" s="166"/>
      <c r="M47" s="166"/>
      <c r="N47" s="166"/>
      <c r="O47" s="166"/>
      <c r="P47" s="166"/>
      <c r="Q47" s="166"/>
      <c r="R47" s="166"/>
      <c r="S47" s="166"/>
      <c r="T47" s="166"/>
      <c r="U47" s="166"/>
    </row>
    <row r="48" spans="1:21" s="1166" customFormat="1" ht="14.25" x14ac:dyDescent="0.2">
      <c r="A48" s="1280"/>
      <c r="B48" s="268"/>
      <c r="C48" s="1179" t="s">
        <v>1536</v>
      </c>
      <c r="D48" s="1190" t="s">
        <v>1537</v>
      </c>
      <c r="E48" s="124"/>
      <c r="F48" s="314">
        <v>1184</v>
      </c>
      <c r="G48" s="316">
        <v>1184</v>
      </c>
      <c r="H48" s="1175">
        <f t="shared" si="2"/>
        <v>100</v>
      </c>
      <c r="I48" s="166"/>
      <c r="J48" s="166"/>
      <c r="K48" s="166"/>
      <c r="L48" s="166"/>
      <c r="M48" s="166"/>
      <c r="N48" s="166"/>
      <c r="O48" s="166"/>
      <c r="P48" s="166"/>
      <c r="Q48" s="166"/>
      <c r="R48" s="166"/>
      <c r="S48" s="166"/>
      <c r="T48" s="166"/>
      <c r="U48" s="166"/>
    </row>
    <row r="49" spans="1:21" s="1166" customFormat="1" ht="15" x14ac:dyDescent="0.25">
      <c r="A49" s="1280">
        <v>3315</v>
      </c>
      <c r="B49" s="268">
        <v>5171</v>
      </c>
      <c r="C49" s="1179"/>
      <c r="D49" s="128" t="s">
        <v>1001</v>
      </c>
      <c r="E49" s="60"/>
      <c r="F49" s="315">
        <f>F50+F51</f>
        <v>287</v>
      </c>
      <c r="G49" s="315">
        <f>G50+G51</f>
        <v>287</v>
      </c>
      <c r="H49" s="203">
        <f t="shared" si="2"/>
        <v>100</v>
      </c>
      <c r="I49" s="166"/>
      <c r="J49" s="166"/>
      <c r="K49" s="166"/>
      <c r="L49" s="166"/>
      <c r="M49" s="166"/>
      <c r="N49" s="166"/>
      <c r="O49" s="166"/>
      <c r="P49" s="166"/>
      <c r="Q49" s="166"/>
      <c r="R49" s="166"/>
      <c r="S49" s="166"/>
      <c r="T49" s="166"/>
      <c r="U49" s="166"/>
    </row>
    <row r="50" spans="1:21" s="1166" customFormat="1" ht="14.25" x14ac:dyDescent="0.2">
      <c r="A50" s="1280"/>
      <c r="B50" s="268"/>
      <c r="C50" s="1179" t="s">
        <v>203</v>
      </c>
      <c r="D50" s="1173" t="s">
        <v>994</v>
      </c>
      <c r="E50" s="124"/>
      <c r="F50" s="314">
        <v>106</v>
      </c>
      <c r="G50" s="316">
        <v>106</v>
      </c>
      <c r="H50" s="1175">
        <f t="shared" si="2"/>
        <v>100</v>
      </c>
      <c r="I50" s="166"/>
      <c r="J50" s="166"/>
      <c r="K50" s="166"/>
      <c r="L50" s="166"/>
      <c r="M50" s="166"/>
      <c r="N50" s="166"/>
      <c r="O50" s="166"/>
      <c r="P50" s="166"/>
      <c r="Q50" s="166"/>
      <c r="R50" s="166"/>
      <c r="S50" s="166"/>
      <c r="T50" s="166"/>
      <c r="U50" s="166"/>
    </row>
    <row r="51" spans="1:21" s="1166" customFormat="1" ht="14.25" x14ac:dyDescent="0.2">
      <c r="A51" s="1280"/>
      <c r="B51" s="268"/>
      <c r="C51" s="1179" t="s">
        <v>1536</v>
      </c>
      <c r="D51" s="1190" t="s">
        <v>1537</v>
      </c>
      <c r="E51" s="124"/>
      <c r="F51" s="314">
        <v>181</v>
      </c>
      <c r="G51" s="316">
        <v>181</v>
      </c>
      <c r="H51" s="1175">
        <f t="shared" si="2"/>
        <v>100</v>
      </c>
      <c r="I51" s="166"/>
      <c r="J51" s="166"/>
      <c r="K51" s="166"/>
      <c r="L51" s="166"/>
      <c r="M51" s="166"/>
      <c r="N51" s="166"/>
      <c r="O51" s="166"/>
      <c r="P51" s="166"/>
      <c r="Q51" s="166"/>
      <c r="R51" s="166"/>
      <c r="S51" s="166"/>
      <c r="T51" s="166"/>
      <c r="U51" s="166"/>
    </row>
    <row r="52" spans="1:21" s="1166" customFormat="1" ht="15" x14ac:dyDescent="0.25">
      <c r="A52" s="1280">
        <v>3315</v>
      </c>
      <c r="B52" s="268">
        <v>5172</v>
      </c>
      <c r="C52" s="1179"/>
      <c r="D52" s="1967" t="s">
        <v>1002</v>
      </c>
      <c r="E52" s="124"/>
      <c r="F52" s="313">
        <v>224</v>
      </c>
      <c r="G52" s="315">
        <v>224</v>
      </c>
      <c r="H52" s="203">
        <f t="shared" si="2"/>
        <v>100</v>
      </c>
      <c r="I52" s="166"/>
      <c r="J52" s="166"/>
      <c r="K52" s="166"/>
      <c r="L52" s="166"/>
      <c r="M52" s="166"/>
      <c r="N52" s="166"/>
      <c r="O52" s="166"/>
      <c r="P52" s="166"/>
      <c r="Q52" s="166"/>
      <c r="R52" s="166"/>
      <c r="S52" s="166"/>
      <c r="T52" s="166"/>
      <c r="U52" s="166"/>
    </row>
    <row r="53" spans="1:21" s="1166" customFormat="1" ht="14.25" x14ac:dyDescent="0.2">
      <c r="A53" s="1280"/>
      <c r="B53" s="268"/>
      <c r="C53" s="1179" t="s">
        <v>1536</v>
      </c>
      <c r="D53" s="1966" t="s">
        <v>1537</v>
      </c>
      <c r="E53" s="124"/>
      <c r="F53" s="314">
        <v>224</v>
      </c>
      <c r="G53" s="316">
        <v>224</v>
      </c>
      <c r="H53" s="1175">
        <f t="shared" si="2"/>
        <v>100</v>
      </c>
      <c r="I53" s="166"/>
      <c r="J53" s="166"/>
      <c r="K53" s="166"/>
      <c r="L53" s="166"/>
      <c r="M53" s="166"/>
      <c r="N53" s="166"/>
      <c r="O53" s="166"/>
      <c r="P53" s="166"/>
      <c r="Q53" s="166"/>
      <c r="R53" s="166"/>
      <c r="S53" s="166"/>
      <c r="T53" s="166"/>
      <c r="U53" s="166"/>
    </row>
    <row r="54" spans="1:21" s="1166" customFormat="1" ht="15" x14ac:dyDescent="0.25">
      <c r="A54" s="1280">
        <v>3315</v>
      </c>
      <c r="B54" s="268">
        <v>5901</v>
      </c>
      <c r="C54" s="1179"/>
      <c r="D54" s="128" t="s">
        <v>670</v>
      </c>
      <c r="E54" s="60">
        <v>650</v>
      </c>
      <c r="F54" s="313">
        <v>650</v>
      </c>
      <c r="G54" s="315">
        <v>0</v>
      </c>
      <c r="H54" s="1503">
        <f t="shared" si="2"/>
        <v>0</v>
      </c>
      <c r="I54" s="166"/>
      <c r="J54" s="166"/>
      <c r="K54" s="166"/>
      <c r="L54" s="166"/>
      <c r="M54" s="166"/>
      <c r="N54" s="166"/>
      <c r="O54" s="166"/>
      <c r="P54" s="166"/>
      <c r="Q54" s="166"/>
      <c r="R54" s="166"/>
      <c r="S54" s="166"/>
      <c r="T54" s="166"/>
      <c r="U54" s="166"/>
    </row>
    <row r="55" spans="1:21" s="1166" customFormat="1" ht="15" x14ac:dyDescent="0.25">
      <c r="A55" s="1280">
        <v>3321</v>
      </c>
      <c r="B55" s="268">
        <v>5137</v>
      </c>
      <c r="C55" s="1179"/>
      <c r="D55" s="128" t="s">
        <v>173</v>
      </c>
      <c r="E55" s="60"/>
      <c r="F55" s="313">
        <v>297</v>
      </c>
      <c r="G55" s="315">
        <v>248</v>
      </c>
      <c r="H55" s="1503">
        <f t="shared" si="2"/>
        <v>83.501683501683502</v>
      </c>
      <c r="I55" s="166"/>
      <c r="J55" s="166"/>
      <c r="K55" s="166"/>
      <c r="L55" s="166"/>
      <c r="M55" s="166"/>
      <c r="N55" s="166"/>
      <c r="O55" s="166"/>
      <c r="P55" s="166"/>
      <c r="Q55" s="166"/>
      <c r="R55" s="166"/>
      <c r="S55" s="166"/>
      <c r="T55" s="166"/>
      <c r="U55" s="166"/>
    </row>
    <row r="56" spans="1:21" s="1166" customFormat="1" ht="15" x14ac:dyDescent="0.25">
      <c r="A56" s="1280"/>
      <c r="B56" s="268"/>
      <c r="C56" s="1179" t="s">
        <v>203</v>
      </c>
      <c r="D56" s="1173" t="s">
        <v>994</v>
      </c>
      <c r="E56" s="60"/>
      <c r="F56" s="314">
        <v>268</v>
      </c>
      <c r="G56" s="316">
        <v>248</v>
      </c>
      <c r="H56" s="1175">
        <f t="shared" si="2"/>
        <v>92.537313432835816</v>
      </c>
      <c r="I56" s="166"/>
      <c r="J56" s="166"/>
      <c r="K56" s="166"/>
      <c r="L56" s="166"/>
      <c r="M56" s="166"/>
      <c r="N56" s="166"/>
      <c r="O56" s="166"/>
      <c r="P56" s="166"/>
      <c r="Q56" s="166"/>
      <c r="R56" s="166"/>
      <c r="S56" s="166"/>
      <c r="T56" s="166"/>
      <c r="U56" s="166"/>
    </row>
    <row r="57" spans="1:21" s="1166" customFormat="1" ht="15" x14ac:dyDescent="0.25">
      <c r="A57" s="1280"/>
      <c r="B57" s="268"/>
      <c r="C57" s="1179" t="s">
        <v>866</v>
      </c>
      <c r="D57" s="1173" t="s">
        <v>867</v>
      </c>
      <c r="E57" s="60"/>
      <c r="F57" s="314">
        <v>29</v>
      </c>
      <c r="G57" s="316">
        <v>0</v>
      </c>
      <c r="H57" s="1501">
        <v>0</v>
      </c>
      <c r="I57" s="166"/>
      <c r="J57" s="166"/>
      <c r="K57" s="166"/>
      <c r="L57" s="166"/>
      <c r="M57" s="166"/>
      <c r="N57" s="166"/>
      <c r="O57" s="166"/>
      <c r="P57" s="166"/>
      <c r="Q57" s="166"/>
      <c r="R57" s="166"/>
      <c r="S57" s="166"/>
      <c r="T57" s="166"/>
      <c r="U57" s="166"/>
    </row>
    <row r="58" spans="1:21" s="1166" customFormat="1" ht="15" x14ac:dyDescent="0.25">
      <c r="A58" s="1280">
        <v>3523</v>
      </c>
      <c r="B58" s="268">
        <v>5137</v>
      </c>
      <c r="C58" s="1179"/>
      <c r="D58" s="87" t="s">
        <v>173</v>
      </c>
      <c r="E58" s="124"/>
      <c r="F58" s="315">
        <f>F59+F60</f>
        <v>2624</v>
      </c>
      <c r="G58" s="315">
        <f>G59+G60</f>
        <v>2579</v>
      </c>
      <c r="H58" s="203">
        <f t="shared" ref="H58:H65" si="3">(G58/F58)*100</f>
        <v>98.285060975609767</v>
      </c>
      <c r="I58" s="166"/>
      <c r="J58" s="166"/>
      <c r="K58" s="166"/>
      <c r="L58" s="166"/>
      <c r="M58" s="166"/>
      <c r="N58" s="166"/>
      <c r="O58" s="166"/>
      <c r="P58" s="166"/>
      <c r="Q58" s="166"/>
      <c r="R58" s="166"/>
      <c r="S58" s="166"/>
      <c r="T58" s="166"/>
      <c r="U58" s="166"/>
    </row>
    <row r="59" spans="1:21" s="1166" customFormat="1" ht="14.25" x14ac:dyDescent="0.2">
      <c r="A59" s="1280"/>
      <c r="B59" s="268"/>
      <c r="C59" s="1179" t="s">
        <v>866</v>
      </c>
      <c r="D59" s="1173" t="s">
        <v>867</v>
      </c>
      <c r="E59" s="124"/>
      <c r="F59" s="314">
        <v>1019</v>
      </c>
      <c r="G59" s="316">
        <v>982</v>
      </c>
      <c r="H59" s="1175">
        <f t="shared" si="3"/>
        <v>96.368989205103034</v>
      </c>
      <c r="I59" s="166"/>
      <c r="J59" s="166"/>
      <c r="K59" s="166"/>
      <c r="L59" s="166"/>
      <c r="M59" s="166"/>
      <c r="N59" s="166"/>
      <c r="O59" s="166"/>
      <c r="P59" s="166"/>
      <c r="Q59" s="166"/>
      <c r="R59" s="166"/>
      <c r="S59" s="166"/>
      <c r="T59" s="166"/>
      <c r="U59" s="166"/>
    </row>
    <row r="60" spans="1:21" s="1166" customFormat="1" ht="14.25" x14ac:dyDescent="0.2">
      <c r="A60" s="1280"/>
      <c r="B60" s="268"/>
      <c r="C60" s="1179" t="s">
        <v>1536</v>
      </c>
      <c r="D60" s="1190" t="s">
        <v>1537</v>
      </c>
      <c r="E60" s="124"/>
      <c r="F60" s="314">
        <v>1605</v>
      </c>
      <c r="G60" s="316">
        <v>1597</v>
      </c>
      <c r="H60" s="1175">
        <f t="shared" si="3"/>
        <v>99.501557632398757</v>
      </c>
      <c r="I60" s="166"/>
      <c r="J60" s="166"/>
      <c r="K60" s="166"/>
      <c r="L60" s="166"/>
      <c r="M60" s="166"/>
      <c r="N60" s="166"/>
      <c r="O60" s="166"/>
      <c r="P60" s="166"/>
      <c r="Q60" s="166"/>
      <c r="R60" s="166"/>
      <c r="S60" s="166"/>
      <c r="T60" s="166"/>
      <c r="U60" s="166"/>
    </row>
    <row r="61" spans="1:21" s="1166" customFormat="1" ht="15" x14ac:dyDescent="0.25">
      <c r="A61" s="1280">
        <v>4322</v>
      </c>
      <c r="B61" s="268">
        <v>5171</v>
      </c>
      <c r="C61" s="1179"/>
      <c r="D61" s="128" t="s">
        <v>1001</v>
      </c>
      <c r="E61" s="60">
        <f>E62+E63</f>
        <v>950</v>
      </c>
      <c r="F61" s="60">
        <f>F62+F63</f>
        <v>16</v>
      </c>
      <c r="G61" s="60">
        <f>G62+G63</f>
        <v>11</v>
      </c>
      <c r="H61" s="203">
        <f t="shared" si="3"/>
        <v>68.75</v>
      </c>
      <c r="I61" s="166"/>
      <c r="J61" s="166"/>
      <c r="K61" s="166"/>
      <c r="L61" s="166"/>
      <c r="M61" s="166"/>
      <c r="N61" s="166"/>
      <c r="O61" s="166"/>
      <c r="P61" s="166"/>
      <c r="Q61" s="166"/>
      <c r="R61" s="166"/>
      <c r="S61" s="166"/>
      <c r="T61" s="166"/>
      <c r="U61" s="166"/>
    </row>
    <row r="62" spans="1:21" s="1166" customFormat="1" ht="14.25" x14ac:dyDescent="0.2">
      <c r="A62" s="1280"/>
      <c r="B62" s="268"/>
      <c r="C62" s="1179" t="s">
        <v>202</v>
      </c>
      <c r="D62" s="1173" t="s">
        <v>791</v>
      </c>
      <c r="E62" s="124">
        <v>50</v>
      </c>
      <c r="F62" s="314">
        <v>0</v>
      </c>
      <c r="G62" s="316">
        <v>0</v>
      </c>
      <c r="H62" s="1175">
        <v>0</v>
      </c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</row>
    <row r="63" spans="1:21" s="1166" customFormat="1" ht="14.25" x14ac:dyDescent="0.2">
      <c r="A63" s="1280"/>
      <c r="B63" s="268"/>
      <c r="C63" s="1179" t="s">
        <v>1536</v>
      </c>
      <c r="D63" s="1966" t="s">
        <v>1537</v>
      </c>
      <c r="E63" s="124">
        <v>900</v>
      </c>
      <c r="F63" s="314">
        <v>16</v>
      </c>
      <c r="G63" s="316">
        <v>11</v>
      </c>
      <c r="H63" s="1175">
        <f t="shared" si="3"/>
        <v>68.75</v>
      </c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</row>
    <row r="64" spans="1:21" s="1166" customFormat="1" ht="15" x14ac:dyDescent="0.25">
      <c r="A64" s="1280">
        <v>4351</v>
      </c>
      <c r="B64" s="268">
        <v>5171</v>
      </c>
      <c r="C64" s="1179"/>
      <c r="D64" s="128" t="s">
        <v>1001</v>
      </c>
      <c r="E64" s="60">
        <v>550</v>
      </c>
      <c r="F64" s="313">
        <v>448</v>
      </c>
      <c r="G64" s="315">
        <v>448</v>
      </c>
      <c r="H64" s="203">
        <f t="shared" si="3"/>
        <v>100</v>
      </c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</row>
    <row r="65" spans="1:21" s="1219" customFormat="1" ht="14.25" x14ac:dyDescent="0.2">
      <c r="A65" s="1280"/>
      <c r="B65" s="268"/>
      <c r="C65" s="1179" t="s">
        <v>1536</v>
      </c>
      <c r="D65" s="1966" t="s">
        <v>1537</v>
      </c>
      <c r="E65" s="124">
        <v>550</v>
      </c>
      <c r="F65" s="123">
        <v>448</v>
      </c>
      <c r="G65" s="124">
        <v>448</v>
      </c>
      <c r="H65" s="1501">
        <f t="shared" si="3"/>
        <v>100</v>
      </c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</row>
    <row r="66" spans="1:21" s="1166" customFormat="1" ht="15" x14ac:dyDescent="0.25">
      <c r="A66" s="223">
        <v>4357</v>
      </c>
      <c r="B66" s="96">
        <v>5137</v>
      </c>
      <c r="C66" s="1179"/>
      <c r="D66" s="72" t="s">
        <v>173</v>
      </c>
      <c r="E66" s="124"/>
      <c r="F66" s="315">
        <f>F67+F68</f>
        <v>3618</v>
      </c>
      <c r="G66" s="315">
        <f>G67+G68</f>
        <v>3585</v>
      </c>
      <c r="H66" s="1503">
        <f t="shared" ref="H66:H80" si="4">(G66/F66)*100</f>
        <v>99.087893864013267</v>
      </c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</row>
    <row r="67" spans="1:21" s="1166" customFormat="1" ht="14.25" x14ac:dyDescent="0.2">
      <c r="A67" s="223"/>
      <c r="B67" s="96"/>
      <c r="C67" s="1179" t="s">
        <v>866</v>
      </c>
      <c r="D67" s="117" t="s">
        <v>867</v>
      </c>
      <c r="E67" s="124"/>
      <c r="F67" s="316">
        <v>3522</v>
      </c>
      <c r="G67" s="316">
        <v>3522</v>
      </c>
      <c r="H67" s="1501">
        <f t="shared" si="4"/>
        <v>100</v>
      </c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</row>
    <row r="68" spans="1:21" s="1166" customFormat="1" ht="15" thickBot="1" x14ac:dyDescent="0.25">
      <c r="A68" s="263"/>
      <c r="B68" s="250"/>
      <c r="C68" s="1192" t="s">
        <v>1536</v>
      </c>
      <c r="D68" s="2522" t="s">
        <v>1537</v>
      </c>
      <c r="E68" s="184"/>
      <c r="F68" s="457">
        <v>96</v>
      </c>
      <c r="G68" s="457">
        <v>63</v>
      </c>
      <c r="H68" s="2523">
        <f t="shared" si="4"/>
        <v>65.625</v>
      </c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</row>
    <row r="69" spans="1:21" s="1166" customFormat="1" ht="15" thickTop="1" x14ac:dyDescent="0.2">
      <c r="A69" s="268"/>
      <c r="B69" s="268"/>
      <c r="C69" s="1169"/>
      <c r="D69" s="2498"/>
      <c r="E69" s="123"/>
      <c r="F69" s="314"/>
      <c r="G69" s="314"/>
      <c r="H69" s="1537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</row>
    <row r="70" spans="1:21" s="1166" customFormat="1" ht="14.25" x14ac:dyDescent="0.2">
      <c r="A70" s="268"/>
      <c r="B70" s="268"/>
      <c r="C70" s="1169"/>
      <c r="D70" s="1966"/>
      <c r="E70" s="123"/>
      <c r="F70" s="314"/>
      <c r="G70" s="314"/>
      <c r="H70" s="1537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</row>
    <row r="71" spans="1:21" ht="12.75" customHeight="1" thickBot="1" x14ac:dyDescent="0.3">
      <c r="A71" s="33"/>
      <c r="B71" s="28"/>
      <c r="C71" s="588"/>
      <c r="D71" s="699"/>
      <c r="E71" s="138"/>
      <c r="F71" s="16"/>
      <c r="G71" s="17"/>
      <c r="H71" s="692" t="s">
        <v>179</v>
      </c>
      <c r="I71" s="558"/>
      <c r="J71" s="558"/>
    </row>
    <row r="72" spans="1:21" s="1064" customFormat="1" ht="20.25" customHeight="1" thickTop="1" thickBot="1" x14ac:dyDescent="0.25">
      <c r="A72" s="1058" t="s">
        <v>180</v>
      </c>
      <c r="B72" s="1059" t="s">
        <v>181</v>
      </c>
      <c r="C72" s="1060" t="s">
        <v>783</v>
      </c>
      <c r="D72" s="1060" t="s">
        <v>182</v>
      </c>
      <c r="E72" s="1060" t="s">
        <v>183</v>
      </c>
      <c r="F72" s="1060" t="s">
        <v>985</v>
      </c>
      <c r="G72" s="1061" t="s">
        <v>986</v>
      </c>
      <c r="H72" s="1062" t="s">
        <v>987</v>
      </c>
      <c r="I72" s="1063"/>
      <c r="J72" s="1063"/>
    </row>
    <row r="73" spans="1:21" s="386" customFormat="1" ht="13.5" thickTop="1" thickBot="1" x14ac:dyDescent="0.25">
      <c r="A73" s="592">
        <v>1</v>
      </c>
      <c r="B73" s="593">
        <v>2</v>
      </c>
      <c r="C73" s="593">
        <v>3</v>
      </c>
      <c r="D73" s="593">
        <v>4</v>
      </c>
      <c r="E73" s="593">
        <v>5</v>
      </c>
      <c r="F73" s="567">
        <v>6</v>
      </c>
      <c r="G73" s="567">
        <v>7</v>
      </c>
      <c r="H73" s="662" t="s">
        <v>61</v>
      </c>
      <c r="I73" s="107"/>
    </row>
    <row r="74" spans="1:21" s="1166" customFormat="1" ht="15.75" thickTop="1" x14ac:dyDescent="0.25">
      <c r="A74" s="223">
        <v>4357</v>
      </c>
      <c r="B74" s="96">
        <v>5171</v>
      </c>
      <c r="C74" s="1179"/>
      <c r="D74" s="68" t="s">
        <v>1001</v>
      </c>
      <c r="E74" s="60">
        <f>E75+E76</f>
        <v>7489</v>
      </c>
      <c r="F74" s="60">
        <f>F75+F76</f>
        <v>5168</v>
      </c>
      <c r="G74" s="60">
        <f>G75+G76</f>
        <v>3816</v>
      </c>
      <c r="H74" s="1503">
        <f t="shared" si="4"/>
        <v>73.839009287925691</v>
      </c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</row>
    <row r="75" spans="1:21" s="1166" customFormat="1" ht="14.25" x14ac:dyDescent="0.2">
      <c r="A75" s="223"/>
      <c r="B75" s="96"/>
      <c r="C75" s="1179" t="s">
        <v>839</v>
      </c>
      <c r="D75" s="117" t="s">
        <v>995</v>
      </c>
      <c r="E75" s="124">
        <v>519</v>
      </c>
      <c r="F75" s="316">
        <v>668</v>
      </c>
      <c r="G75" s="316">
        <v>668</v>
      </c>
      <c r="H75" s="1501">
        <f t="shared" si="4"/>
        <v>100</v>
      </c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</row>
    <row r="76" spans="1:21" s="1166" customFormat="1" ht="14.25" x14ac:dyDescent="0.2">
      <c r="A76" s="223"/>
      <c r="B76" s="96"/>
      <c r="C76" s="1179" t="s">
        <v>1536</v>
      </c>
      <c r="D76" s="1190" t="s">
        <v>1537</v>
      </c>
      <c r="E76" s="124">
        <v>6970</v>
      </c>
      <c r="F76" s="316">
        <v>4500</v>
      </c>
      <c r="G76" s="316">
        <v>3148</v>
      </c>
      <c r="H76" s="1501">
        <f t="shared" si="4"/>
        <v>69.955555555555563</v>
      </c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</row>
    <row r="77" spans="1:21" s="1166" customFormat="1" ht="15" x14ac:dyDescent="0.25">
      <c r="A77" s="223">
        <v>4399</v>
      </c>
      <c r="B77" s="96">
        <v>5166</v>
      </c>
      <c r="C77" s="1179"/>
      <c r="D77" s="68" t="s">
        <v>742</v>
      </c>
      <c r="E77" s="60">
        <v>200</v>
      </c>
      <c r="F77" s="315">
        <v>250</v>
      </c>
      <c r="G77" s="315">
        <v>237</v>
      </c>
      <c r="H77" s="1503">
        <v>0</v>
      </c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</row>
    <row r="78" spans="1:21" s="1166" customFormat="1" ht="14.25" x14ac:dyDescent="0.2">
      <c r="A78" s="223"/>
      <c r="B78" s="96"/>
      <c r="C78" s="1179" t="s">
        <v>1536</v>
      </c>
      <c r="D78" s="1975" t="s">
        <v>1537</v>
      </c>
      <c r="E78" s="124">
        <v>200</v>
      </c>
      <c r="F78" s="316">
        <v>250</v>
      </c>
      <c r="G78" s="316">
        <v>237</v>
      </c>
      <c r="H78" s="1501">
        <v>0</v>
      </c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</row>
    <row r="79" spans="1:21" s="1166" customFormat="1" ht="15" x14ac:dyDescent="0.25">
      <c r="A79" s="223">
        <v>6172</v>
      </c>
      <c r="B79" s="96">
        <v>5164</v>
      </c>
      <c r="C79" s="1213"/>
      <c r="D79" s="68" t="s">
        <v>188</v>
      </c>
      <c r="E79" s="60">
        <v>500</v>
      </c>
      <c r="F79" s="315">
        <v>500</v>
      </c>
      <c r="G79" s="315">
        <v>21</v>
      </c>
      <c r="H79" s="203">
        <f t="shared" si="4"/>
        <v>4.2</v>
      </c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</row>
    <row r="80" spans="1:21" s="1166" customFormat="1" ht="15" x14ac:dyDescent="0.25">
      <c r="A80" s="223">
        <v>6172</v>
      </c>
      <c r="B80" s="96">
        <v>5166</v>
      </c>
      <c r="C80" s="1213"/>
      <c r="D80" s="68" t="s">
        <v>742</v>
      </c>
      <c r="E80" s="60">
        <v>300</v>
      </c>
      <c r="F80" s="315">
        <v>283</v>
      </c>
      <c r="G80" s="315">
        <v>10</v>
      </c>
      <c r="H80" s="203">
        <f t="shared" si="4"/>
        <v>3.5335689045936398</v>
      </c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</row>
    <row r="81" spans="1:21" s="1166" customFormat="1" ht="15" x14ac:dyDescent="0.25">
      <c r="A81" s="223">
        <v>6172</v>
      </c>
      <c r="B81" s="96">
        <v>5169</v>
      </c>
      <c r="C81" s="1213"/>
      <c r="D81" s="68" t="s">
        <v>955</v>
      </c>
      <c r="E81" s="60">
        <v>250</v>
      </c>
      <c r="F81" s="315">
        <v>250</v>
      </c>
      <c r="G81" s="315">
        <v>63</v>
      </c>
      <c r="H81" s="203">
        <f>(G81/F81)*100</f>
        <v>25.2</v>
      </c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</row>
    <row r="82" spans="1:21" s="1166" customFormat="1" ht="15.75" thickBot="1" x14ac:dyDescent="0.3">
      <c r="A82" s="223">
        <v>6172</v>
      </c>
      <c r="B82" s="96">
        <v>5362</v>
      </c>
      <c r="C82" s="1213"/>
      <c r="D82" s="68" t="s">
        <v>843</v>
      </c>
      <c r="E82" s="60">
        <v>50</v>
      </c>
      <c r="F82" s="315">
        <v>50</v>
      </c>
      <c r="G82" s="315">
        <v>0</v>
      </c>
      <c r="H82" s="1503">
        <v>0</v>
      </c>
      <c r="I82" s="166"/>
      <c r="J82" s="166" t="s">
        <v>589</v>
      </c>
      <c r="K82" s="166"/>
      <c r="L82" s="166">
        <v>0</v>
      </c>
      <c r="M82" s="1500">
        <f>F67+F16+F21+F28+F57+F59</f>
        <v>16550</v>
      </c>
      <c r="N82" s="1500">
        <f>G67+G16+G21+G28+G57+G59</f>
        <v>16473</v>
      </c>
      <c r="O82" s="166"/>
      <c r="P82" s="166"/>
      <c r="Q82" s="166"/>
      <c r="R82" s="166"/>
      <c r="S82" s="166"/>
      <c r="T82" s="166"/>
      <c r="U82" s="166"/>
    </row>
    <row r="83" spans="1:21" s="362" customFormat="1" ht="35.85" customHeight="1" thickTop="1" thickBot="1" x14ac:dyDescent="0.35">
      <c r="A83" s="1065" t="s">
        <v>268</v>
      </c>
      <c r="B83" s="1066"/>
      <c r="C83" s="1067"/>
      <c r="D83" s="1068"/>
      <c r="E83" s="667">
        <f>E17+E24+E30+E33+E36+E39+E41+E44+E54+E61+E64+E74+E77+E79+E80+E81+E82</f>
        <v>42504</v>
      </c>
      <c r="F83" s="667">
        <f>F11+F14+F17+F20+F22+F24+F27+F30+F33+F36+F39+F47+F49+F54+F55+F58+F61+F64+F66+F74+F77+F79+F80+F81+F82+F52</f>
        <v>63968</v>
      </c>
      <c r="G83" s="667">
        <f>G11+G14+G17+G20+G22+G24+G27+G30+G33+G36+G39+G47+G49+G54+G55+G58+G61+G64+G66+G74+G77+G79+G80+G81+G82+G52</f>
        <v>58658</v>
      </c>
      <c r="H83" s="668">
        <f>G83/F83*100</f>
        <v>91.698974487243618</v>
      </c>
      <c r="J83" s="703" t="s">
        <v>1538</v>
      </c>
      <c r="K83" s="703"/>
      <c r="L83" s="987">
        <f>E19+E26+E32+E35+E38+E40+E43+E46+E63+E65+E78+E76</f>
        <v>36089</v>
      </c>
      <c r="M83" s="987">
        <f>F13+F19+F23+F26+F29+F32+F35+F40+F48+F51+F60+F63+F65+F68+F76+F78+F53+F38</f>
        <v>34259</v>
      </c>
      <c r="N83" s="987">
        <f>G13+G19+G23+G26+G29+G32+G35+G40+G48+G51+G60+G63+G65+G68+G76+G78+G53+G38</f>
        <v>31566</v>
      </c>
    </row>
    <row r="84" spans="1:21" ht="13.5" thickTop="1" x14ac:dyDescent="0.2">
      <c r="E84" s="1962"/>
      <c r="F84" s="1962"/>
      <c r="G84" s="1962"/>
    </row>
    <row r="87" spans="1:21" ht="18" x14ac:dyDescent="0.25">
      <c r="A87" s="33" t="s">
        <v>1403</v>
      </c>
      <c r="B87" s="28"/>
      <c r="C87" s="132"/>
      <c r="D87" s="139"/>
      <c r="E87" s="137"/>
      <c r="F87" s="16"/>
      <c r="G87" s="17"/>
      <c r="H87" s="194"/>
      <c r="I87" s="558"/>
      <c r="J87" s="558"/>
    </row>
    <row r="88" spans="1:21" ht="13.5" thickBot="1" x14ac:dyDescent="0.25">
      <c r="A88" s="655"/>
      <c r="B88" s="655"/>
      <c r="C88" s="656"/>
      <c r="F88" s="1014"/>
      <c r="H88" s="692" t="s">
        <v>179</v>
      </c>
      <c r="I88" s="558"/>
      <c r="J88" s="558"/>
    </row>
    <row r="89" spans="1:21" s="1064" customFormat="1" ht="20.25" customHeight="1" thickTop="1" thickBot="1" x14ac:dyDescent="0.25">
      <c r="A89" s="1058" t="s">
        <v>180</v>
      </c>
      <c r="B89" s="1059" t="s">
        <v>181</v>
      </c>
      <c r="C89" s="1060" t="s">
        <v>783</v>
      </c>
      <c r="D89" s="1060" t="s">
        <v>182</v>
      </c>
      <c r="E89" s="1060" t="s">
        <v>183</v>
      </c>
      <c r="F89" s="1060" t="s">
        <v>985</v>
      </c>
      <c r="G89" s="1061" t="s">
        <v>986</v>
      </c>
      <c r="H89" s="1062" t="s">
        <v>987</v>
      </c>
      <c r="I89" s="1063"/>
      <c r="J89" s="1063"/>
    </row>
    <row r="90" spans="1:21" s="386" customFormat="1" ht="13.5" thickTop="1" thickBot="1" x14ac:dyDescent="0.25">
      <c r="A90" s="592">
        <v>1</v>
      </c>
      <c r="B90" s="593">
        <v>2</v>
      </c>
      <c r="C90" s="593">
        <v>3</v>
      </c>
      <c r="D90" s="593">
        <v>4</v>
      </c>
      <c r="E90" s="593">
        <v>5</v>
      </c>
      <c r="F90" s="567">
        <v>6</v>
      </c>
      <c r="G90" s="567">
        <v>7</v>
      </c>
      <c r="H90" s="662" t="s">
        <v>61</v>
      </c>
      <c r="I90" s="107"/>
    </row>
    <row r="91" spans="1:21" s="1166" customFormat="1" ht="15.75" thickTop="1" x14ac:dyDescent="0.25">
      <c r="A91" s="235">
        <v>2212</v>
      </c>
      <c r="B91" s="219">
        <v>6121</v>
      </c>
      <c r="C91" s="1212"/>
      <c r="D91" s="1225" t="s">
        <v>671</v>
      </c>
      <c r="E91" s="148">
        <f>E92+E93+E94</f>
        <v>154129</v>
      </c>
      <c r="F91" s="148">
        <f>F92+F93+F94</f>
        <v>86685</v>
      </c>
      <c r="G91" s="148">
        <f>G92+G93+G94</f>
        <v>78168</v>
      </c>
      <c r="H91" s="1472">
        <f t="shared" ref="H91:H105" si="5">(G91/F91)*100</f>
        <v>90.174770721578128</v>
      </c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</row>
    <row r="92" spans="1:21" s="1166" customFormat="1" ht="14.25" x14ac:dyDescent="0.2">
      <c r="A92" s="223"/>
      <c r="B92" s="96"/>
      <c r="C92" s="1179" t="s">
        <v>201</v>
      </c>
      <c r="D92" s="1173" t="s">
        <v>865</v>
      </c>
      <c r="E92" s="124">
        <v>51247</v>
      </c>
      <c r="F92" s="314">
        <v>38613</v>
      </c>
      <c r="G92" s="316">
        <v>35380</v>
      </c>
      <c r="H92" s="1175">
        <f t="shared" si="5"/>
        <v>91.62717219589257</v>
      </c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</row>
    <row r="93" spans="1:21" s="1166" customFormat="1" ht="14.25" x14ac:dyDescent="0.2">
      <c r="A93" s="223"/>
      <c r="B93" s="96"/>
      <c r="C93" s="1179" t="s">
        <v>866</v>
      </c>
      <c r="D93" s="1173" t="s">
        <v>867</v>
      </c>
      <c r="E93" s="124">
        <v>70842</v>
      </c>
      <c r="F93" s="314">
        <v>23272</v>
      </c>
      <c r="G93" s="316">
        <v>22980</v>
      </c>
      <c r="H93" s="1175">
        <f t="shared" si="5"/>
        <v>98.745273289790305</v>
      </c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</row>
    <row r="94" spans="1:21" s="1166" customFormat="1" ht="14.25" x14ac:dyDescent="0.2">
      <c r="A94" s="223"/>
      <c r="B94" s="96"/>
      <c r="C94" s="1179" t="s">
        <v>1536</v>
      </c>
      <c r="D94" s="1190" t="s">
        <v>1537</v>
      </c>
      <c r="E94" s="124">
        <v>32040</v>
      </c>
      <c r="F94" s="314">
        <v>24800</v>
      </c>
      <c r="G94" s="316">
        <v>19808</v>
      </c>
      <c r="H94" s="1175">
        <f t="shared" si="5"/>
        <v>79.870967741935488</v>
      </c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</row>
    <row r="95" spans="1:21" s="1166" customFormat="1" ht="15" x14ac:dyDescent="0.25">
      <c r="A95" s="223">
        <v>2212</v>
      </c>
      <c r="B95" s="96">
        <v>6130</v>
      </c>
      <c r="C95" s="1179"/>
      <c r="D95" s="87" t="s">
        <v>959</v>
      </c>
      <c r="E95" s="124"/>
      <c r="F95" s="315">
        <f>F96+F97</f>
        <v>2114</v>
      </c>
      <c r="G95" s="315">
        <f>G96+G97</f>
        <v>959</v>
      </c>
      <c r="H95" s="203">
        <f t="shared" si="5"/>
        <v>45.364238410596023</v>
      </c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</row>
    <row r="96" spans="1:21" s="1166" customFormat="1" ht="14.25" x14ac:dyDescent="0.2">
      <c r="A96" s="223"/>
      <c r="B96" s="96"/>
      <c r="C96" s="1179" t="s">
        <v>201</v>
      </c>
      <c r="D96" s="1173" t="s">
        <v>865</v>
      </c>
      <c r="E96" s="124"/>
      <c r="F96" s="314">
        <v>523</v>
      </c>
      <c r="G96" s="316">
        <v>156</v>
      </c>
      <c r="H96" s="1175">
        <f t="shared" si="5"/>
        <v>29.827915869980881</v>
      </c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</row>
    <row r="97" spans="1:21" s="1166" customFormat="1" ht="14.25" x14ac:dyDescent="0.2">
      <c r="A97" s="223"/>
      <c r="B97" s="96"/>
      <c r="C97" s="1179" t="s">
        <v>1536</v>
      </c>
      <c r="D97" s="1190" t="s">
        <v>1537</v>
      </c>
      <c r="E97" s="124"/>
      <c r="F97" s="314">
        <v>1591</v>
      </c>
      <c r="G97" s="316">
        <v>803</v>
      </c>
      <c r="H97" s="1175">
        <f t="shared" si="5"/>
        <v>50.47140163419234</v>
      </c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</row>
    <row r="98" spans="1:21" s="1166" customFormat="1" ht="15" x14ac:dyDescent="0.25">
      <c r="A98" s="223">
        <v>3114</v>
      </c>
      <c r="B98" s="96">
        <v>6111</v>
      </c>
      <c r="C98" s="1179"/>
      <c r="D98" s="1967" t="s">
        <v>1002</v>
      </c>
      <c r="E98" s="124"/>
      <c r="F98" s="313">
        <v>80</v>
      </c>
      <c r="G98" s="315">
        <v>80</v>
      </c>
      <c r="H98" s="203">
        <f t="shared" si="5"/>
        <v>100</v>
      </c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</row>
    <row r="99" spans="1:21" s="1166" customFormat="1" ht="14.25" x14ac:dyDescent="0.2">
      <c r="A99" s="223"/>
      <c r="B99" s="96"/>
      <c r="C99" s="1179" t="s">
        <v>866</v>
      </c>
      <c r="D99" s="1173" t="s">
        <v>867</v>
      </c>
      <c r="E99" s="124"/>
      <c r="F99" s="314">
        <v>80</v>
      </c>
      <c r="G99" s="316">
        <v>80</v>
      </c>
      <c r="H99" s="1175">
        <f t="shared" si="5"/>
        <v>100</v>
      </c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</row>
    <row r="100" spans="1:21" s="1166" customFormat="1" ht="15" x14ac:dyDescent="0.25">
      <c r="A100" s="223">
        <v>3114</v>
      </c>
      <c r="B100" s="96">
        <v>6121</v>
      </c>
      <c r="C100" s="1179"/>
      <c r="D100" s="128" t="s">
        <v>671</v>
      </c>
      <c r="E100" s="60">
        <f>E101+E102+E103</f>
        <v>105179</v>
      </c>
      <c r="F100" s="60">
        <f>F101+F102+F103</f>
        <v>115735</v>
      </c>
      <c r="G100" s="60">
        <f>G101+G102+G103</f>
        <v>115735</v>
      </c>
      <c r="H100" s="203">
        <f t="shared" si="5"/>
        <v>100</v>
      </c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</row>
    <row r="101" spans="1:21" s="1166" customFormat="1" ht="14.25" x14ac:dyDescent="0.2">
      <c r="A101" s="223"/>
      <c r="B101" s="96"/>
      <c r="C101" s="1179" t="s">
        <v>202</v>
      </c>
      <c r="D101" s="1173" t="s">
        <v>791</v>
      </c>
      <c r="E101" s="124">
        <v>16500</v>
      </c>
      <c r="F101" s="314">
        <v>17791</v>
      </c>
      <c r="G101" s="316">
        <v>17791</v>
      </c>
      <c r="H101" s="1175">
        <f t="shared" si="5"/>
        <v>100</v>
      </c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</row>
    <row r="102" spans="1:21" s="1166" customFormat="1" ht="14.25" x14ac:dyDescent="0.2">
      <c r="A102" s="223"/>
      <c r="B102" s="96"/>
      <c r="C102" s="1179" t="s">
        <v>866</v>
      </c>
      <c r="D102" s="1173" t="s">
        <v>867</v>
      </c>
      <c r="E102" s="124">
        <v>82500</v>
      </c>
      <c r="F102" s="314">
        <v>93045</v>
      </c>
      <c r="G102" s="316">
        <v>93045</v>
      </c>
      <c r="H102" s="1175">
        <f t="shared" si="5"/>
        <v>100</v>
      </c>
      <c r="I102" s="166"/>
      <c r="J102" s="166"/>
      <c r="K102" s="166"/>
      <c r="L102" s="166"/>
      <c r="M102" s="166"/>
      <c r="N102" s="166"/>
      <c r="O102" s="166"/>
      <c r="P102" s="166"/>
      <c r="Q102" s="166"/>
      <c r="R102" s="166"/>
      <c r="S102" s="166"/>
      <c r="T102" s="166"/>
      <c r="U102" s="166"/>
    </row>
    <row r="103" spans="1:21" s="1166" customFormat="1" ht="14.25" x14ac:dyDescent="0.2">
      <c r="A103" s="223"/>
      <c r="B103" s="96"/>
      <c r="C103" s="1179" t="s">
        <v>1536</v>
      </c>
      <c r="D103" s="1966" t="s">
        <v>1537</v>
      </c>
      <c r="E103" s="124">
        <v>6179</v>
      </c>
      <c r="F103" s="314">
        <v>4899</v>
      </c>
      <c r="G103" s="316">
        <v>4899</v>
      </c>
      <c r="H103" s="1175">
        <f t="shared" si="5"/>
        <v>100</v>
      </c>
      <c r="I103" s="166"/>
      <c r="J103" s="166"/>
      <c r="K103" s="166"/>
      <c r="L103" s="166"/>
      <c r="M103" s="166"/>
      <c r="N103" s="166"/>
      <c r="O103" s="166"/>
      <c r="P103" s="166"/>
      <c r="Q103" s="166"/>
      <c r="R103" s="166"/>
      <c r="S103" s="166"/>
      <c r="T103" s="166"/>
      <c r="U103" s="166"/>
    </row>
    <row r="104" spans="1:21" s="1166" customFormat="1" ht="15" x14ac:dyDescent="0.25">
      <c r="A104" s="223">
        <v>3114</v>
      </c>
      <c r="B104" s="96">
        <v>6122</v>
      </c>
      <c r="C104" s="1179"/>
      <c r="D104" s="128" t="s">
        <v>672</v>
      </c>
      <c r="E104" s="124"/>
      <c r="F104" s="313">
        <v>3537</v>
      </c>
      <c r="G104" s="315">
        <v>3537</v>
      </c>
      <c r="H104" s="203">
        <f t="shared" si="5"/>
        <v>100</v>
      </c>
      <c r="I104" s="166"/>
      <c r="J104" s="166"/>
      <c r="K104" s="166"/>
      <c r="L104" s="166"/>
      <c r="M104" s="166"/>
      <c r="N104" s="166"/>
      <c r="O104" s="166"/>
      <c r="P104" s="166"/>
      <c r="Q104" s="166"/>
      <c r="R104" s="166"/>
      <c r="S104" s="166"/>
      <c r="T104" s="166"/>
      <c r="U104" s="166"/>
    </row>
    <row r="105" spans="1:21" s="1166" customFormat="1" ht="14.25" x14ac:dyDescent="0.2">
      <c r="A105" s="223"/>
      <c r="B105" s="96"/>
      <c r="C105" s="1179" t="s">
        <v>866</v>
      </c>
      <c r="D105" s="1173" t="s">
        <v>867</v>
      </c>
      <c r="E105" s="124"/>
      <c r="F105" s="314">
        <v>3537</v>
      </c>
      <c r="G105" s="316">
        <v>3537</v>
      </c>
      <c r="H105" s="1175">
        <f t="shared" si="5"/>
        <v>100</v>
      </c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</row>
    <row r="106" spans="1:21" s="1166" customFormat="1" ht="15" x14ac:dyDescent="0.25">
      <c r="A106" s="223">
        <v>3121</v>
      </c>
      <c r="B106" s="96">
        <v>6121</v>
      </c>
      <c r="C106" s="1213"/>
      <c r="D106" s="128" t="s">
        <v>671</v>
      </c>
      <c r="E106" s="60">
        <f>E107+E108+E109</f>
        <v>66071</v>
      </c>
      <c r="F106" s="60">
        <f>F107+F108+F109</f>
        <v>69036</v>
      </c>
      <c r="G106" s="60">
        <f>G107+G108+G109</f>
        <v>68496</v>
      </c>
      <c r="H106" s="203">
        <f t="shared" ref="H106:H120" si="6">(G106/F106)*100</f>
        <v>99.217799409003987</v>
      </c>
      <c r="I106" s="166"/>
      <c r="J106" s="166"/>
      <c r="K106" s="166"/>
      <c r="L106" s="166"/>
      <c r="M106" s="166"/>
      <c r="N106" s="166"/>
      <c r="O106" s="166"/>
      <c r="P106" s="166"/>
      <c r="Q106" s="166"/>
      <c r="R106" s="166"/>
      <c r="S106" s="166"/>
      <c r="T106" s="166"/>
      <c r="U106" s="166"/>
    </row>
    <row r="107" spans="1:21" s="1166" customFormat="1" ht="14.25" x14ac:dyDescent="0.2">
      <c r="A107" s="223"/>
      <c r="B107" s="96"/>
      <c r="C107" s="1179" t="s">
        <v>202</v>
      </c>
      <c r="D107" s="1173" t="s">
        <v>791</v>
      </c>
      <c r="E107" s="124">
        <v>10163</v>
      </c>
      <c r="F107" s="314">
        <v>10441</v>
      </c>
      <c r="G107" s="316">
        <v>9911</v>
      </c>
      <c r="H107" s="1175">
        <f t="shared" si="6"/>
        <v>94.923857868020306</v>
      </c>
      <c r="I107" s="166"/>
      <c r="J107" s="166"/>
      <c r="K107" s="166"/>
      <c r="L107" s="166"/>
      <c r="M107" s="166"/>
      <c r="N107" s="166"/>
      <c r="O107" s="166"/>
      <c r="P107" s="166"/>
      <c r="Q107" s="166"/>
      <c r="R107" s="166"/>
      <c r="S107" s="166"/>
      <c r="T107" s="166"/>
      <c r="U107" s="166"/>
    </row>
    <row r="108" spans="1:21" s="1166" customFormat="1" ht="14.25" x14ac:dyDescent="0.2">
      <c r="A108" s="223"/>
      <c r="B108" s="96"/>
      <c r="C108" s="1179" t="s">
        <v>866</v>
      </c>
      <c r="D108" s="1173" t="s">
        <v>867</v>
      </c>
      <c r="E108" s="124">
        <v>47168</v>
      </c>
      <c r="F108" s="314">
        <v>52425</v>
      </c>
      <c r="G108" s="316">
        <v>52415</v>
      </c>
      <c r="H108" s="1175">
        <f t="shared" si="6"/>
        <v>99.980925131139713</v>
      </c>
      <c r="I108" s="166"/>
      <c r="J108" s="166"/>
      <c r="K108" s="166"/>
      <c r="L108" s="166"/>
      <c r="M108" s="166"/>
      <c r="N108" s="166"/>
      <c r="O108" s="166"/>
      <c r="P108" s="166"/>
      <c r="Q108" s="166"/>
      <c r="R108" s="166"/>
      <c r="S108" s="166"/>
      <c r="T108" s="166"/>
      <c r="U108" s="166"/>
    </row>
    <row r="109" spans="1:21" s="1166" customFormat="1" ht="14.25" x14ac:dyDescent="0.2">
      <c r="A109" s="223"/>
      <c r="B109" s="96"/>
      <c r="C109" s="1179" t="s">
        <v>1536</v>
      </c>
      <c r="D109" s="1190" t="s">
        <v>1537</v>
      </c>
      <c r="E109" s="124">
        <v>8740</v>
      </c>
      <c r="F109" s="314">
        <v>6170</v>
      </c>
      <c r="G109" s="316">
        <v>6170</v>
      </c>
      <c r="H109" s="1175">
        <f t="shared" si="6"/>
        <v>100</v>
      </c>
      <c r="I109" s="166"/>
      <c r="J109" s="166"/>
      <c r="K109" s="166"/>
      <c r="L109" s="166"/>
      <c r="M109" s="166"/>
      <c r="N109" s="166"/>
      <c r="O109" s="166"/>
      <c r="P109" s="166"/>
      <c r="Q109" s="166"/>
      <c r="R109" s="166"/>
      <c r="S109" s="166"/>
      <c r="T109" s="166"/>
      <c r="U109" s="166"/>
    </row>
    <row r="110" spans="1:21" s="1166" customFormat="1" ht="15" x14ac:dyDescent="0.25">
      <c r="A110" s="223">
        <v>3122</v>
      </c>
      <c r="B110" s="96">
        <v>6121</v>
      </c>
      <c r="C110" s="1213"/>
      <c r="D110" s="128" t="s">
        <v>671</v>
      </c>
      <c r="E110" s="60">
        <f>E111+E112+E113</f>
        <v>103955</v>
      </c>
      <c r="F110" s="60">
        <f>F111+F112+F113</f>
        <v>96980</v>
      </c>
      <c r="G110" s="60">
        <f>G111+G112+G113</f>
        <v>89976</v>
      </c>
      <c r="H110" s="203">
        <f t="shared" si="6"/>
        <v>92.777892348937925</v>
      </c>
      <c r="I110" s="1308"/>
      <c r="J110" s="166"/>
      <c r="K110" s="166"/>
      <c r="L110" s="166"/>
      <c r="M110" s="166"/>
      <c r="N110" s="166"/>
      <c r="O110" s="166"/>
      <c r="P110" s="166"/>
      <c r="Q110" s="166"/>
      <c r="R110" s="166"/>
      <c r="S110" s="166"/>
      <c r="T110" s="166"/>
      <c r="U110" s="166"/>
    </row>
    <row r="111" spans="1:21" s="1166" customFormat="1" ht="14.25" x14ac:dyDescent="0.2">
      <c r="A111" s="223"/>
      <c r="B111" s="96"/>
      <c r="C111" s="1179" t="s">
        <v>202</v>
      </c>
      <c r="D111" s="1173" t="s">
        <v>791</v>
      </c>
      <c r="E111" s="124">
        <v>16140</v>
      </c>
      <c r="F111" s="314">
        <v>16292</v>
      </c>
      <c r="G111" s="316">
        <v>12329</v>
      </c>
      <c r="H111" s="1175">
        <f t="shared" si="6"/>
        <v>75.675178001473114</v>
      </c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</row>
    <row r="112" spans="1:21" s="1166" customFormat="1" ht="14.25" x14ac:dyDescent="0.2">
      <c r="A112" s="223"/>
      <c r="B112" s="96"/>
      <c r="C112" s="1179" t="s">
        <v>866</v>
      </c>
      <c r="D112" s="1173" t="s">
        <v>867</v>
      </c>
      <c r="E112" s="124">
        <v>75000</v>
      </c>
      <c r="F112" s="314">
        <v>71634</v>
      </c>
      <c r="G112" s="316">
        <v>68930</v>
      </c>
      <c r="H112" s="1175">
        <f t="shared" si="6"/>
        <v>96.225256163274423</v>
      </c>
      <c r="I112" s="166"/>
      <c r="J112" s="166"/>
      <c r="K112" s="166"/>
      <c r="L112" s="166"/>
      <c r="M112" s="166"/>
      <c r="N112" s="166"/>
      <c r="O112" s="166"/>
      <c r="P112" s="166"/>
      <c r="Q112" s="166"/>
      <c r="R112" s="166"/>
      <c r="S112" s="166"/>
      <c r="T112" s="166"/>
      <c r="U112" s="166"/>
    </row>
    <row r="113" spans="1:21" s="1166" customFormat="1" ht="14.25" x14ac:dyDescent="0.2">
      <c r="A113" s="223"/>
      <c r="B113" s="96"/>
      <c r="C113" s="1179" t="s">
        <v>1536</v>
      </c>
      <c r="D113" s="1190" t="s">
        <v>1537</v>
      </c>
      <c r="E113" s="124">
        <v>12815</v>
      </c>
      <c r="F113" s="314">
        <v>9054</v>
      </c>
      <c r="G113" s="316">
        <v>8717</v>
      </c>
      <c r="H113" s="1175">
        <f t="shared" si="6"/>
        <v>96.277888226198357</v>
      </c>
      <c r="I113" s="166"/>
      <c r="J113" s="166"/>
      <c r="K113" s="166"/>
      <c r="L113" s="166"/>
      <c r="M113" s="166"/>
      <c r="N113" s="166"/>
      <c r="O113" s="166"/>
      <c r="P113" s="166"/>
      <c r="Q113" s="166"/>
      <c r="R113" s="166"/>
      <c r="S113" s="166"/>
      <c r="T113" s="166"/>
      <c r="U113" s="166"/>
    </row>
    <row r="114" spans="1:21" s="1166" customFormat="1" ht="15" x14ac:dyDescent="0.25">
      <c r="A114" s="223">
        <v>3122</v>
      </c>
      <c r="B114" s="96">
        <v>6122</v>
      </c>
      <c r="C114" s="1213"/>
      <c r="D114" s="128" t="s">
        <v>672</v>
      </c>
      <c r="E114" s="60"/>
      <c r="F114" s="313">
        <v>43</v>
      </c>
      <c r="G114" s="315">
        <v>43</v>
      </c>
      <c r="H114" s="203">
        <f t="shared" si="6"/>
        <v>100</v>
      </c>
      <c r="I114" s="166"/>
      <c r="J114" s="166"/>
      <c r="K114" s="166"/>
      <c r="L114" s="166"/>
      <c r="M114" s="166"/>
      <c r="N114" s="166"/>
      <c r="O114" s="166"/>
      <c r="P114" s="166"/>
      <c r="Q114" s="166"/>
      <c r="R114" s="166"/>
      <c r="S114" s="166"/>
      <c r="T114" s="166"/>
      <c r="U114" s="166"/>
    </row>
    <row r="115" spans="1:21" s="1166" customFormat="1" ht="14.25" x14ac:dyDescent="0.2">
      <c r="A115" s="223"/>
      <c r="B115" s="96"/>
      <c r="C115" s="1179" t="s">
        <v>1536</v>
      </c>
      <c r="D115" s="1190" t="s">
        <v>1537</v>
      </c>
      <c r="E115" s="124"/>
      <c r="F115" s="314">
        <v>43</v>
      </c>
      <c r="G115" s="316">
        <v>43</v>
      </c>
      <c r="H115" s="1175">
        <f t="shared" si="6"/>
        <v>100</v>
      </c>
      <c r="I115" s="166"/>
      <c r="J115" s="166"/>
      <c r="K115" s="166"/>
      <c r="L115" s="166"/>
      <c r="M115" s="166"/>
      <c r="N115" s="166"/>
      <c r="O115" s="166"/>
      <c r="P115" s="166"/>
      <c r="Q115" s="166"/>
      <c r="R115" s="166"/>
      <c r="S115" s="166"/>
      <c r="T115" s="166"/>
      <c r="U115" s="166"/>
    </row>
    <row r="116" spans="1:21" s="1166" customFormat="1" ht="15" x14ac:dyDescent="0.25">
      <c r="A116" s="223">
        <v>3123</v>
      </c>
      <c r="B116" s="96">
        <v>6121</v>
      </c>
      <c r="C116" s="1213"/>
      <c r="D116" s="128" t="s">
        <v>671</v>
      </c>
      <c r="E116" s="60">
        <f>E117+E118+E119</f>
        <v>16670</v>
      </c>
      <c r="F116" s="60">
        <f>F117+F118+F119</f>
        <v>13390</v>
      </c>
      <c r="G116" s="60">
        <f>G117+G118+G119</f>
        <v>12129</v>
      </c>
      <c r="H116" s="203">
        <f t="shared" si="6"/>
        <v>90.582524271844662</v>
      </c>
      <c r="I116" s="166"/>
      <c r="J116" s="1500"/>
      <c r="K116" s="166"/>
      <c r="L116" s="166"/>
      <c r="M116" s="166"/>
      <c r="N116" s="166"/>
      <c r="O116" s="166"/>
      <c r="P116" s="166"/>
      <c r="Q116" s="166"/>
      <c r="R116" s="166"/>
      <c r="S116" s="166"/>
      <c r="T116" s="166"/>
      <c r="U116" s="166"/>
    </row>
    <row r="117" spans="1:21" s="1166" customFormat="1" ht="14.25" x14ac:dyDescent="0.2">
      <c r="A117" s="223"/>
      <c r="B117" s="96"/>
      <c r="C117" s="1179" t="s">
        <v>202</v>
      </c>
      <c r="D117" s="1173" t="s">
        <v>791</v>
      </c>
      <c r="E117" s="124">
        <v>2370</v>
      </c>
      <c r="F117" s="314">
        <v>1610</v>
      </c>
      <c r="G117" s="316">
        <v>1457</v>
      </c>
      <c r="H117" s="1175">
        <f t="shared" si="6"/>
        <v>90.496894409937894</v>
      </c>
      <c r="I117" s="166"/>
      <c r="J117" s="166"/>
      <c r="K117" s="166"/>
      <c r="L117" s="166"/>
      <c r="M117" s="166"/>
      <c r="N117" s="166"/>
      <c r="O117" s="166"/>
      <c r="P117" s="166"/>
      <c r="Q117" s="166"/>
      <c r="R117" s="166"/>
      <c r="S117" s="166"/>
      <c r="T117" s="166"/>
      <c r="U117" s="166"/>
    </row>
    <row r="118" spans="1:21" s="1166" customFormat="1" ht="14.25" x14ac:dyDescent="0.2">
      <c r="A118" s="223"/>
      <c r="B118" s="96"/>
      <c r="C118" s="1179" t="s">
        <v>866</v>
      </c>
      <c r="D118" s="1173" t="s">
        <v>867</v>
      </c>
      <c r="E118" s="124">
        <v>8600</v>
      </c>
      <c r="F118" s="314">
        <v>7077</v>
      </c>
      <c r="G118" s="316">
        <v>7076</v>
      </c>
      <c r="H118" s="1175">
        <f t="shared" si="6"/>
        <v>99.985869718807407</v>
      </c>
      <c r="I118" s="166"/>
      <c r="J118" s="166"/>
      <c r="K118" s="166"/>
      <c r="L118" s="166"/>
      <c r="M118" s="166"/>
      <c r="N118" s="166"/>
      <c r="O118" s="166"/>
      <c r="P118" s="166"/>
      <c r="Q118" s="166"/>
      <c r="R118" s="166"/>
      <c r="S118" s="166"/>
      <c r="T118" s="166"/>
      <c r="U118" s="166"/>
    </row>
    <row r="119" spans="1:21" s="1166" customFormat="1" ht="14.25" x14ac:dyDescent="0.2">
      <c r="A119" s="223"/>
      <c r="B119" s="96"/>
      <c r="C119" s="1179" t="s">
        <v>1536</v>
      </c>
      <c r="D119" s="1190" t="s">
        <v>1537</v>
      </c>
      <c r="E119" s="124">
        <v>5700</v>
      </c>
      <c r="F119" s="314">
        <v>4703</v>
      </c>
      <c r="G119" s="316">
        <v>3596</v>
      </c>
      <c r="H119" s="1175">
        <f t="shared" si="6"/>
        <v>76.461832872634488</v>
      </c>
      <c r="I119" s="166"/>
      <c r="J119" s="166"/>
      <c r="K119" s="166"/>
      <c r="L119" s="166"/>
      <c r="M119" s="166"/>
      <c r="N119" s="166"/>
      <c r="O119" s="166"/>
      <c r="P119" s="166"/>
      <c r="Q119" s="166"/>
      <c r="R119" s="166"/>
      <c r="S119" s="166"/>
      <c r="T119" s="166"/>
      <c r="U119" s="166"/>
    </row>
    <row r="120" spans="1:21" s="1166" customFormat="1" ht="15" x14ac:dyDescent="0.25">
      <c r="A120" s="223">
        <v>3124</v>
      </c>
      <c r="B120" s="96">
        <v>6121</v>
      </c>
      <c r="C120" s="1179"/>
      <c r="D120" s="128" t="s">
        <v>671</v>
      </c>
      <c r="E120" s="60">
        <f>E121+E122</f>
        <v>500</v>
      </c>
      <c r="F120" s="60">
        <f>F121+F122</f>
        <v>1474</v>
      </c>
      <c r="G120" s="60">
        <f>G121+G122</f>
        <v>553</v>
      </c>
      <c r="H120" s="203">
        <f t="shared" si="6"/>
        <v>37.516960651289011</v>
      </c>
      <c r="I120" s="166"/>
      <c r="J120" s="166"/>
      <c r="K120" s="166"/>
      <c r="L120" s="166"/>
      <c r="M120" s="166"/>
      <c r="N120" s="166"/>
      <c r="O120" s="166"/>
      <c r="P120" s="166"/>
      <c r="Q120" s="166"/>
      <c r="R120" s="166"/>
      <c r="S120" s="166"/>
      <c r="T120" s="166"/>
      <c r="U120" s="166"/>
    </row>
    <row r="121" spans="1:21" s="1166" customFormat="1" ht="14.25" x14ac:dyDescent="0.2">
      <c r="A121" s="223"/>
      <c r="B121" s="96"/>
      <c r="C121" s="1179" t="s">
        <v>202</v>
      </c>
      <c r="D121" s="1173" t="s">
        <v>791</v>
      </c>
      <c r="E121" s="124">
        <v>50</v>
      </c>
      <c r="F121" s="314">
        <v>50</v>
      </c>
      <c r="G121" s="316">
        <v>0</v>
      </c>
      <c r="H121" s="1175">
        <v>0</v>
      </c>
      <c r="I121" s="166"/>
      <c r="J121" s="166"/>
      <c r="K121" s="166"/>
      <c r="L121" s="166"/>
      <c r="M121" s="166"/>
      <c r="N121" s="166"/>
      <c r="O121" s="166"/>
      <c r="P121" s="166"/>
      <c r="Q121" s="166"/>
      <c r="R121" s="166"/>
      <c r="S121" s="166"/>
      <c r="T121" s="166"/>
      <c r="U121" s="166"/>
    </row>
    <row r="122" spans="1:21" s="1166" customFormat="1" ht="14.25" x14ac:dyDescent="0.2">
      <c r="A122" s="223"/>
      <c r="B122" s="96"/>
      <c r="C122" s="1179" t="s">
        <v>1536</v>
      </c>
      <c r="D122" s="1966" t="s">
        <v>1537</v>
      </c>
      <c r="E122" s="124">
        <v>450</v>
      </c>
      <c r="F122" s="314">
        <v>1424</v>
      </c>
      <c r="G122" s="316">
        <v>553</v>
      </c>
      <c r="H122" s="1175">
        <f t="shared" ref="H122:H128" si="7">(G122/F122)*100</f>
        <v>38.834269662921351</v>
      </c>
      <c r="I122" s="166"/>
      <c r="J122" s="166"/>
      <c r="K122" s="166"/>
      <c r="L122" s="166"/>
      <c r="M122" s="166"/>
      <c r="N122" s="166"/>
      <c r="O122" s="166"/>
      <c r="P122" s="166"/>
      <c r="Q122" s="166"/>
      <c r="R122" s="166"/>
      <c r="S122" s="166"/>
      <c r="T122" s="166"/>
      <c r="U122" s="166"/>
    </row>
    <row r="123" spans="1:21" s="1166" customFormat="1" ht="15" x14ac:dyDescent="0.25">
      <c r="A123" s="223">
        <v>3124</v>
      </c>
      <c r="B123" s="96">
        <v>6121</v>
      </c>
      <c r="C123" s="1179"/>
      <c r="D123" s="128" t="s">
        <v>671</v>
      </c>
      <c r="E123" s="60">
        <v>1400</v>
      </c>
      <c r="F123" s="313">
        <v>375</v>
      </c>
      <c r="G123" s="315">
        <v>264</v>
      </c>
      <c r="H123" s="203">
        <f t="shared" si="7"/>
        <v>70.399999999999991</v>
      </c>
      <c r="I123" s="166"/>
      <c r="J123" s="166"/>
      <c r="K123" s="166"/>
      <c r="L123" s="166"/>
      <c r="M123" s="166"/>
      <c r="N123" s="166"/>
      <c r="O123" s="166"/>
      <c r="P123" s="166"/>
      <c r="Q123" s="166"/>
      <c r="R123" s="166"/>
      <c r="S123" s="166"/>
      <c r="T123" s="166"/>
      <c r="U123" s="166"/>
    </row>
    <row r="124" spans="1:21" s="1166" customFormat="1" ht="14.25" x14ac:dyDescent="0.2">
      <c r="A124" s="223"/>
      <c r="B124" s="96"/>
      <c r="C124" s="1179" t="s">
        <v>1536</v>
      </c>
      <c r="D124" s="1966" t="s">
        <v>1537</v>
      </c>
      <c r="E124" s="124">
        <v>1400</v>
      </c>
      <c r="F124" s="314">
        <v>375</v>
      </c>
      <c r="G124" s="316">
        <v>264</v>
      </c>
      <c r="H124" s="1175">
        <f t="shared" si="7"/>
        <v>70.399999999999991</v>
      </c>
      <c r="I124" s="166"/>
      <c r="J124" s="166"/>
      <c r="K124" s="166"/>
      <c r="L124" s="166"/>
      <c r="M124" s="166"/>
      <c r="N124" s="166"/>
      <c r="O124" s="166"/>
      <c r="P124" s="166"/>
      <c r="Q124" s="166"/>
      <c r="R124" s="166"/>
      <c r="S124" s="166"/>
      <c r="T124" s="166"/>
      <c r="U124" s="166"/>
    </row>
    <row r="125" spans="1:21" s="1166" customFormat="1" ht="15" x14ac:dyDescent="0.25">
      <c r="A125" s="223">
        <v>3145</v>
      </c>
      <c r="B125" s="96">
        <v>6121</v>
      </c>
      <c r="C125" s="1179"/>
      <c r="D125" s="128" t="s">
        <v>671</v>
      </c>
      <c r="E125" s="60">
        <v>4300</v>
      </c>
      <c r="F125" s="313">
        <v>3443</v>
      </c>
      <c r="G125" s="315">
        <v>3443</v>
      </c>
      <c r="H125" s="203">
        <f t="shared" si="7"/>
        <v>100</v>
      </c>
      <c r="I125" s="166"/>
      <c r="J125" s="166"/>
      <c r="K125" s="166"/>
      <c r="L125" s="166"/>
      <c r="M125" s="166"/>
      <c r="N125" s="166"/>
      <c r="O125" s="166"/>
      <c r="P125" s="166"/>
      <c r="Q125" s="166"/>
      <c r="R125" s="166"/>
      <c r="S125" s="166"/>
      <c r="T125" s="166"/>
      <c r="U125" s="166"/>
    </row>
    <row r="126" spans="1:21" s="1166" customFormat="1" ht="14.25" x14ac:dyDescent="0.2">
      <c r="A126" s="223"/>
      <c r="B126" s="96"/>
      <c r="C126" s="1179" t="s">
        <v>1536</v>
      </c>
      <c r="D126" s="1966" t="s">
        <v>1537</v>
      </c>
      <c r="E126" s="124">
        <v>4300</v>
      </c>
      <c r="F126" s="314">
        <v>3443</v>
      </c>
      <c r="G126" s="316">
        <v>3443</v>
      </c>
      <c r="H126" s="1175">
        <f t="shared" si="7"/>
        <v>100</v>
      </c>
      <c r="I126" s="166"/>
      <c r="J126" s="166"/>
      <c r="K126" s="166"/>
      <c r="L126" s="166"/>
      <c r="M126" s="166"/>
      <c r="N126" s="166"/>
      <c r="O126" s="166"/>
      <c r="P126" s="166"/>
      <c r="Q126" s="166"/>
      <c r="R126" s="166"/>
      <c r="S126" s="166"/>
      <c r="T126" s="166"/>
      <c r="U126" s="166"/>
    </row>
    <row r="127" spans="1:21" s="1166" customFormat="1" ht="15" x14ac:dyDescent="0.25">
      <c r="A127" s="223">
        <v>3147</v>
      </c>
      <c r="B127" s="96">
        <v>6121</v>
      </c>
      <c r="C127" s="1179"/>
      <c r="D127" s="128" t="s">
        <v>671</v>
      </c>
      <c r="E127" s="60">
        <v>500</v>
      </c>
      <c r="F127" s="313">
        <v>178</v>
      </c>
      <c r="G127" s="315">
        <v>178</v>
      </c>
      <c r="H127" s="203">
        <f t="shared" si="7"/>
        <v>100</v>
      </c>
      <c r="I127" s="166"/>
      <c r="J127" s="166"/>
      <c r="K127" s="166"/>
      <c r="L127" s="166"/>
      <c r="M127" s="166"/>
      <c r="N127" s="166"/>
      <c r="O127" s="166"/>
      <c r="P127" s="166"/>
      <c r="Q127" s="166"/>
      <c r="R127" s="166"/>
      <c r="S127" s="166"/>
      <c r="T127" s="166"/>
      <c r="U127" s="166"/>
    </row>
    <row r="128" spans="1:21" s="1166" customFormat="1" ht="14.25" x14ac:dyDescent="0.2">
      <c r="A128" s="223"/>
      <c r="B128" s="96"/>
      <c r="C128" s="1179" t="s">
        <v>1536</v>
      </c>
      <c r="D128" s="1966" t="s">
        <v>1537</v>
      </c>
      <c r="E128" s="124">
        <v>500</v>
      </c>
      <c r="F128" s="314">
        <v>178</v>
      </c>
      <c r="G128" s="316">
        <v>178</v>
      </c>
      <c r="H128" s="1175">
        <f t="shared" si="7"/>
        <v>100</v>
      </c>
      <c r="I128" s="166"/>
      <c r="J128" s="166"/>
      <c r="K128" s="166"/>
      <c r="L128" s="166"/>
      <c r="M128" s="166"/>
      <c r="N128" s="166"/>
      <c r="O128" s="166"/>
      <c r="P128" s="166"/>
      <c r="Q128" s="166"/>
      <c r="R128" s="166"/>
      <c r="S128" s="166"/>
      <c r="T128" s="166"/>
      <c r="U128" s="166"/>
    </row>
    <row r="129" spans="1:21" s="1166" customFormat="1" ht="15" x14ac:dyDescent="0.25">
      <c r="A129" s="223">
        <v>3149</v>
      </c>
      <c r="B129" s="96">
        <v>6121</v>
      </c>
      <c r="C129" s="1213"/>
      <c r="D129" s="128" t="s">
        <v>671</v>
      </c>
      <c r="E129" s="60">
        <f>E130+E131</f>
        <v>1080</v>
      </c>
      <c r="F129" s="60">
        <f>F130+F131</f>
        <v>1393</v>
      </c>
      <c r="G129" s="60">
        <f>G130+G131</f>
        <v>1393</v>
      </c>
      <c r="H129" s="203">
        <v>0</v>
      </c>
      <c r="I129" s="166"/>
      <c r="J129" s="166"/>
      <c r="K129" s="166"/>
      <c r="L129" s="166"/>
      <c r="M129" s="166"/>
      <c r="N129" s="166"/>
      <c r="O129" s="166"/>
      <c r="P129" s="166"/>
      <c r="Q129" s="166"/>
      <c r="R129" s="166"/>
      <c r="S129" s="166"/>
      <c r="T129" s="166"/>
      <c r="U129" s="166"/>
    </row>
    <row r="130" spans="1:21" s="1166" customFormat="1" ht="14.25" x14ac:dyDescent="0.2">
      <c r="A130" s="223"/>
      <c r="B130" s="96"/>
      <c r="C130" s="1179" t="s">
        <v>202</v>
      </c>
      <c r="D130" s="1173" t="s">
        <v>791</v>
      </c>
      <c r="E130" s="124">
        <v>100</v>
      </c>
      <c r="F130" s="314">
        <v>130</v>
      </c>
      <c r="G130" s="316">
        <v>130</v>
      </c>
      <c r="H130" s="1175">
        <v>0</v>
      </c>
      <c r="I130" s="166"/>
      <c r="J130" s="166"/>
      <c r="K130" s="166"/>
      <c r="L130" s="166"/>
      <c r="M130" s="166"/>
      <c r="N130" s="166"/>
      <c r="O130" s="166"/>
      <c r="P130" s="166"/>
      <c r="Q130" s="166"/>
      <c r="R130" s="166"/>
      <c r="S130" s="166"/>
      <c r="T130" s="166"/>
      <c r="U130" s="166"/>
    </row>
    <row r="131" spans="1:21" s="1166" customFormat="1" ht="14.25" x14ac:dyDescent="0.2">
      <c r="A131" s="223"/>
      <c r="B131" s="96"/>
      <c r="C131" s="1179" t="s">
        <v>1536</v>
      </c>
      <c r="D131" s="1190" t="s">
        <v>1537</v>
      </c>
      <c r="E131" s="124">
        <v>980</v>
      </c>
      <c r="F131" s="314">
        <v>1263</v>
      </c>
      <c r="G131" s="316">
        <v>1263</v>
      </c>
      <c r="H131" s="1175">
        <f>(G131/F131)*100</f>
        <v>100</v>
      </c>
      <c r="I131" s="166"/>
      <c r="J131" s="166"/>
      <c r="K131" s="166"/>
      <c r="L131" s="166"/>
      <c r="M131" s="166"/>
      <c r="N131" s="166"/>
      <c r="O131" s="166"/>
      <c r="P131" s="166"/>
      <c r="Q131" s="166"/>
      <c r="R131" s="166"/>
      <c r="S131" s="166"/>
      <c r="T131" s="166"/>
      <c r="U131" s="166"/>
    </row>
    <row r="132" spans="1:21" s="1166" customFormat="1" ht="15" x14ac:dyDescent="0.25">
      <c r="A132" s="223">
        <v>3314</v>
      </c>
      <c r="B132" s="96">
        <v>6121</v>
      </c>
      <c r="C132" s="1179"/>
      <c r="D132" s="128" t="s">
        <v>671</v>
      </c>
      <c r="E132" s="60">
        <v>794</v>
      </c>
      <c r="F132" s="313">
        <v>0</v>
      </c>
      <c r="G132" s="315">
        <v>0</v>
      </c>
      <c r="H132" s="203">
        <v>0</v>
      </c>
      <c r="I132" s="166"/>
      <c r="J132" s="166"/>
      <c r="K132" s="166"/>
      <c r="L132" s="166"/>
      <c r="M132" s="166"/>
      <c r="N132" s="166"/>
      <c r="O132" s="166"/>
      <c r="P132" s="166"/>
      <c r="Q132" s="166"/>
      <c r="R132" s="166"/>
      <c r="S132" s="166"/>
      <c r="T132" s="166"/>
      <c r="U132" s="166"/>
    </row>
    <row r="133" spans="1:21" s="1166" customFormat="1" ht="14.25" x14ac:dyDescent="0.2">
      <c r="A133" s="223"/>
      <c r="B133" s="96"/>
      <c r="C133" s="1179" t="s">
        <v>1536</v>
      </c>
      <c r="D133" s="1190" t="s">
        <v>1537</v>
      </c>
      <c r="E133" s="124">
        <v>794</v>
      </c>
      <c r="F133" s="314">
        <v>0</v>
      </c>
      <c r="G133" s="316">
        <v>0</v>
      </c>
      <c r="H133" s="1175">
        <v>0</v>
      </c>
      <c r="I133" s="166"/>
      <c r="J133" s="166"/>
      <c r="K133" s="166"/>
      <c r="L133" s="166"/>
      <c r="M133" s="166"/>
      <c r="N133" s="166"/>
      <c r="O133" s="166"/>
      <c r="P133" s="166"/>
      <c r="Q133" s="166"/>
      <c r="R133" s="166"/>
      <c r="S133" s="166"/>
      <c r="T133" s="166"/>
      <c r="U133" s="166"/>
    </row>
    <row r="134" spans="1:21" s="1166" customFormat="1" ht="15" x14ac:dyDescent="0.25">
      <c r="A134" s="223">
        <v>3315</v>
      </c>
      <c r="B134" s="96">
        <v>6111</v>
      </c>
      <c r="C134" s="1179"/>
      <c r="D134" s="1168" t="s">
        <v>1002</v>
      </c>
      <c r="E134" s="124"/>
      <c r="F134" s="313">
        <v>1684</v>
      </c>
      <c r="G134" s="315">
        <v>1684</v>
      </c>
      <c r="H134" s="203">
        <f t="shared" ref="H134:H135" si="8">(G134/F134)*100</f>
        <v>100</v>
      </c>
      <c r="I134" s="166"/>
      <c r="J134" s="166"/>
      <c r="K134" s="166"/>
      <c r="L134" s="166"/>
      <c r="M134" s="166"/>
      <c r="N134" s="166"/>
      <c r="O134" s="166"/>
      <c r="P134" s="166"/>
      <c r="Q134" s="166"/>
      <c r="R134" s="166"/>
      <c r="S134" s="166"/>
      <c r="T134" s="166"/>
      <c r="U134" s="166"/>
    </row>
    <row r="135" spans="1:21" s="1166" customFormat="1" ht="15" thickBot="1" x14ac:dyDescent="0.25">
      <c r="A135" s="223"/>
      <c r="B135" s="96"/>
      <c r="C135" s="1179" t="s">
        <v>1536</v>
      </c>
      <c r="D135" s="1190" t="s">
        <v>1537</v>
      </c>
      <c r="E135" s="124"/>
      <c r="F135" s="314">
        <v>1684</v>
      </c>
      <c r="G135" s="316">
        <v>1684</v>
      </c>
      <c r="H135" s="1175">
        <f t="shared" si="8"/>
        <v>100</v>
      </c>
      <c r="I135" s="166"/>
      <c r="J135" s="166"/>
      <c r="K135" s="166"/>
      <c r="L135" s="166"/>
      <c r="M135" s="166"/>
      <c r="N135" s="166"/>
      <c r="O135" s="166"/>
      <c r="P135" s="166"/>
      <c r="Q135" s="166"/>
      <c r="R135" s="166"/>
      <c r="S135" s="166"/>
      <c r="T135" s="166"/>
      <c r="U135" s="166"/>
    </row>
    <row r="136" spans="1:21" s="1166" customFormat="1" ht="15" thickTop="1" x14ac:dyDescent="0.2">
      <c r="A136" s="1617"/>
      <c r="B136" s="1617"/>
      <c r="C136" s="1527"/>
      <c r="D136" s="1974"/>
      <c r="E136" s="1620"/>
      <c r="F136" s="1618"/>
      <c r="G136" s="1618"/>
      <c r="H136" s="1976"/>
      <c r="I136" s="166"/>
      <c r="J136" s="166"/>
      <c r="K136" s="166"/>
      <c r="L136" s="166"/>
      <c r="M136" s="166"/>
      <c r="N136" s="166"/>
      <c r="O136" s="166"/>
      <c r="P136" s="166"/>
      <c r="Q136" s="166"/>
      <c r="R136" s="166"/>
      <c r="S136" s="166"/>
      <c r="T136" s="166"/>
      <c r="U136" s="166"/>
    </row>
    <row r="137" spans="1:21" s="1166" customFormat="1" ht="14.25" x14ac:dyDescent="0.2">
      <c r="A137" s="268"/>
      <c r="B137" s="268"/>
      <c r="C137" s="1169"/>
      <c r="D137" s="1966"/>
      <c r="E137" s="123"/>
      <c r="F137" s="314"/>
      <c r="G137" s="314"/>
      <c r="H137" s="432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</row>
    <row r="138" spans="1:21" s="1166" customFormat="1" ht="14.25" x14ac:dyDescent="0.2">
      <c r="A138" s="268"/>
      <c r="B138" s="268"/>
      <c r="C138" s="1169"/>
      <c r="D138" s="2612"/>
      <c r="E138" s="123"/>
      <c r="F138" s="314"/>
      <c r="G138" s="314"/>
      <c r="H138" s="432"/>
      <c r="I138" s="166"/>
      <c r="J138" s="166"/>
      <c r="K138" s="166"/>
      <c r="L138" s="166"/>
      <c r="M138" s="166"/>
      <c r="N138" s="166"/>
      <c r="O138" s="166"/>
      <c r="P138" s="166"/>
      <c r="Q138" s="166"/>
      <c r="R138" s="166"/>
      <c r="S138" s="166"/>
      <c r="T138" s="166"/>
      <c r="U138" s="166"/>
    </row>
    <row r="139" spans="1:21" ht="13.5" thickBot="1" x14ac:dyDescent="0.25">
      <c r="A139" s="655"/>
      <c r="B139" s="655"/>
      <c r="C139" s="656"/>
      <c r="F139" s="1014"/>
      <c r="H139" s="692" t="s">
        <v>179</v>
      </c>
      <c r="I139" s="558"/>
      <c r="J139" s="558"/>
    </row>
    <row r="140" spans="1:21" s="1064" customFormat="1" ht="20.25" customHeight="1" thickTop="1" thickBot="1" x14ac:dyDescent="0.25">
      <c r="A140" s="1058" t="s">
        <v>180</v>
      </c>
      <c r="B140" s="1059" t="s">
        <v>181</v>
      </c>
      <c r="C140" s="1060" t="s">
        <v>783</v>
      </c>
      <c r="D140" s="1060" t="s">
        <v>182</v>
      </c>
      <c r="E140" s="1060" t="s">
        <v>183</v>
      </c>
      <c r="F140" s="1060" t="s">
        <v>985</v>
      </c>
      <c r="G140" s="1061" t="s">
        <v>986</v>
      </c>
      <c r="H140" s="1062" t="s">
        <v>987</v>
      </c>
      <c r="I140" s="1063"/>
      <c r="J140" s="1063"/>
    </row>
    <row r="141" spans="1:21" s="386" customFormat="1" ht="13.5" thickTop="1" thickBot="1" x14ac:dyDescent="0.25">
      <c r="A141" s="592">
        <v>1</v>
      </c>
      <c r="B141" s="593">
        <v>2</v>
      </c>
      <c r="C141" s="593">
        <v>3</v>
      </c>
      <c r="D141" s="593">
        <v>4</v>
      </c>
      <c r="E141" s="593">
        <v>5</v>
      </c>
      <c r="F141" s="567">
        <v>6</v>
      </c>
      <c r="G141" s="567">
        <v>7</v>
      </c>
      <c r="H141" s="662" t="s">
        <v>61</v>
      </c>
      <c r="I141" s="107"/>
    </row>
    <row r="142" spans="1:21" s="1166" customFormat="1" ht="15.75" thickTop="1" x14ac:dyDescent="0.25">
      <c r="A142" s="223">
        <v>3315</v>
      </c>
      <c r="B142" s="96">
        <v>6121</v>
      </c>
      <c r="C142" s="1213"/>
      <c r="D142" s="128" t="s">
        <v>671</v>
      </c>
      <c r="E142" s="60">
        <f>E143+E144</f>
        <v>39904</v>
      </c>
      <c r="F142" s="60">
        <f>F143+F144</f>
        <v>8609</v>
      </c>
      <c r="G142" s="60">
        <f>G143+G144</f>
        <v>5540</v>
      </c>
      <c r="H142" s="203">
        <f>(G142/F142)*100</f>
        <v>64.351260308978979</v>
      </c>
      <c r="I142" s="166"/>
      <c r="J142" s="166"/>
      <c r="K142" s="166"/>
      <c r="L142" s="166"/>
      <c r="M142" s="166"/>
      <c r="N142" s="166"/>
      <c r="O142" s="166"/>
      <c r="P142" s="166"/>
      <c r="Q142" s="166"/>
      <c r="R142" s="166"/>
      <c r="S142" s="166"/>
      <c r="T142" s="166"/>
      <c r="U142" s="166"/>
    </row>
    <row r="143" spans="1:21" s="1166" customFormat="1" ht="14.25" x14ac:dyDescent="0.2">
      <c r="A143" s="223"/>
      <c r="B143" s="96"/>
      <c r="C143" s="1179" t="s">
        <v>203</v>
      </c>
      <c r="D143" s="1173" t="s">
        <v>994</v>
      </c>
      <c r="E143" s="124">
        <v>1086</v>
      </c>
      <c r="F143" s="314">
        <v>512</v>
      </c>
      <c r="G143" s="316">
        <v>80</v>
      </c>
      <c r="H143" s="1175">
        <f>(G143/F143)*100</f>
        <v>15.625</v>
      </c>
      <c r="I143" s="166"/>
      <c r="J143" s="166"/>
      <c r="K143" s="166"/>
      <c r="L143" s="166"/>
      <c r="M143" s="166"/>
      <c r="N143" s="166"/>
      <c r="O143" s="166"/>
      <c r="P143" s="166"/>
      <c r="Q143" s="166"/>
      <c r="R143" s="166"/>
      <c r="S143" s="166"/>
      <c r="T143" s="166"/>
      <c r="U143" s="166"/>
    </row>
    <row r="144" spans="1:21" s="1166" customFormat="1" ht="14.25" x14ac:dyDescent="0.2">
      <c r="A144" s="223"/>
      <c r="B144" s="96"/>
      <c r="C144" s="1179" t="s">
        <v>1536</v>
      </c>
      <c r="D144" s="1190" t="s">
        <v>1537</v>
      </c>
      <c r="E144" s="124">
        <v>38818</v>
      </c>
      <c r="F144" s="314">
        <v>8097</v>
      </c>
      <c r="G144" s="316">
        <v>5460</v>
      </c>
      <c r="H144" s="1175">
        <f>(G144/F144)*100</f>
        <v>67.432382363838457</v>
      </c>
      <c r="I144" s="166"/>
      <c r="J144" s="166"/>
      <c r="K144" s="166"/>
      <c r="L144" s="166"/>
      <c r="M144" s="166"/>
      <c r="N144" s="166"/>
      <c r="O144" s="166"/>
      <c r="P144" s="166"/>
      <c r="Q144" s="166"/>
      <c r="R144" s="166"/>
      <c r="S144" s="166"/>
      <c r="T144" s="166"/>
      <c r="U144" s="166"/>
    </row>
    <row r="145" spans="1:21" s="1166" customFormat="1" ht="15" x14ac:dyDescent="0.25">
      <c r="A145" s="223">
        <v>3315</v>
      </c>
      <c r="B145" s="96">
        <v>6122</v>
      </c>
      <c r="C145" s="1179"/>
      <c r="D145" s="128" t="s">
        <v>672</v>
      </c>
      <c r="E145" s="124"/>
      <c r="F145" s="315">
        <v>17030</v>
      </c>
      <c r="G145" s="315">
        <v>17030</v>
      </c>
      <c r="H145" s="203">
        <f>(G145/F145)*100</f>
        <v>100</v>
      </c>
      <c r="I145" s="166"/>
      <c r="J145" s="166"/>
      <c r="K145" s="1500"/>
      <c r="L145" s="1500"/>
      <c r="M145" s="166"/>
      <c r="N145" s="166"/>
      <c r="O145" s="166"/>
      <c r="P145" s="166"/>
      <c r="Q145" s="166"/>
      <c r="R145" s="166"/>
      <c r="S145" s="166"/>
      <c r="T145" s="166"/>
      <c r="U145" s="166"/>
    </row>
    <row r="146" spans="1:21" s="1166" customFormat="1" ht="14.25" x14ac:dyDescent="0.2">
      <c r="A146" s="223"/>
      <c r="B146" s="96"/>
      <c r="C146" s="1179" t="s">
        <v>1536</v>
      </c>
      <c r="D146" s="1966" t="s">
        <v>1537</v>
      </c>
      <c r="E146" s="124"/>
      <c r="F146" s="314">
        <v>17030</v>
      </c>
      <c r="G146" s="316">
        <v>17030</v>
      </c>
      <c r="H146" s="1175">
        <f>(G146/F146)*100</f>
        <v>100</v>
      </c>
      <c r="I146" s="166"/>
      <c r="J146" s="166"/>
      <c r="K146" s="166"/>
      <c r="L146" s="166"/>
      <c r="M146" s="166"/>
      <c r="N146" s="166"/>
      <c r="O146" s="166"/>
      <c r="P146" s="166"/>
      <c r="Q146" s="166"/>
      <c r="R146" s="166"/>
      <c r="S146" s="166"/>
      <c r="T146" s="166"/>
      <c r="U146" s="166"/>
    </row>
    <row r="147" spans="1:21" s="1166" customFormat="1" ht="15" x14ac:dyDescent="0.25">
      <c r="A147" s="223">
        <v>3321</v>
      </c>
      <c r="B147" s="96">
        <v>6121</v>
      </c>
      <c r="C147" s="1179"/>
      <c r="D147" s="128" t="s">
        <v>671</v>
      </c>
      <c r="E147" s="60">
        <f>E148+E149</f>
        <v>14000</v>
      </c>
      <c r="F147" s="60">
        <f>F148+F149</f>
        <v>16070</v>
      </c>
      <c r="G147" s="60">
        <f>G148+G149</f>
        <v>15965</v>
      </c>
      <c r="H147" s="203">
        <f t="shared" ref="H147:H152" si="9">(G147/F147)*100</f>
        <v>99.346608587429998</v>
      </c>
      <c r="I147" s="166"/>
      <c r="J147" s="166"/>
      <c r="K147" s="166"/>
      <c r="L147" s="166"/>
      <c r="M147" s="166"/>
      <c r="N147" s="166"/>
      <c r="O147" s="166"/>
      <c r="P147" s="166"/>
      <c r="Q147" s="166"/>
      <c r="R147" s="166"/>
      <c r="S147" s="166"/>
      <c r="T147" s="166"/>
      <c r="U147" s="166"/>
    </row>
    <row r="148" spans="1:21" s="1166" customFormat="1" ht="14.25" x14ac:dyDescent="0.2">
      <c r="A148" s="223"/>
      <c r="B148" s="96"/>
      <c r="C148" s="1179" t="s">
        <v>203</v>
      </c>
      <c r="D148" s="1173" t="s">
        <v>994</v>
      </c>
      <c r="E148" s="124">
        <v>2333</v>
      </c>
      <c r="F148" s="314">
        <v>2263</v>
      </c>
      <c r="G148" s="316">
        <v>2182</v>
      </c>
      <c r="H148" s="1175">
        <f t="shared" si="9"/>
        <v>96.420680512593904</v>
      </c>
      <c r="I148" s="166"/>
      <c r="J148" s="166"/>
      <c r="K148" s="166"/>
      <c r="L148" s="166"/>
      <c r="M148" s="166"/>
      <c r="N148" s="166"/>
      <c r="O148" s="166"/>
      <c r="P148" s="166"/>
      <c r="Q148" s="166"/>
      <c r="R148" s="166"/>
      <c r="S148" s="166"/>
      <c r="T148" s="166"/>
      <c r="U148" s="166"/>
    </row>
    <row r="149" spans="1:21" s="1166" customFormat="1" ht="14.25" x14ac:dyDescent="0.2">
      <c r="A149" s="223"/>
      <c r="B149" s="96"/>
      <c r="C149" s="1179" t="s">
        <v>866</v>
      </c>
      <c r="D149" s="1173" t="s">
        <v>867</v>
      </c>
      <c r="E149" s="124">
        <v>11667</v>
      </c>
      <c r="F149" s="314">
        <v>13807</v>
      </c>
      <c r="G149" s="316">
        <v>13783</v>
      </c>
      <c r="H149" s="1175">
        <f t="shared" si="9"/>
        <v>99.826175128557978</v>
      </c>
      <c r="I149" s="166"/>
      <c r="J149" s="166"/>
      <c r="K149" s="166"/>
      <c r="L149" s="166"/>
      <c r="M149" s="166"/>
      <c r="N149" s="166"/>
      <c r="O149" s="166"/>
      <c r="P149" s="166"/>
      <c r="Q149" s="166"/>
      <c r="R149" s="166"/>
      <c r="S149" s="166"/>
      <c r="T149" s="166"/>
      <c r="U149" s="166"/>
    </row>
    <row r="150" spans="1:21" s="1166" customFormat="1" ht="15" x14ac:dyDescent="0.25">
      <c r="A150" s="223">
        <v>3321</v>
      </c>
      <c r="B150" s="96">
        <v>6122</v>
      </c>
      <c r="C150" s="1179"/>
      <c r="D150" s="128" t="s">
        <v>672</v>
      </c>
      <c r="E150" s="124"/>
      <c r="F150" s="313">
        <v>316</v>
      </c>
      <c r="G150" s="315">
        <v>295</v>
      </c>
      <c r="H150" s="203">
        <f t="shared" si="9"/>
        <v>93.35443037974683</v>
      </c>
      <c r="I150" s="166"/>
      <c r="J150" s="166"/>
      <c r="K150" s="166"/>
      <c r="L150" s="166"/>
      <c r="M150" s="166"/>
      <c r="N150" s="166"/>
      <c r="O150" s="166"/>
      <c r="P150" s="166"/>
      <c r="Q150" s="166"/>
      <c r="R150" s="166"/>
      <c r="S150" s="166"/>
      <c r="T150" s="166"/>
      <c r="U150" s="166"/>
    </row>
    <row r="151" spans="1:21" s="1166" customFormat="1" ht="14.25" x14ac:dyDescent="0.2">
      <c r="A151" s="223"/>
      <c r="B151" s="96"/>
      <c r="C151" s="1179" t="s">
        <v>203</v>
      </c>
      <c r="D151" s="1173" t="s">
        <v>994</v>
      </c>
      <c r="E151" s="124"/>
      <c r="F151" s="314">
        <v>316</v>
      </c>
      <c r="G151" s="316">
        <v>295</v>
      </c>
      <c r="H151" s="1175">
        <f t="shared" si="9"/>
        <v>93.35443037974683</v>
      </c>
      <c r="I151" s="166"/>
      <c r="J151" s="166"/>
      <c r="K151" s="166"/>
      <c r="L151" s="166"/>
      <c r="M151" s="166"/>
      <c r="N151" s="166"/>
      <c r="O151" s="166"/>
      <c r="P151" s="166"/>
      <c r="Q151" s="166"/>
      <c r="R151" s="166"/>
      <c r="S151" s="166"/>
      <c r="T151" s="166"/>
      <c r="U151" s="166"/>
    </row>
    <row r="152" spans="1:21" s="1166" customFormat="1" ht="15" x14ac:dyDescent="0.25">
      <c r="A152" s="223">
        <v>3522</v>
      </c>
      <c r="B152" s="96">
        <v>6121</v>
      </c>
      <c r="C152" s="1213"/>
      <c r="D152" s="128" t="s">
        <v>671</v>
      </c>
      <c r="E152" s="60">
        <v>27879</v>
      </c>
      <c r="F152" s="60">
        <v>27898</v>
      </c>
      <c r="G152" s="60">
        <v>12360</v>
      </c>
      <c r="H152" s="203">
        <f t="shared" si="9"/>
        <v>44.304251200802923</v>
      </c>
      <c r="I152" s="166"/>
      <c r="J152" s="166"/>
      <c r="K152" s="166"/>
      <c r="L152" s="166"/>
      <c r="M152" s="166"/>
      <c r="N152" s="166"/>
      <c r="O152" s="166"/>
      <c r="P152" s="166"/>
      <c r="Q152" s="166"/>
      <c r="R152" s="166"/>
      <c r="S152" s="166"/>
      <c r="T152" s="166"/>
      <c r="U152" s="166"/>
    </row>
    <row r="153" spans="1:21" s="1166" customFormat="1" ht="14.25" x14ac:dyDescent="0.2">
      <c r="A153" s="223"/>
      <c r="B153" s="96"/>
      <c r="C153" s="1179" t="s">
        <v>489</v>
      </c>
      <c r="D153" s="1173" t="s">
        <v>842</v>
      </c>
      <c r="E153" s="124">
        <v>27879</v>
      </c>
      <c r="F153" s="314">
        <v>27898</v>
      </c>
      <c r="G153" s="316">
        <v>12360</v>
      </c>
      <c r="H153" s="1175">
        <f t="shared" ref="H153:H163" si="10">(G153/F153)*100</f>
        <v>44.304251200802923</v>
      </c>
      <c r="I153" s="166"/>
      <c r="J153" s="166"/>
      <c r="K153" s="166"/>
      <c r="L153" s="166"/>
      <c r="M153" s="166"/>
      <c r="N153" s="166"/>
      <c r="O153" s="166"/>
      <c r="P153" s="166"/>
      <c r="Q153" s="166"/>
      <c r="R153" s="166"/>
      <c r="S153" s="166"/>
      <c r="T153" s="166"/>
      <c r="U153" s="166"/>
    </row>
    <row r="154" spans="1:21" s="1166" customFormat="1" ht="15" x14ac:dyDescent="0.25">
      <c r="A154" s="223">
        <v>3523</v>
      </c>
      <c r="B154" s="96">
        <v>6121</v>
      </c>
      <c r="C154" s="1179"/>
      <c r="D154" s="128" t="s">
        <v>671</v>
      </c>
      <c r="E154" s="60">
        <f>E155+E156+E157</f>
        <v>33840</v>
      </c>
      <c r="F154" s="60">
        <f>F155+F156+F157</f>
        <v>27941</v>
      </c>
      <c r="G154" s="60">
        <f>G155+G156+G157</f>
        <v>26281</v>
      </c>
      <c r="H154" s="203">
        <f t="shared" si="10"/>
        <v>94.058909845746399</v>
      </c>
      <c r="I154" s="166"/>
      <c r="J154" s="166"/>
      <c r="K154" s="166"/>
      <c r="L154" s="166"/>
      <c r="M154" s="166"/>
      <c r="N154" s="166"/>
      <c r="O154" s="166"/>
      <c r="P154" s="166"/>
      <c r="Q154" s="166"/>
      <c r="R154" s="166"/>
      <c r="S154" s="166"/>
      <c r="T154" s="166"/>
      <c r="U154" s="166"/>
    </row>
    <row r="155" spans="1:21" s="1166" customFormat="1" ht="14.25" x14ac:dyDescent="0.2">
      <c r="A155" s="223"/>
      <c r="B155" s="96"/>
      <c r="C155" s="1179" t="s">
        <v>840</v>
      </c>
      <c r="D155" s="1173" t="s">
        <v>869</v>
      </c>
      <c r="E155" s="124">
        <v>3707</v>
      </c>
      <c r="F155" s="314">
        <v>3890</v>
      </c>
      <c r="G155" s="316">
        <v>3885</v>
      </c>
      <c r="H155" s="1175">
        <f t="shared" si="10"/>
        <v>99.871465295629818</v>
      </c>
      <c r="I155" s="166"/>
      <c r="J155" s="166"/>
      <c r="K155" s="166"/>
      <c r="L155" s="166"/>
      <c r="M155" s="166"/>
      <c r="N155" s="166"/>
      <c r="O155" s="166"/>
      <c r="P155" s="166"/>
      <c r="Q155" s="166"/>
      <c r="R155" s="166"/>
      <c r="S155" s="166"/>
      <c r="T155" s="166"/>
      <c r="U155" s="166"/>
    </row>
    <row r="156" spans="1:21" s="1166" customFormat="1" ht="14.25" x14ac:dyDescent="0.2">
      <c r="A156" s="223"/>
      <c r="B156" s="96"/>
      <c r="C156" s="1179" t="s">
        <v>866</v>
      </c>
      <c r="D156" s="1173" t="s">
        <v>867</v>
      </c>
      <c r="E156" s="124">
        <v>17583</v>
      </c>
      <c r="F156" s="314">
        <v>15639</v>
      </c>
      <c r="G156" s="316">
        <v>15638</v>
      </c>
      <c r="H156" s="1175">
        <f t="shared" si="10"/>
        <v>99.993605729266577</v>
      </c>
      <c r="I156" s="166"/>
      <c r="J156" s="166"/>
      <c r="K156" s="166"/>
      <c r="L156" s="166"/>
      <c r="M156" s="166"/>
      <c r="N156" s="166"/>
      <c r="O156" s="166"/>
      <c r="P156" s="166"/>
      <c r="Q156" s="166"/>
      <c r="R156" s="166"/>
      <c r="S156" s="166"/>
      <c r="T156" s="166"/>
      <c r="U156" s="166"/>
    </row>
    <row r="157" spans="1:21" s="1166" customFormat="1" ht="14.25" x14ac:dyDescent="0.2">
      <c r="A157" s="223"/>
      <c r="B157" s="96"/>
      <c r="C157" s="1179" t="s">
        <v>1536</v>
      </c>
      <c r="D157" s="1190" t="s">
        <v>1537</v>
      </c>
      <c r="E157" s="124">
        <v>12550</v>
      </c>
      <c r="F157" s="314">
        <v>8412</v>
      </c>
      <c r="G157" s="316">
        <v>6758</v>
      </c>
      <c r="H157" s="1175">
        <f t="shared" si="10"/>
        <v>80.337612933903941</v>
      </c>
      <c r="I157" s="166"/>
      <c r="J157" s="166"/>
      <c r="K157" s="166"/>
      <c r="L157" s="166"/>
      <c r="M157" s="166"/>
      <c r="N157" s="166"/>
      <c r="O157" s="166"/>
      <c r="P157" s="166"/>
      <c r="Q157" s="166"/>
      <c r="R157" s="166"/>
      <c r="S157" s="166"/>
      <c r="T157" s="166"/>
      <c r="U157" s="166"/>
    </row>
    <row r="158" spans="1:21" s="1166" customFormat="1" ht="15" x14ac:dyDescent="0.25">
      <c r="A158" s="223">
        <v>3523</v>
      </c>
      <c r="B158" s="96">
        <v>6122</v>
      </c>
      <c r="C158" s="1179"/>
      <c r="D158" s="128" t="s">
        <v>672</v>
      </c>
      <c r="E158" s="124"/>
      <c r="F158" s="315">
        <f>F159+F160</f>
        <v>3399</v>
      </c>
      <c r="G158" s="315">
        <f>G159+G160</f>
        <v>3238</v>
      </c>
      <c r="H158" s="203">
        <f t="shared" si="10"/>
        <v>95.263312739040899</v>
      </c>
      <c r="I158" s="166"/>
      <c r="J158" s="166"/>
      <c r="K158" s="166"/>
      <c r="L158" s="166"/>
      <c r="M158" s="166"/>
      <c r="N158" s="166"/>
      <c r="O158" s="166"/>
      <c r="P158" s="166"/>
      <c r="Q158" s="166"/>
      <c r="R158" s="166"/>
      <c r="S158" s="166"/>
      <c r="T158" s="166"/>
      <c r="U158" s="166"/>
    </row>
    <row r="159" spans="1:21" s="1166" customFormat="1" ht="14.25" x14ac:dyDescent="0.2">
      <c r="A159" s="223"/>
      <c r="B159" s="96"/>
      <c r="C159" s="1179" t="s">
        <v>866</v>
      </c>
      <c r="D159" s="1173" t="s">
        <v>867</v>
      </c>
      <c r="E159" s="124"/>
      <c r="F159" s="314">
        <v>1250</v>
      </c>
      <c r="G159" s="316">
        <v>1151</v>
      </c>
      <c r="H159" s="1175">
        <f t="shared" si="10"/>
        <v>92.08</v>
      </c>
      <c r="I159" s="166"/>
      <c r="J159" s="166"/>
      <c r="K159" s="166"/>
      <c r="L159" s="166"/>
      <c r="M159" s="166"/>
      <c r="N159" s="166"/>
      <c r="O159" s="166"/>
      <c r="P159" s="166"/>
      <c r="Q159" s="166"/>
      <c r="R159" s="166"/>
      <c r="S159" s="166"/>
      <c r="T159" s="166"/>
      <c r="U159" s="166"/>
    </row>
    <row r="160" spans="1:21" s="1166" customFormat="1" ht="14.25" x14ac:dyDescent="0.2">
      <c r="A160" s="223"/>
      <c r="B160" s="96"/>
      <c r="C160" s="1179" t="s">
        <v>1536</v>
      </c>
      <c r="D160" s="1966" t="s">
        <v>1537</v>
      </c>
      <c r="E160" s="124"/>
      <c r="F160" s="314">
        <v>2149</v>
      </c>
      <c r="G160" s="316">
        <v>2087</v>
      </c>
      <c r="H160" s="1175">
        <f t="shared" si="10"/>
        <v>97.114937180083757</v>
      </c>
      <c r="I160" s="166"/>
      <c r="J160" s="166"/>
      <c r="K160" s="166"/>
      <c r="L160" s="166"/>
      <c r="M160" s="166"/>
      <c r="N160" s="166"/>
      <c r="O160" s="166"/>
      <c r="P160" s="166"/>
      <c r="Q160" s="166"/>
      <c r="R160" s="166"/>
      <c r="S160" s="166"/>
      <c r="T160" s="166"/>
      <c r="U160" s="166"/>
    </row>
    <row r="161" spans="1:21" s="1166" customFormat="1" ht="15" x14ac:dyDescent="0.25">
      <c r="A161" s="223">
        <v>3533</v>
      </c>
      <c r="B161" s="96">
        <v>6121</v>
      </c>
      <c r="C161" s="1179"/>
      <c r="D161" s="128" t="s">
        <v>671</v>
      </c>
      <c r="E161" s="60">
        <v>5907</v>
      </c>
      <c r="F161" s="313">
        <v>2313</v>
      </c>
      <c r="G161" s="315">
        <v>2313</v>
      </c>
      <c r="H161" s="1503">
        <f t="shared" si="10"/>
        <v>100</v>
      </c>
      <c r="I161" s="166"/>
      <c r="J161" s="166"/>
      <c r="K161" s="166"/>
      <c r="L161" s="166"/>
      <c r="M161" s="166"/>
      <c r="N161" s="166"/>
      <c r="O161" s="166"/>
      <c r="P161" s="166"/>
      <c r="Q161" s="166"/>
      <c r="R161" s="166"/>
      <c r="S161" s="166"/>
      <c r="T161" s="166"/>
      <c r="U161" s="166"/>
    </row>
    <row r="162" spans="1:21" s="1166" customFormat="1" ht="14.25" x14ac:dyDescent="0.2">
      <c r="A162" s="223"/>
      <c r="B162" s="96"/>
      <c r="C162" s="1179" t="s">
        <v>840</v>
      </c>
      <c r="D162" s="1173" t="s">
        <v>869</v>
      </c>
      <c r="E162" s="124">
        <v>83</v>
      </c>
      <c r="F162" s="314">
        <v>0</v>
      </c>
      <c r="G162" s="316">
        <v>0</v>
      </c>
      <c r="H162" s="1501">
        <v>0</v>
      </c>
      <c r="I162" s="166"/>
      <c r="J162" s="166"/>
      <c r="K162" s="166"/>
      <c r="L162" s="166"/>
      <c r="M162" s="166"/>
      <c r="N162" s="166"/>
      <c r="O162" s="166"/>
      <c r="P162" s="166"/>
      <c r="Q162" s="166"/>
      <c r="R162" s="166"/>
      <c r="S162" s="166"/>
      <c r="T162" s="166"/>
      <c r="U162" s="166"/>
    </row>
    <row r="163" spans="1:21" s="1166" customFormat="1" ht="14.25" x14ac:dyDescent="0.2">
      <c r="A163" s="223"/>
      <c r="B163" s="96"/>
      <c r="C163" s="1179" t="s">
        <v>1536</v>
      </c>
      <c r="D163" s="1966" t="s">
        <v>1537</v>
      </c>
      <c r="E163" s="124">
        <v>5824</v>
      </c>
      <c r="F163" s="314">
        <v>2313</v>
      </c>
      <c r="G163" s="316">
        <v>2313</v>
      </c>
      <c r="H163" s="1175">
        <f t="shared" si="10"/>
        <v>100</v>
      </c>
      <c r="I163" s="166"/>
      <c r="J163" s="166"/>
      <c r="K163" s="166"/>
      <c r="L163" s="166"/>
      <c r="M163" s="166"/>
      <c r="N163" s="166"/>
      <c r="O163" s="166"/>
      <c r="P163" s="166"/>
      <c r="Q163" s="166"/>
      <c r="R163" s="166"/>
      <c r="S163" s="166"/>
      <c r="T163" s="166"/>
      <c r="U163" s="166"/>
    </row>
    <row r="164" spans="1:21" s="1166" customFormat="1" ht="15" x14ac:dyDescent="0.25">
      <c r="A164" s="223">
        <v>4322</v>
      </c>
      <c r="B164" s="96">
        <v>6121</v>
      </c>
      <c r="C164" s="1179"/>
      <c r="D164" s="128" t="s">
        <v>671</v>
      </c>
      <c r="E164" s="60">
        <v>100</v>
      </c>
      <c r="F164" s="60">
        <v>26</v>
      </c>
      <c r="G164" s="60">
        <v>26</v>
      </c>
      <c r="H164" s="203">
        <f>(G164/F164)*100</f>
        <v>100</v>
      </c>
      <c r="I164" s="166"/>
      <c r="J164" s="166"/>
      <c r="K164" s="166"/>
      <c r="L164" s="166"/>
      <c r="M164" s="166"/>
      <c r="N164" s="166"/>
      <c r="O164" s="166"/>
      <c r="P164" s="166"/>
      <c r="Q164" s="166"/>
      <c r="R164" s="166"/>
      <c r="S164" s="166"/>
      <c r="T164" s="166"/>
      <c r="U164" s="166"/>
    </row>
    <row r="165" spans="1:21" s="1166" customFormat="1" ht="14.25" x14ac:dyDescent="0.2">
      <c r="A165" s="223"/>
      <c r="B165" s="96"/>
      <c r="C165" s="1179" t="s">
        <v>1536</v>
      </c>
      <c r="D165" s="1190" t="s">
        <v>1537</v>
      </c>
      <c r="E165" s="124">
        <v>100</v>
      </c>
      <c r="F165" s="314">
        <v>26</v>
      </c>
      <c r="G165" s="316">
        <v>26</v>
      </c>
      <c r="H165" s="1175">
        <f>(G165/F165)*100</f>
        <v>100</v>
      </c>
      <c r="I165" s="166"/>
      <c r="J165" s="166"/>
      <c r="K165" s="166"/>
      <c r="L165" s="166"/>
      <c r="M165" s="166"/>
      <c r="N165" s="166"/>
      <c r="O165" s="166"/>
      <c r="P165" s="166"/>
      <c r="Q165" s="166"/>
      <c r="R165" s="166"/>
      <c r="S165" s="166"/>
      <c r="T165" s="166"/>
      <c r="U165" s="166"/>
    </row>
    <row r="166" spans="1:21" s="1166" customFormat="1" ht="15" x14ac:dyDescent="0.25">
      <c r="A166" s="223">
        <v>4354</v>
      </c>
      <c r="B166" s="96">
        <v>6121</v>
      </c>
      <c r="C166" s="1179"/>
      <c r="D166" s="128" t="s">
        <v>671</v>
      </c>
      <c r="E166" s="60">
        <v>2050</v>
      </c>
      <c r="F166" s="313">
        <v>1616</v>
      </c>
      <c r="G166" s="315">
        <v>1616</v>
      </c>
      <c r="H166" s="203">
        <f>(G166/F166)*100</f>
        <v>100</v>
      </c>
      <c r="I166" s="166"/>
      <c r="J166" s="166"/>
      <c r="K166" s="166"/>
      <c r="L166" s="166"/>
      <c r="M166" s="166"/>
      <c r="N166" s="166"/>
      <c r="O166" s="166"/>
      <c r="P166" s="166"/>
      <c r="Q166" s="166"/>
      <c r="R166" s="166"/>
      <c r="S166" s="166"/>
      <c r="T166" s="166"/>
      <c r="U166" s="166"/>
    </row>
    <row r="167" spans="1:21" s="1166" customFormat="1" ht="14.25" x14ac:dyDescent="0.2">
      <c r="A167" s="223"/>
      <c r="B167" s="96"/>
      <c r="C167" s="1179" t="s">
        <v>1536</v>
      </c>
      <c r="D167" s="1966" t="s">
        <v>1537</v>
      </c>
      <c r="E167" s="124">
        <v>2050</v>
      </c>
      <c r="F167" s="314">
        <v>1616</v>
      </c>
      <c r="G167" s="316">
        <v>1616</v>
      </c>
      <c r="H167" s="1175">
        <f>(G167/F167)*100</f>
        <v>100</v>
      </c>
      <c r="I167" s="166"/>
      <c r="J167" s="166"/>
      <c r="K167" s="166"/>
      <c r="L167" s="166"/>
      <c r="M167" s="166"/>
      <c r="N167" s="166"/>
      <c r="O167" s="166"/>
      <c r="P167" s="166"/>
      <c r="Q167" s="166"/>
      <c r="R167" s="166"/>
      <c r="S167" s="166"/>
      <c r="T167" s="166"/>
      <c r="U167" s="166"/>
    </row>
    <row r="168" spans="1:21" s="1166" customFormat="1" ht="15" x14ac:dyDescent="0.25">
      <c r="A168" s="223">
        <v>4357</v>
      </c>
      <c r="B168" s="96">
        <v>6121</v>
      </c>
      <c r="C168" s="1179"/>
      <c r="D168" s="128" t="s">
        <v>1001</v>
      </c>
      <c r="E168" s="60">
        <f>E169+E170+E171</f>
        <v>221775</v>
      </c>
      <c r="F168" s="60">
        <f>F169+F170+F171</f>
        <v>170848</v>
      </c>
      <c r="G168" s="60">
        <f>G169+G170+G171</f>
        <v>166445</v>
      </c>
      <c r="H168" s="203">
        <f t="shared" ref="H168:H176" si="11">(G168/F168)*100</f>
        <v>97.422855403633633</v>
      </c>
      <c r="I168" s="166"/>
      <c r="J168" s="166"/>
      <c r="K168" s="166"/>
      <c r="L168" s="166"/>
      <c r="M168" s="166"/>
      <c r="N168" s="166"/>
      <c r="O168" s="166"/>
      <c r="P168" s="166"/>
      <c r="Q168" s="166"/>
      <c r="R168" s="166"/>
      <c r="S168" s="166"/>
      <c r="T168" s="166"/>
      <c r="U168" s="166"/>
    </row>
    <row r="169" spans="1:21" s="1166" customFormat="1" ht="14.25" x14ac:dyDescent="0.2">
      <c r="A169" s="223"/>
      <c r="B169" s="96"/>
      <c r="C169" s="1179" t="s">
        <v>839</v>
      </c>
      <c r="D169" s="1173" t="s">
        <v>995</v>
      </c>
      <c r="E169" s="124">
        <v>23217</v>
      </c>
      <c r="F169" s="314">
        <v>16763</v>
      </c>
      <c r="G169" s="316">
        <v>16569</v>
      </c>
      <c r="H169" s="1175">
        <f t="shared" si="11"/>
        <v>98.842689256099746</v>
      </c>
      <c r="I169" s="166"/>
      <c r="J169" s="166"/>
      <c r="K169" s="166"/>
      <c r="L169" s="166"/>
      <c r="M169" s="166"/>
      <c r="N169" s="166"/>
      <c r="O169" s="166"/>
      <c r="P169" s="166"/>
      <c r="Q169" s="166"/>
      <c r="R169" s="166"/>
      <c r="S169" s="166"/>
      <c r="T169" s="166"/>
      <c r="U169" s="166"/>
    </row>
    <row r="170" spans="1:21" s="1166" customFormat="1" ht="14.25" x14ac:dyDescent="0.2">
      <c r="A170" s="223"/>
      <c r="B170" s="96"/>
      <c r="C170" s="1179" t="s">
        <v>866</v>
      </c>
      <c r="D170" s="1173" t="s">
        <v>867</v>
      </c>
      <c r="E170" s="124">
        <v>131382</v>
      </c>
      <c r="F170" s="314">
        <v>127138</v>
      </c>
      <c r="G170" s="316">
        <v>125723</v>
      </c>
      <c r="H170" s="1175">
        <f t="shared" si="11"/>
        <v>98.887036133964671</v>
      </c>
      <c r="I170" s="166"/>
      <c r="J170" s="166"/>
      <c r="K170" s="166"/>
      <c r="L170" s="166"/>
      <c r="M170" s="166"/>
      <c r="N170" s="166"/>
      <c r="O170" s="166"/>
      <c r="P170" s="166"/>
      <c r="Q170" s="166"/>
      <c r="R170" s="166"/>
      <c r="S170" s="166"/>
      <c r="T170" s="166"/>
      <c r="U170" s="166"/>
    </row>
    <row r="171" spans="1:21" s="1166" customFormat="1" ht="14.25" x14ac:dyDescent="0.2">
      <c r="A171" s="223"/>
      <c r="B171" s="96"/>
      <c r="C171" s="1179" t="s">
        <v>1536</v>
      </c>
      <c r="D171" s="1190" t="s">
        <v>1537</v>
      </c>
      <c r="E171" s="124">
        <v>67176</v>
      </c>
      <c r="F171" s="314">
        <v>26947</v>
      </c>
      <c r="G171" s="316">
        <v>24153</v>
      </c>
      <c r="H171" s="1175">
        <f t="shared" si="11"/>
        <v>89.631498868148583</v>
      </c>
      <c r="I171" s="166"/>
      <c r="J171" s="166"/>
      <c r="K171" s="166"/>
      <c r="L171" s="166"/>
      <c r="M171" s="166"/>
      <c r="N171" s="166"/>
      <c r="O171" s="166"/>
      <c r="P171" s="166"/>
      <c r="Q171" s="166"/>
      <c r="R171" s="166"/>
      <c r="S171" s="166"/>
      <c r="T171" s="166"/>
      <c r="U171" s="166"/>
    </row>
    <row r="172" spans="1:21" s="1166" customFormat="1" ht="15" x14ac:dyDescent="0.25">
      <c r="A172" s="223">
        <v>4357</v>
      </c>
      <c r="B172" s="96">
        <v>6122</v>
      </c>
      <c r="C172" s="1179"/>
      <c r="D172" s="128" t="s">
        <v>672</v>
      </c>
      <c r="E172" s="124"/>
      <c r="F172" s="315">
        <f>F173+F174</f>
        <v>8752</v>
      </c>
      <c r="G172" s="315">
        <f>G173+G174</f>
        <v>8653</v>
      </c>
      <c r="H172" s="203">
        <f t="shared" si="11"/>
        <v>98.868829981718463</v>
      </c>
      <c r="I172" s="166"/>
      <c r="J172" s="166"/>
      <c r="K172" s="166"/>
      <c r="L172" s="166"/>
      <c r="M172" s="166"/>
      <c r="N172" s="166"/>
      <c r="O172" s="166"/>
      <c r="P172" s="166"/>
      <c r="Q172" s="166"/>
      <c r="R172" s="166"/>
      <c r="S172" s="166"/>
      <c r="T172" s="166"/>
      <c r="U172" s="166"/>
    </row>
    <row r="173" spans="1:21" s="1166" customFormat="1" ht="14.25" x14ac:dyDescent="0.2">
      <c r="A173" s="223"/>
      <c r="B173" s="96"/>
      <c r="C173" s="1179" t="s">
        <v>866</v>
      </c>
      <c r="D173" s="1173" t="s">
        <v>867</v>
      </c>
      <c r="E173" s="124"/>
      <c r="F173" s="314">
        <v>6848</v>
      </c>
      <c r="G173" s="316">
        <v>6848</v>
      </c>
      <c r="H173" s="1175">
        <f t="shared" si="11"/>
        <v>100</v>
      </c>
      <c r="I173" s="166"/>
      <c r="J173" s="166"/>
      <c r="K173" s="166"/>
      <c r="L173" s="166"/>
      <c r="M173" s="166"/>
      <c r="N173" s="166"/>
      <c r="O173" s="166"/>
      <c r="P173" s="166"/>
      <c r="Q173" s="166"/>
      <c r="R173" s="166"/>
      <c r="S173" s="166"/>
      <c r="T173" s="166"/>
      <c r="U173" s="166"/>
    </row>
    <row r="174" spans="1:21" s="1166" customFormat="1" ht="14.25" x14ac:dyDescent="0.2">
      <c r="A174" s="223"/>
      <c r="B174" s="96"/>
      <c r="C174" s="1179" t="s">
        <v>1536</v>
      </c>
      <c r="D174" s="1190" t="s">
        <v>1537</v>
      </c>
      <c r="E174" s="124"/>
      <c r="F174" s="314">
        <v>1904</v>
      </c>
      <c r="G174" s="316">
        <v>1805</v>
      </c>
      <c r="H174" s="1175">
        <f t="shared" si="11"/>
        <v>94.80042016806722</v>
      </c>
      <c r="I174" s="166"/>
      <c r="J174" s="166"/>
      <c r="K174" s="166"/>
      <c r="L174" s="166"/>
      <c r="M174" s="166"/>
      <c r="N174" s="166"/>
      <c r="O174" s="166"/>
      <c r="P174" s="166"/>
      <c r="Q174" s="166"/>
      <c r="R174" s="166"/>
      <c r="S174" s="166"/>
      <c r="T174" s="166"/>
      <c r="U174" s="166"/>
    </row>
    <row r="175" spans="1:21" s="1166" customFormat="1" ht="15" x14ac:dyDescent="0.25">
      <c r="A175" s="223">
        <v>6172</v>
      </c>
      <c r="B175" s="96">
        <v>6121</v>
      </c>
      <c r="C175" s="1179"/>
      <c r="D175" s="128" t="s">
        <v>1001</v>
      </c>
      <c r="E175" s="60">
        <v>200</v>
      </c>
      <c r="F175" s="313">
        <v>500</v>
      </c>
      <c r="G175" s="315">
        <v>489</v>
      </c>
      <c r="H175" s="203">
        <f t="shared" si="11"/>
        <v>97.8</v>
      </c>
      <c r="I175" s="166"/>
      <c r="J175" s="166" t="s">
        <v>589</v>
      </c>
      <c r="K175" s="1500">
        <f>E93+E112+E149+E156+E170+E102+E108+E118</f>
        <v>444742</v>
      </c>
      <c r="L175" s="1500">
        <f>F93+F112+F149+F156+F170+F99+F102+F105+F108+F118+F159+F173</f>
        <v>415752</v>
      </c>
      <c r="M175" s="1500">
        <f>G93+G112+G149+G156+G170+G99+G102+G105+G108+G118+G159+G173</f>
        <v>411206</v>
      </c>
      <c r="N175" s="166"/>
      <c r="O175" s="166"/>
      <c r="P175" s="166"/>
      <c r="Q175" s="166"/>
      <c r="R175" s="166"/>
      <c r="S175" s="166"/>
      <c r="T175" s="166"/>
      <c r="U175" s="166"/>
    </row>
    <row r="176" spans="1:21" s="1166" customFormat="1" ht="15" x14ac:dyDescent="0.25">
      <c r="A176" s="223"/>
      <c r="B176" s="96"/>
      <c r="C176" s="1179" t="s">
        <v>1740</v>
      </c>
      <c r="D176" s="166" t="s">
        <v>1741</v>
      </c>
      <c r="E176" s="60"/>
      <c r="F176" s="314">
        <v>500</v>
      </c>
      <c r="G176" s="316">
        <v>489</v>
      </c>
      <c r="H176" s="1175">
        <f t="shared" si="11"/>
        <v>97.8</v>
      </c>
      <c r="I176" s="166"/>
      <c r="J176" s="166"/>
      <c r="K176" s="1500"/>
      <c r="L176" s="1500"/>
      <c r="M176" s="1500"/>
      <c r="N176" s="166"/>
      <c r="O176" s="166"/>
      <c r="P176" s="166"/>
      <c r="Q176" s="166"/>
      <c r="R176" s="166"/>
      <c r="S176" s="166"/>
      <c r="T176" s="166"/>
      <c r="U176" s="166"/>
    </row>
    <row r="177" spans="1:21" s="1166" customFormat="1" ht="14.25" x14ac:dyDescent="0.2">
      <c r="A177" s="223"/>
      <c r="B177" s="96"/>
      <c r="C177" s="1179" t="s">
        <v>1536</v>
      </c>
      <c r="D177" s="1966" t="s">
        <v>1537</v>
      </c>
      <c r="E177" s="124">
        <v>200</v>
      </c>
      <c r="F177" s="314">
        <v>0</v>
      </c>
      <c r="G177" s="316">
        <v>0</v>
      </c>
      <c r="H177" s="1175">
        <v>0</v>
      </c>
      <c r="I177" s="166"/>
      <c r="J177" s="166" t="s">
        <v>1538</v>
      </c>
      <c r="K177" s="1500">
        <f>E94+E103+E109+E113+E119+E122+E124+E126+E128+E131+E133+E144+E157+E163+E167+E171+E177+E165</f>
        <v>200616</v>
      </c>
      <c r="L177" s="1500">
        <f>F94+F97+F109+F113+F115+F119+F131+F133+F103+F122+F124+F126+F128+F160+F163+F167+F177+F135+F144+F146+F157+F165+F171+F174</f>
        <v>128121</v>
      </c>
      <c r="M177" s="1500">
        <f>G94+G97+G109+G113+G115+G119+G131+G133+G103+G122+G124+G126+G128+G160+G163+G167+G177+G135+G144+G146+G157+G165+G171+G174</f>
        <v>112669</v>
      </c>
      <c r="N177" s="166"/>
      <c r="O177" s="166"/>
      <c r="P177" s="166"/>
      <c r="Q177" s="166"/>
      <c r="R177" s="166"/>
      <c r="S177" s="166"/>
      <c r="T177" s="166"/>
      <c r="U177" s="166"/>
    </row>
    <row r="178" spans="1:21" s="1166" customFormat="1" ht="15.75" thickBot="1" x14ac:dyDescent="0.3">
      <c r="A178" s="1638">
        <v>6172</v>
      </c>
      <c r="B178" s="250">
        <v>6130</v>
      </c>
      <c r="C178" s="1192"/>
      <c r="D178" s="1167" t="s">
        <v>959</v>
      </c>
      <c r="E178" s="124"/>
      <c r="F178" s="313">
        <v>15</v>
      </c>
      <c r="G178" s="315">
        <v>0</v>
      </c>
      <c r="H178" s="203">
        <v>0</v>
      </c>
      <c r="I178" s="166"/>
      <c r="J178" s="166"/>
      <c r="K178" s="166"/>
      <c r="L178" s="1500"/>
      <c r="M178" s="1500"/>
      <c r="N178" s="166"/>
      <c r="O178" s="166"/>
      <c r="P178" s="166"/>
      <c r="Q178" s="166"/>
      <c r="R178" s="166"/>
      <c r="S178" s="166"/>
      <c r="T178" s="166"/>
      <c r="U178" s="166"/>
    </row>
    <row r="179" spans="1:21" s="362" customFormat="1" ht="23.25" customHeight="1" thickTop="1" thickBot="1" x14ac:dyDescent="0.35">
      <c r="A179" s="663" t="s">
        <v>267</v>
      </c>
      <c r="B179" s="1066"/>
      <c r="C179" s="1070"/>
      <c r="D179" s="1068"/>
      <c r="E179" s="667">
        <f>E91+E100+E106+E110+E116+E120+E127+E129+E132+E142+E147+E152+E154+E161+E164+E166+E168+E175+E125+E123</f>
        <v>800233</v>
      </c>
      <c r="F179" s="667">
        <f>F91+F95+F100+F104+F106+F110+F114+F116+F120+F127+F129+F134+F142+F145+F147+F150+F152+F154+F161+F164+F166+F168+F172+F175+F178+F98+F123+F125+F158</f>
        <v>681480</v>
      </c>
      <c r="G179" s="667">
        <f>G91+G95+G100+G104+G106+G110+G114+G116+G120+G127+G129+G134+G142+G145+G147+G150+G152+G154+G161+G164+G166+G168+G172+G175+G178+G98+G123+G125+G158</f>
        <v>636889</v>
      </c>
      <c r="H179" s="668">
        <f>G179/F179*100</f>
        <v>93.456741210306987</v>
      </c>
      <c r="J179" s="987" t="s">
        <v>1539</v>
      </c>
      <c r="K179" s="987">
        <f>K175</f>
        <v>444742</v>
      </c>
      <c r="L179" s="1980">
        <f>L175+M82</f>
        <v>432302</v>
      </c>
      <c r="M179" s="1980">
        <f>M175+N82</f>
        <v>427679</v>
      </c>
      <c r="N179" s="1979"/>
    </row>
    <row r="180" spans="1:21" ht="15.75" thickTop="1" x14ac:dyDescent="0.25">
      <c r="A180" s="803"/>
      <c r="B180" s="803"/>
      <c r="C180" s="1071"/>
      <c r="D180" s="119"/>
      <c r="E180" s="1977"/>
      <c r="F180" s="1978"/>
      <c r="G180" s="1978"/>
      <c r="H180" s="1073"/>
      <c r="J180" s="1035" t="s">
        <v>1540</v>
      </c>
      <c r="K180" s="385">
        <f>K177+L83</f>
        <v>236705</v>
      </c>
      <c r="L180" s="385">
        <f>L177+M83</f>
        <v>162380</v>
      </c>
      <c r="M180" s="385">
        <f>M177+N83</f>
        <v>144235</v>
      </c>
    </row>
    <row r="181" spans="1:21" s="693" customFormat="1" ht="15" customHeight="1" x14ac:dyDescent="0.25">
      <c r="A181" s="2795" t="s">
        <v>660</v>
      </c>
      <c r="B181" s="2796"/>
      <c r="C181" s="2796"/>
      <c r="D181" s="2796"/>
      <c r="E181" s="1008">
        <f>E183+E184+E185+E186</f>
        <v>842737</v>
      </c>
      <c r="F181" s="1008">
        <f>F183+F184+F185+F186</f>
        <v>745448</v>
      </c>
      <c r="G181" s="1008">
        <f>G183+G184+G185+G186</f>
        <v>695547</v>
      </c>
      <c r="H181" s="305">
        <f>G181/F181*100</f>
        <v>93.305904637211441</v>
      </c>
    </row>
    <row r="182" spans="1:21" s="693" customFormat="1" ht="15" customHeight="1" x14ac:dyDescent="0.25">
      <c r="A182" s="2796"/>
      <c r="B182" s="2796"/>
      <c r="C182" s="2796"/>
      <c r="D182" s="2796"/>
      <c r="E182" s="1008"/>
      <c r="F182" s="1008"/>
      <c r="G182" s="1008"/>
      <c r="H182" s="305"/>
    </row>
    <row r="183" spans="1:21" s="1389" customFormat="1" ht="15" x14ac:dyDescent="0.2">
      <c r="A183" s="581" t="s">
        <v>288</v>
      </c>
      <c r="B183" s="611"/>
      <c r="C183" s="612"/>
      <c r="D183" s="612"/>
      <c r="E183" s="1009">
        <f>E83</f>
        <v>42504</v>
      </c>
      <c r="F183" s="1009">
        <f>F83-F185</f>
        <v>63968</v>
      </c>
      <c r="G183" s="1009">
        <f>G83-G185</f>
        <v>58658</v>
      </c>
      <c r="H183" s="306">
        <f>G183/F183*100</f>
        <v>91.698974487243618</v>
      </c>
    </row>
    <row r="184" spans="1:21" s="1389" customFormat="1" ht="15" x14ac:dyDescent="0.2">
      <c r="A184" s="581" t="s">
        <v>289</v>
      </c>
      <c r="B184" s="616"/>
      <c r="C184" s="612"/>
      <c r="D184" s="612"/>
      <c r="E184" s="1010">
        <f>E179</f>
        <v>800233</v>
      </c>
      <c r="F184" s="1010">
        <f>F179-F186</f>
        <v>681480</v>
      </c>
      <c r="G184" s="1010">
        <f>G179-G186</f>
        <v>636889</v>
      </c>
      <c r="H184" s="306">
        <f>G184/F184*100</f>
        <v>93.456741210306987</v>
      </c>
    </row>
    <row r="185" spans="1:21" s="1389" customFormat="1" ht="15" x14ac:dyDescent="0.2">
      <c r="A185" s="581" t="s">
        <v>227</v>
      </c>
      <c r="B185" s="616"/>
      <c r="C185" s="612"/>
      <c r="D185" s="612"/>
      <c r="E185" s="1009">
        <v>0</v>
      </c>
      <c r="F185" s="614">
        <v>0</v>
      </c>
      <c r="G185" s="614">
        <v>0</v>
      </c>
      <c r="H185" s="306">
        <v>0</v>
      </c>
      <c r="J185" s="1390"/>
      <c r="K185" s="1390"/>
    </row>
    <row r="186" spans="1:21" s="1389" customFormat="1" ht="15" x14ac:dyDescent="0.2">
      <c r="A186" s="581" t="s">
        <v>1291</v>
      </c>
      <c r="B186" s="616"/>
      <c r="C186" s="612"/>
      <c r="D186" s="612"/>
      <c r="E186" s="1009">
        <v>0</v>
      </c>
      <c r="F186" s="618">
        <v>0</v>
      </c>
      <c r="G186" s="618">
        <v>0</v>
      </c>
      <c r="H186" s="306">
        <v>0</v>
      </c>
    </row>
    <row r="187" spans="1:21" ht="15" x14ac:dyDescent="0.25">
      <c r="A187" s="803"/>
      <c r="B187" s="803"/>
      <c r="C187" s="1071"/>
      <c r="D187" s="119"/>
      <c r="E187" s="1072"/>
      <c r="F187" s="314"/>
      <c r="G187" s="314"/>
      <c r="H187" s="1073"/>
    </row>
    <row r="188" spans="1:21" ht="18" x14ac:dyDescent="0.25">
      <c r="A188" s="1074"/>
      <c r="B188" s="1074"/>
      <c r="C188" s="1075"/>
      <c r="D188" s="228"/>
      <c r="E188" s="1076"/>
      <c r="F188" s="1077"/>
      <c r="G188" s="1078"/>
      <c r="H188" s="1079"/>
    </row>
    <row r="189" spans="1:21" s="1055" customFormat="1" ht="46.5" customHeight="1" thickBot="1" x14ac:dyDescent="0.4">
      <c r="A189" s="2793" t="s">
        <v>782</v>
      </c>
      <c r="B189" s="2794"/>
      <c r="C189" s="2794"/>
      <c r="D189" s="2794"/>
      <c r="E189" s="1080">
        <f>E83+E179</f>
        <v>842737</v>
      </c>
      <c r="F189" s="1080">
        <f>F83+F179</f>
        <v>745448</v>
      </c>
      <c r="G189" s="1080">
        <f>G83+G179</f>
        <v>695547</v>
      </c>
      <c r="H189" s="1081">
        <f>(G189/F189)*100</f>
        <v>93.305904637211441</v>
      </c>
      <c r="I189" s="1082"/>
    </row>
    <row r="190" spans="1:21" ht="13.5" thickTop="1" x14ac:dyDescent="0.2"/>
    <row r="191" spans="1:21" s="693" customFormat="1" x14ac:dyDescent="0.2">
      <c r="A191" s="2791"/>
      <c r="B191" s="2792"/>
      <c r="C191" s="2792"/>
      <c r="D191" s="2792"/>
      <c r="E191" s="2792"/>
      <c r="F191" s="2792"/>
      <c r="G191" s="2792"/>
      <c r="H191" s="2792"/>
      <c r="I191" s="1504"/>
      <c r="J191" s="699"/>
    </row>
    <row r="192" spans="1:21" s="693" customFormat="1" x14ac:dyDescent="0.2">
      <c r="A192" s="2792"/>
      <c r="B192" s="2792"/>
      <c r="C192" s="2792"/>
      <c r="D192" s="2792"/>
      <c r="E192" s="2792"/>
      <c r="F192" s="2792"/>
      <c r="G192" s="2792"/>
      <c r="H192" s="2792"/>
      <c r="I192" s="1504"/>
      <c r="J192" s="699"/>
    </row>
  </sheetData>
  <mergeCells count="3">
    <mergeCell ref="A191:H192"/>
    <mergeCell ref="A189:D189"/>
    <mergeCell ref="A181:D182"/>
  </mergeCells>
  <phoneticPr fontId="33" type="noConversion"/>
  <pageMargins left="0.98425196850393704" right="0.98425196850393704" top="0.98425196850393704" bottom="0.98425196850393704" header="0.51181102362204722" footer="0.51181102362204722"/>
  <pageSetup paperSize="9" scale="70" firstPageNumber="119" orientation="portrait" useFirstPageNumber="1" r:id="rId1"/>
  <headerFooter alignWithMargins="0">
    <oddFooter xml:space="preserve">&amp;L&amp;"Arial,Kurzíva"Zastupitelstvo Olomouckého kraje 28. 6. 2013
6.- Závěrečný  účet Olomuckého kraje za rok 2012
Příloha č. 3: Plnění rozpočtu výdajů Olomouckého kraje k 31.12.2012&amp;R&amp;"Arial,Kurzíva"Strana &amp;P (Celkem 484)
</oddFooter>
  </headerFooter>
  <colBreaks count="1" manualBreakCount="1">
    <brk id="8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indexed="13"/>
  </sheetPr>
  <dimension ref="A1:O1234"/>
  <sheetViews>
    <sheetView showGridLines="0" topLeftCell="A88" zoomScaleNormal="100" zoomScaleSheetLayoutView="75" workbookViewId="0">
      <selection activeCell="D128" sqref="A128:E133"/>
    </sheetView>
  </sheetViews>
  <sheetFormatPr defaultRowHeight="12.75" x14ac:dyDescent="0.2"/>
  <cols>
    <col min="1" max="1" width="11.7109375" style="1029" customWidth="1"/>
    <col min="2" max="2" width="5.140625" style="1030" customWidth="1"/>
    <col min="3" max="3" width="5.28515625" style="693" customWidth="1"/>
    <col min="4" max="4" width="8.85546875" style="699" customWidth="1"/>
    <col min="5" max="5" width="41.28515625" style="693" customWidth="1"/>
    <col min="6" max="6" width="11.7109375" style="699" customWidth="1"/>
    <col min="7" max="7" width="13.85546875" style="699" customWidth="1"/>
    <col min="8" max="8" width="11.85546875" style="699" customWidth="1"/>
    <col min="9" max="9" width="7" style="1028" customWidth="1"/>
    <col min="10" max="10" width="9.140625" style="693"/>
    <col min="11" max="11" width="12.140625" style="693" customWidth="1"/>
    <col min="12" max="12" width="11.42578125" style="693" bestFit="1" customWidth="1"/>
    <col min="13" max="16384" width="9.140625" style="693"/>
  </cols>
  <sheetData>
    <row r="1" spans="1:10" ht="18.75" thickBot="1" x14ac:dyDescent="0.3">
      <c r="A1" s="518" t="s">
        <v>707</v>
      </c>
      <c r="B1" s="519"/>
      <c r="C1" s="522"/>
      <c r="D1" s="521"/>
      <c r="E1" s="520"/>
      <c r="F1" s="521"/>
      <c r="G1" s="505" t="s">
        <v>1023</v>
      </c>
      <c r="H1" s="700"/>
      <c r="I1" s="699"/>
    </row>
    <row r="2" spans="1:10" ht="18" x14ac:dyDescent="0.25">
      <c r="A2" s="1309"/>
      <c r="B2" s="1310"/>
      <c r="C2" s="1311"/>
      <c r="D2" s="138"/>
      <c r="E2" s="1312"/>
      <c r="F2" s="138"/>
      <c r="G2" s="1313"/>
      <c r="H2" s="700"/>
      <c r="I2" s="699"/>
    </row>
    <row r="3" spans="1:10" s="558" customFormat="1" ht="12.75" customHeight="1" x14ac:dyDescent="0.25">
      <c r="A3" s="6"/>
      <c r="B3" s="28"/>
      <c r="C3" s="131"/>
      <c r="D3" s="10"/>
      <c r="E3" s="137"/>
      <c r="F3" s="137"/>
      <c r="G3" s="16"/>
      <c r="H3" s="194"/>
      <c r="I3" s="17"/>
      <c r="J3" s="517"/>
    </row>
    <row r="4" spans="1:10" s="558" customFormat="1" ht="12.75" customHeight="1" x14ac:dyDescent="0.25">
      <c r="A4" s="67" t="s">
        <v>404</v>
      </c>
      <c r="B4" s="28"/>
      <c r="C4" s="588" t="s">
        <v>379</v>
      </c>
      <c r="D4" s="653"/>
      <c r="E4" s="137"/>
      <c r="F4" s="16"/>
      <c r="G4" s="17"/>
      <c r="H4" s="194"/>
    </row>
    <row r="5" spans="1:10" s="558" customFormat="1" ht="12.75" customHeight="1" x14ac:dyDescent="0.25">
      <c r="A5" s="6"/>
      <c r="B5" s="28"/>
      <c r="C5" s="588" t="s">
        <v>380</v>
      </c>
      <c r="D5" s="699"/>
      <c r="E5" s="138"/>
      <c r="F5" s="16"/>
      <c r="G5" s="17"/>
      <c r="H5" s="194"/>
    </row>
    <row r="7" spans="1:10" s="558" customFormat="1" ht="18" x14ac:dyDescent="0.25">
      <c r="A7" s="33" t="s">
        <v>666</v>
      </c>
      <c r="B7" s="33"/>
      <c r="C7" s="28"/>
      <c r="D7" s="63"/>
      <c r="E7" s="10"/>
      <c r="F7" s="137"/>
      <c r="G7" s="137"/>
      <c r="H7" s="16"/>
      <c r="I7" s="1023"/>
      <c r="J7" s="17"/>
    </row>
    <row r="8" spans="1:10" s="558" customFormat="1" x14ac:dyDescent="0.2">
      <c r="B8" s="669"/>
      <c r="D8" s="884"/>
      <c r="F8" s="517"/>
      <c r="G8" s="517"/>
      <c r="H8" s="517"/>
      <c r="I8" s="1023"/>
    </row>
    <row r="9" spans="1:10" s="558" customFormat="1" x14ac:dyDescent="0.2">
      <c r="B9" s="669"/>
      <c r="D9" s="884"/>
      <c r="F9" s="517"/>
      <c r="G9" s="517"/>
      <c r="H9" s="517"/>
      <c r="I9" s="1023"/>
    </row>
    <row r="10" spans="1:10" s="558" customFormat="1" ht="13.5" thickBot="1" x14ac:dyDescent="0.25">
      <c r="A10" s="439" t="s">
        <v>1461</v>
      </c>
      <c r="B10" s="669"/>
      <c r="D10" s="884"/>
      <c r="F10" s="517"/>
      <c r="G10" s="517"/>
      <c r="H10" s="517"/>
      <c r="I10" s="1023" t="s">
        <v>179</v>
      </c>
    </row>
    <row r="11" spans="1:10" s="107" customFormat="1" ht="20.25" customHeight="1" thickTop="1" thickBot="1" x14ac:dyDescent="0.25">
      <c r="A11" s="714" t="s">
        <v>692</v>
      </c>
      <c r="B11" s="717" t="s">
        <v>180</v>
      </c>
      <c r="C11" s="715" t="s">
        <v>181</v>
      </c>
      <c r="D11" s="660" t="s">
        <v>783</v>
      </c>
      <c r="E11" s="718" t="s">
        <v>182</v>
      </c>
      <c r="F11" s="718" t="s">
        <v>183</v>
      </c>
      <c r="G11" s="718" t="s">
        <v>985</v>
      </c>
      <c r="H11" s="718" t="s">
        <v>986</v>
      </c>
      <c r="I11" s="888" t="s">
        <v>987</v>
      </c>
    </row>
    <row r="12" spans="1:10" s="386" customFormat="1" ht="13.5" thickTop="1" thickBot="1" x14ac:dyDescent="0.25">
      <c r="A12" s="592">
        <v>1</v>
      </c>
      <c r="B12" s="593">
        <v>2</v>
      </c>
      <c r="C12" s="593">
        <v>3</v>
      </c>
      <c r="D12" s="593">
        <v>4</v>
      </c>
      <c r="E12" s="593">
        <v>5</v>
      </c>
      <c r="F12" s="567">
        <v>6</v>
      </c>
      <c r="G12" s="567">
        <v>7</v>
      </c>
      <c r="H12" s="568">
        <v>8</v>
      </c>
      <c r="I12" s="662" t="s">
        <v>848</v>
      </c>
    </row>
    <row r="13" spans="1:10" s="558" customFormat="1" ht="16.5" thickTop="1" thickBot="1" x14ac:dyDescent="0.3">
      <c r="A13" s="1033">
        <v>60001100026</v>
      </c>
      <c r="B13" s="836">
        <v>3122</v>
      </c>
      <c r="C13" s="836">
        <v>6121</v>
      </c>
      <c r="D13" s="1032">
        <v>10</v>
      </c>
      <c r="E13" s="852" t="s">
        <v>671</v>
      </c>
      <c r="F13" s="1034"/>
      <c r="G13" s="1034">
        <v>751</v>
      </c>
      <c r="H13" s="1034">
        <v>640</v>
      </c>
      <c r="I13" s="923">
        <v>0</v>
      </c>
    </row>
    <row r="14" spans="1:10" s="558" customFormat="1" ht="18" customHeight="1" thickTop="1" thickBot="1" x14ac:dyDescent="0.3">
      <c r="A14" s="2739" t="s">
        <v>267</v>
      </c>
      <c r="B14" s="2740"/>
      <c r="C14" s="2740"/>
      <c r="D14" s="2740"/>
      <c r="E14" s="2740"/>
      <c r="F14" s="894">
        <v>0</v>
      </c>
      <c r="G14" s="894">
        <f>SUM(G13)</f>
        <v>751</v>
      </c>
      <c r="H14" s="894">
        <f>SUM(H13)</f>
        <v>640</v>
      </c>
      <c r="I14" s="895">
        <v>0</v>
      </c>
    </row>
    <row r="15" spans="1:10" s="558" customFormat="1" ht="13.5" thickTop="1" x14ac:dyDescent="0.2">
      <c r="B15" s="669"/>
      <c r="D15" s="884"/>
      <c r="F15" s="517"/>
      <c r="G15" s="517"/>
      <c r="H15" s="517"/>
      <c r="I15" s="1023"/>
    </row>
    <row r="16" spans="1:10" s="558" customFormat="1" x14ac:dyDescent="0.2">
      <c r="B16" s="669"/>
      <c r="D16" s="884"/>
      <c r="F16" s="517"/>
      <c r="G16" s="517"/>
      <c r="H16" s="517"/>
      <c r="I16" s="1023"/>
    </row>
    <row r="17" spans="1:9" s="558" customFormat="1" ht="13.5" thickBot="1" x14ac:dyDescent="0.25">
      <c r="A17" s="439" t="s">
        <v>1462</v>
      </c>
      <c r="B17" s="669"/>
      <c r="D17" s="884"/>
      <c r="F17" s="517"/>
      <c r="G17" s="517"/>
      <c r="H17" s="517"/>
      <c r="I17" s="1023" t="s">
        <v>179</v>
      </c>
    </row>
    <row r="18" spans="1:9" s="107" customFormat="1" ht="20.25" customHeight="1" thickTop="1" thickBot="1" x14ac:dyDescent="0.25">
      <c r="A18" s="714" t="s">
        <v>692</v>
      </c>
      <c r="B18" s="717" t="s">
        <v>180</v>
      </c>
      <c r="C18" s="715" t="s">
        <v>181</v>
      </c>
      <c r="D18" s="660" t="s">
        <v>783</v>
      </c>
      <c r="E18" s="718" t="s">
        <v>182</v>
      </c>
      <c r="F18" s="718" t="s">
        <v>183</v>
      </c>
      <c r="G18" s="718" t="s">
        <v>985</v>
      </c>
      <c r="H18" s="718" t="s">
        <v>986</v>
      </c>
      <c r="I18" s="888" t="s">
        <v>987</v>
      </c>
    </row>
    <row r="19" spans="1:9" s="386" customFormat="1" ht="13.5" thickTop="1" thickBot="1" x14ac:dyDescent="0.25">
      <c r="A19" s="592">
        <v>1</v>
      </c>
      <c r="B19" s="593">
        <v>2</v>
      </c>
      <c r="C19" s="593">
        <v>3</v>
      </c>
      <c r="D19" s="593">
        <v>4</v>
      </c>
      <c r="E19" s="593">
        <v>5</v>
      </c>
      <c r="F19" s="567">
        <v>6</v>
      </c>
      <c r="G19" s="567">
        <v>7</v>
      </c>
      <c r="H19" s="568">
        <v>8</v>
      </c>
      <c r="I19" s="662" t="s">
        <v>848</v>
      </c>
    </row>
    <row r="20" spans="1:9" s="558" customFormat="1" ht="16.5" thickTop="1" thickBot="1" x14ac:dyDescent="0.3">
      <c r="A20" s="1033">
        <v>60001100028</v>
      </c>
      <c r="B20" s="836">
        <v>3121</v>
      </c>
      <c r="C20" s="836">
        <v>6121</v>
      </c>
      <c r="D20" s="1032">
        <v>10</v>
      </c>
      <c r="E20" s="852" t="s">
        <v>671</v>
      </c>
      <c r="F20" s="1034">
        <v>2100</v>
      </c>
      <c r="G20" s="1034">
        <v>1897</v>
      </c>
      <c r="H20" s="1034">
        <v>1897</v>
      </c>
      <c r="I20" s="923">
        <f>(H20/G20)*100</f>
        <v>100</v>
      </c>
    </row>
    <row r="21" spans="1:9" s="558" customFormat="1" ht="18" customHeight="1" thickTop="1" thickBot="1" x14ac:dyDescent="0.3">
      <c r="A21" s="2739" t="s">
        <v>267</v>
      </c>
      <c r="B21" s="2740"/>
      <c r="C21" s="2740"/>
      <c r="D21" s="2740"/>
      <c r="E21" s="2740"/>
      <c r="F21" s="894">
        <v>2100</v>
      </c>
      <c r="G21" s="894">
        <f>SUM(G20)</f>
        <v>1897</v>
      </c>
      <c r="H21" s="894">
        <f>SUM(H20)</f>
        <v>1897</v>
      </c>
      <c r="I21" s="895">
        <f>(H21/G21)*100</f>
        <v>100</v>
      </c>
    </row>
    <row r="22" spans="1:9" s="558" customFormat="1" ht="13.5" thickTop="1" x14ac:dyDescent="0.2">
      <c r="B22" s="669"/>
      <c r="D22" s="884"/>
      <c r="F22" s="517"/>
      <c r="G22" s="517"/>
      <c r="H22" s="517"/>
      <c r="I22" s="1023"/>
    </row>
    <row r="23" spans="1:9" s="558" customFormat="1" x14ac:dyDescent="0.2">
      <c r="B23" s="669"/>
      <c r="D23" s="884"/>
      <c r="F23" s="517"/>
      <c r="G23" s="517"/>
      <c r="H23" s="517"/>
      <c r="I23" s="1023"/>
    </row>
    <row r="24" spans="1:9" s="558" customFormat="1" ht="13.5" thickBot="1" x14ac:dyDescent="0.25">
      <c r="A24" s="439" t="s">
        <v>1216</v>
      </c>
      <c r="B24" s="669"/>
      <c r="D24" s="884"/>
      <c r="F24" s="517"/>
      <c r="G24" s="517"/>
      <c r="H24" s="517"/>
      <c r="I24" s="1023" t="s">
        <v>179</v>
      </c>
    </row>
    <row r="25" spans="1:9" s="107" customFormat="1" ht="20.25" customHeight="1" thickTop="1" thickBot="1" x14ac:dyDescent="0.25">
      <c r="A25" s="714" t="s">
        <v>692</v>
      </c>
      <c r="B25" s="717" t="s">
        <v>180</v>
      </c>
      <c r="C25" s="715" t="s">
        <v>181</v>
      </c>
      <c r="D25" s="660" t="s">
        <v>783</v>
      </c>
      <c r="E25" s="718" t="s">
        <v>182</v>
      </c>
      <c r="F25" s="718" t="s">
        <v>183</v>
      </c>
      <c r="G25" s="718" t="s">
        <v>985</v>
      </c>
      <c r="H25" s="718" t="s">
        <v>986</v>
      </c>
      <c r="I25" s="888" t="s">
        <v>987</v>
      </c>
    </row>
    <row r="26" spans="1:9" s="386" customFormat="1" ht="13.5" thickTop="1" thickBot="1" x14ac:dyDescent="0.25">
      <c r="A26" s="1318">
        <v>1</v>
      </c>
      <c r="B26" s="1319">
        <v>2</v>
      </c>
      <c r="C26" s="1319">
        <v>3</v>
      </c>
      <c r="D26" s="1319">
        <v>4</v>
      </c>
      <c r="E26" s="1319">
        <v>5</v>
      </c>
      <c r="F26" s="1320">
        <v>6</v>
      </c>
      <c r="G26" s="1320">
        <v>7</v>
      </c>
      <c r="H26" s="1321">
        <v>8</v>
      </c>
      <c r="I26" s="1322" t="s">
        <v>848</v>
      </c>
    </row>
    <row r="27" spans="1:9" s="386" customFormat="1" ht="15.75" thickTop="1" x14ac:dyDescent="0.25">
      <c r="A27" s="1373">
        <v>60001100030</v>
      </c>
      <c r="B27" s="1374">
        <v>3142</v>
      </c>
      <c r="C27" s="1375">
        <v>5137</v>
      </c>
      <c r="D27" s="1047">
        <v>870</v>
      </c>
      <c r="E27" s="1324" t="s">
        <v>173</v>
      </c>
      <c r="F27" s="415"/>
      <c r="G27" s="1326">
        <v>5979</v>
      </c>
      <c r="H27" s="415">
        <v>5957</v>
      </c>
      <c r="I27" s="1036">
        <f t="shared" ref="I27:I33" si="0">(H27/G27)*100</f>
        <v>99.632045492557282</v>
      </c>
    </row>
    <row r="28" spans="1:9" s="386" customFormat="1" ht="15.75" thickBot="1" x14ac:dyDescent="0.3">
      <c r="A28" s="1376">
        <v>60001100030</v>
      </c>
      <c r="B28" s="1377">
        <v>3142</v>
      </c>
      <c r="C28" s="1378">
        <v>5172</v>
      </c>
      <c r="D28" s="1032">
        <v>870</v>
      </c>
      <c r="E28" s="1323" t="s">
        <v>1002</v>
      </c>
      <c r="F28" s="416"/>
      <c r="G28" s="1327">
        <v>106</v>
      </c>
      <c r="H28" s="416">
        <v>101</v>
      </c>
      <c r="I28" s="906">
        <f t="shared" si="0"/>
        <v>95.283018867924525</v>
      </c>
    </row>
    <row r="29" spans="1:9" s="558" customFormat="1" ht="18" customHeight="1" thickTop="1" thickBot="1" x14ac:dyDescent="0.3">
      <c r="A29" s="2739" t="s">
        <v>268</v>
      </c>
      <c r="B29" s="2740"/>
      <c r="C29" s="2740"/>
      <c r="D29" s="2740"/>
      <c r="E29" s="2740"/>
      <c r="F29" s="894">
        <v>0</v>
      </c>
      <c r="G29" s="894">
        <f>G27+G28</f>
        <v>6085</v>
      </c>
      <c r="H29" s="894">
        <f>H27+H28</f>
        <v>6058</v>
      </c>
      <c r="I29" s="895">
        <f t="shared" si="0"/>
        <v>99.556285949055052</v>
      </c>
    </row>
    <row r="30" spans="1:9" s="558" customFormat="1" ht="18" customHeight="1" thickTop="1" x14ac:dyDescent="0.25">
      <c r="A30" s="1361">
        <v>60001100030</v>
      </c>
      <c r="B30" s="1362">
        <v>3142</v>
      </c>
      <c r="C30" s="1363">
        <v>6121</v>
      </c>
      <c r="D30" s="1032">
        <v>10</v>
      </c>
      <c r="E30" s="1323" t="s">
        <v>671</v>
      </c>
      <c r="F30" s="890">
        <v>50100</v>
      </c>
      <c r="G30" s="181">
        <v>0</v>
      </c>
      <c r="H30" s="890">
        <v>0</v>
      </c>
      <c r="I30" s="906">
        <v>0</v>
      </c>
    </row>
    <row r="31" spans="1:9" s="386" customFormat="1" ht="15" x14ac:dyDescent="0.25">
      <c r="A31" s="1376">
        <v>60001100030</v>
      </c>
      <c r="B31" s="1377">
        <v>3142</v>
      </c>
      <c r="C31" s="1378">
        <v>6121</v>
      </c>
      <c r="D31" s="1032">
        <v>870</v>
      </c>
      <c r="E31" s="1323" t="s">
        <v>671</v>
      </c>
      <c r="F31" s="416"/>
      <c r="G31" s="1327">
        <v>85669</v>
      </c>
      <c r="H31" s="416">
        <v>85083</v>
      </c>
      <c r="I31" s="906">
        <f t="shared" si="0"/>
        <v>99.315971938507502</v>
      </c>
    </row>
    <row r="32" spans="1:9" s="558" customFormat="1" ht="15.75" thickBot="1" x14ac:dyDescent="0.3">
      <c r="A32" s="1037">
        <v>60001100030</v>
      </c>
      <c r="B32" s="962">
        <v>3142</v>
      </c>
      <c r="C32" s="807">
        <v>6122</v>
      </c>
      <c r="D32" s="1038">
        <v>870</v>
      </c>
      <c r="E32" s="1325" t="s">
        <v>672</v>
      </c>
      <c r="F32" s="954"/>
      <c r="G32" s="1039">
        <v>24343</v>
      </c>
      <c r="H32" s="954">
        <v>24343</v>
      </c>
      <c r="I32" s="1046">
        <f t="shared" si="0"/>
        <v>100</v>
      </c>
    </row>
    <row r="33" spans="1:9" s="558" customFormat="1" ht="18" customHeight="1" thickTop="1" thickBot="1" x14ac:dyDescent="0.3">
      <c r="A33" s="2751" t="s">
        <v>267</v>
      </c>
      <c r="B33" s="2750"/>
      <c r="C33" s="2750"/>
      <c r="D33" s="2750"/>
      <c r="E33" s="2750"/>
      <c r="F33" s="943">
        <f>F30</f>
        <v>50100</v>
      </c>
      <c r="G33" s="943">
        <f>G30+G31+G32</f>
        <v>110012</v>
      </c>
      <c r="H33" s="943">
        <f>H30+H31+H32</f>
        <v>109426</v>
      </c>
      <c r="I33" s="895">
        <f t="shared" si="0"/>
        <v>99.467330836636009</v>
      </c>
    </row>
    <row r="34" spans="1:9" s="558" customFormat="1" ht="13.5" thickTop="1" x14ac:dyDescent="0.2">
      <c r="B34" s="669"/>
      <c r="D34" s="884"/>
      <c r="F34" s="517"/>
      <c r="G34" s="517"/>
      <c r="H34" s="517"/>
      <c r="I34" s="1023"/>
    </row>
    <row r="35" spans="1:9" s="558" customFormat="1" x14ac:dyDescent="0.2">
      <c r="B35" s="669"/>
      <c r="D35" s="884"/>
      <c r="F35" s="517"/>
      <c r="G35" s="517"/>
      <c r="H35" s="517"/>
      <c r="I35" s="1023"/>
    </row>
    <row r="36" spans="1:9" s="558" customFormat="1" ht="13.5" thickBot="1" x14ac:dyDescent="0.25">
      <c r="A36" s="439" t="s">
        <v>1217</v>
      </c>
      <c r="B36" s="669"/>
      <c r="D36" s="884"/>
      <c r="F36" s="517"/>
      <c r="G36" s="517"/>
      <c r="H36" s="517"/>
      <c r="I36" s="1023" t="s">
        <v>179</v>
      </c>
    </row>
    <row r="37" spans="1:9" s="107" customFormat="1" ht="20.25" customHeight="1" thickTop="1" thickBot="1" x14ac:dyDescent="0.25">
      <c r="A37" s="714" t="s">
        <v>692</v>
      </c>
      <c r="B37" s="717" t="s">
        <v>180</v>
      </c>
      <c r="C37" s="715" t="s">
        <v>181</v>
      </c>
      <c r="D37" s="660" t="s">
        <v>783</v>
      </c>
      <c r="E37" s="718" t="s">
        <v>182</v>
      </c>
      <c r="F37" s="718" t="s">
        <v>183</v>
      </c>
      <c r="G37" s="718" t="s">
        <v>985</v>
      </c>
      <c r="H37" s="718" t="s">
        <v>986</v>
      </c>
      <c r="I37" s="888" t="s">
        <v>987</v>
      </c>
    </row>
    <row r="38" spans="1:9" s="386" customFormat="1" ht="13.5" thickTop="1" thickBot="1" x14ac:dyDescent="0.25">
      <c r="A38" s="1318">
        <v>1</v>
      </c>
      <c r="B38" s="1319">
        <v>2</v>
      </c>
      <c r="C38" s="1319">
        <v>3</v>
      </c>
      <c r="D38" s="1319">
        <v>4</v>
      </c>
      <c r="E38" s="1319">
        <v>5</v>
      </c>
      <c r="F38" s="1320">
        <v>6</v>
      </c>
      <c r="G38" s="1320">
        <v>7</v>
      </c>
      <c r="H38" s="1321">
        <v>8</v>
      </c>
      <c r="I38" s="1322" t="s">
        <v>848</v>
      </c>
    </row>
    <row r="39" spans="1:9" s="386" customFormat="1" ht="15.75" thickTop="1" x14ac:dyDescent="0.25">
      <c r="A39" s="1373">
        <v>60001100031</v>
      </c>
      <c r="B39" s="1374">
        <v>3121</v>
      </c>
      <c r="C39" s="1374">
        <v>6121</v>
      </c>
      <c r="D39" s="1346">
        <v>10</v>
      </c>
      <c r="E39" s="1345" t="s">
        <v>671</v>
      </c>
      <c r="F39" s="1364">
        <v>3900</v>
      </c>
      <c r="G39" s="1364">
        <v>0</v>
      </c>
      <c r="H39" s="1364">
        <v>0</v>
      </c>
      <c r="I39" s="1329">
        <v>0</v>
      </c>
    </row>
    <row r="40" spans="1:9" s="558" customFormat="1" ht="15.75" thickBot="1" x14ac:dyDescent="0.3">
      <c r="A40" s="1351">
        <v>60001100031</v>
      </c>
      <c r="B40" s="705">
        <v>3121</v>
      </c>
      <c r="C40" s="705">
        <v>6121</v>
      </c>
      <c r="D40" s="1032">
        <v>870</v>
      </c>
      <c r="E40" s="383" t="s">
        <v>671</v>
      </c>
      <c r="F40" s="921"/>
      <c r="G40" s="921">
        <v>3900</v>
      </c>
      <c r="H40" s="921">
        <v>3683</v>
      </c>
      <c r="I40" s="923">
        <f>(H40/G40)*100</f>
        <v>94.435897435897431</v>
      </c>
    </row>
    <row r="41" spans="1:9" s="558" customFormat="1" ht="18" customHeight="1" thickTop="1" thickBot="1" x14ac:dyDescent="0.3">
      <c r="A41" s="2739" t="s">
        <v>267</v>
      </c>
      <c r="B41" s="2740"/>
      <c r="C41" s="2740"/>
      <c r="D41" s="2740"/>
      <c r="E41" s="2740"/>
      <c r="F41" s="894">
        <f>F39</f>
        <v>3900</v>
      </c>
      <c r="G41" s="894">
        <f>SUM(G40)</f>
        <v>3900</v>
      </c>
      <c r="H41" s="894">
        <f>SUM(H40)</f>
        <v>3683</v>
      </c>
      <c r="I41" s="895">
        <f>(H41/G41)*100</f>
        <v>94.435897435897431</v>
      </c>
    </row>
    <row r="42" spans="1:9" s="558" customFormat="1" ht="13.5" thickTop="1" x14ac:dyDescent="0.2">
      <c r="B42" s="669"/>
      <c r="D42" s="884"/>
      <c r="F42" s="517"/>
      <c r="G42" s="517"/>
      <c r="H42" s="517"/>
      <c r="I42" s="1023"/>
    </row>
    <row r="43" spans="1:9" s="558" customFormat="1" x14ac:dyDescent="0.2">
      <c r="B43" s="669"/>
      <c r="D43" s="884"/>
      <c r="F43" s="517"/>
      <c r="G43" s="517"/>
      <c r="H43" s="517"/>
      <c r="I43" s="1023"/>
    </row>
    <row r="44" spans="1:9" s="558" customFormat="1" ht="13.5" thickBot="1" x14ac:dyDescent="0.25">
      <c r="A44" s="439" t="s">
        <v>1218</v>
      </c>
      <c r="B44" s="669"/>
      <c r="D44" s="884"/>
      <c r="F44" s="517"/>
      <c r="G44" s="517"/>
      <c r="H44" s="517"/>
      <c r="I44" s="1023" t="s">
        <v>179</v>
      </c>
    </row>
    <row r="45" spans="1:9" s="107" customFormat="1" ht="20.25" customHeight="1" thickTop="1" thickBot="1" x14ac:dyDescent="0.25">
      <c r="A45" s="714" t="s">
        <v>692</v>
      </c>
      <c r="B45" s="717" t="s">
        <v>180</v>
      </c>
      <c r="C45" s="715" t="s">
        <v>181</v>
      </c>
      <c r="D45" s="660" t="s">
        <v>783</v>
      </c>
      <c r="E45" s="718" t="s">
        <v>182</v>
      </c>
      <c r="F45" s="718" t="s">
        <v>183</v>
      </c>
      <c r="G45" s="718" t="s">
        <v>985</v>
      </c>
      <c r="H45" s="718" t="s">
        <v>986</v>
      </c>
      <c r="I45" s="888" t="s">
        <v>987</v>
      </c>
    </row>
    <row r="46" spans="1:9" s="386" customFormat="1" ht="13.5" thickTop="1" thickBot="1" x14ac:dyDescent="0.25">
      <c r="A46" s="592">
        <v>1</v>
      </c>
      <c r="B46" s="593">
        <v>2</v>
      </c>
      <c r="C46" s="593">
        <v>3</v>
      </c>
      <c r="D46" s="593">
        <v>4</v>
      </c>
      <c r="E46" s="593">
        <v>5</v>
      </c>
      <c r="F46" s="567">
        <v>6</v>
      </c>
      <c r="G46" s="567">
        <v>7</v>
      </c>
      <c r="H46" s="568">
        <v>8</v>
      </c>
      <c r="I46" s="662" t="s">
        <v>848</v>
      </c>
    </row>
    <row r="47" spans="1:9" s="558" customFormat="1" ht="16.5" thickTop="1" thickBot="1" x14ac:dyDescent="0.3">
      <c r="A47" s="1040">
        <v>60001100039</v>
      </c>
      <c r="B47" s="1041">
        <v>3145</v>
      </c>
      <c r="C47" s="1041">
        <v>6121</v>
      </c>
      <c r="D47" s="1042">
        <v>10</v>
      </c>
      <c r="E47" s="1043" t="s">
        <v>671</v>
      </c>
      <c r="F47" s="960">
        <v>1900</v>
      </c>
      <c r="G47" s="960">
        <v>1937</v>
      </c>
      <c r="H47" s="960">
        <v>851</v>
      </c>
      <c r="I47" s="961">
        <f>(H47/G47)*100</f>
        <v>43.933918430562727</v>
      </c>
    </row>
    <row r="48" spans="1:9" s="558" customFormat="1" ht="18" customHeight="1" thickTop="1" thickBot="1" x14ac:dyDescent="0.3">
      <c r="A48" s="2751" t="s">
        <v>267</v>
      </c>
      <c r="B48" s="2750"/>
      <c r="C48" s="2750"/>
      <c r="D48" s="2750"/>
      <c r="E48" s="2750"/>
      <c r="F48" s="943">
        <f>F47</f>
        <v>1900</v>
      </c>
      <c r="G48" s="943">
        <f>G47</f>
        <v>1937</v>
      </c>
      <c r="H48" s="943">
        <f>H47</f>
        <v>851</v>
      </c>
      <c r="I48" s="926">
        <f>(H48/G48)*100</f>
        <v>43.933918430562727</v>
      </c>
    </row>
    <row r="49" spans="1:9" s="558" customFormat="1" ht="13.5" thickTop="1" x14ac:dyDescent="0.2">
      <c r="B49" s="669"/>
      <c r="D49" s="884"/>
      <c r="F49" s="517"/>
      <c r="G49" s="517"/>
      <c r="H49" s="517"/>
      <c r="I49" s="1023"/>
    </row>
    <row r="50" spans="1:9" s="558" customFormat="1" x14ac:dyDescent="0.2">
      <c r="B50" s="669"/>
      <c r="D50" s="884"/>
      <c r="F50" s="517"/>
      <c r="G50" s="517"/>
      <c r="H50" s="517"/>
      <c r="I50" s="1023"/>
    </row>
    <row r="51" spans="1:9" s="558" customFormat="1" ht="13.5" thickBot="1" x14ac:dyDescent="0.25">
      <c r="A51" s="439" t="s">
        <v>1219</v>
      </c>
      <c r="B51" s="669"/>
      <c r="D51" s="884"/>
      <c r="F51" s="517"/>
      <c r="G51" s="517"/>
      <c r="H51" s="517"/>
      <c r="I51" s="1023" t="s">
        <v>179</v>
      </c>
    </row>
    <row r="52" spans="1:9" s="107" customFormat="1" ht="20.25" customHeight="1" thickTop="1" thickBot="1" x14ac:dyDescent="0.25">
      <c r="A52" s="714" t="s">
        <v>692</v>
      </c>
      <c r="B52" s="717" t="s">
        <v>180</v>
      </c>
      <c r="C52" s="715" t="s">
        <v>181</v>
      </c>
      <c r="D52" s="660" t="s">
        <v>783</v>
      </c>
      <c r="E52" s="718" t="s">
        <v>182</v>
      </c>
      <c r="F52" s="718" t="s">
        <v>183</v>
      </c>
      <c r="G52" s="718" t="s">
        <v>985</v>
      </c>
      <c r="H52" s="718" t="s">
        <v>986</v>
      </c>
      <c r="I52" s="888" t="s">
        <v>987</v>
      </c>
    </row>
    <row r="53" spans="1:9" s="386" customFormat="1" ht="13.5" thickTop="1" thickBot="1" x14ac:dyDescent="0.25">
      <c r="A53" s="1318">
        <v>1</v>
      </c>
      <c r="B53" s="1319">
        <v>2</v>
      </c>
      <c r="C53" s="1319">
        <v>3</v>
      </c>
      <c r="D53" s="1319">
        <v>4</v>
      </c>
      <c r="E53" s="1319">
        <v>5</v>
      </c>
      <c r="F53" s="1320">
        <v>6</v>
      </c>
      <c r="G53" s="1320">
        <v>7</v>
      </c>
      <c r="H53" s="1321">
        <v>8</v>
      </c>
      <c r="I53" s="1322" t="s">
        <v>848</v>
      </c>
    </row>
    <row r="54" spans="1:9" s="558" customFormat="1" ht="15.75" thickTop="1" x14ac:dyDescent="0.25">
      <c r="A54" s="1031">
        <v>60001100042</v>
      </c>
      <c r="B54" s="836">
        <v>3123</v>
      </c>
      <c r="C54" s="680">
        <v>6121</v>
      </c>
      <c r="D54" s="1047">
        <v>10</v>
      </c>
      <c r="E54" s="1302" t="s">
        <v>671</v>
      </c>
      <c r="F54" s="1034">
        <v>4847</v>
      </c>
      <c r="G54" s="1328">
        <v>4324</v>
      </c>
      <c r="H54" s="1034">
        <v>4350</v>
      </c>
      <c r="I54" s="1329">
        <f>(H54/G54)*100</f>
        <v>100.60129509713229</v>
      </c>
    </row>
    <row r="55" spans="1:9" s="558" customFormat="1" ht="15.75" thickBot="1" x14ac:dyDescent="0.3">
      <c r="A55" s="1045">
        <v>60001100042</v>
      </c>
      <c r="B55" s="706">
        <v>3123</v>
      </c>
      <c r="C55" s="807">
        <v>6123</v>
      </c>
      <c r="D55" s="1038">
        <v>10</v>
      </c>
      <c r="E55" s="1325" t="s">
        <v>1384</v>
      </c>
      <c r="F55" s="954"/>
      <c r="G55" s="1039">
        <v>175</v>
      </c>
      <c r="H55" s="954">
        <v>175</v>
      </c>
      <c r="I55" s="1048">
        <f>(H55/G55)*100</f>
        <v>100</v>
      </c>
    </row>
    <row r="56" spans="1:9" s="558" customFormat="1" ht="18" customHeight="1" thickTop="1" thickBot="1" x14ac:dyDescent="0.3">
      <c r="A56" s="2751" t="s">
        <v>267</v>
      </c>
      <c r="B56" s="2750"/>
      <c r="C56" s="2750"/>
      <c r="D56" s="2750"/>
      <c r="E56" s="2750"/>
      <c r="F56" s="943">
        <f>F54</f>
        <v>4847</v>
      </c>
      <c r="G56" s="943">
        <f>G54+G55</f>
        <v>4499</v>
      </c>
      <c r="H56" s="943">
        <f>H54+H55</f>
        <v>4525</v>
      </c>
      <c r="I56" s="926">
        <f>(H56/G56)*100</f>
        <v>100.57790620137807</v>
      </c>
    </row>
    <row r="57" spans="1:9" s="558" customFormat="1" ht="13.5" thickTop="1" x14ac:dyDescent="0.2">
      <c r="B57" s="669"/>
      <c r="D57" s="884"/>
      <c r="F57" s="517"/>
      <c r="G57" s="517"/>
      <c r="H57" s="517"/>
      <c r="I57" s="1023"/>
    </row>
    <row r="58" spans="1:9" s="558" customFormat="1" x14ac:dyDescent="0.2">
      <c r="B58" s="669"/>
      <c r="D58" s="884"/>
      <c r="F58" s="517"/>
      <c r="G58" s="517"/>
      <c r="H58" s="517"/>
      <c r="I58" s="1023"/>
    </row>
    <row r="59" spans="1:9" s="558" customFormat="1" ht="13.5" thickBot="1" x14ac:dyDescent="0.25">
      <c r="A59" s="439" t="s">
        <v>757</v>
      </c>
      <c r="B59" s="669"/>
      <c r="D59" s="884"/>
      <c r="F59" s="517"/>
      <c r="G59" s="517"/>
      <c r="H59" s="517"/>
      <c r="I59" s="1023" t="s">
        <v>179</v>
      </c>
    </row>
    <row r="60" spans="1:9" s="107" customFormat="1" ht="20.25" customHeight="1" thickTop="1" thickBot="1" x14ac:dyDescent="0.25">
      <c r="A60" s="714" t="s">
        <v>692</v>
      </c>
      <c r="B60" s="717" t="s">
        <v>180</v>
      </c>
      <c r="C60" s="715" t="s">
        <v>181</v>
      </c>
      <c r="D60" s="660" t="s">
        <v>783</v>
      </c>
      <c r="E60" s="718" t="s">
        <v>182</v>
      </c>
      <c r="F60" s="718" t="s">
        <v>183</v>
      </c>
      <c r="G60" s="718" t="s">
        <v>985</v>
      </c>
      <c r="H60" s="718" t="s">
        <v>986</v>
      </c>
      <c r="I60" s="888" t="s">
        <v>987</v>
      </c>
    </row>
    <row r="61" spans="1:9" s="386" customFormat="1" ht="13.5" thickTop="1" thickBot="1" x14ac:dyDescent="0.25">
      <c r="A61" s="1318">
        <v>1</v>
      </c>
      <c r="B61" s="1319">
        <v>2</v>
      </c>
      <c r="C61" s="1319">
        <v>3</v>
      </c>
      <c r="D61" s="1319">
        <v>4</v>
      </c>
      <c r="E61" s="1319">
        <v>5</v>
      </c>
      <c r="F61" s="1320">
        <v>6</v>
      </c>
      <c r="G61" s="1320">
        <v>7</v>
      </c>
      <c r="H61" s="1321">
        <v>8</v>
      </c>
      <c r="I61" s="1322" t="s">
        <v>848</v>
      </c>
    </row>
    <row r="62" spans="1:9" s="558" customFormat="1" ht="16.5" thickTop="1" thickBot="1" x14ac:dyDescent="0.3">
      <c r="A62" s="1330">
        <v>60001100188</v>
      </c>
      <c r="B62" s="1041">
        <v>3114</v>
      </c>
      <c r="C62" s="1331">
        <v>6121</v>
      </c>
      <c r="D62" s="1042">
        <v>10</v>
      </c>
      <c r="E62" s="1332" t="s">
        <v>671</v>
      </c>
      <c r="F62" s="960"/>
      <c r="G62" s="1333">
        <v>1</v>
      </c>
      <c r="H62" s="960">
        <v>1</v>
      </c>
      <c r="I62" s="1334">
        <f>(H62/G62)*100</f>
        <v>100</v>
      </c>
    </row>
    <row r="63" spans="1:9" s="558" customFormat="1" ht="18" customHeight="1" thickTop="1" thickBot="1" x14ac:dyDescent="0.3">
      <c r="A63" s="2751" t="s">
        <v>267</v>
      </c>
      <c r="B63" s="2750"/>
      <c r="C63" s="2750"/>
      <c r="D63" s="2750"/>
      <c r="E63" s="2750"/>
      <c r="F63" s="943">
        <f>F62</f>
        <v>0</v>
      </c>
      <c r="G63" s="943">
        <f>G62</f>
        <v>1</v>
      </c>
      <c r="H63" s="943">
        <f>H62</f>
        <v>1</v>
      </c>
      <c r="I63" s="926">
        <f>(H63/G63)*100</f>
        <v>100</v>
      </c>
    </row>
    <row r="64" spans="1:9" s="558" customFormat="1" ht="13.5" thickTop="1" x14ac:dyDescent="0.2">
      <c r="B64" s="669"/>
      <c r="D64" s="884"/>
      <c r="F64" s="517"/>
      <c r="G64" s="517"/>
      <c r="H64" s="517"/>
      <c r="I64" s="1023"/>
    </row>
    <row r="65" spans="1:9" s="558" customFormat="1" x14ac:dyDescent="0.2">
      <c r="B65" s="669"/>
      <c r="D65" s="884"/>
      <c r="F65" s="517"/>
      <c r="G65" s="517"/>
      <c r="H65" s="517"/>
      <c r="I65" s="1023"/>
    </row>
    <row r="66" spans="1:9" s="558" customFormat="1" x14ac:dyDescent="0.2">
      <c r="B66" s="669"/>
      <c r="D66" s="884"/>
      <c r="F66" s="517"/>
      <c r="G66" s="517"/>
      <c r="H66" s="517"/>
      <c r="I66" s="1023"/>
    </row>
    <row r="67" spans="1:9" s="558" customFormat="1" x14ac:dyDescent="0.2">
      <c r="B67" s="669"/>
      <c r="D67" s="884"/>
      <c r="F67" s="517"/>
      <c r="G67" s="517"/>
      <c r="H67" s="517"/>
      <c r="I67" s="1023"/>
    </row>
    <row r="68" spans="1:9" s="558" customFormat="1" ht="13.5" thickBot="1" x14ac:dyDescent="0.25">
      <c r="A68" s="439" t="s">
        <v>758</v>
      </c>
      <c r="B68" s="669"/>
      <c r="D68" s="884"/>
      <c r="F68" s="517"/>
      <c r="G68" s="517"/>
      <c r="H68" s="517"/>
      <c r="I68" s="1023" t="s">
        <v>179</v>
      </c>
    </row>
    <row r="69" spans="1:9" s="107" customFormat="1" ht="20.25" customHeight="1" thickTop="1" thickBot="1" x14ac:dyDescent="0.25">
      <c r="A69" s="714" t="s">
        <v>692</v>
      </c>
      <c r="B69" s="717" t="s">
        <v>180</v>
      </c>
      <c r="C69" s="715" t="s">
        <v>181</v>
      </c>
      <c r="D69" s="660" t="s">
        <v>783</v>
      </c>
      <c r="E69" s="718" t="s">
        <v>182</v>
      </c>
      <c r="F69" s="718" t="s">
        <v>183</v>
      </c>
      <c r="G69" s="718" t="s">
        <v>985</v>
      </c>
      <c r="H69" s="718" t="s">
        <v>986</v>
      </c>
      <c r="I69" s="888" t="s">
        <v>987</v>
      </c>
    </row>
    <row r="70" spans="1:9" s="386" customFormat="1" ht="13.5" thickTop="1" thickBot="1" x14ac:dyDescent="0.25">
      <c r="A70" s="1318">
        <v>1</v>
      </c>
      <c r="B70" s="1319">
        <v>2</v>
      </c>
      <c r="C70" s="1319">
        <v>3</v>
      </c>
      <c r="D70" s="1319">
        <v>4</v>
      </c>
      <c r="E70" s="1319">
        <v>5</v>
      </c>
      <c r="F70" s="1320">
        <v>6</v>
      </c>
      <c r="G70" s="1320">
        <v>7</v>
      </c>
      <c r="H70" s="1321">
        <v>8</v>
      </c>
      <c r="I70" s="1322" t="s">
        <v>848</v>
      </c>
    </row>
    <row r="71" spans="1:9" s="558" customFormat="1" ht="16.5" thickTop="1" thickBot="1" x14ac:dyDescent="0.3">
      <c r="A71" s="1330">
        <v>60001100191</v>
      </c>
      <c r="B71" s="1041">
        <v>4322</v>
      </c>
      <c r="C71" s="1331">
        <v>6121</v>
      </c>
      <c r="D71" s="1042">
        <v>870</v>
      </c>
      <c r="E71" s="1332" t="s">
        <v>671</v>
      </c>
      <c r="F71" s="960"/>
      <c r="G71" s="1333">
        <v>11692</v>
      </c>
      <c r="H71" s="960">
        <v>1207</v>
      </c>
      <c r="I71" s="1334">
        <f>(H71/G71)*100</f>
        <v>10.32329798152583</v>
      </c>
    </row>
    <row r="72" spans="1:9" s="558" customFormat="1" ht="18" customHeight="1" thickTop="1" thickBot="1" x14ac:dyDescent="0.3">
      <c r="A72" s="2751" t="s">
        <v>267</v>
      </c>
      <c r="B72" s="2750"/>
      <c r="C72" s="2750"/>
      <c r="D72" s="2750"/>
      <c r="E72" s="2750"/>
      <c r="F72" s="943">
        <f>F71</f>
        <v>0</v>
      </c>
      <c r="G72" s="943">
        <f>G71</f>
        <v>11692</v>
      </c>
      <c r="H72" s="943">
        <f>H71</f>
        <v>1207</v>
      </c>
      <c r="I72" s="926">
        <f>(H72/G72)*100</f>
        <v>10.32329798152583</v>
      </c>
    </row>
    <row r="73" spans="1:9" s="558" customFormat="1" ht="13.5" thickTop="1" x14ac:dyDescent="0.2">
      <c r="B73" s="669"/>
      <c r="D73" s="884"/>
      <c r="F73" s="517"/>
      <c r="G73" s="517"/>
      <c r="H73" s="517"/>
      <c r="I73" s="1023"/>
    </row>
    <row r="74" spans="1:9" s="558" customFormat="1" x14ac:dyDescent="0.2">
      <c r="B74" s="669"/>
      <c r="D74" s="884"/>
      <c r="F74" s="517"/>
      <c r="G74" s="517"/>
      <c r="H74" s="517"/>
      <c r="I74" s="1023"/>
    </row>
    <row r="75" spans="1:9" s="558" customFormat="1" ht="13.5" thickBot="1" x14ac:dyDescent="0.25">
      <c r="A75" s="439" t="s">
        <v>759</v>
      </c>
      <c r="B75" s="669"/>
      <c r="D75" s="884"/>
      <c r="F75" s="517"/>
      <c r="G75" s="517"/>
      <c r="H75" s="517"/>
      <c r="I75" s="1023" t="s">
        <v>179</v>
      </c>
    </row>
    <row r="76" spans="1:9" s="107" customFormat="1" ht="20.25" customHeight="1" thickTop="1" thickBot="1" x14ac:dyDescent="0.25">
      <c r="A76" s="714" t="s">
        <v>692</v>
      </c>
      <c r="B76" s="717" t="s">
        <v>180</v>
      </c>
      <c r="C76" s="715" t="s">
        <v>181</v>
      </c>
      <c r="D76" s="660" t="s">
        <v>783</v>
      </c>
      <c r="E76" s="718" t="s">
        <v>182</v>
      </c>
      <c r="F76" s="718" t="s">
        <v>183</v>
      </c>
      <c r="G76" s="718" t="s">
        <v>985</v>
      </c>
      <c r="H76" s="718" t="s">
        <v>986</v>
      </c>
      <c r="I76" s="888" t="s">
        <v>987</v>
      </c>
    </row>
    <row r="77" spans="1:9" s="386" customFormat="1" ht="13.5" thickTop="1" thickBot="1" x14ac:dyDescent="0.25">
      <c r="A77" s="1318">
        <v>1</v>
      </c>
      <c r="B77" s="1319">
        <v>2</v>
      </c>
      <c r="C77" s="1319">
        <v>3</v>
      </c>
      <c r="D77" s="1319">
        <v>4</v>
      </c>
      <c r="E77" s="1319">
        <v>5</v>
      </c>
      <c r="F77" s="1320">
        <v>6</v>
      </c>
      <c r="G77" s="1320">
        <v>7</v>
      </c>
      <c r="H77" s="1321">
        <v>8</v>
      </c>
      <c r="I77" s="1322" t="s">
        <v>848</v>
      </c>
    </row>
    <row r="78" spans="1:9" s="558" customFormat="1" ht="16.5" thickTop="1" thickBot="1" x14ac:dyDescent="0.3">
      <c r="A78" s="1330">
        <v>60001100192</v>
      </c>
      <c r="B78" s="1041">
        <v>3122</v>
      </c>
      <c r="C78" s="1331">
        <v>6121</v>
      </c>
      <c r="D78" s="1042">
        <v>10</v>
      </c>
      <c r="E78" s="1332" t="s">
        <v>671</v>
      </c>
      <c r="F78" s="960"/>
      <c r="G78" s="1333">
        <v>1</v>
      </c>
      <c r="H78" s="960">
        <v>0</v>
      </c>
      <c r="I78" s="1334">
        <f>(H78/G78)*100</f>
        <v>0</v>
      </c>
    </row>
    <row r="79" spans="1:9" s="558" customFormat="1" ht="18" customHeight="1" thickTop="1" thickBot="1" x14ac:dyDescent="0.3">
      <c r="A79" s="2751" t="s">
        <v>267</v>
      </c>
      <c r="B79" s="2750"/>
      <c r="C79" s="2750"/>
      <c r="D79" s="2750"/>
      <c r="E79" s="2750"/>
      <c r="F79" s="943">
        <f>F78</f>
        <v>0</v>
      </c>
      <c r="G79" s="943">
        <f>G78</f>
        <v>1</v>
      </c>
      <c r="H79" s="943">
        <f>H78</f>
        <v>0</v>
      </c>
      <c r="I79" s="926">
        <f>(H79/G79)*100</f>
        <v>0</v>
      </c>
    </row>
    <row r="80" spans="1:9" s="558" customFormat="1" ht="13.5" thickTop="1" x14ac:dyDescent="0.2">
      <c r="B80" s="669"/>
      <c r="D80" s="884"/>
      <c r="F80" s="517"/>
      <c r="G80" s="517"/>
      <c r="H80" s="517"/>
      <c r="I80" s="1023"/>
    </row>
    <row r="81" spans="1:9" s="558" customFormat="1" x14ac:dyDescent="0.2">
      <c r="B81" s="669"/>
      <c r="D81" s="884"/>
      <c r="F81" s="517"/>
      <c r="G81" s="517"/>
      <c r="H81" s="517"/>
      <c r="I81" s="1023"/>
    </row>
    <row r="82" spans="1:9" s="558" customFormat="1" ht="13.5" thickBot="1" x14ac:dyDescent="0.25">
      <c r="A82" s="439" t="s">
        <v>760</v>
      </c>
      <c r="B82" s="669"/>
      <c r="D82" s="884"/>
      <c r="F82" s="517"/>
      <c r="G82" s="517"/>
      <c r="H82" s="517"/>
      <c r="I82" s="1023" t="s">
        <v>179</v>
      </c>
    </row>
    <row r="83" spans="1:9" s="107" customFormat="1" ht="20.25" customHeight="1" thickTop="1" thickBot="1" x14ac:dyDescent="0.25">
      <c r="A83" s="714" t="s">
        <v>692</v>
      </c>
      <c r="B83" s="717" t="s">
        <v>180</v>
      </c>
      <c r="C83" s="715" t="s">
        <v>181</v>
      </c>
      <c r="D83" s="660" t="s">
        <v>783</v>
      </c>
      <c r="E83" s="718" t="s">
        <v>182</v>
      </c>
      <c r="F83" s="718" t="s">
        <v>183</v>
      </c>
      <c r="G83" s="718" t="s">
        <v>985</v>
      </c>
      <c r="H83" s="718" t="s">
        <v>986</v>
      </c>
      <c r="I83" s="888" t="s">
        <v>987</v>
      </c>
    </row>
    <row r="84" spans="1:9" s="386" customFormat="1" ht="13.5" thickTop="1" thickBot="1" x14ac:dyDescent="0.25">
      <c r="A84" s="1318">
        <v>1</v>
      </c>
      <c r="B84" s="1319">
        <v>2</v>
      </c>
      <c r="C84" s="1319">
        <v>3</v>
      </c>
      <c r="D84" s="1319">
        <v>4</v>
      </c>
      <c r="E84" s="1319">
        <v>5</v>
      </c>
      <c r="F84" s="1320">
        <v>6</v>
      </c>
      <c r="G84" s="1320">
        <v>7</v>
      </c>
      <c r="H84" s="1321">
        <v>8</v>
      </c>
      <c r="I84" s="1322" t="s">
        <v>848</v>
      </c>
    </row>
    <row r="85" spans="1:9" s="558" customFormat="1" ht="16.5" thickTop="1" thickBot="1" x14ac:dyDescent="0.3">
      <c r="A85" s="1330">
        <v>60001100201</v>
      </c>
      <c r="B85" s="1041">
        <v>3122</v>
      </c>
      <c r="C85" s="1331">
        <v>6121</v>
      </c>
      <c r="D85" s="1042">
        <v>870</v>
      </c>
      <c r="E85" s="1332" t="s">
        <v>671</v>
      </c>
      <c r="F85" s="960"/>
      <c r="G85" s="1333">
        <v>5965</v>
      </c>
      <c r="H85" s="960">
        <v>5895</v>
      </c>
      <c r="I85" s="1334">
        <f>(H85/G85)*100</f>
        <v>98.826487845766977</v>
      </c>
    </row>
    <row r="86" spans="1:9" s="558" customFormat="1" ht="18" customHeight="1" thickTop="1" thickBot="1" x14ac:dyDescent="0.3">
      <c r="A86" s="2751" t="s">
        <v>267</v>
      </c>
      <c r="B86" s="2750"/>
      <c r="C86" s="2750"/>
      <c r="D86" s="2750"/>
      <c r="E86" s="2750"/>
      <c r="F86" s="943">
        <f>F85</f>
        <v>0</v>
      </c>
      <c r="G86" s="943">
        <f>G85</f>
        <v>5965</v>
      </c>
      <c r="H86" s="943">
        <f>H85</f>
        <v>5895</v>
      </c>
      <c r="I86" s="926">
        <f>(H86/G86)*100</f>
        <v>98.826487845766977</v>
      </c>
    </row>
    <row r="87" spans="1:9" s="558" customFormat="1" ht="13.5" thickTop="1" x14ac:dyDescent="0.2">
      <c r="B87" s="669"/>
      <c r="D87" s="884"/>
      <c r="F87" s="517"/>
      <c r="G87" s="517"/>
      <c r="H87" s="517"/>
      <c r="I87" s="1023"/>
    </row>
    <row r="88" spans="1:9" s="558" customFormat="1" x14ac:dyDescent="0.2">
      <c r="B88" s="669"/>
      <c r="D88" s="884"/>
      <c r="F88" s="517"/>
      <c r="G88" s="517"/>
      <c r="H88" s="517"/>
      <c r="I88" s="1023"/>
    </row>
    <row r="89" spans="1:9" s="558" customFormat="1" ht="13.5" thickBot="1" x14ac:dyDescent="0.25">
      <c r="A89" s="439" t="s">
        <v>761</v>
      </c>
      <c r="B89" s="669"/>
      <c r="D89" s="884"/>
      <c r="F89" s="517"/>
      <c r="G89" s="517"/>
      <c r="H89" s="517"/>
      <c r="I89" s="1023" t="s">
        <v>179</v>
      </c>
    </row>
    <row r="90" spans="1:9" s="107" customFormat="1" ht="20.25" customHeight="1" thickTop="1" thickBot="1" x14ac:dyDescent="0.25">
      <c r="A90" s="714" t="s">
        <v>692</v>
      </c>
      <c r="B90" s="717" t="s">
        <v>180</v>
      </c>
      <c r="C90" s="715" t="s">
        <v>181</v>
      </c>
      <c r="D90" s="660" t="s">
        <v>783</v>
      </c>
      <c r="E90" s="718" t="s">
        <v>182</v>
      </c>
      <c r="F90" s="718" t="s">
        <v>183</v>
      </c>
      <c r="G90" s="718" t="s">
        <v>985</v>
      </c>
      <c r="H90" s="718" t="s">
        <v>986</v>
      </c>
      <c r="I90" s="888" t="s">
        <v>987</v>
      </c>
    </row>
    <row r="91" spans="1:9" s="386" customFormat="1" ht="13.5" thickTop="1" thickBot="1" x14ac:dyDescent="0.25">
      <c r="A91" s="1318">
        <v>1</v>
      </c>
      <c r="B91" s="1319">
        <v>2</v>
      </c>
      <c r="C91" s="1319">
        <v>3</v>
      </c>
      <c r="D91" s="1319">
        <v>4</v>
      </c>
      <c r="E91" s="1319">
        <v>5</v>
      </c>
      <c r="F91" s="1320">
        <v>6</v>
      </c>
      <c r="G91" s="1320">
        <v>7</v>
      </c>
      <c r="H91" s="1321">
        <v>8</v>
      </c>
      <c r="I91" s="1322" t="s">
        <v>848</v>
      </c>
    </row>
    <row r="92" spans="1:9" s="558" customFormat="1" ht="15.75" thickTop="1" x14ac:dyDescent="0.25">
      <c r="A92" s="1031">
        <v>60001100202</v>
      </c>
      <c r="B92" s="836">
        <v>3114</v>
      </c>
      <c r="C92" s="680">
        <v>6121</v>
      </c>
      <c r="D92" s="1047">
        <v>870</v>
      </c>
      <c r="E92" s="1302" t="s">
        <v>671</v>
      </c>
      <c r="F92" s="1034"/>
      <c r="G92" s="1328">
        <v>6130</v>
      </c>
      <c r="H92" s="1034">
        <v>6086</v>
      </c>
      <c r="I92" s="1329">
        <f>(H92/G92)*100</f>
        <v>99.282218597063618</v>
      </c>
    </row>
    <row r="93" spans="1:9" s="558" customFormat="1" ht="15.75" thickBot="1" x14ac:dyDescent="0.3">
      <c r="A93" s="1045">
        <v>60001100202</v>
      </c>
      <c r="B93" s="706">
        <v>3114</v>
      </c>
      <c r="C93" s="807">
        <v>6122</v>
      </c>
      <c r="D93" s="1038">
        <v>870</v>
      </c>
      <c r="E93" s="1325" t="s">
        <v>672</v>
      </c>
      <c r="F93" s="954"/>
      <c r="G93" s="1039">
        <v>1720</v>
      </c>
      <c r="H93" s="954">
        <v>1720</v>
      </c>
      <c r="I93" s="1048">
        <f>(H93/G93)*100</f>
        <v>100</v>
      </c>
    </row>
    <row r="94" spans="1:9" s="558" customFormat="1" ht="18" customHeight="1" thickTop="1" thickBot="1" x14ac:dyDescent="0.3">
      <c r="A94" s="2751" t="s">
        <v>267</v>
      </c>
      <c r="B94" s="2750"/>
      <c r="C94" s="2750"/>
      <c r="D94" s="2750"/>
      <c r="E94" s="2750"/>
      <c r="F94" s="943">
        <f>F92</f>
        <v>0</v>
      </c>
      <c r="G94" s="943">
        <f>G92+G93</f>
        <v>7850</v>
      </c>
      <c r="H94" s="943">
        <f>H92+H93</f>
        <v>7806</v>
      </c>
      <c r="I94" s="926">
        <f>(H94/G94)*100</f>
        <v>99.439490445859875</v>
      </c>
    </row>
    <row r="95" spans="1:9" s="558" customFormat="1" ht="13.5" thickTop="1" x14ac:dyDescent="0.2">
      <c r="B95" s="669"/>
      <c r="D95" s="884"/>
      <c r="F95" s="517"/>
      <c r="G95" s="517"/>
      <c r="H95" s="517"/>
      <c r="I95" s="1023"/>
    </row>
    <row r="96" spans="1:9" s="558" customFormat="1" x14ac:dyDescent="0.2">
      <c r="B96" s="669"/>
      <c r="D96" s="884"/>
      <c r="F96" s="517"/>
      <c r="G96" s="517"/>
      <c r="H96" s="517"/>
      <c r="I96" s="1023"/>
    </row>
    <row r="97" spans="1:9" s="558" customFormat="1" ht="13.5" thickBot="1" x14ac:dyDescent="0.25">
      <c r="A97" s="439" t="s">
        <v>762</v>
      </c>
      <c r="B97" s="669"/>
      <c r="D97" s="884"/>
      <c r="F97" s="517"/>
      <c r="G97" s="517"/>
      <c r="H97" s="517"/>
      <c r="I97" s="1023" t="s">
        <v>179</v>
      </c>
    </row>
    <row r="98" spans="1:9" s="107" customFormat="1" ht="20.25" customHeight="1" thickTop="1" thickBot="1" x14ac:dyDescent="0.25">
      <c r="A98" s="714" t="s">
        <v>692</v>
      </c>
      <c r="B98" s="717" t="s">
        <v>180</v>
      </c>
      <c r="C98" s="715" t="s">
        <v>181</v>
      </c>
      <c r="D98" s="660" t="s">
        <v>783</v>
      </c>
      <c r="E98" s="718" t="s">
        <v>182</v>
      </c>
      <c r="F98" s="718" t="s">
        <v>183</v>
      </c>
      <c r="G98" s="718" t="s">
        <v>985</v>
      </c>
      <c r="H98" s="718" t="s">
        <v>986</v>
      </c>
      <c r="I98" s="888" t="s">
        <v>987</v>
      </c>
    </row>
    <row r="99" spans="1:9" s="386" customFormat="1" ht="13.5" thickTop="1" thickBot="1" x14ac:dyDescent="0.25">
      <c r="A99" s="1318">
        <v>1</v>
      </c>
      <c r="B99" s="1319">
        <v>2</v>
      </c>
      <c r="C99" s="1319">
        <v>3</v>
      </c>
      <c r="D99" s="1319">
        <v>4</v>
      </c>
      <c r="E99" s="1319">
        <v>5</v>
      </c>
      <c r="F99" s="1320">
        <v>6</v>
      </c>
      <c r="G99" s="1320">
        <v>7</v>
      </c>
      <c r="H99" s="1321">
        <v>8</v>
      </c>
      <c r="I99" s="1322" t="s">
        <v>848</v>
      </c>
    </row>
    <row r="100" spans="1:9" s="558" customFormat="1" ht="16.5" thickTop="1" thickBot="1" x14ac:dyDescent="0.3">
      <c r="A100" s="1330">
        <v>60001100204</v>
      </c>
      <c r="B100" s="1041">
        <v>3122</v>
      </c>
      <c r="C100" s="1331">
        <v>6121</v>
      </c>
      <c r="D100" s="1042">
        <v>10</v>
      </c>
      <c r="E100" s="1332" t="s">
        <v>671</v>
      </c>
      <c r="F100" s="960"/>
      <c r="G100" s="1333">
        <v>597</v>
      </c>
      <c r="H100" s="960">
        <v>597</v>
      </c>
      <c r="I100" s="1334">
        <f>(H100/G100)*100</f>
        <v>100</v>
      </c>
    </row>
    <row r="101" spans="1:9" s="558" customFormat="1" ht="18" customHeight="1" thickTop="1" thickBot="1" x14ac:dyDescent="0.3">
      <c r="A101" s="2751" t="s">
        <v>267</v>
      </c>
      <c r="B101" s="2750"/>
      <c r="C101" s="2750"/>
      <c r="D101" s="2750"/>
      <c r="E101" s="2750"/>
      <c r="F101" s="943">
        <f>F100</f>
        <v>0</v>
      </c>
      <c r="G101" s="943">
        <f>G100</f>
        <v>597</v>
      </c>
      <c r="H101" s="943">
        <f>H100</f>
        <v>597</v>
      </c>
      <c r="I101" s="926">
        <f>(H101/G101)*100</f>
        <v>100</v>
      </c>
    </row>
    <row r="102" spans="1:9" s="558" customFormat="1" ht="13.5" thickTop="1" x14ac:dyDescent="0.2">
      <c r="B102" s="669"/>
      <c r="D102" s="884"/>
      <c r="F102" s="517"/>
      <c r="G102" s="517"/>
      <c r="H102" s="517"/>
      <c r="I102" s="1023"/>
    </row>
    <row r="103" spans="1:9" s="558" customFormat="1" x14ac:dyDescent="0.2">
      <c r="B103" s="669"/>
      <c r="D103" s="884"/>
      <c r="F103" s="517"/>
      <c r="G103" s="517"/>
      <c r="H103" s="517"/>
      <c r="I103" s="1023"/>
    </row>
    <row r="104" spans="1:9" s="558" customFormat="1" ht="13.5" thickBot="1" x14ac:dyDescent="0.25">
      <c r="A104" s="439" t="s">
        <v>763</v>
      </c>
      <c r="B104" s="669"/>
      <c r="D104" s="884"/>
      <c r="F104" s="517"/>
      <c r="G104" s="517"/>
      <c r="H104" s="517"/>
      <c r="I104" s="1023" t="s">
        <v>179</v>
      </c>
    </row>
    <row r="105" spans="1:9" s="107" customFormat="1" ht="20.25" customHeight="1" thickTop="1" thickBot="1" x14ac:dyDescent="0.25">
      <c r="A105" s="714" t="s">
        <v>692</v>
      </c>
      <c r="B105" s="717" t="s">
        <v>180</v>
      </c>
      <c r="C105" s="715" t="s">
        <v>181</v>
      </c>
      <c r="D105" s="660" t="s">
        <v>783</v>
      </c>
      <c r="E105" s="718" t="s">
        <v>182</v>
      </c>
      <c r="F105" s="718" t="s">
        <v>183</v>
      </c>
      <c r="G105" s="718" t="s">
        <v>985</v>
      </c>
      <c r="H105" s="718" t="s">
        <v>986</v>
      </c>
      <c r="I105" s="888" t="s">
        <v>987</v>
      </c>
    </row>
    <row r="106" spans="1:9" s="386" customFormat="1" ht="13.5" thickTop="1" thickBot="1" x14ac:dyDescent="0.25">
      <c r="A106" s="1318">
        <v>1</v>
      </c>
      <c r="B106" s="1319">
        <v>2</v>
      </c>
      <c r="C106" s="1319">
        <v>3</v>
      </c>
      <c r="D106" s="1319">
        <v>4</v>
      </c>
      <c r="E106" s="1319">
        <v>5</v>
      </c>
      <c r="F106" s="1320">
        <v>6</v>
      </c>
      <c r="G106" s="1320">
        <v>7</v>
      </c>
      <c r="H106" s="1321">
        <v>8</v>
      </c>
      <c r="I106" s="1322" t="s">
        <v>848</v>
      </c>
    </row>
    <row r="107" spans="1:9" s="558" customFormat="1" ht="16.5" thickTop="1" thickBot="1" x14ac:dyDescent="0.3">
      <c r="A107" s="1330">
        <v>60001100210</v>
      </c>
      <c r="B107" s="1041">
        <v>3122</v>
      </c>
      <c r="C107" s="1331">
        <v>6121</v>
      </c>
      <c r="D107" s="1042">
        <v>10</v>
      </c>
      <c r="E107" s="1332" t="s">
        <v>671</v>
      </c>
      <c r="F107" s="960"/>
      <c r="G107" s="1333">
        <v>400</v>
      </c>
      <c r="H107" s="960">
        <v>0</v>
      </c>
      <c r="I107" s="1334">
        <f>(H107/G107)*100</f>
        <v>0</v>
      </c>
    </row>
    <row r="108" spans="1:9" s="558" customFormat="1" ht="18" customHeight="1" thickTop="1" thickBot="1" x14ac:dyDescent="0.3">
      <c r="A108" s="2751" t="s">
        <v>267</v>
      </c>
      <c r="B108" s="2750"/>
      <c r="C108" s="2750"/>
      <c r="D108" s="2750"/>
      <c r="E108" s="2750"/>
      <c r="F108" s="943">
        <f>F107</f>
        <v>0</v>
      </c>
      <c r="G108" s="943">
        <f>G107</f>
        <v>400</v>
      </c>
      <c r="H108" s="943">
        <f>H107</f>
        <v>0</v>
      </c>
      <c r="I108" s="926">
        <f>(H108/G108)*100</f>
        <v>0</v>
      </c>
    </row>
    <row r="109" spans="1:9" s="558" customFormat="1" ht="13.5" thickTop="1" x14ac:dyDescent="0.2">
      <c r="B109" s="669"/>
      <c r="D109" s="884"/>
      <c r="F109" s="517"/>
      <c r="G109" s="517"/>
      <c r="H109" s="517"/>
      <c r="I109" s="1023"/>
    </row>
    <row r="110" spans="1:9" s="558" customFormat="1" x14ac:dyDescent="0.2">
      <c r="B110" s="669"/>
      <c r="D110" s="884"/>
      <c r="F110" s="517"/>
      <c r="G110" s="517"/>
      <c r="H110" s="517"/>
      <c r="I110" s="1023"/>
    </row>
    <row r="111" spans="1:9" s="558" customFormat="1" ht="13.5" thickBot="1" x14ac:dyDescent="0.25">
      <c r="A111" s="439" t="s">
        <v>122</v>
      </c>
      <c r="B111" s="669"/>
      <c r="D111" s="884"/>
      <c r="F111" s="517"/>
      <c r="G111" s="517"/>
      <c r="H111" s="517"/>
      <c r="I111" s="1023" t="s">
        <v>179</v>
      </c>
    </row>
    <row r="112" spans="1:9" s="107" customFormat="1" ht="20.25" customHeight="1" thickTop="1" thickBot="1" x14ac:dyDescent="0.25">
      <c r="A112" s="714" t="s">
        <v>692</v>
      </c>
      <c r="B112" s="717" t="s">
        <v>180</v>
      </c>
      <c r="C112" s="715" t="s">
        <v>181</v>
      </c>
      <c r="D112" s="660" t="s">
        <v>783</v>
      </c>
      <c r="E112" s="718" t="s">
        <v>182</v>
      </c>
      <c r="F112" s="718" t="s">
        <v>183</v>
      </c>
      <c r="G112" s="718" t="s">
        <v>985</v>
      </c>
      <c r="H112" s="718" t="s">
        <v>986</v>
      </c>
      <c r="I112" s="888" t="s">
        <v>987</v>
      </c>
    </row>
    <row r="113" spans="1:13" s="386" customFormat="1" ht="13.5" thickTop="1" thickBot="1" x14ac:dyDescent="0.25">
      <c r="A113" s="1318">
        <v>1</v>
      </c>
      <c r="B113" s="1319">
        <v>2</v>
      </c>
      <c r="C113" s="1319">
        <v>3</v>
      </c>
      <c r="D113" s="1319">
        <v>4</v>
      </c>
      <c r="E113" s="1319">
        <v>5</v>
      </c>
      <c r="F113" s="1320">
        <v>6</v>
      </c>
      <c r="G113" s="1320">
        <v>7</v>
      </c>
      <c r="H113" s="1321">
        <v>8</v>
      </c>
      <c r="I113" s="1322" t="s">
        <v>848</v>
      </c>
    </row>
    <row r="114" spans="1:13" s="558" customFormat="1" ht="16.5" thickTop="1" thickBot="1" x14ac:dyDescent="0.3">
      <c r="A114" s="1330">
        <v>60001100211</v>
      </c>
      <c r="B114" s="1041">
        <v>4322</v>
      </c>
      <c r="C114" s="1331">
        <v>6121</v>
      </c>
      <c r="D114" s="1042">
        <v>10</v>
      </c>
      <c r="E114" s="1332" t="s">
        <v>671</v>
      </c>
      <c r="F114" s="960"/>
      <c r="G114" s="1333">
        <v>150</v>
      </c>
      <c r="H114" s="960">
        <v>115</v>
      </c>
      <c r="I114" s="1334">
        <f>(H114/G114)*100</f>
        <v>76.666666666666671</v>
      </c>
    </row>
    <row r="115" spans="1:13" s="558" customFormat="1" ht="18" customHeight="1" thickTop="1" thickBot="1" x14ac:dyDescent="0.3">
      <c r="A115" s="2751" t="s">
        <v>267</v>
      </c>
      <c r="B115" s="2750"/>
      <c r="C115" s="2750"/>
      <c r="D115" s="2750"/>
      <c r="E115" s="2750"/>
      <c r="F115" s="943">
        <f>F114</f>
        <v>0</v>
      </c>
      <c r="G115" s="943">
        <f>G114</f>
        <v>150</v>
      </c>
      <c r="H115" s="943">
        <f>H114</f>
        <v>115</v>
      </c>
      <c r="I115" s="926">
        <f>(H115/G115)*100</f>
        <v>76.666666666666671</v>
      </c>
    </row>
    <row r="116" spans="1:13" s="558" customFormat="1" ht="13.5" thickTop="1" x14ac:dyDescent="0.2">
      <c r="B116" s="669"/>
      <c r="D116" s="884"/>
      <c r="F116" s="517"/>
      <c r="G116" s="517"/>
      <c r="H116" s="517"/>
      <c r="I116" s="1023"/>
    </row>
    <row r="117" spans="1:13" s="558" customFormat="1" x14ac:dyDescent="0.2">
      <c r="B117" s="669"/>
      <c r="D117" s="884"/>
      <c r="F117" s="517"/>
      <c r="G117" s="517"/>
      <c r="H117" s="517"/>
      <c r="I117" s="1023"/>
    </row>
    <row r="118" spans="1:13" s="558" customFormat="1" ht="13.5" thickBot="1" x14ac:dyDescent="0.25">
      <c r="A118" s="439" t="s">
        <v>123</v>
      </c>
      <c r="B118" s="669"/>
      <c r="D118" s="884"/>
      <c r="F118" s="517"/>
      <c r="G118" s="517"/>
      <c r="H118" s="517"/>
      <c r="I118" s="1023" t="s">
        <v>179</v>
      </c>
    </row>
    <row r="119" spans="1:13" s="107" customFormat="1" ht="20.25" customHeight="1" thickTop="1" thickBot="1" x14ac:dyDescent="0.25">
      <c r="A119" s="714" t="s">
        <v>692</v>
      </c>
      <c r="B119" s="717" t="s">
        <v>180</v>
      </c>
      <c r="C119" s="715" t="s">
        <v>181</v>
      </c>
      <c r="D119" s="660" t="s">
        <v>783</v>
      </c>
      <c r="E119" s="718" t="s">
        <v>182</v>
      </c>
      <c r="F119" s="718" t="s">
        <v>183</v>
      </c>
      <c r="G119" s="718" t="s">
        <v>985</v>
      </c>
      <c r="H119" s="718" t="s">
        <v>986</v>
      </c>
      <c r="I119" s="888" t="s">
        <v>987</v>
      </c>
    </row>
    <row r="120" spans="1:13" s="386" customFormat="1" ht="13.5" thickTop="1" thickBot="1" x14ac:dyDescent="0.25">
      <c r="A120" s="1318">
        <v>1</v>
      </c>
      <c r="B120" s="1319">
        <v>2</v>
      </c>
      <c r="C120" s="1319">
        <v>3</v>
      </c>
      <c r="D120" s="1319">
        <v>4</v>
      </c>
      <c r="E120" s="1319">
        <v>5</v>
      </c>
      <c r="F120" s="1320">
        <v>6</v>
      </c>
      <c r="G120" s="1320">
        <v>7</v>
      </c>
      <c r="H120" s="1321">
        <v>8</v>
      </c>
      <c r="I120" s="1322" t="s">
        <v>848</v>
      </c>
    </row>
    <row r="121" spans="1:13" s="558" customFormat="1" ht="16.5" thickTop="1" thickBot="1" x14ac:dyDescent="0.3">
      <c r="A121" s="1330">
        <v>60001100212</v>
      </c>
      <c r="B121" s="1041">
        <v>3123</v>
      </c>
      <c r="C121" s="1331">
        <v>6121</v>
      </c>
      <c r="D121" s="1042">
        <v>10</v>
      </c>
      <c r="E121" s="1332" t="s">
        <v>671</v>
      </c>
      <c r="F121" s="960"/>
      <c r="G121" s="1333">
        <v>400</v>
      </c>
      <c r="H121" s="960">
        <v>397</v>
      </c>
      <c r="I121" s="1334">
        <f>(H121/G121)*100</f>
        <v>99.25</v>
      </c>
    </row>
    <row r="122" spans="1:13" s="558" customFormat="1" ht="18" customHeight="1" thickTop="1" thickBot="1" x14ac:dyDescent="0.3">
      <c r="A122" s="2751" t="s">
        <v>267</v>
      </c>
      <c r="B122" s="2750"/>
      <c r="C122" s="2750"/>
      <c r="D122" s="2750"/>
      <c r="E122" s="2750"/>
      <c r="F122" s="943">
        <f>F121</f>
        <v>0</v>
      </c>
      <c r="G122" s="943">
        <f>G121</f>
        <v>400</v>
      </c>
      <c r="H122" s="943">
        <f>H121</f>
        <v>397</v>
      </c>
      <c r="I122" s="926">
        <f>(H122/G122)*100</f>
        <v>99.25</v>
      </c>
      <c r="L122" s="517">
        <f>G14+G21+G29+G33+G41+G48+G56+G63+G72+G79+G86+G94+G101+G108+G115+G122</f>
        <v>156137</v>
      </c>
      <c r="M122" s="517">
        <f>H14+H21+H29+H33+H41+H48+H56+H63+H72+H79+H86+H94+H101+H108+H115+H122</f>
        <v>143098</v>
      </c>
    </row>
    <row r="123" spans="1:13" s="558" customFormat="1" ht="13.5" thickTop="1" x14ac:dyDescent="0.2">
      <c r="B123" s="669"/>
      <c r="D123" s="884"/>
      <c r="F123" s="517"/>
      <c r="G123" s="517"/>
      <c r="H123" s="517"/>
      <c r="I123" s="1023"/>
    </row>
    <row r="124" spans="1:13" s="558" customFormat="1" x14ac:dyDescent="0.2">
      <c r="B124" s="669"/>
      <c r="D124" s="884"/>
      <c r="F124" s="517"/>
      <c r="G124" s="517"/>
      <c r="H124" s="517"/>
      <c r="I124" s="1023"/>
    </row>
    <row r="125" spans="1:13" s="558" customFormat="1" ht="13.5" thickBot="1" x14ac:dyDescent="0.25">
      <c r="A125" s="439" t="s">
        <v>124</v>
      </c>
      <c r="B125" s="669"/>
      <c r="D125" s="884"/>
      <c r="F125" s="517"/>
      <c r="G125" s="517"/>
      <c r="H125" s="517"/>
      <c r="I125" s="1023" t="s">
        <v>179</v>
      </c>
    </row>
    <row r="126" spans="1:13" s="107" customFormat="1" ht="20.25" customHeight="1" thickTop="1" thickBot="1" x14ac:dyDescent="0.25">
      <c r="A126" s="714" t="s">
        <v>692</v>
      </c>
      <c r="B126" s="717" t="s">
        <v>180</v>
      </c>
      <c r="C126" s="715" t="s">
        <v>181</v>
      </c>
      <c r="D126" s="660" t="s">
        <v>783</v>
      </c>
      <c r="E126" s="718" t="s">
        <v>182</v>
      </c>
      <c r="F126" s="718" t="s">
        <v>183</v>
      </c>
      <c r="G126" s="718" t="s">
        <v>985</v>
      </c>
      <c r="H126" s="718" t="s">
        <v>986</v>
      </c>
      <c r="I126" s="888" t="s">
        <v>987</v>
      </c>
    </row>
    <row r="127" spans="1:13" s="386" customFormat="1" ht="13.5" thickTop="1" thickBot="1" x14ac:dyDescent="0.25">
      <c r="A127" s="1318">
        <v>1</v>
      </c>
      <c r="B127" s="1319">
        <v>2</v>
      </c>
      <c r="C127" s="1319">
        <v>3</v>
      </c>
      <c r="D127" s="1319">
        <v>4</v>
      </c>
      <c r="E127" s="1319">
        <v>5</v>
      </c>
      <c r="F127" s="1320">
        <v>6</v>
      </c>
      <c r="G127" s="1320">
        <v>7</v>
      </c>
      <c r="H127" s="1321">
        <v>8</v>
      </c>
      <c r="I127" s="1322" t="s">
        <v>848</v>
      </c>
    </row>
    <row r="128" spans="1:13" s="558" customFormat="1" ht="16.5" thickTop="1" thickBot="1" x14ac:dyDescent="0.3">
      <c r="A128" s="1330">
        <v>60001100213</v>
      </c>
      <c r="B128" s="1041">
        <v>3122</v>
      </c>
      <c r="C128" s="1331">
        <v>6121</v>
      </c>
      <c r="D128" s="1042">
        <v>10</v>
      </c>
      <c r="E128" s="1332" t="s">
        <v>671</v>
      </c>
      <c r="F128" s="960"/>
      <c r="G128" s="1333">
        <v>300</v>
      </c>
      <c r="H128" s="960">
        <v>0</v>
      </c>
      <c r="I128" s="1334">
        <f>(H128/G128)*100</f>
        <v>0</v>
      </c>
    </row>
    <row r="129" spans="1:9" s="558" customFormat="1" ht="18" customHeight="1" thickTop="1" thickBot="1" x14ac:dyDescent="0.3">
      <c r="A129" s="2751" t="s">
        <v>267</v>
      </c>
      <c r="B129" s="2750"/>
      <c r="C129" s="2750"/>
      <c r="D129" s="2750"/>
      <c r="E129" s="2750"/>
      <c r="F129" s="943">
        <f>F128</f>
        <v>0</v>
      </c>
      <c r="G129" s="943">
        <f>G128</f>
        <v>300</v>
      </c>
      <c r="H129" s="943">
        <f>H128</f>
        <v>0</v>
      </c>
      <c r="I129" s="926">
        <f>(H129/G129)*100</f>
        <v>0</v>
      </c>
    </row>
    <row r="130" spans="1:9" s="558" customFormat="1" ht="13.5" thickTop="1" x14ac:dyDescent="0.2">
      <c r="B130" s="669"/>
      <c r="D130" s="884"/>
      <c r="F130" s="517"/>
      <c r="G130" s="517"/>
      <c r="H130" s="517"/>
      <c r="I130" s="1023"/>
    </row>
    <row r="131" spans="1:9" s="558" customFormat="1" x14ac:dyDescent="0.2">
      <c r="B131" s="669"/>
      <c r="D131" s="884"/>
      <c r="F131" s="517"/>
      <c r="G131" s="517"/>
      <c r="H131" s="517"/>
      <c r="I131" s="1023"/>
    </row>
    <row r="132" spans="1:9" s="558" customFormat="1" x14ac:dyDescent="0.2">
      <c r="B132" s="669"/>
      <c r="D132" s="884"/>
      <c r="F132" s="517"/>
      <c r="G132" s="517"/>
      <c r="H132" s="517"/>
      <c r="I132" s="1023"/>
    </row>
    <row r="133" spans="1:9" s="558" customFormat="1" x14ac:dyDescent="0.2">
      <c r="B133" s="669"/>
      <c r="D133" s="884"/>
      <c r="F133" s="517"/>
      <c r="G133" s="517"/>
      <c r="H133" s="517"/>
      <c r="I133" s="1023"/>
    </row>
    <row r="134" spans="1:9" s="558" customFormat="1" x14ac:dyDescent="0.2">
      <c r="B134" s="669"/>
      <c r="D134" s="884"/>
      <c r="F134" s="517"/>
      <c r="G134" s="517"/>
      <c r="H134" s="517"/>
      <c r="I134" s="1023"/>
    </row>
    <row r="135" spans="1:9" s="558" customFormat="1" ht="13.5" thickBot="1" x14ac:dyDescent="0.25">
      <c r="A135" s="439" t="s">
        <v>125</v>
      </c>
      <c r="B135" s="669"/>
      <c r="D135" s="884"/>
      <c r="F135" s="517"/>
      <c r="G135" s="517"/>
      <c r="H135" s="517"/>
      <c r="I135" s="1023" t="s">
        <v>179</v>
      </c>
    </row>
    <row r="136" spans="1:9" s="107" customFormat="1" ht="20.25" customHeight="1" thickTop="1" thickBot="1" x14ac:dyDescent="0.25">
      <c r="A136" s="714" t="s">
        <v>692</v>
      </c>
      <c r="B136" s="717" t="s">
        <v>180</v>
      </c>
      <c r="C136" s="715" t="s">
        <v>181</v>
      </c>
      <c r="D136" s="660" t="s">
        <v>783</v>
      </c>
      <c r="E136" s="718" t="s">
        <v>182</v>
      </c>
      <c r="F136" s="718" t="s">
        <v>183</v>
      </c>
      <c r="G136" s="718" t="s">
        <v>985</v>
      </c>
      <c r="H136" s="718" t="s">
        <v>986</v>
      </c>
      <c r="I136" s="888" t="s">
        <v>987</v>
      </c>
    </row>
    <row r="137" spans="1:9" s="386" customFormat="1" ht="13.5" thickTop="1" thickBot="1" x14ac:dyDescent="0.25">
      <c r="A137" s="1318">
        <v>1</v>
      </c>
      <c r="B137" s="1319">
        <v>2</v>
      </c>
      <c r="C137" s="1319">
        <v>3</v>
      </c>
      <c r="D137" s="1319">
        <v>4</v>
      </c>
      <c r="E137" s="1319">
        <v>5</v>
      </c>
      <c r="F137" s="1320">
        <v>6</v>
      </c>
      <c r="G137" s="1320">
        <v>7</v>
      </c>
      <c r="H137" s="1321">
        <v>8</v>
      </c>
      <c r="I137" s="1322" t="s">
        <v>848</v>
      </c>
    </row>
    <row r="138" spans="1:9" s="558" customFormat="1" ht="16.5" thickTop="1" thickBot="1" x14ac:dyDescent="0.3">
      <c r="A138" s="1330">
        <v>60001100214</v>
      </c>
      <c r="B138" s="1041">
        <v>3114</v>
      </c>
      <c r="C138" s="1331">
        <v>6121</v>
      </c>
      <c r="D138" s="1042">
        <v>10</v>
      </c>
      <c r="E138" s="1332" t="s">
        <v>671</v>
      </c>
      <c r="F138" s="960"/>
      <c r="G138" s="1333">
        <v>100</v>
      </c>
      <c r="H138" s="960">
        <v>88</v>
      </c>
      <c r="I138" s="1334">
        <f>(H138/G138)*100</f>
        <v>88</v>
      </c>
    </row>
    <row r="139" spans="1:9" s="558" customFormat="1" ht="18" customHeight="1" thickTop="1" thickBot="1" x14ac:dyDescent="0.3">
      <c r="A139" s="2751" t="s">
        <v>267</v>
      </c>
      <c r="B139" s="2750"/>
      <c r="C139" s="2750"/>
      <c r="D139" s="2750"/>
      <c r="E139" s="2750"/>
      <c r="F139" s="943">
        <f>F138</f>
        <v>0</v>
      </c>
      <c r="G139" s="943">
        <f>G138</f>
        <v>100</v>
      </c>
      <c r="H139" s="943">
        <f>H138</f>
        <v>88</v>
      </c>
      <c r="I139" s="926">
        <f>(H139/G139)*100</f>
        <v>88</v>
      </c>
    </row>
    <row r="140" spans="1:9" s="558" customFormat="1" ht="13.5" thickTop="1" x14ac:dyDescent="0.2">
      <c r="B140" s="669"/>
      <c r="D140" s="884"/>
      <c r="F140" s="517"/>
      <c r="G140" s="517"/>
      <c r="H140" s="517"/>
      <c r="I140" s="1023"/>
    </row>
    <row r="141" spans="1:9" s="558" customFormat="1" x14ac:dyDescent="0.2">
      <c r="B141" s="669"/>
      <c r="D141" s="884"/>
      <c r="F141" s="517"/>
      <c r="G141" s="517"/>
      <c r="H141" s="517"/>
      <c r="I141" s="1023"/>
    </row>
    <row r="142" spans="1:9" s="558" customFormat="1" ht="13.5" thickBot="1" x14ac:dyDescent="0.25">
      <c r="A142" s="439" t="s">
        <v>977</v>
      </c>
      <c r="B142" s="669"/>
      <c r="D142" s="884"/>
      <c r="F142" s="517"/>
      <c r="G142" s="517"/>
      <c r="H142" s="517"/>
      <c r="I142" s="1023" t="s">
        <v>179</v>
      </c>
    </row>
    <row r="143" spans="1:9" s="107" customFormat="1" ht="20.25" customHeight="1" thickTop="1" thickBot="1" x14ac:dyDescent="0.25">
      <c r="A143" s="714" t="s">
        <v>692</v>
      </c>
      <c r="B143" s="717" t="s">
        <v>180</v>
      </c>
      <c r="C143" s="715" t="s">
        <v>181</v>
      </c>
      <c r="D143" s="660" t="s">
        <v>783</v>
      </c>
      <c r="E143" s="718" t="s">
        <v>182</v>
      </c>
      <c r="F143" s="718" t="s">
        <v>183</v>
      </c>
      <c r="G143" s="718" t="s">
        <v>985</v>
      </c>
      <c r="H143" s="718" t="s">
        <v>986</v>
      </c>
      <c r="I143" s="888" t="s">
        <v>987</v>
      </c>
    </row>
    <row r="144" spans="1:9" s="386" customFormat="1" ht="13.5" thickTop="1" thickBot="1" x14ac:dyDescent="0.25">
      <c r="A144" s="1318">
        <v>1</v>
      </c>
      <c r="B144" s="1319">
        <v>2</v>
      </c>
      <c r="C144" s="1319">
        <v>3</v>
      </c>
      <c r="D144" s="1319">
        <v>4</v>
      </c>
      <c r="E144" s="1319">
        <v>5</v>
      </c>
      <c r="F144" s="1320">
        <v>6</v>
      </c>
      <c r="G144" s="1320">
        <v>7</v>
      </c>
      <c r="H144" s="1321">
        <v>8</v>
      </c>
      <c r="I144" s="1322" t="s">
        <v>848</v>
      </c>
    </row>
    <row r="145" spans="1:14" s="558" customFormat="1" ht="16.5" thickTop="1" thickBot="1" x14ac:dyDescent="0.3">
      <c r="A145" s="1330">
        <v>60001100215</v>
      </c>
      <c r="B145" s="1041">
        <v>3122</v>
      </c>
      <c r="C145" s="1331">
        <v>6121</v>
      </c>
      <c r="D145" s="1042">
        <v>10</v>
      </c>
      <c r="E145" s="1332" t="s">
        <v>671</v>
      </c>
      <c r="F145" s="960"/>
      <c r="G145" s="1333">
        <v>250</v>
      </c>
      <c r="H145" s="960">
        <v>0</v>
      </c>
      <c r="I145" s="1334">
        <f>(H145/G145)*100</f>
        <v>0</v>
      </c>
    </row>
    <row r="146" spans="1:14" s="558" customFormat="1" ht="18" customHeight="1" thickTop="1" thickBot="1" x14ac:dyDescent="0.3">
      <c r="A146" s="2751" t="s">
        <v>267</v>
      </c>
      <c r="B146" s="2750"/>
      <c r="C146" s="2750"/>
      <c r="D146" s="2750"/>
      <c r="E146" s="2750"/>
      <c r="F146" s="943">
        <f>F145</f>
        <v>0</v>
      </c>
      <c r="G146" s="943">
        <f>G145</f>
        <v>250</v>
      </c>
      <c r="H146" s="943">
        <f>H145</f>
        <v>0</v>
      </c>
      <c r="I146" s="926">
        <f>(H146/G146)*100</f>
        <v>0</v>
      </c>
    </row>
    <row r="147" spans="1:14" ht="13.5" thickTop="1" x14ac:dyDescent="0.2">
      <c r="K147" s="984"/>
      <c r="L147" s="984"/>
      <c r="M147" s="984"/>
      <c r="N147" s="439"/>
    </row>
    <row r="148" spans="1:14" x14ac:dyDescent="0.2">
      <c r="K148" s="984"/>
      <c r="L148" s="984"/>
      <c r="M148" s="984"/>
      <c r="N148" s="439"/>
    </row>
    <row r="149" spans="1:14" s="558" customFormat="1" ht="13.5" thickBot="1" x14ac:dyDescent="0.25">
      <c r="A149" s="439" t="s">
        <v>978</v>
      </c>
      <c r="B149" s="669"/>
      <c r="D149" s="884"/>
      <c r="F149" s="517"/>
      <c r="G149" s="517"/>
      <c r="H149" s="517"/>
      <c r="I149" s="1023" t="s">
        <v>179</v>
      </c>
    </row>
    <row r="150" spans="1:14" s="107" customFormat="1" ht="20.25" customHeight="1" thickTop="1" thickBot="1" x14ac:dyDescent="0.25">
      <c r="A150" s="714" t="s">
        <v>692</v>
      </c>
      <c r="B150" s="717" t="s">
        <v>180</v>
      </c>
      <c r="C150" s="715" t="s">
        <v>181</v>
      </c>
      <c r="D150" s="660" t="s">
        <v>783</v>
      </c>
      <c r="E150" s="718" t="s">
        <v>182</v>
      </c>
      <c r="F150" s="718" t="s">
        <v>183</v>
      </c>
      <c r="G150" s="718" t="s">
        <v>985</v>
      </c>
      <c r="H150" s="718" t="s">
        <v>986</v>
      </c>
      <c r="I150" s="888" t="s">
        <v>987</v>
      </c>
    </row>
    <row r="151" spans="1:14" s="386" customFormat="1" ht="13.5" thickTop="1" thickBot="1" x14ac:dyDescent="0.25">
      <c r="A151" s="1318">
        <v>1</v>
      </c>
      <c r="B151" s="1319">
        <v>2</v>
      </c>
      <c r="C151" s="1319">
        <v>3</v>
      </c>
      <c r="D151" s="1319">
        <v>4</v>
      </c>
      <c r="E151" s="1319">
        <v>5</v>
      </c>
      <c r="F151" s="1320">
        <v>6</v>
      </c>
      <c r="G151" s="1320">
        <v>7</v>
      </c>
      <c r="H151" s="1321">
        <v>8</v>
      </c>
      <c r="I151" s="1322" t="s">
        <v>848</v>
      </c>
    </row>
    <row r="152" spans="1:14" s="558" customFormat="1" ht="16.5" thickTop="1" thickBot="1" x14ac:dyDescent="0.3">
      <c r="A152" s="1330">
        <v>60001100216</v>
      </c>
      <c r="B152" s="1041">
        <v>3114</v>
      </c>
      <c r="C152" s="1331">
        <v>6121</v>
      </c>
      <c r="D152" s="1042">
        <v>10</v>
      </c>
      <c r="E152" s="1332" t="s">
        <v>671</v>
      </c>
      <c r="F152" s="960"/>
      <c r="G152" s="1333">
        <v>50</v>
      </c>
      <c r="H152" s="960">
        <v>50</v>
      </c>
      <c r="I152" s="1334">
        <f>(H152/G152)*100</f>
        <v>100</v>
      </c>
    </row>
    <row r="153" spans="1:14" s="558" customFormat="1" ht="18" customHeight="1" thickTop="1" thickBot="1" x14ac:dyDescent="0.3">
      <c r="A153" s="2751" t="s">
        <v>267</v>
      </c>
      <c r="B153" s="2750"/>
      <c r="C153" s="2750"/>
      <c r="D153" s="2750"/>
      <c r="E153" s="2750"/>
      <c r="F153" s="943">
        <f>F152</f>
        <v>0</v>
      </c>
      <c r="G153" s="943">
        <f>G152</f>
        <v>50</v>
      </c>
      <c r="H153" s="943">
        <f>H152</f>
        <v>50</v>
      </c>
      <c r="I153" s="926">
        <f>(H153/G153)*100</f>
        <v>100</v>
      </c>
    </row>
    <row r="154" spans="1:14" ht="13.5" thickTop="1" x14ac:dyDescent="0.2">
      <c r="K154" s="984"/>
      <c r="L154" s="984"/>
      <c r="M154" s="984"/>
      <c r="N154" s="439"/>
    </row>
    <row r="155" spans="1:14" x14ac:dyDescent="0.2">
      <c r="K155" s="984"/>
      <c r="L155" s="984"/>
      <c r="M155" s="984"/>
      <c r="N155" s="439"/>
    </row>
    <row r="156" spans="1:14" s="558" customFormat="1" ht="13.5" thickBot="1" x14ac:dyDescent="0.25">
      <c r="A156" s="439" t="s">
        <v>979</v>
      </c>
      <c r="B156" s="669"/>
      <c r="D156" s="884"/>
      <c r="F156" s="517"/>
      <c r="G156" s="517"/>
      <c r="H156" s="517"/>
      <c r="I156" s="1023" t="s">
        <v>179</v>
      </c>
    </row>
    <row r="157" spans="1:14" s="107" customFormat="1" ht="20.25" customHeight="1" thickTop="1" thickBot="1" x14ac:dyDescent="0.25">
      <c r="A157" s="714" t="s">
        <v>692</v>
      </c>
      <c r="B157" s="717" t="s">
        <v>180</v>
      </c>
      <c r="C157" s="715" t="s">
        <v>181</v>
      </c>
      <c r="D157" s="660" t="s">
        <v>783</v>
      </c>
      <c r="E157" s="718" t="s">
        <v>182</v>
      </c>
      <c r="F157" s="718" t="s">
        <v>183</v>
      </c>
      <c r="G157" s="718" t="s">
        <v>985</v>
      </c>
      <c r="H157" s="718" t="s">
        <v>986</v>
      </c>
      <c r="I157" s="888" t="s">
        <v>987</v>
      </c>
    </row>
    <row r="158" spans="1:14" s="386" customFormat="1" ht="13.5" thickTop="1" thickBot="1" x14ac:dyDescent="0.25">
      <c r="A158" s="1318">
        <v>1</v>
      </c>
      <c r="B158" s="1319">
        <v>2</v>
      </c>
      <c r="C158" s="1319">
        <v>3</v>
      </c>
      <c r="D158" s="1319">
        <v>4</v>
      </c>
      <c r="E158" s="1319">
        <v>5</v>
      </c>
      <c r="F158" s="1320">
        <v>6</v>
      </c>
      <c r="G158" s="1320">
        <v>7</v>
      </c>
      <c r="H158" s="1321">
        <v>8</v>
      </c>
      <c r="I158" s="1322" t="s">
        <v>848</v>
      </c>
    </row>
    <row r="159" spans="1:14" s="386" customFormat="1" ht="16.5" thickTop="1" thickBot="1" x14ac:dyDescent="0.3">
      <c r="A159" s="1373">
        <v>60001100220</v>
      </c>
      <c r="B159" s="1374">
        <v>3121</v>
      </c>
      <c r="C159" s="1375">
        <v>5137</v>
      </c>
      <c r="D159" s="1047">
        <v>10</v>
      </c>
      <c r="E159" s="1324" t="s">
        <v>173</v>
      </c>
      <c r="F159" s="415"/>
      <c r="G159" s="1326">
        <v>180</v>
      </c>
      <c r="H159" s="415">
        <v>180</v>
      </c>
      <c r="I159" s="1036">
        <f>(H159/G159)*100</f>
        <v>100</v>
      </c>
    </row>
    <row r="160" spans="1:14" s="558" customFormat="1" ht="18" customHeight="1" thickTop="1" thickBot="1" x14ac:dyDescent="0.3">
      <c r="A160" s="2739" t="s">
        <v>268</v>
      </c>
      <c r="B160" s="2740"/>
      <c r="C160" s="2740"/>
      <c r="D160" s="2740"/>
      <c r="E160" s="2740"/>
      <c r="F160" s="894">
        <v>0</v>
      </c>
      <c r="G160" s="894">
        <f>G159</f>
        <v>180</v>
      </c>
      <c r="H160" s="894">
        <f>H159</f>
        <v>180</v>
      </c>
      <c r="I160" s="895">
        <f>(H160/G160)*100</f>
        <v>100</v>
      </c>
    </row>
    <row r="161" spans="1:14" s="386" customFormat="1" ht="15.75" thickTop="1" x14ac:dyDescent="0.25">
      <c r="A161" s="1376">
        <v>60001100220</v>
      </c>
      <c r="B161" s="1377">
        <v>3121</v>
      </c>
      <c r="C161" s="1378">
        <v>6121</v>
      </c>
      <c r="D161" s="1032">
        <v>10</v>
      </c>
      <c r="E161" s="1323" t="s">
        <v>671</v>
      </c>
      <c r="F161" s="416"/>
      <c r="G161" s="1327">
        <v>4265</v>
      </c>
      <c r="H161" s="416">
        <v>3999</v>
      </c>
      <c r="I161" s="906">
        <f>(H161/G161)*100</f>
        <v>93.763188745603756</v>
      </c>
    </row>
    <row r="162" spans="1:14" s="558" customFormat="1" ht="15.75" thickBot="1" x14ac:dyDescent="0.3">
      <c r="A162" s="1037">
        <v>60001100220</v>
      </c>
      <c r="B162" s="962">
        <v>3121</v>
      </c>
      <c r="C162" s="807">
        <v>6122</v>
      </c>
      <c r="D162" s="1038">
        <v>10</v>
      </c>
      <c r="E162" s="1325" t="s">
        <v>672</v>
      </c>
      <c r="F162" s="954"/>
      <c r="G162" s="1039">
        <v>157</v>
      </c>
      <c r="H162" s="954">
        <v>157</v>
      </c>
      <c r="I162" s="1046">
        <f>(H162/G162)*100</f>
        <v>100</v>
      </c>
    </row>
    <row r="163" spans="1:14" s="558" customFormat="1" ht="18" customHeight="1" thickTop="1" thickBot="1" x14ac:dyDescent="0.3">
      <c r="A163" s="2751" t="s">
        <v>267</v>
      </c>
      <c r="B163" s="2750"/>
      <c r="C163" s="2750"/>
      <c r="D163" s="2750"/>
      <c r="E163" s="2750"/>
      <c r="F163" s="943">
        <f>F161</f>
        <v>0</v>
      </c>
      <c r="G163" s="943">
        <f>G161+G162</f>
        <v>4422</v>
      </c>
      <c r="H163" s="943">
        <f>H161+H162</f>
        <v>4156</v>
      </c>
      <c r="I163" s="895">
        <f>(H163/G163)*100</f>
        <v>93.984622342831301</v>
      </c>
    </row>
    <row r="164" spans="1:14" ht="13.5" thickTop="1" x14ac:dyDescent="0.2">
      <c r="K164" s="984"/>
      <c r="L164" s="984"/>
      <c r="M164" s="984"/>
      <c r="N164" s="439"/>
    </row>
    <row r="165" spans="1:14" x14ac:dyDescent="0.2">
      <c r="K165" s="984"/>
      <c r="L165" s="984"/>
      <c r="M165" s="984"/>
      <c r="N165" s="439"/>
    </row>
    <row r="166" spans="1:14" s="558" customFormat="1" ht="13.5" thickBot="1" x14ac:dyDescent="0.25">
      <c r="A166" s="439" t="s">
        <v>256</v>
      </c>
      <c r="B166" s="669"/>
      <c r="D166" s="884"/>
      <c r="F166" s="517"/>
      <c r="G166" s="517"/>
      <c r="H166" s="517"/>
      <c r="I166" s="1023" t="s">
        <v>179</v>
      </c>
    </row>
    <row r="167" spans="1:14" s="107" customFormat="1" ht="20.25" customHeight="1" thickTop="1" thickBot="1" x14ac:dyDescent="0.25">
      <c r="A167" s="714" t="s">
        <v>692</v>
      </c>
      <c r="B167" s="717" t="s">
        <v>180</v>
      </c>
      <c r="C167" s="715" t="s">
        <v>181</v>
      </c>
      <c r="D167" s="660" t="s">
        <v>783</v>
      </c>
      <c r="E167" s="718" t="s">
        <v>182</v>
      </c>
      <c r="F167" s="718" t="s">
        <v>183</v>
      </c>
      <c r="G167" s="718" t="s">
        <v>985</v>
      </c>
      <c r="H167" s="718" t="s">
        <v>986</v>
      </c>
      <c r="I167" s="888" t="s">
        <v>987</v>
      </c>
    </row>
    <row r="168" spans="1:14" s="386" customFormat="1" ht="13.5" thickTop="1" thickBot="1" x14ac:dyDescent="0.25">
      <c r="A168" s="1318">
        <v>1</v>
      </c>
      <c r="B168" s="1319">
        <v>2</v>
      </c>
      <c r="C168" s="1319">
        <v>3</v>
      </c>
      <c r="D168" s="1319">
        <v>4</v>
      </c>
      <c r="E168" s="1319">
        <v>5</v>
      </c>
      <c r="F168" s="1320">
        <v>6</v>
      </c>
      <c r="G168" s="1320">
        <v>7</v>
      </c>
      <c r="H168" s="1321">
        <v>8</v>
      </c>
      <c r="I168" s="1322" t="s">
        <v>848</v>
      </c>
    </row>
    <row r="169" spans="1:14" s="558" customFormat="1" ht="16.5" thickTop="1" thickBot="1" x14ac:dyDescent="0.3">
      <c r="A169" s="1330">
        <v>60001100221</v>
      </c>
      <c r="B169" s="1041">
        <v>3122</v>
      </c>
      <c r="C169" s="1331">
        <v>6121</v>
      </c>
      <c r="D169" s="1042">
        <v>10</v>
      </c>
      <c r="E169" s="1332" t="s">
        <v>671</v>
      </c>
      <c r="F169" s="960"/>
      <c r="G169" s="1333">
        <v>812</v>
      </c>
      <c r="H169" s="960">
        <v>521</v>
      </c>
      <c r="I169" s="1334">
        <f>(H169/G169)*100</f>
        <v>64.162561576354676</v>
      </c>
    </row>
    <row r="170" spans="1:14" s="558" customFormat="1" ht="18" customHeight="1" thickTop="1" thickBot="1" x14ac:dyDescent="0.3">
      <c r="A170" s="2751" t="s">
        <v>267</v>
      </c>
      <c r="B170" s="2750"/>
      <c r="C170" s="2750"/>
      <c r="D170" s="2750"/>
      <c r="E170" s="2750"/>
      <c r="F170" s="943">
        <f>F169</f>
        <v>0</v>
      </c>
      <c r="G170" s="943">
        <f>G169</f>
        <v>812</v>
      </c>
      <c r="H170" s="943">
        <f>H169</f>
        <v>521</v>
      </c>
      <c r="I170" s="926">
        <f>(H170/G170)*100</f>
        <v>64.162561576354676</v>
      </c>
    </row>
    <row r="171" spans="1:14" ht="13.5" thickTop="1" x14ac:dyDescent="0.2">
      <c r="K171" s="984"/>
      <c r="L171" s="984"/>
      <c r="M171" s="984"/>
      <c r="N171" s="439"/>
    </row>
    <row r="172" spans="1:14" x14ac:dyDescent="0.2">
      <c r="K172" s="984"/>
      <c r="L172" s="984"/>
      <c r="M172" s="984"/>
      <c r="N172" s="439"/>
    </row>
    <row r="173" spans="1:14" s="558" customFormat="1" ht="13.5" thickBot="1" x14ac:dyDescent="0.25">
      <c r="A173" s="439" t="s">
        <v>1195</v>
      </c>
      <c r="B173" s="669"/>
      <c r="D173" s="884"/>
      <c r="F173" s="517"/>
      <c r="G173" s="517"/>
      <c r="H173" s="517"/>
      <c r="I173" s="1023" t="s">
        <v>179</v>
      </c>
    </row>
    <row r="174" spans="1:14" s="107" customFormat="1" ht="20.25" customHeight="1" thickTop="1" thickBot="1" x14ac:dyDescent="0.25">
      <c r="A174" s="714" t="s">
        <v>692</v>
      </c>
      <c r="B174" s="717" t="s">
        <v>180</v>
      </c>
      <c r="C174" s="715" t="s">
        <v>181</v>
      </c>
      <c r="D174" s="660" t="s">
        <v>783</v>
      </c>
      <c r="E174" s="718" t="s">
        <v>182</v>
      </c>
      <c r="F174" s="718" t="s">
        <v>183</v>
      </c>
      <c r="G174" s="718" t="s">
        <v>985</v>
      </c>
      <c r="H174" s="718" t="s">
        <v>986</v>
      </c>
      <c r="I174" s="888" t="s">
        <v>987</v>
      </c>
    </row>
    <row r="175" spans="1:14" s="386" customFormat="1" ht="13.5" thickTop="1" thickBot="1" x14ac:dyDescent="0.25">
      <c r="A175" s="1318">
        <v>1</v>
      </c>
      <c r="B175" s="1319">
        <v>2</v>
      </c>
      <c r="C175" s="1319">
        <v>3</v>
      </c>
      <c r="D175" s="1319">
        <v>4</v>
      </c>
      <c r="E175" s="1319">
        <v>5</v>
      </c>
      <c r="F175" s="1320">
        <v>6</v>
      </c>
      <c r="G175" s="1320">
        <v>7</v>
      </c>
      <c r="H175" s="1321">
        <v>8</v>
      </c>
      <c r="I175" s="1322" t="s">
        <v>848</v>
      </c>
    </row>
    <row r="176" spans="1:14" s="558" customFormat="1" ht="16.5" thickTop="1" thickBot="1" x14ac:dyDescent="0.3">
      <c r="A176" s="1330">
        <v>60001100222</v>
      </c>
      <c r="B176" s="1041">
        <v>3231</v>
      </c>
      <c r="C176" s="1331">
        <v>6121</v>
      </c>
      <c r="D176" s="1042">
        <v>10</v>
      </c>
      <c r="E176" s="1332" t="s">
        <v>671</v>
      </c>
      <c r="F176" s="960"/>
      <c r="G176" s="1333">
        <v>577</v>
      </c>
      <c r="H176" s="960">
        <v>576</v>
      </c>
      <c r="I176" s="1334">
        <f>(H176/G176)*100</f>
        <v>99.826689774696703</v>
      </c>
    </row>
    <row r="177" spans="1:14" s="558" customFormat="1" ht="18" customHeight="1" thickTop="1" thickBot="1" x14ac:dyDescent="0.3">
      <c r="A177" s="2751" t="s">
        <v>267</v>
      </c>
      <c r="B177" s="2750"/>
      <c r="C177" s="2750"/>
      <c r="D177" s="2750"/>
      <c r="E177" s="2750"/>
      <c r="F177" s="943">
        <f>F176</f>
        <v>0</v>
      </c>
      <c r="G177" s="943">
        <f>G176</f>
        <v>577</v>
      </c>
      <c r="H177" s="943">
        <f>H176</f>
        <v>576</v>
      </c>
      <c r="I177" s="926">
        <f>(H177/G177)*100</f>
        <v>99.826689774696703</v>
      </c>
    </row>
    <row r="178" spans="1:14" ht="13.5" thickTop="1" x14ac:dyDescent="0.2">
      <c r="K178" s="984"/>
      <c r="L178" s="984"/>
      <c r="M178" s="984"/>
      <c r="N178" s="439"/>
    </row>
    <row r="179" spans="1:14" x14ac:dyDescent="0.2">
      <c r="K179" s="984"/>
      <c r="L179" s="984"/>
      <c r="M179" s="984"/>
      <c r="N179" s="439"/>
    </row>
    <row r="180" spans="1:14" s="558" customFormat="1" ht="13.5" thickBot="1" x14ac:dyDescent="0.25">
      <c r="A180" s="439" t="s">
        <v>133</v>
      </c>
      <c r="B180" s="669"/>
      <c r="D180" s="884"/>
      <c r="F180" s="517"/>
      <c r="G180" s="517"/>
      <c r="H180" s="517"/>
      <c r="I180" s="1023" t="s">
        <v>179</v>
      </c>
    </row>
    <row r="181" spans="1:14" s="107" customFormat="1" ht="20.25" customHeight="1" thickTop="1" thickBot="1" x14ac:dyDescent="0.25">
      <c r="A181" s="714" t="s">
        <v>692</v>
      </c>
      <c r="B181" s="717" t="s">
        <v>180</v>
      </c>
      <c r="C181" s="715" t="s">
        <v>181</v>
      </c>
      <c r="D181" s="660" t="s">
        <v>783</v>
      </c>
      <c r="E181" s="718" t="s">
        <v>182</v>
      </c>
      <c r="F181" s="718" t="s">
        <v>183</v>
      </c>
      <c r="G181" s="718" t="s">
        <v>985</v>
      </c>
      <c r="H181" s="718" t="s">
        <v>986</v>
      </c>
      <c r="I181" s="888" t="s">
        <v>987</v>
      </c>
    </row>
    <row r="182" spans="1:14" s="386" customFormat="1" ht="13.5" thickTop="1" thickBot="1" x14ac:dyDescent="0.25">
      <c r="A182" s="1318">
        <v>1</v>
      </c>
      <c r="B182" s="1319">
        <v>2</v>
      </c>
      <c r="C182" s="1319">
        <v>3</v>
      </c>
      <c r="D182" s="1319">
        <v>4</v>
      </c>
      <c r="E182" s="1319">
        <v>5</v>
      </c>
      <c r="F182" s="1320">
        <v>6</v>
      </c>
      <c r="G182" s="1320">
        <v>7</v>
      </c>
      <c r="H182" s="1321">
        <v>8</v>
      </c>
      <c r="I182" s="1322" t="s">
        <v>848</v>
      </c>
    </row>
    <row r="183" spans="1:14" s="558" customFormat="1" ht="16.5" thickTop="1" thickBot="1" x14ac:dyDescent="0.3">
      <c r="A183" s="1330">
        <v>6000110023</v>
      </c>
      <c r="B183" s="1041">
        <v>3421</v>
      </c>
      <c r="C183" s="1331">
        <v>6121</v>
      </c>
      <c r="D183" s="1042">
        <v>10</v>
      </c>
      <c r="E183" s="1332" t="s">
        <v>671</v>
      </c>
      <c r="F183" s="960"/>
      <c r="G183" s="1333">
        <v>1173</v>
      </c>
      <c r="H183" s="960">
        <v>50</v>
      </c>
      <c r="I183" s="1334">
        <f>(H183/G183)*100</f>
        <v>4.2625745950554137</v>
      </c>
    </row>
    <row r="184" spans="1:14" s="558" customFormat="1" ht="18" customHeight="1" thickTop="1" thickBot="1" x14ac:dyDescent="0.3">
      <c r="A184" s="2751" t="s">
        <v>267</v>
      </c>
      <c r="B184" s="2750"/>
      <c r="C184" s="2750"/>
      <c r="D184" s="2750"/>
      <c r="E184" s="2750"/>
      <c r="F184" s="943">
        <f>F183</f>
        <v>0</v>
      </c>
      <c r="G184" s="943">
        <f>G183</f>
        <v>1173</v>
      </c>
      <c r="H184" s="943">
        <f>H183</f>
        <v>50</v>
      </c>
      <c r="I184" s="926">
        <f>(H184/G184)*100</f>
        <v>4.2625745950554137</v>
      </c>
    </row>
    <row r="185" spans="1:14" ht="13.5" thickTop="1" x14ac:dyDescent="0.2">
      <c r="K185" s="984"/>
      <c r="L185" s="984"/>
      <c r="M185" s="984"/>
      <c r="N185" s="439"/>
    </row>
    <row r="186" spans="1:14" x14ac:dyDescent="0.2">
      <c r="K186" s="984"/>
      <c r="L186" s="984"/>
      <c r="M186" s="984"/>
      <c r="N186" s="439"/>
    </row>
    <row r="187" spans="1:14" s="558" customFormat="1" ht="13.5" thickBot="1" x14ac:dyDescent="0.25">
      <c r="A187" s="439" t="s">
        <v>134</v>
      </c>
      <c r="B187" s="669"/>
      <c r="D187" s="884"/>
      <c r="F187" s="517"/>
      <c r="G187" s="517"/>
      <c r="H187" s="517"/>
      <c r="I187" s="1023" t="s">
        <v>179</v>
      </c>
    </row>
    <row r="188" spans="1:14" s="107" customFormat="1" ht="20.25" customHeight="1" thickTop="1" thickBot="1" x14ac:dyDescent="0.25">
      <c r="A188" s="714" t="s">
        <v>692</v>
      </c>
      <c r="B188" s="717" t="s">
        <v>180</v>
      </c>
      <c r="C188" s="715" t="s">
        <v>181</v>
      </c>
      <c r="D188" s="660" t="s">
        <v>783</v>
      </c>
      <c r="E188" s="718" t="s">
        <v>182</v>
      </c>
      <c r="F188" s="718" t="s">
        <v>183</v>
      </c>
      <c r="G188" s="718" t="s">
        <v>985</v>
      </c>
      <c r="H188" s="718" t="s">
        <v>986</v>
      </c>
      <c r="I188" s="888" t="s">
        <v>987</v>
      </c>
    </row>
    <row r="189" spans="1:14" s="386" customFormat="1" ht="13.5" thickTop="1" thickBot="1" x14ac:dyDescent="0.25">
      <c r="A189" s="1318">
        <v>1</v>
      </c>
      <c r="B189" s="1319">
        <v>2</v>
      </c>
      <c r="C189" s="1319">
        <v>3</v>
      </c>
      <c r="D189" s="1319">
        <v>4</v>
      </c>
      <c r="E189" s="1319">
        <v>5</v>
      </c>
      <c r="F189" s="1320">
        <v>6</v>
      </c>
      <c r="G189" s="1320">
        <v>7</v>
      </c>
      <c r="H189" s="1321">
        <v>8</v>
      </c>
      <c r="I189" s="1322" t="s">
        <v>848</v>
      </c>
    </row>
    <row r="190" spans="1:14" s="558" customFormat="1" ht="16.5" thickTop="1" thickBot="1" x14ac:dyDescent="0.3">
      <c r="A190" s="1330">
        <v>60001100224</v>
      </c>
      <c r="B190" s="1041">
        <v>3122</v>
      </c>
      <c r="C190" s="1331">
        <v>6121</v>
      </c>
      <c r="D190" s="1042">
        <v>10</v>
      </c>
      <c r="E190" s="1332" t="s">
        <v>671</v>
      </c>
      <c r="F190" s="960"/>
      <c r="G190" s="1333">
        <v>720</v>
      </c>
      <c r="H190" s="960">
        <v>720</v>
      </c>
      <c r="I190" s="1334">
        <f>(H190/G190)*100</f>
        <v>100</v>
      </c>
    </row>
    <row r="191" spans="1:14" s="558" customFormat="1" ht="18" customHeight="1" thickTop="1" thickBot="1" x14ac:dyDescent="0.3">
      <c r="A191" s="2751" t="s">
        <v>267</v>
      </c>
      <c r="B191" s="2750"/>
      <c r="C191" s="2750"/>
      <c r="D191" s="2750"/>
      <c r="E191" s="2750"/>
      <c r="F191" s="943">
        <f>F190</f>
        <v>0</v>
      </c>
      <c r="G191" s="943">
        <f>G190</f>
        <v>720</v>
      </c>
      <c r="H191" s="943">
        <f>H190</f>
        <v>720</v>
      </c>
      <c r="I191" s="926">
        <f>(H191/G191)*100</f>
        <v>100</v>
      </c>
    </row>
    <row r="192" spans="1:14" ht="13.5" thickTop="1" x14ac:dyDescent="0.2">
      <c r="K192" s="984"/>
      <c r="L192" s="984"/>
      <c r="M192" s="984"/>
      <c r="N192" s="439"/>
    </row>
    <row r="193" spans="1:14" x14ac:dyDescent="0.2">
      <c r="K193" s="984"/>
      <c r="L193" s="984"/>
      <c r="M193" s="984"/>
      <c r="N193" s="439"/>
    </row>
    <row r="194" spans="1:14" s="558" customFormat="1" ht="13.5" thickBot="1" x14ac:dyDescent="0.25">
      <c r="A194" s="439" t="s">
        <v>135</v>
      </c>
      <c r="B194" s="669"/>
      <c r="D194" s="884"/>
      <c r="F194" s="517"/>
      <c r="G194" s="517"/>
      <c r="H194" s="517"/>
      <c r="I194" s="1023" t="s">
        <v>179</v>
      </c>
    </row>
    <row r="195" spans="1:14" s="107" customFormat="1" ht="20.25" customHeight="1" thickTop="1" thickBot="1" x14ac:dyDescent="0.25">
      <c r="A195" s="714" t="s">
        <v>692</v>
      </c>
      <c r="B195" s="717" t="s">
        <v>180</v>
      </c>
      <c r="C195" s="715" t="s">
        <v>181</v>
      </c>
      <c r="D195" s="660" t="s">
        <v>783</v>
      </c>
      <c r="E195" s="718" t="s">
        <v>182</v>
      </c>
      <c r="F195" s="718" t="s">
        <v>183</v>
      </c>
      <c r="G195" s="718" t="s">
        <v>985</v>
      </c>
      <c r="H195" s="718" t="s">
        <v>986</v>
      </c>
      <c r="I195" s="888" t="s">
        <v>987</v>
      </c>
    </row>
    <row r="196" spans="1:14" s="386" customFormat="1" ht="13.5" thickTop="1" thickBot="1" x14ac:dyDescent="0.25">
      <c r="A196" s="1318">
        <v>1</v>
      </c>
      <c r="B196" s="1319">
        <v>2</v>
      </c>
      <c r="C196" s="1319">
        <v>3</v>
      </c>
      <c r="D196" s="1319">
        <v>4</v>
      </c>
      <c r="E196" s="1319">
        <v>5</v>
      </c>
      <c r="F196" s="1320">
        <v>6</v>
      </c>
      <c r="G196" s="1320">
        <v>7</v>
      </c>
      <c r="H196" s="1321">
        <v>8</v>
      </c>
      <c r="I196" s="1322" t="s">
        <v>848</v>
      </c>
    </row>
    <row r="197" spans="1:14" s="558" customFormat="1" ht="16.5" thickTop="1" thickBot="1" x14ac:dyDescent="0.3">
      <c r="A197" s="1330">
        <v>60001100225</v>
      </c>
      <c r="B197" s="1041">
        <v>3114</v>
      </c>
      <c r="C197" s="1331">
        <v>6121</v>
      </c>
      <c r="D197" s="1042">
        <v>10</v>
      </c>
      <c r="E197" s="1332" t="s">
        <v>671</v>
      </c>
      <c r="F197" s="960"/>
      <c r="G197" s="1333">
        <v>1839</v>
      </c>
      <c r="H197" s="960">
        <v>1818</v>
      </c>
      <c r="I197" s="1334">
        <f>(H197/G197)*100</f>
        <v>98.858075040783035</v>
      </c>
    </row>
    <row r="198" spans="1:14" s="558" customFormat="1" ht="18" customHeight="1" thickTop="1" thickBot="1" x14ac:dyDescent="0.3">
      <c r="A198" s="2751" t="s">
        <v>267</v>
      </c>
      <c r="B198" s="2750"/>
      <c r="C198" s="2750"/>
      <c r="D198" s="2750"/>
      <c r="E198" s="2750"/>
      <c r="F198" s="943">
        <f>F197</f>
        <v>0</v>
      </c>
      <c r="G198" s="943">
        <f>G197</f>
        <v>1839</v>
      </c>
      <c r="H198" s="943">
        <f>H197</f>
        <v>1818</v>
      </c>
      <c r="I198" s="926">
        <f>(H198/G198)*100</f>
        <v>98.858075040783035</v>
      </c>
    </row>
    <row r="199" spans="1:14" ht="13.5" thickTop="1" x14ac:dyDescent="0.2">
      <c r="K199" s="984"/>
      <c r="L199" s="984"/>
      <c r="M199" s="984"/>
      <c r="N199" s="439"/>
    </row>
    <row r="200" spans="1:14" x14ac:dyDescent="0.2">
      <c r="K200" s="984"/>
      <c r="L200" s="984"/>
      <c r="M200" s="984"/>
      <c r="N200" s="439"/>
    </row>
    <row r="201" spans="1:14" s="558" customFormat="1" ht="13.5" thickBot="1" x14ac:dyDescent="0.25">
      <c r="A201" s="439" t="s">
        <v>1185</v>
      </c>
      <c r="B201" s="669"/>
      <c r="D201" s="884"/>
      <c r="F201" s="517"/>
      <c r="G201" s="517"/>
      <c r="H201" s="517"/>
      <c r="I201" s="1023" t="s">
        <v>179</v>
      </c>
    </row>
    <row r="202" spans="1:14" s="107" customFormat="1" ht="20.25" customHeight="1" thickTop="1" thickBot="1" x14ac:dyDescent="0.25">
      <c r="A202" s="714" t="s">
        <v>692</v>
      </c>
      <c r="B202" s="717" t="s">
        <v>180</v>
      </c>
      <c r="C202" s="715" t="s">
        <v>181</v>
      </c>
      <c r="D202" s="660" t="s">
        <v>783</v>
      </c>
      <c r="E202" s="718" t="s">
        <v>182</v>
      </c>
      <c r="F202" s="718" t="s">
        <v>183</v>
      </c>
      <c r="G202" s="718" t="s">
        <v>985</v>
      </c>
      <c r="H202" s="718" t="s">
        <v>986</v>
      </c>
      <c r="I202" s="888" t="s">
        <v>987</v>
      </c>
    </row>
    <row r="203" spans="1:14" s="386" customFormat="1" ht="13.5" thickTop="1" thickBot="1" x14ac:dyDescent="0.25">
      <c r="A203" s="1318">
        <v>1</v>
      </c>
      <c r="B203" s="1319">
        <v>2</v>
      </c>
      <c r="C203" s="1319">
        <v>3</v>
      </c>
      <c r="D203" s="1319">
        <v>4</v>
      </c>
      <c r="E203" s="1319">
        <v>5</v>
      </c>
      <c r="F203" s="1320">
        <v>6</v>
      </c>
      <c r="G203" s="1320">
        <v>7</v>
      </c>
      <c r="H203" s="1321">
        <v>8</v>
      </c>
      <c r="I203" s="1322" t="s">
        <v>848</v>
      </c>
    </row>
    <row r="204" spans="1:14" s="558" customFormat="1" ht="16.5" thickTop="1" thickBot="1" x14ac:dyDescent="0.3">
      <c r="A204" s="1330">
        <v>60001100226</v>
      </c>
      <c r="B204" s="1041">
        <v>3123</v>
      </c>
      <c r="C204" s="1331">
        <v>6121</v>
      </c>
      <c r="D204" s="1042">
        <v>870</v>
      </c>
      <c r="E204" s="1332" t="s">
        <v>671</v>
      </c>
      <c r="F204" s="960"/>
      <c r="G204" s="1333">
        <v>2851</v>
      </c>
      <c r="H204" s="960">
        <v>2778</v>
      </c>
      <c r="I204" s="1334">
        <f>(H204/G204)*100</f>
        <v>97.439494914065236</v>
      </c>
    </row>
    <row r="205" spans="1:14" s="558" customFormat="1" ht="18" customHeight="1" thickTop="1" thickBot="1" x14ac:dyDescent="0.3">
      <c r="A205" s="2751" t="s">
        <v>267</v>
      </c>
      <c r="B205" s="2750"/>
      <c r="C205" s="2750"/>
      <c r="D205" s="2750"/>
      <c r="E205" s="2750"/>
      <c r="F205" s="943">
        <f>F204</f>
        <v>0</v>
      </c>
      <c r="G205" s="943">
        <f>G204</f>
        <v>2851</v>
      </c>
      <c r="H205" s="943">
        <f>H204</f>
        <v>2778</v>
      </c>
      <c r="I205" s="926">
        <f>(H205/G205)*100</f>
        <v>97.439494914065236</v>
      </c>
    </row>
    <row r="206" spans="1:14" ht="13.5" thickTop="1" x14ac:dyDescent="0.2">
      <c r="K206" s="984"/>
      <c r="L206" s="984"/>
      <c r="M206" s="984"/>
      <c r="N206" s="439"/>
    </row>
    <row r="207" spans="1:14" x14ac:dyDescent="0.2">
      <c r="K207" s="984"/>
      <c r="L207" s="984"/>
      <c r="M207" s="984"/>
      <c r="N207" s="439"/>
    </row>
    <row r="208" spans="1:14" s="558" customFormat="1" ht="13.5" thickBot="1" x14ac:dyDescent="0.25">
      <c r="A208" s="439" t="s">
        <v>1186</v>
      </c>
      <c r="B208" s="669"/>
      <c r="D208" s="884"/>
      <c r="F208" s="517"/>
      <c r="G208" s="517"/>
      <c r="H208" s="517"/>
      <c r="I208" s="1023" t="s">
        <v>179</v>
      </c>
    </row>
    <row r="209" spans="1:14" s="107" customFormat="1" ht="20.25" customHeight="1" thickTop="1" thickBot="1" x14ac:dyDescent="0.25">
      <c r="A209" s="714" t="s">
        <v>692</v>
      </c>
      <c r="B209" s="717" t="s">
        <v>180</v>
      </c>
      <c r="C209" s="715" t="s">
        <v>181</v>
      </c>
      <c r="D209" s="660" t="s">
        <v>783</v>
      </c>
      <c r="E209" s="718" t="s">
        <v>182</v>
      </c>
      <c r="F209" s="718" t="s">
        <v>183</v>
      </c>
      <c r="G209" s="718" t="s">
        <v>985</v>
      </c>
      <c r="H209" s="718" t="s">
        <v>986</v>
      </c>
      <c r="I209" s="888" t="s">
        <v>987</v>
      </c>
    </row>
    <row r="210" spans="1:14" s="386" customFormat="1" ht="13.5" thickTop="1" thickBot="1" x14ac:dyDescent="0.25">
      <c r="A210" s="1318">
        <v>1</v>
      </c>
      <c r="B210" s="1319">
        <v>2</v>
      </c>
      <c r="C210" s="1319">
        <v>3</v>
      </c>
      <c r="D210" s="1319">
        <v>4</v>
      </c>
      <c r="E210" s="1319">
        <v>5</v>
      </c>
      <c r="F210" s="1320">
        <v>6</v>
      </c>
      <c r="G210" s="1320">
        <v>7</v>
      </c>
      <c r="H210" s="1321">
        <v>8</v>
      </c>
      <c r="I210" s="1322" t="s">
        <v>848</v>
      </c>
    </row>
    <row r="211" spans="1:14" s="558" customFormat="1" ht="16.5" thickTop="1" thickBot="1" x14ac:dyDescent="0.3">
      <c r="A211" s="1330">
        <v>60001100227</v>
      </c>
      <c r="B211" s="1041">
        <v>3122</v>
      </c>
      <c r="C211" s="1331">
        <v>6121</v>
      </c>
      <c r="D211" s="1042">
        <v>10</v>
      </c>
      <c r="E211" s="1332" t="s">
        <v>671</v>
      </c>
      <c r="F211" s="960"/>
      <c r="G211" s="1333">
        <v>3370</v>
      </c>
      <c r="H211" s="960">
        <v>3370</v>
      </c>
      <c r="I211" s="1334">
        <f>(H211/G211)*100</f>
        <v>100</v>
      </c>
    </row>
    <row r="212" spans="1:14" s="558" customFormat="1" ht="18" customHeight="1" thickTop="1" thickBot="1" x14ac:dyDescent="0.3">
      <c r="A212" s="2751" t="s">
        <v>267</v>
      </c>
      <c r="B212" s="2750"/>
      <c r="C212" s="2750"/>
      <c r="D212" s="2750"/>
      <c r="E212" s="2750"/>
      <c r="F212" s="943">
        <f>F211</f>
        <v>0</v>
      </c>
      <c r="G212" s="943">
        <f>G211</f>
        <v>3370</v>
      </c>
      <c r="H212" s="943">
        <f>H211</f>
        <v>3370</v>
      </c>
      <c r="I212" s="926">
        <f>(H212/G212)*100</f>
        <v>100</v>
      </c>
    </row>
    <row r="213" spans="1:14" ht="13.5" thickTop="1" x14ac:dyDescent="0.2">
      <c r="K213" s="984"/>
      <c r="L213" s="984"/>
      <c r="M213" s="984"/>
      <c r="N213" s="439"/>
    </row>
    <row r="214" spans="1:14" x14ac:dyDescent="0.2">
      <c r="K214" s="984"/>
      <c r="L214" s="984"/>
      <c r="M214" s="984"/>
      <c r="N214" s="439"/>
    </row>
    <row r="215" spans="1:14" s="558" customFormat="1" ht="13.5" thickBot="1" x14ac:dyDescent="0.25">
      <c r="A215" s="439" t="s">
        <v>1187</v>
      </c>
      <c r="B215" s="669"/>
      <c r="D215" s="884"/>
      <c r="F215" s="517"/>
      <c r="G215" s="517"/>
      <c r="H215" s="517"/>
      <c r="I215" s="1023" t="s">
        <v>179</v>
      </c>
    </row>
    <row r="216" spans="1:14" s="107" customFormat="1" ht="20.25" customHeight="1" thickTop="1" thickBot="1" x14ac:dyDescent="0.25">
      <c r="A216" s="714" t="s">
        <v>692</v>
      </c>
      <c r="B216" s="717" t="s">
        <v>180</v>
      </c>
      <c r="C216" s="715" t="s">
        <v>181</v>
      </c>
      <c r="D216" s="660" t="s">
        <v>783</v>
      </c>
      <c r="E216" s="718" t="s">
        <v>182</v>
      </c>
      <c r="F216" s="718" t="s">
        <v>183</v>
      </c>
      <c r="G216" s="718" t="s">
        <v>985</v>
      </c>
      <c r="H216" s="718" t="s">
        <v>986</v>
      </c>
      <c r="I216" s="888" t="s">
        <v>987</v>
      </c>
    </row>
    <row r="217" spans="1:14" s="386" customFormat="1" ht="13.5" thickTop="1" thickBot="1" x14ac:dyDescent="0.25">
      <c r="A217" s="1318">
        <v>1</v>
      </c>
      <c r="B217" s="1319">
        <v>2</v>
      </c>
      <c r="C217" s="1319">
        <v>3</v>
      </c>
      <c r="D217" s="1319">
        <v>4</v>
      </c>
      <c r="E217" s="1319">
        <v>5</v>
      </c>
      <c r="F217" s="1320">
        <v>6</v>
      </c>
      <c r="G217" s="1320">
        <v>7</v>
      </c>
      <c r="H217" s="1321">
        <v>8</v>
      </c>
      <c r="I217" s="1322" t="s">
        <v>848</v>
      </c>
    </row>
    <row r="218" spans="1:14" s="558" customFormat="1" ht="16.5" thickTop="1" thickBot="1" x14ac:dyDescent="0.3">
      <c r="A218" s="1330">
        <v>60001100228</v>
      </c>
      <c r="B218" s="1041">
        <v>3122</v>
      </c>
      <c r="C218" s="1331">
        <v>6121</v>
      </c>
      <c r="D218" s="1042">
        <v>10</v>
      </c>
      <c r="E218" s="1332" t="s">
        <v>671</v>
      </c>
      <c r="F218" s="960"/>
      <c r="G218" s="1333">
        <v>1762</v>
      </c>
      <c r="H218" s="960">
        <v>1752</v>
      </c>
      <c r="I218" s="1334">
        <f>(H218/G218)*100</f>
        <v>99.432463110102148</v>
      </c>
    </row>
    <row r="219" spans="1:14" s="558" customFormat="1" ht="18" customHeight="1" thickTop="1" thickBot="1" x14ac:dyDescent="0.3">
      <c r="A219" s="2751" t="s">
        <v>267</v>
      </c>
      <c r="B219" s="2750"/>
      <c r="C219" s="2750"/>
      <c r="D219" s="2750"/>
      <c r="E219" s="2750"/>
      <c r="F219" s="943">
        <f>F218</f>
        <v>0</v>
      </c>
      <c r="G219" s="943">
        <f>G218</f>
        <v>1762</v>
      </c>
      <c r="H219" s="943">
        <f>H218</f>
        <v>1752</v>
      </c>
      <c r="I219" s="926">
        <f>(H219/G219)*100</f>
        <v>99.432463110102148</v>
      </c>
    </row>
    <row r="220" spans="1:14" ht="13.5" thickTop="1" x14ac:dyDescent="0.2">
      <c r="K220" s="984"/>
      <c r="L220" s="984"/>
      <c r="M220" s="984"/>
      <c r="N220" s="439"/>
    </row>
    <row r="221" spans="1:14" x14ac:dyDescent="0.2">
      <c r="K221" s="984"/>
      <c r="L221" s="984"/>
      <c r="M221" s="984"/>
      <c r="N221" s="439"/>
    </row>
    <row r="222" spans="1:14" s="558" customFormat="1" ht="13.5" thickBot="1" x14ac:dyDescent="0.25">
      <c r="A222" s="439" t="s">
        <v>1188</v>
      </c>
      <c r="B222" s="669"/>
      <c r="D222" s="884"/>
      <c r="F222" s="517"/>
      <c r="G222" s="517"/>
      <c r="H222" s="517"/>
      <c r="I222" s="1023" t="s">
        <v>179</v>
      </c>
    </row>
    <row r="223" spans="1:14" s="107" customFormat="1" ht="20.25" customHeight="1" thickTop="1" thickBot="1" x14ac:dyDescent="0.25">
      <c r="A223" s="714" t="s">
        <v>692</v>
      </c>
      <c r="B223" s="717" t="s">
        <v>180</v>
      </c>
      <c r="C223" s="715" t="s">
        <v>181</v>
      </c>
      <c r="D223" s="660" t="s">
        <v>783</v>
      </c>
      <c r="E223" s="718" t="s">
        <v>182</v>
      </c>
      <c r="F223" s="718" t="s">
        <v>183</v>
      </c>
      <c r="G223" s="718" t="s">
        <v>985</v>
      </c>
      <c r="H223" s="718" t="s">
        <v>986</v>
      </c>
      <c r="I223" s="888" t="s">
        <v>987</v>
      </c>
    </row>
    <row r="224" spans="1:14" s="386" customFormat="1" thickTop="1" x14ac:dyDescent="0.2">
      <c r="A224" s="1318">
        <v>1</v>
      </c>
      <c r="B224" s="1319">
        <v>2</v>
      </c>
      <c r="C224" s="1319">
        <v>3</v>
      </c>
      <c r="D224" s="1319">
        <v>4</v>
      </c>
      <c r="E224" s="1319">
        <v>5</v>
      </c>
      <c r="F224" s="1320">
        <v>6</v>
      </c>
      <c r="G224" s="1320">
        <v>7</v>
      </c>
      <c r="H224" s="1321">
        <v>8</v>
      </c>
      <c r="I224" s="1322" t="s">
        <v>848</v>
      </c>
    </row>
    <row r="225" spans="1:14" s="386" customFormat="1" ht="15" x14ac:dyDescent="0.25">
      <c r="A225" s="1376">
        <v>60001100229</v>
      </c>
      <c r="B225" s="1377">
        <v>3122</v>
      </c>
      <c r="C225" s="1377">
        <v>5137</v>
      </c>
      <c r="D225" s="1340">
        <v>870</v>
      </c>
      <c r="E225" s="1339" t="s">
        <v>173</v>
      </c>
      <c r="F225" s="1338"/>
      <c r="G225" s="1338">
        <v>1609</v>
      </c>
      <c r="H225" s="1338">
        <v>1596</v>
      </c>
      <c r="I225" s="906">
        <f t="shared" ref="I225:I230" si="1">(H225/G225)*100</f>
        <v>99.192044748290868</v>
      </c>
    </row>
    <row r="226" spans="1:14" s="386" customFormat="1" ht="15.75" thickBot="1" x14ac:dyDescent="0.3">
      <c r="A226" s="1379">
        <v>60001100229</v>
      </c>
      <c r="B226" s="1380">
        <v>3122</v>
      </c>
      <c r="C226" s="1381">
        <v>5172</v>
      </c>
      <c r="D226" s="1038">
        <v>870</v>
      </c>
      <c r="E226" s="1335" t="s">
        <v>1002</v>
      </c>
      <c r="F226" s="1336"/>
      <c r="G226" s="1337">
        <v>97</v>
      </c>
      <c r="H226" s="1336">
        <v>96</v>
      </c>
      <c r="I226" s="1046">
        <f t="shared" si="1"/>
        <v>98.969072164948457</v>
      </c>
    </row>
    <row r="227" spans="1:14" s="558" customFormat="1" ht="18" customHeight="1" thickTop="1" thickBot="1" x14ac:dyDescent="0.3">
      <c r="A227" s="2739" t="s">
        <v>268</v>
      </c>
      <c r="B227" s="2740"/>
      <c r="C227" s="2740"/>
      <c r="D227" s="2740"/>
      <c r="E227" s="2740"/>
      <c r="F227" s="894">
        <v>0</v>
      </c>
      <c r="G227" s="894">
        <f>G225+G226</f>
        <v>1706</v>
      </c>
      <c r="H227" s="894">
        <f>H225+H226</f>
        <v>1692</v>
      </c>
      <c r="I227" s="895">
        <f t="shared" si="1"/>
        <v>99.179366940211025</v>
      </c>
    </row>
    <row r="228" spans="1:14" s="386" customFormat="1" ht="15.75" thickTop="1" x14ac:dyDescent="0.25">
      <c r="A228" s="1376">
        <v>60001100229</v>
      </c>
      <c r="B228" s="1377">
        <v>3122</v>
      </c>
      <c r="C228" s="1378">
        <v>6121</v>
      </c>
      <c r="D228" s="1032">
        <v>870</v>
      </c>
      <c r="E228" s="1323" t="s">
        <v>671</v>
      </c>
      <c r="F228" s="416"/>
      <c r="G228" s="1327">
        <v>14622</v>
      </c>
      <c r="H228" s="416">
        <v>13497</v>
      </c>
      <c r="I228" s="906">
        <f t="shared" si="1"/>
        <v>92.306114074681986</v>
      </c>
    </row>
    <row r="229" spans="1:14" s="558" customFormat="1" ht="15.75" thickBot="1" x14ac:dyDescent="0.3">
      <c r="A229" s="1037">
        <v>60001100229</v>
      </c>
      <c r="B229" s="962">
        <v>3122</v>
      </c>
      <c r="C229" s="807">
        <v>6122</v>
      </c>
      <c r="D229" s="1038">
        <v>870</v>
      </c>
      <c r="E229" s="1325" t="s">
        <v>672</v>
      </c>
      <c r="F229" s="954"/>
      <c r="G229" s="1039">
        <v>7572</v>
      </c>
      <c r="H229" s="954">
        <v>7572</v>
      </c>
      <c r="I229" s="1046">
        <f t="shared" si="1"/>
        <v>100</v>
      </c>
    </row>
    <row r="230" spans="1:14" s="558" customFormat="1" ht="18" customHeight="1" thickTop="1" thickBot="1" x14ac:dyDescent="0.3">
      <c r="A230" s="2751" t="s">
        <v>267</v>
      </c>
      <c r="B230" s="2750"/>
      <c r="C230" s="2750"/>
      <c r="D230" s="2750"/>
      <c r="E230" s="2750"/>
      <c r="F230" s="943">
        <f>F228</f>
        <v>0</v>
      </c>
      <c r="G230" s="943">
        <f>G228+G229</f>
        <v>22194</v>
      </c>
      <c r="H230" s="943">
        <f>H228+H229</f>
        <v>21069</v>
      </c>
      <c r="I230" s="895">
        <f t="shared" si="1"/>
        <v>94.931062449310616</v>
      </c>
    </row>
    <row r="231" spans="1:14" ht="13.5" thickTop="1" x14ac:dyDescent="0.2">
      <c r="K231" s="984"/>
      <c r="L231" s="984"/>
      <c r="M231" s="984"/>
      <c r="N231" s="439"/>
    </row>
    <row r="232" spans="1:14" x14ac:dyDescent="0.2">
      <c r="K232" s="984"/>
      <c r="L232" s="984"/>
      <c r="M232" s="984"/>
      <c r="N232" s="439"/>
    </row>
    <row r="233" spans="1:14" s="558" customFormat="1" ht="13.5" thickBot="1" x14ac:dyDescent="0.25">
      <c r="A233" s="439" t="s">
        <v>34</v>
      </c>
      <c r="B233" s="669"/>
      <c r="D233" s="884"/>
      <c r="F233" s="517"/>
      <c r="G233" s="517"/>
      <c r="H233" s="517"/>
      <c r="I233" s="1023" t="s">
        <v>179</v>
      </c>
    </row>
    <row r="234" spans="1:14" s="107" customFormat="1" ht="20.25" customHeight="1" thickTop="1" thickBot="1" x14ac:dyDescent="0.25">
      <c r="A234" s="714" t="s">
        <v>692</v>
      </c>
      <c r="B234" s="717" t="s">
        <v>180</v>
      </c>
      <c r="C234" s="715" t="s">
        <v>181</v>
      </c>
      <c r="D234" s="660" t="s">
        <v>783</v>
      </c>
      <c r="E234" s="718" t="s">
        <v>182</v>
      </c>
      <c r="F234" s="718" t="s">
        <v>183</v>
      </c>
      <c r="G234" s="718" t="s">
        <v>985</v>
      </c>
      <c r="H234" s="718" t="s">
        <v>986</v>
      </c>
      <c r="I234" s="888" t="s">
        <v>987</v>
      </c>
    </row>
    <row r="235" spans="1:14" s="386" customFormat="1" ht="13.5" thickTop="1" thickBot="1" x14ac:dyDescent="0.25">
      <c r="A235" s="1318">
        <v>1</v>
      </c>
      <c r="B235" s="1319">
        <v>2</v>
      </c>
      <c r="C235" s="1319">
        <v>3</v>
      </c>
      <c r="D235" s="1319">
        <v>4</v>
      </c>
      <c r="E235" s="593">
        <v>5</v>
      </c>
      <c r="F235" s="1320">
        <v>6</v>
      </c>
      <c r="G235" s="1320">
        <v>7</v>
      </c>
      <c r="H235" s="1321">
        <v>8</v>
      </c>
      <c r="I235" s="1322" t="s">
        <v>848</v>
      </c>
    </row>
    <row r="236" spans="1:14" s="558" customFormat="1" ht="16.5" thickTop="1" thickBot="1" x14ac:dyDescent="0.3">
      <c r="A236" s="1330">
        <v>60001100230</v>
      </c>
      <c r="B236" s="1041">
        <v>3122</v>
      </c>
      <c r="C236" s="1331">
        <v>6122</v>
      </c>
      <c r="D236" s="1042">
        <v>10</v>
      </c>
      <c r="E236" s="1325" t="s">
        <v>672</v>
      </c>
      <c r="F236" s="960"/>
      <c r="G236" s="1333">
        <v>99</v>
      </c>
      <c r="H236" s="960">
        <v>99</v>
      </c>
      <c r="I236" s="1334">
        <f>(H236/G236)*100</f>
        <v>100</v>
      </c>
    </row>
    <row r="237" spans="1:14" s="558" customFormat="1" ht="18" customHeight="1" thickTop="1" thickBot="1" x14ac:dyDescent="0.3">
      <c r="A237" s="2751" t="s">
        <v>267</v>
      </c>
      <c r="B237" s="2750"/>
      <c r="C237" s="2750"/>
      <c r="D237" s="2750"/>
      <c r="E237" s="2750"/>
      <c r="F237" s="943">
        <f>F236</f>
        <v>0</v>
      </c>
      <c r="G237" s="943">
        <f>G236</f>
        <v>99</v>
      </c>
      <c r="H237" s="943">
        <f>H236</f>
        <v>99</v>
      </c>
      <c r="I237" s="926">
        <f>(H237/G237)*100</f>
        <v>100</v>
      </c>
    </row>
    <row r="238" spans="1:14" ht="13.5" thickTop="1" x14ac:dyDescent="0.2">
      <c r="K238" s="984"/>
      <c r="L238" s="984"/>
      <c r="M238" s="984"/>
      <c r="N238" s="439"/>
    </row>
    <row r="239" spans="1:14" x14ac:dyDescent="0.2">
      <c r="K239" s="984"/>
      <c r="L239" s="984"/>
      <c r="M239" s="984"/>
      <c r="N239" s="439"/>
    </row>
    <row r="240" spans="1:14" s="558" customFormat="1" ht="13.5" thickBot="1" x14ac:dyDescent="0.25">
      <c r="A240" s="439" t="s">
        <v>35</v>
      </c>
      <c r="B240" s="669"/>
      <c r="D240" s="884"/>
      <c r="F240" s="517"/>
      <c r="G240" s="517"/>
      <c r="H240" s="517"/>
      <c r="I240" s="1023" t="s">
        <v>179</v>
      </c>
    </row>
    <row r="241" spans="1:14" s="107" customFormat="1" ht="20.25" customHeight="1" thickTop="1" thickBot="1" x14ac:dyDescent="0.25">
      <c r="A241" s="714" t="s">
        <v>692</v>
      </c>
      <c r="B241" s="717" t="s">
        <v>180</v>
      </c>
      <c r="C241" s="715" t="s">
        <v>181</v>
      </c>
      <c r="D241" s="660" t="s">
        <v>783</v>
      </c>
      <c r="E241" s="718" t="s">
        <v>182</v>
      </c>
      <c r="F241" s="718" t="s">
        <v>183</v>
      </c>
      <c r="G241" s="718" t="s">
        <v>985</v>
      </c>
      <c r="H241" s="718" t="s">
        <v>986</v>
      </c>
      <c r="I241" s="888" t="s">
        <v>987</v>
      </c>
    </row>
    <row r="242" spans="1:14" s="386" customFormat="1" ht="13.5" thickTop="1" thickBot="1" x14ac:dyDescent="0.25">
      <c r="A242" s="1318">
        <v>1</v>
      </c>
      <c r="B242" s="1319">
        <v>2</v>
      </c>
      <c r="C242" s="1319">
        <v>3</v>
      </c>
      <c r="D242" s="1319">
        <v>4</v>
      </c>
      <c r="E242" s="593">
        <v>5</v>
      </c>
      <c r="F242" s="1320">
        <v>6</v>
      </c>
      <c r="G242" s="1320">
        <v>7</v>
      </c>
      <c r="H242" s="1321">
        <v>8</v>
      </c>
      <c r="I242" s="1322" t="s">
        <v>848</v>
      </c>
    </row>
    <row r="243" spans="1:14" s="558" customFormat="1" ht="16.5" thickTop="1" thickBot="1" x14ac:dyDescent="0.3">
      <c r="A243" s="1330">
        <v>60001100231</v>
      </c>
      <c r="B243" s="1041">
        <v>3122</v>
      </c>
      <c r="C243" s="1331">
        <v>5171</v>
      </c>
      <c r="D243" s="1042">
        <v>10</v>
      </c>
      <c r="E243" s="1325" t="s">
        <v>1001</v>
      </c>
      <c r="F243" s="960"/>
      <c r="G243" s="1333">
        <v>1963</v>
      </c>
      <c r="H243" s="960">
        <v>1961</v>
      </c>
      <c r="I243" s="1334">
        <f>(H243/G243)*100</f>
        <v>99.898115129903204</v>
      </c>
    </row>
    <row r="244" spans="1:14" s="558" customFormat="1" ht="18" customHeight="1" thickTop="1" thickBot="1" x14ac:dyDescent="0.3">
      <c r="A244" s="2739" t="s">
        <v>268</v>
      </c>
      <c r="B244" s="2740"/>
      <c r="C244" s="2740"/>
      <c r="D244" s="2740"/>
      <c r="E244" s="2740"/>
      <c r="F244" s="943">
        <f>F243</f>
        <v>0</v>
      </c>
      <c r="G244" s="943">
        <f>G243</f>
        <v>1963</v>
      </c>
      <c r="H244" s="943">
        <f>H243</f>
        <v>1961</v>
      </c>
      <c r="I244" s="926">
        <f>(H244/G244)*100</f>
        <v>99.898115129903204</v>
      </c>
    </row>
    <row r="245" spans="1:14" ht="13.5" thickTop="1" x14ac:dyDescent="0.2">
      <c r="K245" s="984"/>
      <c r="L245" s="984"/>
      <c r="M245" s="984"/>
      <c r="N245" s="439"/>
    </row>
    <row r="246" spans="1:14" x14ac:dyDescent="0.2">
      <c r="K246" s="984"/>
      <c r="L246" s="984"/>
      <c r="M246" s="984"/>
      <c r="N246" s="439"/>
    </row>
    <row r="247" spans="1:14" s="558" customFormat="1" ht="13.5" thickBot="1" x14ac:dyDescent="0.25">
      <c r="A247" s="439" t="s">
        <v>34</v>
      </c>
      <c r="B247" s="669"/>
      <c r="D247" s="884"/>
      <c r="F247" s="517"/>
      <c r="G247" s="517"/>
      <c r="H247" s="517"/>
      <c r="I247" s="1023" t="s">
        <v>179</v>
      </c>
    </row>
    <row r="248" spans="1:14" s="107" customFormat="1" ht="20.25" customHeight="1" thickTop="1" thickBot="1" x14ac:dyDescent="0.25">
      <c r="A248" s="714" t="s">
        <v>692</v>
      </c>
      <c r="B248" s="717" t="s">
        <v>180</v>
      </c>
      <c r="C248" s="715" t="s">
        <v>181</v>
      </c>
      <c r="D248" s="660" t="s">
        <v>783</v>
      </c>
      <c r="E248" s="718" t="s">
        <v>182</v>
      </c>
      <c r="F248" s="718" t="s">
        <v>183</v>
      </c>
      <c r="G248" s="718" t="s">
        <v>985</v>
      </c>
      <c r="H248" s="718" t="s">
        <v>986</v>
      </c>
      <c r="I248" s="888" t="s">
        <v>987</v>
      </c>
    </row>
    <row r="249" spans="1:14" s="386" customFormat="1" ht="13.5" thickTop="1" thickBot="1" x14ac:dyDescent="0.25">
      <c r="A249" s="1318">
        <v>1</v>
      </c>
      <c r="B249" s="1319">
        <v>2</v>
      </c>
      <c r="C249" s="1319">
        <v>3</v>
      </c>
      <c r="D249" s="1319">
        <v>4</v>
      </c>
      <c r="E249" s="593">
        <v>5</v>
      </c>
      <c r="F249" s="1320">
        <v>6</v>
      </c>
      <c r="G249" s="1320">
        <v>7</v>
      </c>
      <c r="H249" s="1321">
        <v>8</v>
      </c>
      <c r="I249" s="1322" t="s">
        <v>848</v>
      </c>
    </row>
    <row r="250" spans="1:14" s="558" customFormat="1" ht="16.5" thickTop="1" thickBot="1" x14ac:dyDescent="0.3">
      <c r="A250" s="1330">
        <v>60001100232</v>
      </c>
      <c r="B250" s="1041">
        <v>3114</v>
      </c>
      <c r="C250" s="1331">
        <v>6121</v>
      </c>
      <c r="D250" s="1042">
        <v>870</v>
      </c>
      <c r="E250" s="1332" t="s">
        <v>671</v>
      </c>
      <c r="F250" s="960"/>
      <c r="G250" s="1333">
        <v>2000</v>
      </c>
      <c r="H250" s="960">
        <v>47</v>
      </c>
      <c r="I250" s="1334">
        <f>(H250/G250)*100</f>
        <v>2.35</v>
      </c>
    </row>
    <row r="251" spans="1:14" s="558" customFormat="1" ht="18" customHeight="1" thickTop="1" thickBot="1" x14ac:dyDescent="0.3">
      <c r="A251" s="2751" t="s">
        <v>267</v>
      </c>
      <c r="B251" s="2750"/>
      <c r="C251" s="2750"/>
      <c r="D251" s="2750"/>
      <c r="E251" s="2750"/>
      <c r="F251" s="943">
        <f>F250</f>
        <v>0</v>
      </c>
      <c r="G251" s="943">
        <f>G250</f>
        <v>2000</v>
      </c>
      <c r="H251" s="943">
        <f>H250</f>
        <v>47</v>
      </c>
      <c r="I251" s="926">
        <f>(H251/G251)*100</f>
        <v>2.35</v>
      </c>
    </row>
    <row r="252" spans="1:14" ht="13.5" thickTop="1" x14ac:dyDescent="0.2">
      <c r="K252" s="984"/>
      <c r="L252" s="984"/>
      <c r="M252" s="984"/>
      <c r="N252" s="439"/>
    </row>
    <row r="253" spans="1:14" x14ac:dyDescent="0.2">
      <c r="K253" s="984"/>
      <c r="L253" s="984"/>
      <c r="M253" s="984"/>
      <c r="N253" s="439"/>
    </row>
    <row r="254" spans="1:14" s="558" customFormat="1" ht="13.5" thickBot="1" x14ac:dyDescent="0.25">
      <c r="A254" s="439" t="s">
        <v>36</v>
      </c>
      <c r="B254" s="669"/>
      <c r="D254" s="884"/>
      <c r="F254" s="517"/>
      <c r="G254" s="517"/>
      <c r="H254" s="517"/>
      <c r="I254" s="1023" t="s">
        <v>179</v>
      </c>
    </row>
    <row r="255" spans="1:14" s="107" customFormat="1" ht="20.25" customHeight="1" thickTop="1" thickBot="1" x14ac:dyDescent="0.25">
      <c r="A255" s="714" t="s">
        <v>692</v>
      </c>
      <c r="B255" s="717" t="s">
        <v>180</v>
      </c>
      <c r="C255" s="715" t="s">
        <v>181</v>
      </c>
      <c r="D255" s="660" t="s">
        <v>783</v>
      </c>
      <c r="E255" s="718" t="s">
        <v>182</v>
      </c>
      <c r="F255" s="718" t="s">
        <v>183</v>
      </c>
      <c r="G255" s="718" t="s">
        <v>985</v>
      </c>
      <c r="H255" s="718" t="s">
        <v>986</v>
      </c>
      <c r="I255" s="888" t="s">
        <v>987</v>
      </c>
    </row>
    <row r="256" spans="1:14" s="386" customFormat="1" ht="13.5" thickTop="1" thickBot="1" x14ac:dyDescent="0.25">
      <c r="A256" s="592">
        <v>1</v>
      </c>
      <c r="B256" s="593">
        <v>2</v>
      </c>
      <c r="C256" s="593">
        <v>3</v>
      </c>
      <c r="D256" s="593">
        <v>4</v>
      </c>
      <c r="E256" s="593">
        <v>5</v>
      </c>
      <c r="F256" s="567">
        <v>6</v>
      </c>
      <c r="G256" s="567">
        <v>7</v>
      </c>
      <c r="H256" s="568">
        <v>8</v>
      </c>
      <c r="I256" s="662" t="s">
        <v>848</v>
      </c>
    </row>
    <row r="257" spans="1:14" s="386" customFormat="1" ht="16.5" thickTop="1" thickBot="1" x14ac:dyDescent="0.3">
      <c r="A257" s="1376">
        <v>60001100233</v>
      </c>
      <c r="B257" s="1377">
        <v>3114</v>
      </c>
      <c r="C257" s="1377">
        <v>5137</v>
      </c>
      <c r="D257" s="1340">
        <v>10</v>
      </c>
      <c r="E257" s="1339" t="s">
        <v>173</v>
      </c>
      <c r="F257" s="1338"/>
      <c r="G257" s="1338">
        <v>1040</v>
      </c>
      <c r="H257" s="1338">
        <v>1039</v>
      </c>
      <c r="I257" s="906">
        <f>(H257/G257)*100</f>
        <v>99.90384615384616</v>
      </c>
    </row>
    <row r="258" spans="1:14" s="558" customFormat="1" ht="18" customHeight="1" thickTop="1" thickBot="1" x14ac:dyDescent="0.3">
      <c r="A258" s="2739" t="s">
        <v>268</v>
      </c>
      <c r="B258" s="2740"/>
      <c r="C258" s="2740"/>
      <c r="D258" s="2740"/>
      <c r="E258" s="2740"/>
      <c r="F258" s="894">
        <v>0</v>
      </c>
      <c r="G258" s="894">
        <f>G257</f>
        <v>1040</v>
      </c>
      <c r="H258" s="894">
        <f>H257</f>
        <v>1039</v>
      </c>
      <c r="I258" s="895">
        <f>(H258/G258)*100</f>
        <v>99.90384615384616</v>
      </c>
    </row>
    <row r="259" spans="1:14" s="386" customFormat="1" ht="15.75" thickTop="1" x14ac:dyDescent="0.25">
      <c r="A259" s="1376">
        <v>60001100233</v>
      </c>
      <c r="B259" s="1377">
        <v>3114</v>
      </c>
      <c r="C259" s="1378">
        <v>6121</v>
      </c>
      <c r="D259" s="1032">
        <v>10</v>
      </c>
      <c r="E259" s="1323" t="s">
        <v>671</v>
      </c>
      <c r="F259" s="416"/>
      <c r="G259" s="1327">
        <v>3073</v>
      </c>
      <c r="H259" s="416">
        <v>3051</v>
      </c>
      <c r="I259" s="906">
        <f>(H259/G259)*100</f>
        <v>99.284087211194276</v>
      </c>
    </row>
    <row r="260" spans="1:14" s="558" customFormat="1" ht="15.75" thickBot="1" x14ac:dyDescent="0.3">
      <c r="A260" s="1037">
        <v>60001100233</v>
      </c>
      <c r="B260" s="962">
        <v>3114</v>
      </c>
      <c r="C260" s="807">
        <v>6122</v>
      </c>
      <c r="D260" s="1038">
        <v>10</v>
      </c>
      <c r="E260" s="1325" t="s">
        <v>672</v>
      </c>
      <c r="F260" s="954"/>
      <c r="G260" s="1039">
        <v>1913</v>
      </c>
      <c r="H260" s="954">
        <v>1910</v>
      </c>
      <c r="I260" s="1046">
        <f>(H260/G260)*100</f>
        <v>99.843178254051224</v>
      </c>
    </row>
    <row r="261" spans="1:14" s="558" customFormat="1" ht="18" customHeight="1" thickTop="1" thickBot="1" x14ac:dyDescent="0.3">
      <c r="A261" s="2751" t="s">
        <v>267</v>
      </c>
      <c r="B261" s="2750"/>
      <c r="C261" s="2750"/>
      <c r="D261" s="2750"/>
      <c r="E261" s="2750"/>
      <c r="F261" s="943">
        <f>F259</f>
        <v>0</v>
      </c>
      <c r="G261" s="943">
        <f>G259+G260</f>
        <v>4986</v>
      </c>
      <c r="H261" s="943">
        <f>H259+H260</f>
        <v>4961</v>
      </c>
      <c r="I261" s="895">
        <f>(H261/G261)*100</f>
        <v>99.49859606899318</v>
      </c>
      <c r="L261" s="517">
        <f>G129+G139+G146+G153+G160+G163+G170+G177+G184+G191+G198+G205+G212+G219+G227+G230+G237+G244+G251+G258+G261</f>
        <v>52394</v>
      </c>
      <c r="M261" s="517">
        <f>H129+H139+H146+H153+H160+H163+H170+H177+H184+H191+H198+H205+H212+H219+H227+H230+H237+H244+H251+H258+H261</f>
        <v>46927</v>
      </c>
    </row>
    <row r="262" spans="1:14" ht="13.5" thickTop="1" x14ac:dyDescent="0.2">
      <c r="K262" s="984"/>
      <c r="L262" s="984"/>
      <c r="M262" s="984"/>
      <c r="N262" s="439"/>
    </row>
    <row r="263" spans="1:14" x14ac:dyDescent="0.2">
      <c r="K263" s="984"/>
      <c r="L263" s="984"/>
      <c r="M263" s="984"/>
      <c r="N263" s="439"/>
    </row>
    <row r="264" spans="1:14" x14ac:dyDescent="0.2">
      <c r="K264" s="984"/>
      <c r="L264" s="984"/>
      <c r="M264" s="984"/>
      <c r="N264" s="439"/>
    </row>
    <row r="265" spans="1:14" x14ac:dyDescent="0.2">
      <c r="K265" s="984"/>
      <c r="L265" s="984"/>
      <c r="M265" s="984"/>
      <c r="N265" s="439"/>
    </row>
    <row r="266" spans="1:14" x14ac:dyDescent="0.2">
      <c r="K266" s="984"/>
      <c r="L266" s="984"/>
      <c r="M266" s="984"/>
      <c r="N266" s="439"/>
    </row>
    <row r="267" spans="1:14" x14ac:dyDescent="0.2">
      <c r="K267" s="984"/>
      <c r="L267" s="984"/>
      <c r="M267" s="984"/>
      <c r="N267" s="439"/>
    </row>
    <row r="268" spans="1:14" s="558" customFormat="1" ht="13.5" thickBot="1" x14ac:dyDescent="0.25">
      <c r="A268" s="439" t="s">
        <v>37</v>
      </c>
      <c r="B268" s="669"/>
      <c r="D268" s="884"/>
      <c r="F268" s="517"/>
      <c r="G268" s="517"/>
      <c r="H268" s="517"/>
      <c r="I268" s="1023" t="s">
        <v>179</v>
      </c>
    </row>
    <row r="269" spans="1:14" s="107" customFormat="1" ht="20.25" customHeight="1" thickTop="1" thickBot="1" x14ac:dyDescent="0.25">
      <c r="A269" s="714" t="s">
        <v>692</v>
      </c>
      <c r="B269" s="717" t="s">
        <v>180</v>
      </c>
      <c r="C269" s="715" t="s">
        <v>181</v>
      </c>
      <c r="D269" s="660" t="s">
        <v>783</v>
      </c>
      <c r="E269" s="718" t="s">
        <v>182</v>
      </c>
      <c r="F269" s="718" t="s">
        <v>183</v>
      </c>
      <c r="G269" s="718" t="s">
        <v>985</v>
      </c>
      <c r="H269" s="718" t="s">
        <v>986</v>
      </c>
      <c r="I269" s="888" t="s">
        <v>987</v>
      </c>
    </row>
    <row r="270" spans="1:14" s="386" customFormat="1" ht="13.5" thickTop="1" thickBot="1" x14ac:dyDescent="0.25">
      <c r="A270" s="1318">
        <v>1</v>
      </c>
      <c r="B270" s="1319">
        <v>2</v>
      </c>
      <c r="C270" s="1319">
        <v>3</v>
      </c>
      <c r="D270" s="1319">
        <v>4</v>
      </c>
      <c r="E270" s="593">
        <v>5</v>
      </c>
      <c r="F270" s="1320">
        <v>6</v>
      </c>
      <c r="G270" s="1320">
        <v>7</v>
      </c>
      <c r="H270" s="1321">
        <v>8</v>
      </c>
      <c r="I270" s="1322" t="s">
        <v>848</v>
      </c>
    </row>
    <row r="271" spans="1:14" s="558" customFormat="1" ht="16.5" thickTop="1" thickBot="1" x14ac:dyDescent="0.3">
      <c r="A271" s="1330">
        <v>60001100234</v>
      </c>
      <c r="B271" s="1041">
        <v>3114</v>
      </c>
      <c r="C271" s="1331">
        <v>5171</v>
      </c>
      <c r="D271" s="1042">
        <v>10</v>
      </c>
      <c r="E271" s="1325" t="s">
        <v>1001</v>
      </c>
      <c r="F271" s="960"/>
      <c r="G271" s="1333">
        <v>1345</v>
      </c>
      <c r="H271" s="960">
        <v>1343</v>
      </c>
      <c r="I271" s="1334">
        <f>(H271/G271)*100</f>
        <v>99.851301115241625</v>
      </c>
    </row>
    <row r="272" spans="1:14" s="558" customFormat="1" ht="18" customHeight="1" thickTop="1" thickBot="1" x14ac:dyDescent="0.3">
      <c r="A272" s="2739" t="s">
        <v>268</v>
      </c>
      <c r="B272" s="2740"/>
      <c r="C272" s="2740"/>
      <c r="D272" s="2740"/>
      <c r="E272" s="2740"/>
      <c r="F272" s="943">
        <f>F271</f>
        <v>0</v>
      </c>
      <c r="G272" s="943">
        <f>G271</f>
        <v>1345</v>
      </c>
      <c r="H272" s="943">
        <f>H271</f>
        <v>1343</v>
      </c>
      <c r="I272" s="926">
        <f>(H272/G272)*100</f>
        <v>99.851301115241625</v>
      </c>
    </row>
    <row r="273" spans="1:14" ht="13.5" thickTop="1" x14ac:dyDescent="0.2">
      <c r="K273" s="984"/>
      <c r="L273" s="984"/>
      <c r="M273" s="984"/>
      <c r="N273" s="439"/>
    </row>
    <row r="274" spans="1:14" x14ac:dyDescent="0.2">
      <c r="K274" s="984"/>
      <c r="L274" s="984"/>
      <c r="M274" s="984"/>
      <c r="N274" s="439"/>
    </row>
    <row r="275" spans="1:14" s="558" customFormat="1" ht="13.5" thickBot="1" x14ac:dyDescent="0.25">
      <c r="A275" s="439" t="s">
        <v>479</v>
      </c>
      <c r="B275" s="669"/>
      <c r="D275" s="884"/>
      <c r="F275" s="517"/>
      <c r="G275" s="517"/>
      <c r="H275" s="517"/>
      <c r="I275" s="1023" t="s">
        <v>179</v>
      </c>
    </row>
    <row r="276" spans="1:14" s="107" customFormat="1" ht="20.25" customHeight="1" thickTop="1" thickBot="1" x14ac:dyDescent="0.25">
      <c r="A276" s="714" t="s">
        <v>692</v>
      </c>
      <c r="B276" s="717" t="s">
        <v>180</v>
      </c>
      <c r="C276" s="715" t="s">
        <v>181</v>
      </c>
      <c r="D276" s="660" t="s">
        <v>783</v>
      </c>
      <c r="E276" s="718" t="s">
        <v>182</v>
      </c>
      <c r="F276" s="718" t="s">
        <v>183</v>
      </c>
      <c r="G276" s="718" t="s">
        <v>985</v>
      </c>
      <c r="H276" s="718" t="s">
        <v>986</v>
      </c>
      <c r="I276" s="888" t="s">
        <v>987</v>
      </c>
    </row>
    <row r="277" spans="1:14" s="386" customFormat="1" ht="13.5" thickTop="1" thickBot="1" x14ac:dyDescent="0.25">
      <c r="A277" s="1318">
        <v>1</v>
      </c>
      <c r="B277" s="1319">
        <v>2</v>
      </c>
      <c r="C277" s="1319">
        <v>3</v>
      </c>
      <c r="D277" s="1319">
        <v>4</v>
      </c>
      <c r="E277" s="593">
        <v>5</v>
      </c>
      <c r="F277" s="1320">
        <v>6</v>
      </c>
      <c r="G277" s="1320">
        <v>7</v>
      </c>
      <c r="H277" s="1321">
        <v>8</v>
      </c>
      <c r="I277" s="1322" t="s">
        <v>848</v>
      </c>
    </row>
    <row r="278" spans="1:14" s="558" customFormat="1" ht="16.5" thickTop="1" thickBot="1" x14ac:dyDescent="0.3">
      <c r="A278" s="1330">
        <v>60001100235</v>
      </c>
      <c r="B278" s="1041">
        <v>3122</v>
      </c>
      <c r="C278" s="1331">
        <v>5171</v>
      </c>
      <c r="D278" s="1042">
        <v>10</v>
      </c>
      <c r="E278" s="1325" t="s">
        <v>1001</v>
      </c>
      <c r="F278" s="960"/>
      <c r="G278" s="1333">
        <v>4928</v>
      </c>
      <c r="H278" s="960">
        <v>4928</v>
      </c>
      <c r="I278" s="1334">
        <f>(H278/G278)*100</f>
        <v>100</v>
      </c>
    </row>
    <row r="279" spans="1:14" s="558" customFormat="1" ht="18" customHeight="1" thickTop="1" thickBot="1" x14ac:dyDescent="0.3">
      <c r="A279" s="2739" t="s">
        <v>268</v>
      </c>
      <c r="B279" s="2740"/>
      <c r="C279" s="2740"/>
      <c r="D279" s="2740"/>
      <c r="E279" s="2740"/>
      <c r="F279" s="943">
        <f>F278</f>
        <v>0</v>
      </c>
      <c r="G279" s="943">
        <f>G278</f>
        <v>4928</v>
      </c>
      <c r="H279" s="943">
        <f>H278</f>
        <v>4928</v>
      </c>
      <c r="I279" s="926">
        <f>(H279/G279)*100</f>
        <v>100</v>
      </c>
    </row>
    <row r="280" spans="1:14" ht="13.5" thickTop="1" x14ac:dyDescent="0.2">
      <c r="K280" s="984"/>
      <c r="L280" s="984"/>
      <c r="M280" s="984"/>
      <c r="N280" s="439"/>
    </row>
    <row r="281" spans="1:14" x14ac:dyDescent="0.2">
      <c r="K281" s="984"/>
      <c r="L281" s="984"/>
      <c r="M281" s="984"/>
      <c r="N281" s="439"/>
    </row>
    <row r="282" spans="1:14" s="558" customFormat="1" ht="13.5" thickBot="1" x14ac:dyDescent="0.25">
      <c r="A282" s="439" t="s">
        <v>913</v>
      </c>
      <c r="B282" s="669"/>
      <c r="D282" s="884"/>
      <c r="F282" s="517"/>
      <c r="G282" s="517"/>
      <c r="H282" s="517"/>
      <c r="I282" s="1023" t="s">
        <v>179</v>
      </c>
    </row>
    <row r="283" spans="1:14" s="107" customFormat="1" ht="20.25" customHeight="1" thickTop="1" thickBot="1" x14ac:dyDescent="0.25">
      <c r="A283" s="714" t="s">
        <v>692</v>
      </c>
      <c r="B283" s="717" t="s">
        <v>180</v>
      </c>
      <c r="C283" s="715" t="s">
        <v>181</v>
      </c>
      <c r="D283" s="660" t="s">
        <v>783</v>
      </c>
      <c r="E283" s="718" t="s">
        <v>182</v>
      </c>
      <c r="F283" s="718" t="s">
        <v>183</v>
      </c>
      <c r="G283" s="718" t="s">
        <v>985</v>
      </c>
      <c r="H283" s="718" t="s">
        <v>986</v>
      </c>
      <c r="I283" s="888" t="s">
        <v>987</v>
      </c>
    </row>
    <row r="284" spans="1:14" s="386" customFormat="1" ht="13.5" thickTop="1" thickBot="1" x14ac:dyDescent="0.25">
      <c r="A284" s="1318">
        <v>1</v>
      </c>
      <c r="B284" s="1319">
        <v>2</v>
      </c>
      <c r="C284" s="1319">
        <v>3</v>
      </c>
      <c r="D284" s="1319">
        <v>4</v>
      </c>
      <c r="E284" s="593">
        <v>5</v>
      </c>
      <c r="F284" s="1320">
        <v>6</v>
      </c>
      <c r="G284" s="1320">
        <v>7</v>
      </c>
      <c r="H284" s="1321">
        <v>8</v>
      </c>
      <c r="I284" s="1322" t="s">
        <v>848</v>
      </c>
    </row>
    <row r="285" spans="1:14" s="558" customFormat="1" ht="16.5" thickTop="1" thickBot="1" x14ac:dyDescent="0.3">
      <c r="A285" s="1330">
        <v>60001100236</v>
      </c>
      <c r="B285" s="1041">
        <v>3114</v>
      </c>
      <c r="C285" s="1331">
        <v>5171</v>
      </c>
      <c r="D285" s="1042">
        <v>10</v>
      </c>
      <c r="E285" s="1325" t="s">
        <v>1001</v>
      </c>
      <c r="F285" s="960"/>
      <c r="G285" s="1333">
        <v>792</v>
      </c>
      <c r="H285" s="960">
        <v>619</v>
      </c>
      <c r="I285" s="1334">
        <f>(H285/G285)*100</f>
        <v>78.156565656565661</v>
      </c>
    </row>
    <row r="286" spans="1:14" s="558" customFormat="1" ht="18" customHeight="1" thickTop="1" thickBot="1" x14ac:dyDescent="0.3">
      <c r="A286" s="2739" t="s">
        <v>268</v>
      </c>
      <c r="B286" s="2740"/>
      <c r="C286" s="2740"/>
      <c r="D286" s="2740"/>
      <c r="E286" s="2740"/>
      <c r="F286" s="943">
        <f>F285</f>
        <v>0</v>
      </c>
      <c r="G286" s="943">
        <f>G285</f>
        <v>792</v>
      </c>
      <c r="H286" s="943">
        <f>H285</f>
        <v>619</v>
      </c>
      <c r="I286" s="926">
        <f>(H286/G286)*100</f>
        <v>78.156565656565661</v>
      </c>
    </row>
    <row r="287" spans="1:14" ht="13.5" thickTop="1" x14ac:dyDescent="0.2">
      <c r="K287" s="984"/>
      <c r="L287" s="984"/>
      <c r="M287" s="984"/>
      <c r="N287" s="439"/>
    </row>
    <row r="288" spans="1:14" x14ac:dyDescent="0.2">
      <c r="K288" s="984"/>
      <c r="L288" s="984"/>
      <c r="M288" s="984"/>
      <c r="N288" s="439"/>
    </row>
    <row r="289" spans="1:14" x14ac:dyDescent="0.2">
      <c r="K289" s="984"/>
      <c r="L289" s="984"/>
      <c r="M289" s="984"/>
      <c r="N289" s="439"/>
    </row>
    <row r="290" spans="1:14" ht="13.5" thickBot="1" x14ac:dyDescent="0.25">
      <c r="A290" s="1382" t="s">
        <v>914</v>
      </c>
      <c r="B290" s="1383"/>
      <c r="C290" s="1383"/>
      <c r="D290" s="1383"/>
      <c r="E290" s="1383"/>
      <c r="F290" s="1383"/>
      <c r="G290" s="1383"/>
      <c r="H290" s="1383"/>
      <c r="I290" s="1028" t="s">
        <v>179</v>
      </c>
    </row>
    <row r="291" spans="1:14" s="107" customFormat="1" ht="20.25" customHeight="1" thickTop="1" thickBot="1" x14ac:dyDescent="0.25">
      <c r="A291" s="714" t="s">
        <v>692</v>
      </c>
      <c r="B291" s="717" t="s">
        <v>180</v>
      </c>
      <c r="C291" s="715" t="s">
        <v>181</v>
      </c>
      <c r="D291" s="660" t="s">
        <v>783</v>
      </c>
      <c r="E291" s="718" t="s">
        <v>182</v>
      </c>
      <c r="F291" s="718" t="s">
        <v>183</v>
      </c>
      <c r="G291" s="718" t="s">
        <v>985</v>
      </c>
      <c r="H291" s="718" t="s">
        <v>986</v>
      </c>
      <c r="I291" s="888" t="s">
        <v>987</v>
      </c>
    </row>
    <row r="292" spans="1:14" s="386" customFormat="1" ht="13.5" thickTop="1" thickBot="1" x14ac:dyDescent="0.25">
      <c r="A292" s="1318">
        <v>1</v>
      </c>
      <c r="B292" s="1319">
        <v>2</v>
      </c>
      <c r="C292" s="1319">
        <v>3</v>
      </c>
      <c r="D292" s="1319">
        <v>4</v>
      </c>
      <c r="E292" s="593">
        <v>5</v>
      </c>
      <c r="F292" s="1320">
        <v>6</v>
      </c>
      <c r="G292" s="1320">
        <v>7</v>
      </c>
      <c r="H292" s="1321">
        <v>8</v>
      </c>
      <c r="I292" s="1322" t="s">
        <v>848</v>
      </c>
    </row>
    <row r="293" spans="1:14" s="558" customFormat="1" ht="16.5" thickTop="1" thickBot="1" x14ac:dyDescent="0.3">
      <c r="A293" s="1330">
        <v>60001100237</v>
      </c>
      <c r="B293" s="1041">
        <v>3122</v>
      </c>
      <c r="C293" s="1331">
        <v>6121</v>
      </c>
      <c r="D293" s="1042">
        <v>10</v>
      </c>
      <c r="E293" s="1332" t="s">
        <v>671</v>
      </c>
      <c r="F293" s="960"/>
      <c r="G293" s="1333">
        <v>1201</v>
      </c>
      <c r="H293" s="960">
        <v>1200</v>
      </c>
      <c r="I293" s="1334">
        <f>(H293/G293)*100</f>
        <v>99.916736053288929</v>
      </c>
    </row>
    <row r="294" spans="1:14" s="558" customFormat="1" ht="18" customHeight="1" thickTop="1" thickBot="1" x14ac:dyDescent="0.3">
      <c r="A294" s="2751" t="s">
        <v>267</v>
      </c>
      <c r="B294" s="2750"/>
      <c r="C294" s="2750"/>
      <c r="D294" s="2750"/>
      <c r="E294" s="2750"/>
      <c r="F294" s="943">
        <f>F293</f>
        <v>0</v>
      </c>
      <c r="G294" s="943">
        <f>G293</f>
        <v>1201</v>
      </c>
      <c r="H294" s="943">
        <f>H293</f>
        <v>1200</v>
      </c>
      <c r="I294" s="926">
        <f>(H294/G294)*100</f>
        <v>99.916736053288929</v>
      </c>
    </row>
    <row r="295" spans="1:14" ht="13.5" thickTop="1" x14ac:dyDescent="0.2">
      <c r="K295" s="984"/>
      <c r="L295" s="984"/>
      <c r="M295" s="984"/>
      <c r="N295" s="439"/>
    </row>
    <row r="296" spans="1:14" x14ac:dyDescent="0.2">
      <c r="K296" s="984"/>
      <c r="L296" s="984"/>
      <c r="M296" s="984"/>
      <c r="N296" s="439"/>
    </row>
    <row r="297" spans="1:14" s="558" customFormat="1" ht="13.5" thickBot="1" x14ac:dyDescent="0.25">
      <c r="A297" s="439" t="s">
        <v>915</v>
      </c>
      <c r="B297" s="669"/>
      <c r="D297" s="884"/>
      <c r="F297" s="517"/>
      <c r="G297" s="517"/>
      <c r="H297" s="517"/>
      <c r="I297" s="1023" t="s">
        <v>179</v>
      </c>
    </row>
    <row r="298" spans="1:14" s="107" customFormat="1" ht="20.25" customHeight="1" thickTop="1" thickBot="1" x14ac:dyDescent="0.25">
      <c r="A298" s="714" t="s">
        <v>692</v>
      </c>
      <c r="B298" s="717" t="s">
        <v>180</v>
      </c>
      <c r="C298" s="715" t="s">
        <v>181</v>
      </c>
      <c r="D298" s="660" t="s">
        <v>783</v>
      </c>
      <c r="E298" s="718" t="s">
        <v>182</v>
      </c>
      <c r="F298" s="718" t="s">
        <v>183</v>
      </c>
      <c r="G298" s="718" t="s">
        <v>985</v>
      </c>
      <c r="H298" s="718" t="s">
        <v>986</v>
      </c>
      <c r="I298" s="888" t="s">
        <v>987</v>
      </c>
    </row>
    <row r="299" spans="1:14" s="386" customFormat="1" ht="13.5" thickTop="1" thickBot="1" x14ac:dyDescent="0.25">
      <c r="A299" s="1318">
        <v>1</v>
      </c>
      <c r="B299" s="1319">
        <v>2</v>
      </c>
      <c r="C299" s="1319">
        <v>3</v>
      </c>
      <c r="D299" s="1319">
        <v>4</v>
      </c>
      <c r="E299" s="593">
        <v>5</v>
      </c>
      <c r="F299" s="1320">
        <v>6</v>
      </c>
      <c r="G299" s="1320">
        <v>7</v>
      </c>
      <c r="H299" s="1321">
        <v>8</v>
      </c>
      <c r="I299" s="1322" t="s">
        <v>848</v>
      </c>
    </row>
    <row r="300" spans="1:14" s="558" customFormat="1" ht="16.5" thickTop="1" thickBot="1" x14ac:dyDescent="0.3">
      <c r="A300" s="1330">
        <v>60001100238</v>
      </c>
      <c r="B300" s="1041">
        <v>3122</v>
      </c>
      <c r="C300" s="1331">
        <v>5171</v>
      </c>
      <c r="D300" s="1042">
        <v>10</v>
      </c>
      <c r="E300" s="1325" t="s">
        <v>1001</v>
      </c>
      <c r="F300" s="960"/>
      <c r="G300" s="1333">
        <v>665</v>
      </c>
      <c r="H300" s="960">
        <v>665</v>
      </c>
      <c r="I300" s="1334">
        <f>(H300/G300)*100</f>
        <v>100</v>
      </c>
    </row>
    <row r="301" spans="1:14" s="558" customFormat="1" ht="18" customHeight="1" thickTop="1" thickBot="1" x14ac:dyDescent="0.3">
      <c r="A301" s="2739" t="s">
        <v>268</v>
      </c>
      <c r="B301" s="2740"/>
      <c r="C301" s="2740"/>
      <c r="D301" s="2740"/>
      <c r="E301" s="2740"/>
      <c r="F301" s="943">
        <f>F300</f>
        <v>0</v>
      </c>
      <c r="G301" s="943">
        <f>G300</f>
        <v>665</v>
      </c>
      <c r="H301" s="943">
        <f>H300</f>
        <v>665</v>
      </c>
      <c r="I301" s="926">
        <f>(H301/G301)*100</f>
        <v>100</v>
      </c>
    </row>
    <row r="302" spans="1:14" ht="13.5" thickTop="1" x14ac:dyDescent="0.2">
      <c r="K302" s="984"/>
      <c r="L302" s="984"/>
      <c r="M302" s="984"/>
      <c r="N302" s="439"/>
    </row>
    <row r="303" spans="1:14" x14ac:dyDescent="0.2">
      <c r="K303" s="984"/>
      <c r="L303" s="984"/>
      <c r="M303" s="984"/>
      <c r="N303" s="439"/>
    </row>
    <row r="304" spans="1:14" s="558" customFormat="1" ht="13.5" thickBot="1" x14ac:dyDescent="0.25">
      <c r="A304" s="439" t="s">
        <v>916</v>
      </c>
      <c r="B304" s="669"/>
      <c r="D304" s="884"/>
      <c r="F304" s="517"/>
      <c r="G304" s="517"/>
      <c r="H304" s="517"/>
      <c r="I304" s="1023" t="s">
        <v>179</v>
      </c>
    </row>
    <row r="305" spans="1:14" s="107" customFormat="1" ht="20.25" customHeight="1" thickTop="1" thickBot="1" x14ac:dyDescent="0.25">
      <c r="A305" s="714" t="s">
        <v>692</v>
      </c>
      <c r="B305" s="717" t="s">
        <v>180</v>
      </c>
      <c r="C305" s="715" t="s">
        <v>181</v>
      </c>
      <c r="D305" s="660" t="s">
        <v>783</v>
      </c>
      <c r="E305" s="718" t="s">
        <v>182</v>
      </c>
      <c r="F305" s="718" t="s">
        <v>183</v>
      </c>
      <c r="G305" s="718" t="s">
        <v>985</v>
      </c>
      <c r="H305" s="718" t="s">
        <v>986</v>
      </c>
      <c r="I305" s="888" t="s">
        <v>987</v>
      </c>
    </row>
    <row r="306" spans="1:14" s="386" customFormat="1" ht="13.5" thickTop="1" thickBot="1" x14ac:dyDescent="0.25">
      <c r="A306" s="1318">
        <v>1</v>
      </c>
      <c r="B306" s="1319">
        <v>2</v>
      </c>
      <c r="C306" s="1319">
        <v>3</v>
      </c>
      <c r="D306" s="1319">
        <v>4</v>
      </c>
      <c r="E306" s="593">
        <v>5</v>
      </c>
      <c r="F306" s="1320">
        <v>6</v>
      </c>
      <c r="G306" s="1320">
        <v>7</v>
      </c>
      <c r="H306" s="1321">
        <v>8</v>
      </c>
      <c r="I306" s="1322" t="s">
        <v>848</v>
      </c>
    </row>
    <row r="307" spans="1:14" s="558" customFormat="1" ht="16.5" thickTop="1" thickBot="1" x14ac:dyDescent="0.3">
      <c r="A307" s="1330">
        <v>60001100239</v>
      </c>
      <c r="B307" s="1041">
        <v>3122</v>
      </c>
      <c r="C307" s="1331">
        <v>5171</v>
      </c>
      <c r="D307" s="1042">
        <v>10</v>
      </c>
      <c r="E307" s="1325" t="s">
        <v>1001</v>
      </c>
      <c r="F307" s="960"/>
      <c r="G307" s="1333">
        <v>590</v>
      </c>
      <c r="H307" s="960">
        <v>590</v>
      </c>
      <c r="I307" s="1334">
        <f>(H307/G307)*100</f>
        <v>100</v>
      </c>
    </row>
    <row r="308" spans="1:14" s="558" customFormat="1" ht="18" customHeight="1" thickTop="1" thickBot="1" x14ac:dyDescent="0.3">
      <c r="A308" s="2739" t="s">
        <v>268</v>
      </c>
      <c r="B308" s="2740"/>
      <c r="C308" s="2740"/>
      <c r="D308" s="2740"/>
      <c r="E308" s="2740"/>
      <c r="F308" s="943">
        <f>F307</f>
        <v>0</v>
      </c>
      <c r="G308" s="943">
        <f>G307</f>
        <v>590</v>
      </c>
      <c r="H308" s="943">
        <f>H307</f>
        <v>590</v>
      </c>
      <c r="I308" s="926">
        <f>(H308/G308)*100</f>
        <v>100</v>
      </c>
    </row>
    <row r="309" spans="1:14" ht="13.5" thickTop="1" x14ac:dyDescent="0.2">
      <c r="K309" s="984"/>
      <c r="L309" s="984"/>
      <c r="M309" s="984"/>
      <c r="N309" s="439"/>
    </row>
    <row r="310" spans="1:14" x14ac:dyDescent="0.2">
      <c r="K310" s="984"/>
      <c r="L310" s="984"/>
      <c r="M310" s="984"/>
      <c r="N310" s="439"/>
    </row>
    <row r="311" spans="1:14" s="558" customFormat="1" ht="13.5" thickBot="1" x14ac:dyDescent="0.25">
      <c r="A311" s="439" t="s">
        <v>79</v>
      </c>
      <c r="B311" s="669"/>
      <c r="D311" s="884"/>
      <c r="F311" s="517"/>
      <c r="G311" s="517"/>
      <c r="H311" s="517"/>
      <c r="I311" s="1023" t="s">
        <v>179</v>
      </c>
    </row>
    <row r="312" spans="1:14" s="107" customFormat="1" ht="20.25" customHeight="1" thickTop="1" thickBot="1" x14ac:dyDescent="0.25">
      <c r="A312" s="714" t="s">
        <v>692</v>
      </c>
      <c r="B312" s="717" t="s">
        <v>180</v>
      </c>
      <c r="C312" s="715" t="s">
        <v>181</v>
      </c>
      <c r="D312" s="660" t="s">
        <v>783</v>
      </c>
      <c r="E312" s="718" t="s">
        <v>182</v>
      </c>
      <c r="F312" s="718" t="s">
        <v>183</v>
      </c>
      <c r="G312" s="718" t="s">
        <v>985</v>
      </c>
      <c r="H312" s="718" t="s">
        <v>986</v>
      </c>
      <c r="I312" s="888" t="s">
        <v>987</v>
      </c>
    </row>
    <row r="313" spans="1:14" s="386" customFormat="1" ht="13.5" thickTop="1" thickBot="1" x14ac:dyDescent="0.25">
      <c r="A313" s="1318">
        <v>1</v>
      </c>
      <c r="B313" s="1319">
        <v>2</v>
      </c>
      <c r="C313" s="1319">
        <v>3</v>
      </c>
      <c r="D313" s="1319">
        <v>4</v>
      </c>
      <c r="E313" s="593">
        <v>5</v>
      </c>
      <c r="F313" s="1320">
        <v>6</v>
      </c>
      <c r="G313" s="1320">
        <v>7</v>
      </c>
      <c r="H313" s="1321">
        <v>8</v>
      </c>
      <c r="I313" s="1322" t="s">
        <v>848</v>
      </c>
    </row>
    <row r="314" spans="1:14" s="558" customFormat="1" ht="16.5" thickTop="1" thickBot="1" x14ac:dyDescent="0.3">
      <c r="A314" s="1330">
        <v>60001100240</v>
      </c>
      <c r="B314" s="1041">
        <v>3122</v>
      </c>
      <c r="C314" s="1331">
        <v>5171</v>
      </c>
      <c r="D314" s="1042">
        <v>10</v>
      </c>
      <c r="E314" s="1325" t="s">
        <v>1001</v>
      </c>
      <c r="F314" s="960"/>
      <c r="G314" s="1333">
        <v>1252</v>
      </c>
      <c r="H314" s="960">
        <v>1252</v>
      </c>
      <c r="I314" s="1334">
        <f>(H314/G314)*100</f>
        <v>100</v>
      </c>
    </row>
    <row r="315" spans="1:14" s="558" customFormat="1" ht="18" customHeight="1" thickTop="1" thickBot="1" x14ac:dyDescent="0.3">
      <c r="A315" s="2739" t="s">
        <v>268</v>
      </c>
      <c r="B315" s="2740"/>
      <c r="C315" s="2740"/>
      <c r="D315" s="2740"/>
      <c r="E315" s="2740"/>
      <c r="F315" s="943">
        <f>F314</f>
        <v>0</v>
      </c>
      <c r="G315" s="943">
        <f>G314</f>
        <v>1252</v>
      </c>
      <c r="H315" s="943">
        <f>H314</f>
        <v>1252</v>
      </c>
      <c r="I315" s="926">
        <f>(H315/G315)*100</f>
        <v>100</v>
      </c>
    </row>
    <row r="316" spans="1:14" ht="13.5" thickTop="1" x14ac:dyDescent="0.2">
      <c r="K316" s="984"/>
      <c r="L316" s="984"/>
      <c r="M316" s="984"/>
      <c r="N316" s="439"/>
    </row>
    <row r="317" spans="1:14" x14ac:dyDescent="0.2">
      <c r="K317" s="984"/>
      <c r="L317" s="984"/>
      <c r="M317" s="984"/>
      <c r="N317" s="439"/>
    </row>
    <row r="318" spans="1:14" s="558" customFormat="1" ht="13.5" thickBot="1" x14ac:dyDescent="0.25">
      <c r="A318" s="439" t="s">
        <v>80</v>
      </c>
      <c r="B318" s="669"/>
      <c r="D318" s="884"/>
      <c r="F318" s="517"/>
      <c r="G318" s="517"/>
      <c r="H318" s="517"/>
      <c r="I318" s="1023" t="s">
        <v>179</v>
      </c>
    </row>
    <row r="319" spans="1:14" s="107" customFormat="1" ht="20.25" customHeight="1" thickTop="1" thickBot="1" x14ac:dyDescent="0.25">
      <c r="A319" s="714" t="s">
        <v>692</v>
      </c>
      <c r="B319" s="717" t="s">
        <v>180</v>
      </c>
      <c r="C319" s="715" t="s">
        <v>181</v>
      </c>
      <c r="D319" s="660" t="s">
        <v>783</v>
      </c>
      <c r="E319" s="718" t="s">
        <v>182</v>
      </c>
      <c r="F319" s="718" t="s">
        <v>183</v>
      </c>
      <c r="G319" s="718" t="s">
        <v>985</v>
      </c>
      <c r="H319" s="718" t="s">
        <v>986</v>
      </c>
      <c r="I319" s="888" t="s">
        <v>987</v>
      </c>
    </row>
    <row r="320" spans="1:14" s="386" customFormat="1" ht="13.5" thickTop="1" thickBot="1" x14ac:dyDescent="0.25">
      <c r="A320" s="1318">
        <v>1</v>
      </c>
      <c r="B320" s="1319">
        <v>2</v>
      </c>
      <c r="C320" s="1319">
        <v>3</v>
      </c>
      <c r="D320" s="1319">
        <v>4</v>
      </c>
      <c r="E320" s="593">
        <v>5</v>
      </c>
      <c r="F320" s="1320">
        <v>6</v>
      </c>
      <c r="G320" s="1320">
        <v>7</v>
      </c>
      <c r="H320" s="1321">
        <v>8</v>
      </c>
      <c r="I320" s="1322" t="s">
        <v>848</v>
      </c>
    </row>
    <row r="321" spans="1:14" s="558" customFormat="1" ht="16.5" thickTop="1" thickBot="1" x14ac:dyDescent="0.3">
      <c r="A321" s="1330">
        <v>60001100241</v>
      </c>
      <c r="B321" s="1041">
        <v>3122</v>
      </c>
      <c r="C321" s="1331">
        <v>5171</v>
      </c>
      <c r="D321" s="1042">
        <v>10</v>
      </c>
      <c r="E321" s="1325" t="s">
        <v>1001</v>
      </c>
      <c r="F321" s="960"/>
      <c r="G321" s="1333">
        <v>654</v>
      </c>
      <c r="H321" s="960">
        <v>654</v>
      </c>
      <c r="I321" s="1334">
        <f>(H321/G321)*100</f>
        <v>100</v>
      </c>
    </row>
    <row r="322" spans="1:14" s="558" customFormat="1" ht="18" customHeight="1" thickTop="1" thickBot="1" x14ac:dyDescent="0.3">
      <c r="A322" s="2739" t="s">
        <v>268</v>
      </c>
      <c r="B322" s="2740"/>
      <c r="C322" s="2740"/>
      <c r="D322" s="2740"/>
      <c r="E322" s="2740"/>
      <c r="F322" s="943">
        <f>F321</f>
        <v>0</v>
      </c>
      <c r="G322" s="943">
        <f>G321</f>
        <v>654</v>
      </c>
      <c r="H322" s="943">
        <f>H321</f>
        <v>654</v>
      </c>
      <c r="I322" s="926">
        <f>(H322/G322)*100</f>
        <v>100</v>
      </c>
    </row>
    <row r="323" spans="1:14" ht="13.5" thickTop="1" x14ac:dyDescent="0.2">
      <c r="K323" s="984"/>
      <c r="L323" s="984"/>
      <c r="M323" s="984"/>
      <c r="N323" s="439"/>
    </row>
    <row r="324" spans="1:14" x14ac:dyDescent="0.2">
      <c r="K324" s="984"/>
      <c r="L324" s="984"/>
      <c r="M324" s="984"/>
      <c r="N324" s="439"/>
    </row>
    <row r="325" spans="1:14" s="558" customFormat="1" ht="13.5" thickBot="1" x14ac:dyDescent="0.25">
      <c r="A325" s="439" t="s">
        <v>81</v>
      </c>
      <c r="B325" s="669"/>
      <c r="D325" s="884"/>
      <c r="F325" s="517"/>
      <c r="G325" s="517"/>
      <c r="H325" s="517"/>
      <c r="I325" s="1023" t="s">
        <v>179</v>
      </c>
    </row>
    <row r="326" spans="1:14" s="107" customFormat="1" ht="20.25" customHeight="1" thickTop="1" thickBot="1" x14ac:dyDescent="0.25">
      <c r="A326" s="714" t="s">
        <v>692</v>
      </c>
      <c r="B326" s="717" t="s">
        <v>180</v>
      </c>
      <c r="C326" s="715" t="s">
        <v>181</v>
      </c>
      <c r="D326" s="660" t="s">
        <v>783</v>
      </c>
      <c r="E326" s="718" t="s">
        <v>182</v>
      </c>
      <c r="F326" s="718" t="s">
        <v>183</v>
      </c>
      <c r="G326" s="718" t="s">
        <v>985</v>
      </c>
      <c r="H326" s="718" t="s">
        <v>986</v>
      </c>
      <c r="I326" s="888" t="s">
        <v>987</v>
      </c>
    </row>
    <row r="327" spans="1:14" s="386" customFormat="1" ht="13.5" thickTop="1" thickBot="1" x14ac:dyDescent="0.25">
      <c r="A327" s="1318">
        <v>1</v>
      </c>
      <c r="B327" s="1319">
        <v>2</v>
      </c>
      <c r="C327" s="1319">
        <v>3</v>
      </c>
      <c r="D327" s="1319">
        <v>4</v>
      </c>
      <c r="E327" s="593">
        <v>5</v>
      </c>
      <c r="F327" s="1320">
        <v>6</v>
      </c>
      <c r="G327" s="1320">
        <v>7</v>
      </c>
      <c r="H327" s="1321">
        <v>8</v>
      </c>
      <c r="I327" s="1322" t="s">
        <v>848</v>
      </c>
    </row>
    <row r="328" spans="1:14" s="558" customFormat="1" ht="16.5" thickTop="1" thickBot="1" x14ac:dyDescent="0.3">
      <c r="A328" s="1330">
        <v>60001100242</v>
      </c>
      <c r="B328" s="1041">
        <v>3122</v>
      </c>
      <c r="C328" s="1331">
        <v>5171</v>
      </c>
      <c r="D328" s="1042">
        <v>10</v>
      </c>
      <c r="E328" s="1325" t="s">
        <v>1001</v>
      </c>
      <c r="F328" s="960"/>
      <c r="G328" s="1333">
        <v>1309</v>
      </c>
      <c r="H328" s="960">
        <v>1308</v>
      </c>
      <c r="I328" s="1334">
        <f>(H328/G328)*100</f>
        <v>99.923605805958744</v>
      </c>
    </row>
    <row r="329" spans="1:14" s="558" customFormat="1" ht="18" customHeight="1" thickTop="1" thickBot="1" x14ac:dyDescent="0.3">
      <c r="A329" s="2739" t="s">
        <v>268</v>
      </c>
      <c r="B329" s="2740"/>
      <c r="C329" s="2740"/>
      <c r="D329" s="2740"/>
      <c r="E329" s="2740"/>
      <c r="F329" s="943">
        <f>F328</f>
        <v>0</v>
      </c>
      <c r="G329" s="943">
        <f>G328</f>
        <v>1309</v>
      </c>
      <c r="H329" s="943">
        <f>H328</f>
        <v>1308</v>
      </c>
      <c r="I329" s="926">
        <f>(H329/G329)*100</f>
        <v>99.923605805958744</v>
      </c>
    </row>
    <row r="330" spans="1:14" ht="13.5" thickTop="1" x14ac:dyDescent="0.2">
      <c r="K330" s="984"/>
      <c r="L330" s="984"/>
      <c r="M330" s="984"/>
      <c r="N330" s="439"/>
    </row>
    <row r="331" spans="1:14" x14ac:dyDescent="0.2">
      <c r="K331" s="984"/>
      <c r="L331" s="984"/>
      <c r="M331" s="984"/>
      <c r="N331" s="439"/>
    </row>
    <row r="332" spans="1:14" x14ac:dyDescent="0.2">
      <c r="K332" s="984"/>
      <c r="L332" s="984"/>
      <c r="M332" s="984"/>
      <c r="N332" s="439"/>
    </row>
    <row r="333" spans="1:14" x14ac:dyDescent="0.2">
      <c r="K333" s="984"/>
      <c r="L333" s="984"/>
      <c r="M333" s="984"/>
      <c r="N333" s="439"/>
    </row>
    <row r="334" spans="1:14" x14ac:dyDescent="0.2">
      <c r="K334" s="984"/>
      <c r="L334" s="984"/>
      <c r="M334" s="984"/>
      <c r="N334" s="439"/>
    </row>
    <row r="335" spans="1:14" s="558" customFormat="1" ht="13.5" thickBot="1" x14ac:dyDescent="0.25">
      <c r="A335" s="439" t="s">
        <v>1183</v>
      </c>
      <c r="B335" s="669"/>
      <c r="D335" s="884"/>
      <c r="F335" s="517"/>
      <c r="G335" s="517"/>
      <c r="H335" s="517"/>
      <c r="I335" s="1023" t="s">
        <v>179</v>
      </c>
    </row>
    <row r="336" spans="1:14" s="107" customFormat="1" ht="20.25" customHeight="1" thickTop="1" thickBot="1" x14ac:dyDescent="0.25">
      <c r="A336" s="714" t="s">
        <v>692</v>
      </c>
      <c r="B336" s="717" t="s">
        <v>180</v>
      </c>
      <c r="C336" s="715" t="s">
        <v>181</v>
      </c>
      <c r="D336" s="660" t="s">
        <v>783</v>
      </c>
      <c r="E336" s="718" t="s">
        <v>182</v>
      </c>
      <c r="F336" s="718" t="s">
        <v>183</v>
      </c>
      <c r="G336" s="718" t="s">
        <v>985</v>
      </c>
      <c r="H336" s="718" t="s">
        <v>986</v>
      </c>
      <c r="I336" s="888" t="s">
        <v>987</v>
      </c>
    </row>
    <row r="337" spans="1:14" s="386" customFormat="1" ht="13.5" thickTop="1" thickBot="1" x14ac:dyDescent="0.25">
      <c r="A337" s="1318">
        <v>1</v>
      </c>
      <c r="B337" s="1319">
        <v>2</v>
      </c>
      <c r="C337" s="1319">
        <v>3</v>
      </c>
      <c r="D337" s="1319">
        <v>4</v>
      </c>
      <c r="E337" s="593">
        <v>5</v>
      </c>
      <c r="F337" s="1320">
        <v>6</v>
      </c>
      <c r="G337" s="1320">
        <v>7</v>
      </c>
      <c r="H337" s="1321">
        <v>8</v>
      </c>
      <c r="I337" s="1322" t="s">
        <v>848</v>
      </c>
    </row>
    <row r="338" spans="1:14" s="558" customFormat="1" ht="16.5" thickTop="1" thickBot="1" x14ac:dyDescent="0.3">
      <c r="A338" s="1330">
        <v>60001100243</v>
      </c>
      <c r="B338" s="1041">
        <v>3121</v>
      </c>
      <c r="C338" s="1331">
        <v>5171</v>
      </c>
      <c r="D338" s="1042">
        <v>10</v>
      </c>
      <c r="E338" s="1325" t="s">
        <v>1001</v>
      </c>
      <c r="F338" s="960"/>
      <c r="G338" s="1333">
        <v>93</v>
      </c>
      <c r="H338" s="960">
        <v>92</v>
      </c>
      <c r="I338" s="1334">
        <f>(H338/G338)*100</f>
        <v>98.924731182795696</v>
      </c>
    </row>
    <row r="339" spans="1:14" s="558" customFormat="1" ht="18" customHeight="1" thickTop="1" thickBot="1" x14ac:dyDescent="0.3">
      <c r="A339" s="2739" t="s">
        <v>268</v>
      </c>
      <c r="B339" s="2740"/>
      <c r="C339" s="2740"/>
      <c r="D339" s="2740"/>
      <c r="E339" s="2740"/>
      <c r="F339" s="943">
        <f>F338</f>
        <v>0</v>
      </c>
      <c r="G339" s="943">
        <f>G338</f>
        <v>93</v>
      </c>
      <c r="H339" s="943">
        <f>H338</f>
        <v>92</v>
      </c>
      <c r="I339" s="926">
        <f>(H339/G339)*100</f>
        <v>98.924731182795696</v>
      </c>
    </row>
    <row r="340" spans="1:14" ht="13.5" thickTop="1" x14ac:dyDescent="0.2">
      <c r="K340" s="984"/>
      <c r="L340" s="984"/>
      <c r="M340" s="984"/>
      <c r="N340" s="439"/>
    </row>
    <row r="341" spans="1:14" x14ac:dyDescent="0.2">
      <c r="K341" s="984"/>
      <c r="L341" s="984"/>
      <c r="M341" s="984"/>
      <c r="N341" s="439"/>
    </row>
    <row r="342" spans="1:14" s="558" customFormat="1" ht="13.5" thickBot="1" x14ac:dyDescent="0.25">
      <c r="A342" s="439" t="s">
        <v>1184</v>
      </c>
      <c r="B342" s="669"/>
      <c r="D342" s="884"/>
      <c r="F342" s="517"/>
      <c r="G342" s="517"/>
      <c r="H342" s="517"/>
      <c r="I342" s="1023" t="s">
        <v>179</v>
      </c>
    </row>
    <row r="343" spans="1:14" s="107" customFormat="1" ht="20.25" customHeight="1" thickTop="1" thickBot="1" x14ac:dyDescent="0.25">
      <c r="A343" s="714" t="s">
        <v>692</v>
      </c>
      <c r="B343" s="717" t="s">
        <v>180</v>
      </c>
      <c r="C343" s="715" t="s">
        <v>181</v>
      </c>
      <c r="D343" s="660" t="s">
        <v>783</v>
      </c>
      <c r="E343" s="718" t="s">
        <v>182</v>
      </c>
      <c r="F343" s="718" t="s">
        <v>183</v>
      </c>
      <c r="G343" s="718" t="s">
        <v>985</v>
      </c>
      <c r="H343" s="718" t="s">
        <v>986</v>
      </c>
      <c r="I343" s="888" t="s">
        <v>987</v>
      </c>
    </row>
    <row r="344" spans="1:14" s="386" customFormat="1" ht="13.5" thickTop="1" thickBot="1" x14ac:dyDescent="0.25">
      <c r="A344" s="1318">
        <v>1</v>
      </c>
      <c r="B344" s="1319">
        <v>2</v>
      </c>
      <c r="C344" s="1319">
        <v>3</v>
      </c>
      <c r="D344" s="1319">
        <v>4</v>
      </c>
      <c r="E344" s="593">
        <v>5</v>
      </c>
      <c r="F344" s="1320">
        <v>6</v>
      </c>
      <c r="G344" s="1320">
        <v>7</v>
      </c>
      <c r="H344" s="1321">
        <v>8</v>
      </c>
      <c r="I344" s="1322" t="s">
        <v>848</v>
      </c>
    </row>
    <row r="345" spans="1:14" s="558" customFormat="1" ht="16.5" thickTop="1" thickBot="1" x14ac:dyDescent="0.3">
      <c r="A345" s="1330">
        <v>60001100244</v>
      </c>
      <c r="B345" s="1041">
        <v>3114</v>
      </c>
      <c r="C345" s="1331">
        <v>5171</v>
      </c>
      <c r="D345" s="1042">
        <v>10</v>
      </c>
      <c r="E345" s="1325" t="s">
        <v>1001</v>
      </c>
      <c r="F345" s="960"/>
      <c r="G345" s="1333">
        <v>120</v>
      </c>
      <c r="H345" s="960">
        <v>107</v>
      </c>
      <c r="I345" s="1334">
        <f>(H345/G345)*100</f>
        <v>89.166666666666671</v>
      </c>
    </row>
    <row r="346" spans="1:14" s="558" customFormat="1" ht="18" customHeight="1" thickTop="1" thickBot="1" x14ac:dyDescent="0.3">
      <c r="A346" s="2739" t="s">
        <v>268</v>
      </c>
      <c r="B346" s="2740"/>
      <c r="C346" s="2740"/>
      <c r="D346" s="2740"/>
      <c r="E346" s="2740"/>
      <c r="F346" s="943">
        <f>F345</f>
        <v>0</v>
      </c>
      <c r="G346" s="943">
        <f>G345</f>
        <v>120</v>
      </c>
      <c r="H346" s="943">
        <f>H345</f>
        <v>107</v>
      </c>
      <c r="I346" s="926">
        <f>(H346/G346)*100</f>
        <v>89.166666666666671</v>
      </c>
    </row>
    <row r="347" spans="1:14" ht="13.5" thickTop="1" x14ac:dyDescent="0.2">
      <c r="K347" s="984"/>
      <c r="L347" s="984"/>
      <c r="M347" s="984"/>
      <c r="N347" s="439"/>
    </row>
    <row r="348" spans="1:14" x14ac:dyDescent="0.2">
      <c r="K348" s="984"/>
      <c r="L348" s="984"/>
      <c r="M348" s="984"/>
      <c r="N348" s="439"/>
    </row>
    <row r="349" spans="1:14" x14ac:dyDescent="0.2">
      <c r="A349" s="2797" t="s">
        <v>504</v>
      </c>
      <c r="B349" s="2798"/>
      <c r="C349" s="2798"/>
      <c r="D349" s="2798"/>
      <c r="E349" s="2798"/>
      <c r="F349" s="2798"/>
      <c r="G349" s="2798"/>
      <c r="H349" s="2798"/>
      <c r="I349" s="1023"/>
      <c r="J349" s="558"/>
      <c r="K349" s="984"/>
      <c r="L349" s="984"/>
      <c r="M349" s="984"/>
      <c r="N349" s="439"/>
    </row>
    <row r="350" spans="1:14" s="558" customFormat="1" ht="13.5" thickBot="1" x14ac:dyDescent="0.25">
      <c r="A350" s="2799"/>
      <c r="B350" s="2799"/>
      <c r="C350" s="2799"/>
      <c r="D350" s="2799"/>
      <c r="E350" s="2799"/>
      <c r="F350" s="2799"/>
      <c r="G350" s="2799"/>
      <c r="H350" s="2799"/>
      <c r="I350" s="1023" t="s">
        <v>179</v>
      </c>
    </row>
    <row r="351" spans="1:14" s="107" customFormat="1" ht="20.25" customHeight="1" thickTop="1" thickBot="1" x14ac:dyDescent="0.25">
      <c r="A351" s="714" t="s">
        <v>692</v>
      </c>
      <c r="B351" s="717" t="s">
        <v>180</v>
      </c>
      <c r="C351" s="715" t="s">
        <v>181</v>
      </c>
      <c r="D351" s="660" t="s">
        <v>783</v>
      </c>
      <c r="E351" s="718" t="s">
        <v>182</v>
      </c>
      <c r="F351" s="718" t="s">
        <v>183</v>
      </c>
      <c r="G351" s="718" t="s">
        <v>985</v>
      </c>
      <c r="H351" s="718" t="s">
        <v>986</v>
      </c>
      <c r="I351" s="888" t="s">
        <v>987</v>
      </c>
    </row>
    <row r="352" spans="1:14" s="386" customFormat="1" ht="13.5" thickTop="1" thickBot="1" x14ac:dyDescent="0.25">
      <c r="A352" s="1318">
        <v>1</v>
      </c>
      <c r="B352" s="1319">
        <v>2</v>
      </c>
      <c r="C352" s="1319">
        <v>3</v>
      </c>
      <c r="D352" s="1319">
        <v>4</v>
      </c>
      <c r="E352" s="593">
        <v>5</v>
      </c>
      <c r="F352" s="1320">
        <v>6</v>
      </c>
      <c r="G352" s="1320">
        <v>7</v>
      </c>
      <c r="H352" s="1321">
        <v>8</v>
      </c>
      <c r="I352" s="1322" t="s">
        <v>848</v>
      </c>
    </row>
    <row r="353" spans="1:14" s="558" customFormat="1" ht="16.5" thickTop="1" thickBot="1" x14ac:dyDescent="0.3">
      <c r="A353" s="1330">
        <v>60001100245</v>
      </c>
      <c r="B353" s="1041">
        <v>3122</v>
      </c>
      <c r="C353" s="1331">
        <v>5171</v>
      </c>
      <c r="D353" s="1042">
        <v>10</v>
      </c>
      <c r="E353" s="1325" t="s">
        <v>1001</v>
      </c>
      <c r="F353" s="960"/>
      <c r="G353" s="1333">
        <v>247</v>
      </c>
      <c r="H353" s="960">
        <v>246</v>
      </c>
      <c r="I353" s="1334">
        <f>(H353/G353)*100</f>
        <v>99.595141700404852</v>
      </c>
    </row>
    <row r="354" spans="1:14" s="558" customFormat="1" ht="18" customHeight="1" thickTop="1" thickBot="1" x14ac:dyDescent="0.3">
      <c r="A354" s="2739" t="s">
        <v>268</v>
      </c>
      <c r="B354" s="2740"/>
      <c r="C354" s="2740"/>
      <c r="D354" s="2740"/>
      <c r="E354" s="2740"/>
      <c r="F354" s="943">
        <f>F353</f>
        <v>0</v>
      </c>
      <c r="G354" s="943">
        <f>G353</f>
        <v>247</v>
      </c>
      <c r="H354" s="943">
        <f>H353</f>
        <v>246</v>
      </c>
      <c r="I354" s="926">
        <f>(H354/G354)*100</f>
        <v>99.595141700404852</v>
      </c>
    </row>
    <row r="355" spans="1:14" ht="13.5" thickTop="1" x14ac:dyDescent="0.2">
      <c r="K355" s="984"/>
      <c r="L355" s="984"/>
      <c r="M355" s="984"/>
      <c r="N355" s="439"/>
    </row>
    <row r="356" spans="1:14" x14ac:dyDescent="0.2">
      <c r="K356" s="984"/>
      <c r="L356" s="984"/>
      <c r="M356" s="984"/>
      <c r="N356" s="439"/>
    </row>
    <row r="357" spans="1:14" s="558" customFormat="1" ht="13.5" thickBot="1" x14ac:dyDescent="0.25">
      <c r="A357" s="439" t="s">
        <v>505</v>
      </c>
      <c r="B357" s="669"/>
      <c r="D357" s="884"/>
      <c r="F357" s="517"/>
      <c r="G357" s="517"/>
      <c r="H357" s="517"/>
      <c r="I357" s="1023" t="s">
        <v>179</v>
      </c>
    </row>
    <row r="358" spans="1:14" s="107" customFormat="1" ht="20.25" customHeight="1" thickTop="1" thickBot="1" x14ac:dyDescent="0.25">
      <c r="A358" s="714" t="s">
        <v>692</v>
      </c>
      <c r="B358" s="717" t="s">
        <v>180</v>
      </c>
      <c r="C358" s="715" t="s">
        <v>181</v>
      </c>
      <c r="D358" s="660" t="s">
        <v>783</v>
      </c>
      <c r="E358" s="718" t="s">
        <v>182</v>
      </c>
      <c r="F358" s="718" t="s">
        <v>183</v>
      </c>
      <c r="G358" s="718" t="s">
        <v>985</v>
      </c>
      <c r="H358" s="718" t="s">
        <v>986</v>
      </c>
      <c r="I358" s="888" t="s">
        <v>987</v>
      </c>
    </row>
    <row r="359" spans="1:14" s="386" customFormat="1" ht="13.5" thickTop="1" thickBot="1" x14ac:dyDescent="0.25">
      <c r="A359" s="1318">
        <v>1</v>
      </c>
      <c r="B359" s="1319">
        <v>2</v>
      </c>
      <c r="C359" s="1319">
        <v>3</v>
      </c>
      <c r="D359" s="1319">
        <v>4</v>
      </c>
      <c r="E359" s="593">
        <v>5</v>
      </c>
      <c r="F359" s="1320">
        <v>6</v>
      </c>
      <c r="G359" s="1320">
        <v>7</v>
      </c>
      <c r="H359" s="1321">
        <v>8</v>
      </c>
      <c r="I359" s="1322" t="s">
        <v>848</v>
      </c>
    </row>
    <row r="360" spans="1:14" s="558" customFormat="1" ht="16.5" thickTop="1" thickBot="1" x14ac:dyDescent="0.3">
      <c r="A360" s="1330">
        <v>60001100246</v>
      </c>
      <c r="B360" s="1041">
        <v>3122</v>
      </c>
      <c r="C360" s="1331">
        <v>5171</v>
      </c>
      <c r="D360" s="1042">
        <v>10</v>
      </c>
      <c r="E360" s="1325" t="s">
        <v>1001</v>
      </c>
      <c r="F360" s="960"/>
      <c r="G360" s="1333">
        <v>1484</v>
      </c>
      <c r="H360" s="960">
        <v>1476</v>
      </c>
      <c r="I360" s="1334">
        <f>(H360/G360)*100</f>
        <v>99.460916442048514</v>
      </c>
    </row>
    <row r="361" spans="1:14" s="558" customFormat="1" ht="18" customHeight="1" thickTop="1" thickBot="1" x14ac:dyDescent="0.3">
      <c r="A361" s="2739" t="s">
        <v>268</v>
      </c>
      <c r="B361" s="2740"/>
      <c r="C361" s="2740"/>
      <c r="D361" s="2740"/>
      <c r="E361" s="2740"/>
      <c r="F361" s="943">
        <f>F360</f>
        <v>0</v>
      </c>
      <c r="G361" s="943">
        <f>G360</f>
        <v>1484</v>
      </c>
      <c r="H361" s="943">
        <f>H360</f>
        <v>1476</v>
      </c>
      <c r="I361" s="926">
        <f>(H361/G361)*100</f>
        <v>99.460916442048514</v>
      </c>
    </row>
    <row r="362" spans="1:14" ht="13.5" thickTop="1" x14ac:dyDescent="0.2">
      <c r="K362" s="984"/>
      <c r="L362" s="984"/>
      <c r="M362" s="984"/>
      <c r="N362" s="439"/>
    </row>
    <row r="363" spans="1:14" x14ac:dyDescent="0.2">
      <c r="K363" s="984"/>
      <c r="L363" s="984"/>
      <c r="M363" s="984"/>
      <c r="N363" s="439"/>
    </row>
    <row r="364" spans="1:14" s="558" customFormat="1" ht="13.5" thickBot="1" x14ac:dyDescent="0.25">
      <c r="A364" s="439" t="s">
        <v>498</v>
      </c>
      <c r="B364" s="669"/>
      <c r="D364" s="884"/>
      <c r="F364" s="517"/>
      <c r="G364" s="517"/>
      <c r="H364" s="517"/>
      <c r="I364" s="1023" t="s">
        <v>179</v>
      </c>
    </row>
    <row r="365" spans="1:14" s="107" customFormat="1" ht="20.25" customHeight="1" thickTop="1" thickBot="1" x14ac:dyDescent="0.25">
      <c r="A365" s="714" t="s">
        <v>692</v>
      </c>
      <c r="B365" s="717" t="s">
        <v>180</v>
      </c>
      <c r="C365" s="715" t="s">
        <v>181</v>
      </c>
      <c r="D365" s="660" t="s">
        <v>783</v>
      </c>
      <c r="E365" s="718" t="s">
        <v>182</v>
      </c>
      <c r="F365" s="718" t="s">
        <v>183</v>
      </c>
      <c r="G365" s="718" t="s">
        <v>985</v>
      </c>
      <c r="H365" s="718" t="s">
        <v>986</v>
      </c>
      <c r="I365" s="888" t="s">
        <v>987</v>
      </c>
    </row>
    <row r="366" spans="1:14" s="386" customFormat="1" ht="13.5" thickTop="1" thickBot="1" x14ac:dyDescent="0.25">
      <c r="A366" s="592">
        <v>1</v>
      </c>
      <c r="B366" s="593">
        <v>2</v>
      </c>
      <c r="C366" s="593">
        <v>3</v>
      </c>
      <c r="D366" s="593">
        <v>4</v>
      </c>
      <c r="E366" s="593">
        <v>5</v>
      </c>
      <c r="F366" s="567">
        <v>6</v>
      </c>
      <c r="G366" s="567">
        <v>7</v>
      </c>
      <c r="H366" s="568">
        <v>8</v>
      </c>
      <c r="I366" s="662" t="s">
        <v>848</v>
      </c>
    </row>
    <row r="367" spans="1:14" s="386" customFormat="1" ht="15.75" thickTop="1" x14ac:dyDescent="0.25">
      <c r="A367" s="1376">
        <v>60001100247</v>
      </c>
      <c r="B367" s="1377">
        <v>3121</v>
      </c>
      <c r="C367" s="1377">
        <v>5169</v>
      </c>
      <c r="D367" s="1340">
        <v>10</v>
      </c>
      <c r="E367" s="1339" t="s">
        <v>955</v>
      </c>
      <c r="F367" s="1338"/>
      <c r="G367" s="1338">
        <v>18</v>
      </c>
      <c r="H367" s="1338">
        <v>0</v>
      </c>
      <c r="I367" s="906">
        <f>(H367/G367)*100</f>
        <v>0</v>
      </c>
    </row>
    <row r="368" spans="1:14" s="386" customFormat="1" ht="15.75" thickBot="1" x14ac:dyDescent="0.3">
      <c r="A368" s="1379">
        <v>60001100247</v>
      </c>
      <c r="B368" s="1380">
        <v>3121</v>
      </c>
      <c r="C368" s="1381">
        <v>5171</v>
      </c>
      <c r="D368" s="1038">
        <v>10</v>
      </c>
      <c r="E368" s="1335" t="s">
        <v>1001</v>
      </c>
      <c r="F368" s="1336"/>
      <c r="G368" s="1337">
        <v>1299</v>
      </c>
      <c r="H368" s="1336">
        <v>926</v>
      </c>
      <c r="I368" s="1046">
        <f>(H368/G368)*100</f>
        <v>71.28560431100847</v>
      </c>
    </row>
    <row r="369" spans="1:14" s="558" customFormat="1" ht="18" customHeight="1" thickTop="1" thickBot="1" x14ac:dyDescent="0.3">
      <c r="A369" s="2739" t="s">
        <v>268</v>
      </c>
      <c r="B369" s="2740"/>
      <c r="C369" s="2740"/>
      <c r="D369" s="2740"/>
      <c r="E369" s="2740"/>
      <c r="F369" s="894">
        <v>0</v>
      </c>
      <c r="G369" s="894">
        <f>G367+G368</f>
        <v>1317</v>
      </c>
      <c r="H369" s="894">
        <f>H367+H368</f>
        <v>926</v>
      </c>
      <c r="I369" s="895">
        <f>(H369/G369)*100</f>
        <v>70.311313591495832</v>
      </c>
    </row>
    <row r="370" spans="1:14" s="386" customFormat="1" ht="16.5" thickTop="1" thickBot="1" x14ac:dyDescent="0.3">
      <c r="A370" s="1384">
        <v>60001100247</v>
      </c>
      <c r="B370" s="1385">
        <v>3121</v>
      </c>
      <c r="C370" s="1386">
        <v>6121</v>
      </c>
      <c r="D370" s="1042">
        <v>10</v>
      </c>
      <c r="E370" s="1341" t="s">
        <v>671</v>
      </c>
      <c r="F370" s="1342"/>
      <c r="G370" s="1343">
        <v>328</v>
      </c>
      <c r="H370" s="1342">
        <v>328</v>
      </c>
      <c r="I370" s="906">
        <f>(H370/G370)*100</f>
        <v>100</v>
      </c>
    </row>
    <row r="371" spans="1:14" s="558" customFormat="1" ht="18" customHeight="1" thickTop="1" thickBot="1" x14ac:dyDescent="0.3">
      <c r="A371" s="2751" t="s">
        <v>267</v>
      </c>
      <c r="B371" s="2750"/>
      <c r="C371" s="2750"/>
      <c r="D371" s="2750"/>
      <c r="E371" s="2750"/>
      <c r="F371" s="943">
        <f>F370</f>
        <v>0</v>
      </c>
      <c r="G371" s="943">
        <f>G370</f>
        <v>328</v>
      </c>
      <c r="H371" s="943">
        <f>H370</f>
        <v>328</v>
      </c>
      <c r="I371" s="895">
        <f>(H371/G371)*100</f>
        <v>100</v>
      </c>
    </row>
    <row r="372" spans="1:14" ht="13.5" thickTop="1" x14ac:dyDescent="0.2">
      <c r="K372" s="984"/>
      <c r="L372" s="984"/>
      <c r="M372" s="984"/>
      <c r="N372" s="439"/>
    </row>
    <row r="373" spans="1:14" x14ac:dyDescent="0.2">
      <c r="K373" s="984"/>
      <c r="L373" s="984"/>
      <c r="M373" s="984"/>
      <c r="N373" s="439"/>
    </row>
    <row r="374" spans="1:14" s="558" customFormat="1" ht="13.5" thickBot="1" x14ac:dyDescent="0.25">
      <c r="A374" s="439" t="s">
        <v>499</v>
      </c>
      <c r="B374" s="669"/>
      <c r="D374" s="884"/>
      <c r="F374" s="517"/>
      <c r="G374" s="517"/>
      <c r="H374" s="517"/>
      <c r="I374" s="1023" t="s">
        <v>179</v>
      </c>
    </row>
    <row r="375" spans="1:14" s="107" customFormat="1" ht="20.25" customHeight="1" thickTop="1" thickBot="1" x14ac:dyDescent="0.25">
      <c r="A375" s="714" t="s">
        <v>692</v>
      </c>
      <c r="B375" s="717" t="s">
        <v>180</v>
      </c>
      <c r="C375" s="715" t="s">
        <v>181</v>
      </c>
      <c r="D375" s="660" t="s">
        <v>783</v>
      </c>
      <c r="E375" s="718" t="s">
        <v>182</v>
      </c>
      <c r="F375" s="718" t="s">
        <v>183</v>
      </c>
      <c r="G375" s="718" t="s">
        <v>985</v>
      </c>
      <c r="H375" s="718" t="s">
        <v>986</v>
      </c>
      <c r="I375" s="888" t="s">
        <v>987</v>
      </c>
    </row>
    <row r="376" spans="1:14" s="386" customFormat="1" ht="13.5" thickTop="1" thickBot="1" x14ac:dyDescent="0.25">
      <c r="A376" s="1318">
        <v>1</v>
      </c>
      <c r="B376" s="1319">
        <v>2</v>
      </c>
      <c r="C376" s="1319">
        <v>3</v>
      </c>
      <c r="D376" s="1319">
        <v>4</v>
      </c>
      <c r="E376" s="1319">
        <v>5</v>
      </c>
      <c r="F376" s="1320">
        <v>6</v>
      </c>
      <c r="G376" s="1320">
        <v>7</v>
      </c>
      <c r="H376" s="1321">
        <v>8</v>
      </c>
      <c r="I376" s="1322" t="s">
        <v>848</v>
      </c>
    </row>
    <row r="377" spans="1:14" s="558" customFormat="1" ht="15.75" thickTop="1" x14ac:dyDescent="0.25">
      <c r="A377" s="1033">
        <v>60001100248</v>
      </c>
      <c r="B377" s="934">
        <v>3122</v>
      </c>
      <c r="C377" s="934">
        <v>5169</v>
      </c>
      <c r="D377" s="1346">
        <v>10</v>
      </c>
      <c r="E377" s="1345" t="s">
        <v>955</v>
      </c>
      <c r="F377" s="1344"/>
      <c r="G377" s="1344">
        <v>8</v>
      </c>
      <c r="H377" s="1344">
        <v>7</v>
      </c>
      <c r="I377" s="1329">
        <f>(H377/G377)*100</f>
        <v>87.5</v>
      </c>
    </row>
    <row r="378" spans="1:14" s="558" customFormat="1" ht="15.75" thickBot="1" x14ac:dyDescent="0.3">
      <c r="A378" s="1045">
        <v>60001100248</v>
      </c>
      <c r="B378" s="706">
        <v>3122</v>
      </c>
      <c r="C378" s="807">
        <v>5171</v>
      </c>
      <c r="D378" s="1038">
        <v>10</v>
      </c>
      <c r="E378" s="1325" t="s">
        <v>1001</v>
      </c>
      <c r="F378" s="954"/>
      <c r="G378" s="1039">
        <v>1192</v>
      </c>
      <c r="H378" s="954">
        <v>1189</v>
      </c>
      <c r="I378" s="1048">
        <f>(H378/G378)*100</f>
        <v>99.74832214765101</v>
      </c>
    </row>
    <row r="379" spans="1:14" s="558" customFormat="1" ht="18" customHeight="1" thickTop="1" thickBot="1" x14ac:dyDescent="0.3">
      <c r="A379" s="2739" t="s">
        <v>268</v>
      </c>
      <c r="B379" s="2740"/>
      <c r="C379" s="2740"/>
      <c r="D379" s="2740"/>
      <c r="E379" s="2740"/>
      <c r="F379" s="943">
        <f>F377</f>
        <v>0</v>
      </c>
      <c r="G379" s="943">
        <f>G377+G378</f>
        <v>1200</v>
      </c>
      <c r="H379" s="943">
        <f>H377+H378</f>
        <v>1196</v>
      </c>
      <c r="I379" s="926">
        <f>(H379/G379)*100</f>
        <v>99.666666666666671</v>
      </c>
    </row>
    <row r="380" spans="1:14" ht="13.5" thickTop="1" x14ac:dyDescent="0.2">
      <c r="K380" s="984"/>
      <c r="L380" s="984"/>
      <c r="M380" s="984"/>
      <c r="N380" s="439"/>
    </row>
    <row r="381" spans="1:14" x14ac:dyDescent="0.2">
      <c r="K381" s="984"/>
      <c r="L381" s="984"/>
      <c r="M381" s="984"/>
      <c r="N381" s="439"/>
    </row>
    <row r="382" spans="1:14" s="558" customFormat="1" ht="13.5" thickBot="1" x14ac:dyDescent="0.25">
      <c r="A382" s="439" t="s">
        <v>500</v>
      </c>
      <c r="B382" s="669"/>
      <c r="D382" s="884"/>
      <c r="F382" s="517"/>
      <c r="G382" s="517"/>
      <c r="H382" s="517"/>
      <c r="I382" s="1023" t="s">
        <v>179</v>
      </c>
    </row>
    <row r="383" spans="1:14" s="107" customFormat="1" ht="20.25" customHeight="1" thickTop="1" thickBot="1" x14ac:dyDescent="0.25">
      <c r="A383" s="714" t="s">
        <v>692</v>
      </c>
      <c r="B383" s="717" t="s">
        <v>180</v>
      </c>
      <c r="C383" s="715" t="s">
        <v>181</v>
      </c>
      <c r="D383" s="660" t="s">
        <v>783</v>
      </c>
      <c r="E383" s="718" t="s">
        <v>182</v>
      </c>
      <c r="F383" s="718" t="s">
        <v>183</v>
      </c>
      <c r="G383" s="718" t="s">
        <v>985</v>
      </c>
      <c r="H383" s="718" t="s">
        <v>986</v>
      </c>
      <c r="I383" s="888" t="s">
        <v>987</v>
      </c>
    </row>
    <row r="384" spans="1:14" s="386" customFormat="1" ht="13.5" thickTop="1" thickBot="1" x14ac:dyDescent="0.25">
      <c r="A384" s="1318">
        <v>1</v>
      </c>
      <c r="B384" s="1319">
        <v>2</v>
      </c>
      <c r="C384" s="1319">
        <v>3</v>
      </c>
      <c r="D384" s="1319">
        <v>4</v>
      </c>
      <c r="E384" s="1319">
        <v>5</v>
      </c>
      <c r="F384" s="1320">
        <v>6</v>
      </c>
      <c r="G384" s="1320">
        <v>7</v>
      </c>
      <c r="H384" s="1321">
        <v>8</v>
      </c>
      <c r="I384" s="1322" t="s">
        <v>848</v>
      </c>
    </row>
    <row r="385" spans="1:14" s="558" customFormat="1" ht="15.75" thickTop="1" x14ac:dyDescent="0.25">
      <c r="A385" s="1033">
        <v>60001100319</v>
      </c>
      <c r="B385" s="934">
        <v>3121</v>
      </c>
      <c r="C385" s="934">
        <v>6121</v>
      </c>
      <c r="D385" s="1346">
        <v>10</v>
      </c>
      <c r="E385" s="1345" t="s">
        <v>671</v>
      </c>
      <c r="F385" s="1344"/>
      <c r="G385" s="1344">
        <v>112</v>
      </c>
      <c r="H385" s="1344">
        <v>98</v>
      </c>
      <c r="I385" s="1329">
        <f>(H385/G385)*100</f>
        <v>87.5</v>
      </c>
    </row>
    <row r="386" spans="1:14" s="558" customFormat="1" ht="15.75" thickBot="1" x14ac:dyDescent="0.3">
      <c r="A386" s="1045">
        <v>60001100319</v>
      </c>
      <c r="B386" s="706">
        <v>3121</v>
      </c>
      <c r="C386" s="807">
        <v>6121</v>
      </c>
      <c r="D386" s="1038">
        <v>98858</v>
      </c>
      <c r="E386" s="1325" t="s">
        <v>671</v>
      </c>
      <c r="F386" s="954"/>
      <c r="G386" s="1039">
        <v>1000</v>
      </c>
      <c r="H386" s="954">
        <v>1000</v>
      </c>
      <c r="I386" s="1048">
        <f>(H386/G386)*100</f>
        <v>100</v>
      </c>
    </row>
    <row r="387" spans="1:14" s="558" customFormat="1" ht="18" customHeight="1" thickTop="1" thickBot="1" x14ac:dyDescent="0.3">
      <c r="A387" s="2751" t="s">
        <v>267</v>
      </c>
      <c r="B387" s="2750"/>
      <c r="C387" s="2750"/>
      <c r="D387" s="2750"/>
      <c r="E387" s="2750"/>
      <c r="F387" s="943">
        <f>F385</f>
        <v>0</v>
      </c>
      <c r="G387" s="943">
        <f>G385+G386</f>
        <v>1112</v>
      </c>
      <c r="H387" s="943">
        <f>H385+H386</f>
        <v>1098</v>
      </c>
      <c r="I387" s="926">
        <f>(H387/G387)*100</f>
        <v>98.741007194244602</v>
      </c>
    </row>
    <row r="388" spans="1:14" ht="13.5" thickTop="1" x14ac:dyDescent="0.2">
      <c r="K388" s="984"/>
      <c r="L388" s="984"/>
      <c r="M388" s="984"/>
      <c r="N388" s="439"/>
    </row>
    <row r="389" spans="1:14" x14ac:dyDescent="0.2">
      <c r="K389" s="984"/>
      <c r="L389" s="984"/>
      <c r="M389" s="984"/>
      <c r="N389" s="439"/>
    </row>
    <row r="390" spans="1:14" s="558" customFormat="1" ht="13.5" thickBot="1" x14ac:dyDescent="0.25">
      <c r="A390" s="439" t="s">
        <v>501</v>
      </c>
      <c r="B390" s="669"/>
      <c r="D390" s="884"/>
      <c r="F390" s="517"/>
      <c r="G390" s="517"/>
      <c r="H390" s="517"/>
      <c r="I390" s="1023" t="s">
        <v>179</v>
      </c>
    </row>
    <row r="391" spans="1:14" s="107" customFormat="1" ht="20.25" customHeight="1" thickTop="1" thickBot="1" x14ac:dyDescent="0.25">
      <c r="A391" s="714" t="s">
        <v>692</v>
      </c>
      <c r="B391" s="717" t="s">
        <v>180</v>
      </c>
      <c r="C391" s="715" t="s">
        <v>181</v>
      </c>
      <c r="D391" s="660" t="s">
        <v>783</v>
      </c>
      <c r="E391" s="718" t="s">
        <v>182</v>
      </c>
      <c r="F391" s="718" t="s">
        <v>183</v>
      </c>
      <c r="G391" s="718" t="s">
        <v>985</v>
      </c>
      <c r="H391" s="718" t="s">
        <v>986</v>
      </c>
      <c r="I391" s="888" t="s">
        <v>987</v>
      </c>
    </row>
    <row r="392" spans="1:14" s="386" customFormat="1" ht="13.5" thickTop="1" thickBot="1" x14ac:dyDescent="0.25">
      <c r="A392" s="1318">
        <v>1</v>
      </c>
      <c r="B392" s="1319">
        <v>2</v>
      </c>
      <c r="C392" s="1319">
        <v>3</v>
      </c>
      <c r="D392" s="1319">
        <v>4</v>
      </c>
      <c r="E392" s="593">
        <v>5</v>
      </c>
      <c r="F392" s="1320">
        <v>6</v>
      </c>
      <c r="G392" s="1320">
        <v>7</v>
      </c>
      <c r="H392" s="1321">
        <v>8</v>
      </c>
      <c r="I392" s="1322" t="s">
        <v>848</v>
      </c>
    </row>
    <row r="393" spans="1:14" s="558" customFormat="1" ht="16.5" thickTop="1" thickBot="1" x14ac:dyDescent="0.3">
      <c r="A393" s="1330">
        <v>60001100323</v>
      </c>
      <c r="B393" s="1041">
        <v>3123</v>
      </c>
      <c r="C393" s="1331">
        <v>5171</v>
      </c>
      <c r="D393" s="1042">
        <v>10</v>
      </c>
      <c r="E393" s="1325" t="s">
        <v>1001</v>
      </c>
      <c r="F393" s="960"/>
      <c r="G393" s="1333">
        <v>1922</v>
      </c>
      <c r="H393" s="960">
        <v>1822</v>
      </c>
      <c r="I393" s="1334">
        <f>(H393/G393)*100</f>
        <v>94.797086368366294</v>
      </c>
    </row>
    <row r="394" spans="1:14" s="558" customFormat="1" ht="18" customHeight="1" thickTop="1" thickBot="1" x14ac:dyDescent="0.3">
      <c r="A394" s="2739" t="s">
        <v>268</v>
      </c>
      <c r="B394" s="2740"/>
      <c r="C394" s="2740"/>
      <c r="D394" s="2740"/>
      <c r="E394" s="2740"/>
      <c r="F394" s="943">
        <f>F393</f>
        <v>0</v>
      </c>
      <c r="G394" s="943">
        <f>G393</f>
        <v>1922</v>
      </c>
      <c r="H394" s="943">
        <f>H393</f>
        <v>1822</v>
      </c>
      <c r="I394" s="926">
        <f>(H394/G394)*100</f>
        <v>94.797086368366294</v>
      </c>
    </row>
    <row r="395" spans="1:14" ht="13.5" thickTop="1" x14ac:dyDescent="0.2">
      <c r="K395" s="984"/>
      <c r="L395" s="984"/>
      <c r="M395" s="984"/>
      <c r="N395" s="439"/>
    </row>
    <row r="396" spans="1:14" x14ac:dyDescent="0.2">
      <c r="K396" s="984"/>
      <c r="L396" s="984"/>
      <c r="M396" s="984"/>
      <c r="N396" s="439"/>
    </row>
    <row r="397" spans="1:14" x14ac:dyDescent="0.2">
      <c r="K397" s="984"/>
      <c r="L397" s="984"/>
      <c r="M397" s="984"/>
      <c r="N397" s="439"/>
    </row>
    <row r="398" spans="1:14" x14ac:dyDescent="0.2">
      <c r="K398" s="984"/>
      <c r="L398" s="984"/>
      <c r="M398" s="984"/>
      <c r="N398" s="439"/>
    </row>
    <row r="399" spans="1:14" x14ac:dyDescent="0.2">
      <c r="K399" s="984"/>
      <c r="L399" s="984"/>
      <c r="M399" s="984"/>
      <c r="N399" s="439"/>
    </row>
    <row r="400" spans="1:14" x14ac:dyDescent="0.2">
      <c r="K400" s="984"/>
      <c r="L400" s="984"/>
      <c r="M400" s="984"/>
      <c r="N400" s="439"/>
    </row>
    <row r="401" spans="1:14" x14ac:dyDescent="0.2">
      <c r="K401" s="984"/>
      <c r="L401" s="984"/>
      <c r="M401" s="984"/>
      <c r="N401" s="439"/>
    </row>
    <row r="402" spans="1:14" s="558" customFormat="1" ht="13.5" thickBot="1" x14ac:dyDescent="0.25">
      <c r="A402" s="439" t="s">
        <v>510</v>
      </c>
      <c r="B402" s="669"/>
      <c r="D402" s="884"/>
      <c r="F402" s="517"/>
      <c r="G402" s="517"/>
      <c r="H402" s="517"/>
      <c r="I402" s="1023" t="s">
        <v>179</v>
      </c>
    </row>
    <row r="403" spans="1:14" s="107" customFormat="1" ht="20.25" customHeight="1" thickTop="1" thickBot="1" x14ac:dyDescent="0.25">
      <c r="A403" s="714" t="s">
        <v>692</v>
      </c>
      <c r="B403" s="717" t="s">
        <v>180</v>
      </c>
      <c r="C403" s="715" t="s">
        <v>181</v>
      </c>
      <c r="D403" s="660" t="s">
        <v>783</v>
      </c>
      <c r="E403" s="718" t="s">
        <v>182</v>
      </c>
      <c r="F403" s="718" t="s">
        <v>183</v>
      </c>
      <c r="G403" s="718" t="s">
        <v>985</v>
      </c>
      <c r="H403" s="718" t="s">
        <v>986</v>
      </c>
      <c r="I403" s="888" t="s">
        <v>987</v>
      </c>
    </row>
    <row r="404" spans="1:14" s="386" customFormat="1" ht="13.5" thickTop="1" thickBot="1" x14ac:dyDescent="0.25">
      <c r="A404" s="1318">
        <v>1</v>
      </c>
      <c r="B404" s="1319">
        <v>2</v>
      </c>
      <c r="C404" s="1319">
        <v>3</v>
      </c>
      <c r="D404" s="1319">
        <v>4</v>
      </c>
      <c r="E404" s="593">
        <v>5</v>
      </c>
      <c r="F404" s="1320">
        <v>6</v>
      </c>
      <c r="G404" s="1320">
        <v>7</v>
      </c>
      <c r="H404" s="1321">
        <v>8</v>
      </c>
      <c r="I404" s="1322" t="s">
        <v>848</v>
      </c>
    </row>
    <row r="405" spans="1:14" s="558" customFormat="1" ht="16.5" thickTop="1" thickBot="1" x14ac:dyDescent="0.3">
      <c r="A405" s="1330">
        <v>60001100334</v>
      </c>
      <c r="B405" s="1041">
        <v>3142</v>
      </c>
      <c r="C405" s="1331">
        <v>6121</v>
      </c>
      <c r="D405" s="1042">
        <v>10</v>
      </c>
      <c r="E405" s="1325" t="s">
        <v>671</v>
      </c>
      <c r="F405" s="960"/>
      <c r="G405" s="1333">
        <v>566</v>
      </c>
      <c r="H405" s="960">
        <v>565</v>
      </c>
      <c r="I405" s="1334">
        <f>(H405/G405)*100</f>
        <v>99.823321554770317</v>
      </c>
    </row>
    <row r="406" spans="1:14" s="558" customFormat="1" ht="18" customHeight="1" thickTop="1" thickBot="1" x14ac:dyDescent="0.3">
      <c r="A406" s="2751" t="s">
        <v>267</v>
      </c>
      <c r="B406" s="2750"/>
      <c r="C406" s="2750"/>
      <c r="D406" s="2750"/>
      <c r="E406" s="2750"/>
      <c r="F406" s="943">
        <f>F405</f>
        <v>0</v>
      </c>
      <c r="G406" s="943">
        <f>G405</f>
        <v>566</v>
      </c>
      <c r="H406" s="943">
        <f>H405</f>
        <v>565</v>
      </c>
      <c r="I406" s="926">
        <f>(H406/G406)*100</f>
        <v>99.823321554770317</v>
      </c>
    </row>
    <row r="407" spans="1:14" ht="13.5" thickTop="1" x14ac:dyDescent="0.2">
      <c r="K407" s="984"/>
      <c r="L407" s="984"/>
      <c r="M407" s="984"/>
      <c r="N407" s="439"/>
    </row>
    <row r="408" spans="1:14" x14ac:dyDescent="0.2">
      <c r="K408" s="984"/>
      <c r="L408" s="984"/>
      <c r="M408" s="984"/>
      <c r="N408" s="439"/>
    </row>
    <row r="409" spans="1:14" s="558" customFormat="1" ht="13.5" thickBot="1" x14ac:dyDescent="0.25">
      <c r="A409" s="439" t="s">
        <v>511</v>
      </c>
      <c r="B409" s="669"/>
      <c r="D409" s="884"/>
      <c r="F409" s="517"/>
      <c r="G409" s="517"/>
      <c r="H409" s="517"/>
      <c r="I409" s="1023" t="s">
        <v>179</v>
      </c>
    </row>
    <row r="410" spans="1:14" s="107" customFormat="1" ht="20.25" customHeight="1" thickTop="1" thickBot="1" x14ac:dyDescent="0.25">
      <c r="A410" s="714" t="s">
        <v>692</v>
      </c>
      <c r="B410" s="717" t="s">
        <v>180</v>
      </c>
      <c r="C410" s="715" t="s">
        <v>181</v>
      </c>
      <c r="D410" s="660" t="s">
        <v>783</v>
      </c>
      <c r="E410" s="718" t="s">
        <v>182</v>
      </c>
      <c r="F410" s="718" t="s">
        <v>183</v>
      </c>
      <c r="G410" s="718" t="s">
        <v>985</v>
      </c>
      <c r="H410" s="718" t="s">
        <v>986</v>
      </c>
      <c r="I410" s="888" t="s">
        <v>987</v>
      </c>
    </row>
    <row r="411" spans="1:14" s="386" customFormat="1" ht="13.5" thickTop="1" thickBot="1" x14ac:dyDescent="0.25">
      <c r="A411" s="1318">
        <v>1</v>
      </c>
      <c r="B411" s="1319">
        <v>2</v>
      </c>
      <c r="C411" s="1319">
        <v>3</v>
      </c>
      <c r="D411" s="1319">
        <v>4</v>
      </c>
      <c r="E411" s="593">
        <v>5</v>
      </c>
      <c r="F411" s="1320">
        <v>6</v>
      </c>
      <c r="G411" s="1320">
        <v>7</v>
      </c>
      <c r="H411" s="1321">
        <v>8</v>
      </c>
      <c r="I411" s="1322" t="s">
        <v>848</v>
      </c>
    </row>
    <row r="412" spans="1:14" s="558" customFormat="1" ht="16.5" thickTop="1" thickBot="1" x14ac:dyDescent="0.3">
      <c r="A412" s="1330">
        <v>60001100335</v>
      </c>
      <c r="B412" s="1041">
        <v>3114</v>
      </c>
      <c r="C412" s="1331">
        <v>5171</v>
      </c>
      <c r="D412" s="1042">
        <v>10</v>
      </c>
      <c r="E412" s="1325" t="s">
        <v>1001</v>
      </c>
      <c r="F412" s="960"/>
      <c r="G412" s="1333">
        <v>196</v>
      </c>
      <c r="H412" s="960">
        <v>196</v>
      </c>
      <c r="I412" s="1334">
        <f>(H412/G412)*100</f>
        <v>100</v>
      </c>
      <c r="L412" s="517">
        <f>G272+G279+G286+G294+G301+G308+G315+G322+G329+G339+G346+G354+G361+G369+G371+G379+G387+G394+G406+G413</f>
        <v>21321</v>
      </c>
      <c r="M412" s="517">
        <f>H272+H279+H286+H294+H301+H308+H315+H322+H329+H339+H346+H354+H361+H369+H371+H379+H387+H394+H406+H413</f>
        <v>20611</v>
      </c>
    </row>
    <row r="413" spans="1:14" s="558" customFormat="1" ht="18" customHeight="1" thickTop="1" thickBot="1" x14ac:dyDescent="0.3">
      <c r="A413" s="2739" t="s">
        <v>268</v>
      </c>
      <c r="B413" s="2740"/>
      <c r="C413" s="2740"/>
      <c r="D413" s="2740"/>
      <c r="E413" s="2740"/>
      <c r="F413" s="943">
        <f>F412</f>
        <v>0</v>
      </c>
      <c r="G413" s="943">
        <f>G412</f>
        <v>196</v>
      </c>
      <c r="H413" s="943">
        <f>H412</f>
        <v>196</v>
      </c>
      <c r="I413" s="926">
        <f>(H413/G413)*100</f>
        <v>100</v>
      </c>
      <c r="K413" s="517">
        <f>F14+F21+F29+F33+F41+F48+F56+F63+F72+F79+F86+F94+F101+F108+F115+F122+F129+F139+F146+F153+F160+F163+F170+F177+F184+F191+F198+F205+F212+F219+F227+F230+F237+F244+F251+F258+F261+F272+F279+F286+F294+F301+F308+F315+F322+F329+F339+F346+F354+F361+F369+F371+F379+F387+F394+F406+F413</f>
        <v>62847</v>
      </c>
      <c r="L413" s="517">
        <f>L122+L261+L412</f>
        <v>229852</v>
      </c>
      <c r="M413" s="517">
        <f>M122+M261+M412</f>
        <v>210636</v>
      </c>
      <c r="N413" s="558" t="s">
        <v>1235</v>
      </c>
    </row>
    <row r="414" spans="1:14" ht="13.5" thickTop="1" x14ac:dyDescent="0.2">
      <c r="K414" s="984"/>
      <c r="L414" s="984"/>
      <c r="M414" s="984"/>
      <c r="N414" s="439"/>
    </row>
    <row r="415" spans="1:14" x14ac:dyDescent="0.2">
      <c r="K415" s="984"/>
      <c r="L415" s="984"/>
      <c r="M415" s="984"/>
      <c r="N415" s="439"/>
    </row>
    <row r="416" spans="1:14" s="558" customFormat="1" ht="13.5" thickBot="1" x14ac:dyDescent="0.25">
      <c r="A416" s="439" t="s">
        <v>1189</v>
      </c>
      <c r="B416" s="669"/>
      <c r="D416" s="884"/>
      <c r="F416" s="517"/>
      <c r="G416" s="517"/>
      <c r="H416" s="517"/>
      <c r="I416" s="1023" t="s">
        <v>179</v>
      </c>
    </row>
    <row r="417" spans="1:14" s="107" customFormat="1" ht="20.25" customHeight="1" thickTop="1" thickBot="1" x14ac:dyDescent="0.25">
      <c r="A417" s="714" t="s">
        <v>692</v>
      </c>
      <c r="B417" s="717" t="s">
        <v>180</v>
      </c>
      <c r="C417" s="715" t="s">
        <v>181</v>
      </c>
      <c r="D417" s="660" t="s">
        <v>783</v>
      </c>
      <c r="E417" s="718" t="s">
        <v>182</v>
      </c>
      <c r="F417" s="718" t="s">
        <v>183</v>
      </c>
      <c r="G417" s="718" t="s">
        <v>985</v>
      </c>
      <c r="H417" s="718" t="s">
        <v>986</v>
      </c>
      <c r="I417" s="888" t="s">
        <v>987</v>
      </c>
    </row>
    <row r="418" spans="1:14" s="386" customFormat="1" ht="13.5" thickTop="1" thickBot="1" x14ac:dyDescent="0.25">
      <c r="A418" s="1318">
        <v>1</v>
      </c>
      <c r="B418" s="1319">
        <v>2</v>
      </c>
      <c r="C418" s="1319">
        <v>3</v>
      </c>
      <c r="D418" s="1319">
        <v>4</v>
      </c>
      <c r="E418" s="593">
        <v>5</v>
      </c>
      <c r="F418" s="1320">
        <v>6</v>
      </c>
      <c r="G418" s="1320">
        <v>7</v>
      </c>
      <c r="H418" s="1321">
        <v>8</v>
      </c>
      <c r="I418" s="1322" t="s">
        <v>848</v>
      </c>
    </row>
    <row r="419" spans="1:14" s="558" customFormat="1" ht="16.5" thickTop="1" thickBot="1" x14ac:dyDescent="0.3">
      <c r="A419" s="1330">
        <v>60002100051</v>
      </c>
      <c r="B419" s="1041">
        <v>4351</v>
      </c>
      <c r="C419" s="1331">
        <v>5171</v>
      </c>
      <c r="D419" s="1042">
        <v>11</v>
      </c>
      <c r="E419" s="1325" t="s">
        <v>1001</v>
      </c>
      <c r="F419" s="960"/>
      <c r="G419" s="1333">
        <v>337</v>
      </c>
      <c r="H419" s="960">
        <v>336</v>
      </c>
      <c r="I419" s="1334">
        <f>(H419/G419)*100</f>
        <v>99.703264094955486</v>
      </c>
    </row>
    <row r="420" spans="1:14" s="558" customFormat="1" ht="18" customHeight="1" thickTop="1" thickBot="1" x14ac:dyDescent="0.3">
      <c r="A420" s="2739" t="s">
        <v>268</v>
      </c>
      <c r="B420" s="2740"/>
      <c r="C420" s="2740"/>
      <c r="D420" s="2740"/>
      <c r="E420" s="2740"/>
      <c r="F420" s="943">
        <f>F419</f>
        <v>0</v>
      </c>
      <c r="G420" s="943">
        <f>G419</f>
        <v>337</v>
      </c>
      <c r="H420" s="943">
        <f>H419</f>
        <v>336</v>
      </c>
      <c r="I420" s="926">
        <f>(H420/G420)*100</f>
        <v>99.703264094955486</v>
      </c>
    </row>
    <row r="421" spans="1:14" ht="13.5" thickTop="1" x14ac:dyDescent="0.2">
      <c r="K421" s="984"/>
      <c r="L421" s="984"/>
      <c r="M421" s="984"/>
      <c r="N421" s="439"/>
    </row>
    <row r="422" spans="1:14" x14ac:dyDescent="0.2">
      <c r="K422" s="984"/>
      <c r="L422" s="984"/>
      <c r="M422" s="984"/>
      <c r="N422" s="439"/>
    </row>
    <row r="423" spans="1:14" s="558" customFormat="1" ht="13.5" thickBot="1" x14ac:dyDescent="0.25">
      <c r="A423" s="439" t="s">
        <v>1190</v>
      </c>
      <c r="B423" s="669"/>
      <c r="D423" s="884"/>
      <c r="F423" s="517"/>
      <c r="G423" s="517"/>
      <c r="H423" s="517"/>
      <c r="I423" s="1023" t="s">
        <v>179</v>
      </c>
    </row>
    <row r="424" spans="1:14" s="107" customFormat="1" ht="20.25" customHeight="1" thickTop="1" thickBot="1" x14ac:dyDescent="0.25">
      <c r="A424" s="714" t="s">
        <v>692</v>
      </c>
      <c r="B424" s="717" t="s">
        <v>180</v>
      </c>
      <c r="C424" s="715" t="s">
        <v>181</v>
      </c>
      <c r="D424" s="660" t="s">
        <v>783</v>
      </c>
      <c r="E424" s="718" t="s">
        <v>182</v>
      </c>
      <c r="F424" s="718" t="s">
        <v>183</v>
      </c>
      <c r="G424" s="718" t="s">
        <v>985</v>
      </c>
      <c r="H424" s="718" t="s">
        <v>986</v>
      </c>
      <c r="I424" s="888" t="s">
        <v>987</v>
      </c>
    </row>
    <row r="425" spans="1:14" s="386" customFormat="1" ht="13.5" thickTop="1" thickBot="1" x14ac:dyDescent="0.25">
      <c r="A425" s="1318">
        <v>1</v>
      </c>
      <c r="B425" s="1319">
        <v>2</v>
      </c>
      <c r="C425" s="1319">
        <v>3</v>
      </c>
      <c r="D425" s="1319">
        <v>4</v>
      </c>
      <c r="E425" s="593">
        <v>5</v>
      </c>
      <c r="F425" s="1320">
        <v>6</v>
      </c>
      <c r="G425" s="1320">
        <v>7</v>
      </c>
      <c r="H425" s="1321">
        <v>8</v>
      </c>
      <c r="I425" s="1322" t="s">
        <v>848</v>
      </c>
    </row>
    <row r="426" spans="1:14" s="558" customFormat="1" ht="16.5" thickTop="1" thickBot="1" x14ac:dyDescent="0.3">
      <c r="A426" s="1330">
        <v>60002100054</v>
      </c>
      <c r="B426" s="1041">
        <v>4354</v>
      </c>
      <c r="C426" s="1331">
        <v>6121</v>
      </c>
      <c r="D426" s="1042">
        <v>11</v>
      </c>
      <c r="E426" s="1325" t="s">
        <v>671</v>
      </c>
      <c r="F426" s="960">
        <v>4500</v>
      </c>
      <c r="G426" s="1333">
        <v>4094</v>
      </c>
      <c r="H426" s="960">
        <v>3626</v>
      </c>
      <c r="I426" s="1334">
        <f>(H426/G426)*100</f>
        <v>88.568637029799703</v>
      </c>
    </row>
    <row r="427" spans="1:14" s="558" customFormat="1" ht="18" customHeight="1" thickTop="1" thickBot="1" x14ac:dyDescent="0.3">
      <c r="A427" s="2751" t="s">
        <v>267</v>
      </c>
      <c r="B427" s="2750"/>
      <c r="C427" s="2750"/>
      <c r="D427" s="2750"/>
      <c r="E427" s="2750"/>
      <c r="F427" s="943">
        <f>F426</f>
        <v>4500</v>
      </c>
      <c r="G427" s="943">
        <f>G426</f>
        <v>4094</v>
      </c>
      <c r="H427" s="943">
        <f>H426</f>
        <v>3626</v>
      </c>
      <c r="I427" s="926">
        <f>(H427/G427)*100</f>
        <v>88.568637029799703</v>
      </c>
    </row>
    <row r="428" spans="1:14" ht="13.5" thickTop="1" x14ac:dyDescent="0.2">
      <c r="K428" s="984"/>
      <c r="L428" s="984"/>
      <c r="M428" s="984"/>
      <c r="N428" s="439"/>
    </row>
    <row r="429" spans="1:14" x14ac:dyDescent="0.2">
      <c r="K429" s="984"/>
      <c r="L429" s="984"/>
      <c r="M429" s="984"/>
      <c r="N429" s="439"/>
    </row>
    <row r="430" spans="1:14" s="558" customFormat="1" ht="13.5" thickBot="1" x14ac:dyDescent="0.25">
      <c r="A430" s="439" t="s">
        <v>1191</v>
      </c>
      <c r="B430" s="669"/>
      <c r="D430" s="884"/>
      <c r="F430" s="517"/>
      <c r="G430" s="517"/>
      <c r="H430" s="517"/>
      <c r="I430" s="1023" t="s">
        <v>179</v>
      </c>
    </row>
    <row r="431" spans="1:14" s="107" customFormat="1" ht="20.25" customHeight="1" thickTop="1" thickBot="1" x14ac:dyDescent="0.25">
      <c r="A431" s="714" t="s">
        <v>692</v>
      </c>
      <c r="B431" s="717" t="s">
        <v>180</v>
      </c>
      <c r="C431" s="715" t="s">
        <v>181</v>
      </c>
      <c r="D431" s="660" t="s">
        <v>783</v>
      </c>
      <c r="E431" s="718" t="s">
        <v>182</v>
      </c>
      <c r="F431" s="718" t="s">
        <v>183</v>
      </c>
      <c r="G431" s="718" t="s">
        <v>985</v>
      </c>
      <c r="H431" s="718" t="s">
        <v>986</v>
      </c>
      <c r="I431" s="888" t="s">
        <v>987</v>
      </c>
    </row>
    <row r="432" spans="1:14" s="386" customFormat="1" ht="13.5" thickTop="1" thickBot="1" x14ac:dyDescent="0.25">
      <c r="A432" s="1318">
        <v>1</v>
      </c>
      <c r="B432" s="1319">
        <v>2</v>
      </c>
      <c r="C432" s="1319">
        <v>3</v>
      </c>
      <c r="D432" s="1319">
        <v>4</v>
      </c>
      <c r="E432" s="593">
        <v>5</v>
      </c>
      <c r="F432" s="1320">
        <v>6</v>
      </c>
      <c r="G432" s="1320">
        <v>7</v>
      </c>
      <c r="H432" s="1321">
        <v>8</v>
      </c>
      <c r="I432" s="1322" t="s">
        <v>848</v>
      </c>
    </row>
    <row r="433" spans="1:14" s="558" customFormat="1" ht="16.5" thickTop="1" thickBot="1" x14ac:dyDescent="0.3">
      <c r="A433" s="1330">
        <v>60002100056</v>
      </c>
      <c r="B433" s="1041">
        <v>4357</v>
      </c>
      <c r="C433" s="1331">
        <v>5171</v>
      </c>
      <c r="D433" s="1042">
        <v>11</v>
      </c>
      <c r="E433" s="1325" t="s">
        <v>1001</v>
      </c>
      <c r="F433" s="960">
        <v>1050</v>
      </c>
      <c r="G433" s="1333">
        <v>1009</v>
      </c>
      <c r="H433" s="960">
        <v>1008</v>
      </c>
      <c r="I433" s="1334">
        <f>(H433/G433)*100</f>
        <v>99.900891972249752</v>
      </c>
    </row>
    <row r="434" spans="1:14" s="558" customFormat="1" ht="18" customHeight="1" thickTop="1" thickBot="1" x14ac:dyDescent="0.3">
      <c r="A434" s="2739" t="s">
        <v>268</v>
      </c>
      <c r="B434" s="2740"/>
      <c r="C434" s="2740"/>
      <c r="D434" s="2740"/>
      <c r="E434" s="2740"/>
      <c r="F434" s="943">
        <f>F433</f>
        <v>1050</v>
      </c>
      <c r="G434" s="943">
        <f>G433</f>
        <v>1009</v>
      </c>
      <c r="H434" s="943">
        <f>H433</f>
        <v>1008</v>
      </c>
      <c r="I434" s="926">
        <f>(H434/G434)*100</f>
        <v>99.900891972249752</v>
      </c>
    </row>
    <row r="435" spans="1:14" ht="13.5" thickTop="1" x14ac:dyDescent="0.2">
      <c r="K435" s="984"/>
      <c r="L435" s="984"/>
      <c r="M435" s="984"/>
      <c r="N435" s="439"/>
    </row>
    <row r="436" spans="1:14" x14ac:dyDescent="0.2">
      <c r="K436" s="984"/>
      <c r="L436" s="984"/>
      <c r="M436" s="984"/>
      <c r="N436" s="439"/>
    </row>
    <row r="437" spans="1:14" s="558" customFormat="1" ht="13.5" thickBot="1" x14ac:dyDescent="0.25">
      <c r="A437" s="439" t="s">
        <v>1192</v>
      </c>
      <c r="B437" s="669"/>
      <c r="D437" s="884"/>
      <c r="F437" s="517"/>
      <c r="G437" s="517"/>
      <c r="H437" s="517"/>
      <c r="I437" s="1023" t="s">
        <v>179</v>
      </c>
    </row>
    <row r="438" spans="1:14" s="107" customFormat="1" ht="20.25" customHeight="1" thickTop="1" thickBot="1" x14ac:dyDescent="0.25">
      <c r="A438" s="714" t="s">
        <v>692</v>
      </c>
      <c r="B438" s="717" t="s">
        <v>180</v>
      </c>
      <c r="C438" s="715" t="s">
        <v>181</v>
      </c>
      <c r="D438" s="660" t="s">
        <v>783</v>
      </c>
      <c r="E438" s="718" t="s">
        <v>182</v>
      </c>
      <c r="F438" s="718" t="s">
        <v>183</v>
      </c>
      <c r="G438" s="718" t="s">
        <v>985</v>
      </c>
      <c r="H438" s="718" t="s">
        <v>986</v>
      </c>
      <c r="I438" s="888" t="s">
        <v>987</v>
      </c>
    </row>
    <row r="439" spans="1:14" s="386" customFormat="1" ht="13.5" thickTop="1" thickBot="1" x14ac:dyDescent="0.25">
      <c r="A439" s="1318">
        <v>1</v>
      </c>
      <c r="B439" s="1319">
        <v>2</v>
      </c>
      <c r="C439" s="1319">
        <v>3</v>
      </c>
      <c r="D439" s="1319">
        <v>4</v>
      </c>
      <c r="E439" s="593">
        <v>5</v>
      </c>
      <c r="F439" s="1320">
        <v>6</v>
      </c>
      <c r="G439" s="1320">
        <v>7</v>
      </c>
      <c r="H439" s="1321">
        <v>8</v>
      </c>
      <c r="I439" s="1322" t="s">
        <v>848</v>
      </c>
    </row>
    <row r="440" spans="1:14" s="558" customFormat="1" ht="16.5" thickTop="1" thickBot="1" x14ac:dyDescent="0.3">
      <c r="A440" s="1330">
        <v>60002100062</v>
      </c>
      <c r="B440" s="1041">
        <v>4357</v>
      </c>
      <c r="C440" s="1331">
        <v>5171</v>
      </c>
      <c r="D440" s="1042">
        <v>11</v>
      </c>
      <c r="E440" s="1325" t="s">
        <v>1001</v>
      </c>
      <c r="F440" s="960">
        <v>2200</v>
      </c>
      <c r="G440" s="1333">
        <v>1524</v>
      </c>
      <c r="H440" s="960">
        <v>1519</v>
      </c>
      <c r="I440" s="1334">
        <f>(H440/G440)*100</f>
        <v>99.671916010498691</v>
      </c>
    </row>
    <row r="441" spans="1:14" s="558" customFormat="1" ht="18" customHeight="1" thickTop="1" thickBot="1" x14ac:dyDescent="0.3">
      <c r="A441" s="2739" t="s">
        <v>268</v>
      </c>
      <c r="B441" s="2740"/>
      <c r="C441" s="2740"/>
      <c r="D441" s="2740"/>
      <c r="E441" s="2740"/>
      <c r="F441" s="943">
        <f>F440</f>
        <v>2200</v>
      </c>
      <c r="G441" s="943">
        <f>G440</f>
        <v>1524</v>
      </c>
      <c r="H441" s="943">
        <f>H440</f>
        <v>1519</v>
      </c>
      <c r="I441" s="926">
        <f>(H441/G441)*100</f>
        <v>99.671916010498691</v>
      </c>
    </row>
    <row r="442" spans="1:14" ht="13.5" thickTop="1" x14ac:dyDescent="0.2">
      <c r="K442" s="984"/>
      <c r="L442" s="984"/>
      <c r="M442" s="984"/>
      <c r="N442" s="439"/>
    </row>
    <row r="443" spans="1:14" x14ac:dyDescent="0.2">
      <c r="K443" s="984"/>
      <c r="L443" s="984"/>
      <c r="M443" s="984"/>
      <c r="N443" s="439"/>
    </row>
    <row r="444" spans="1:14" s="558" customFormat="1" ht="13.5" thickBot="1" x14ac:dyDescent="0.25">
      <c r="A444" s="439" t="s">
        <v>1193</v>
      </c>
      <c r="B444" s="669"/>
      <c r="D444" s="884"/>
      <c r="F444" s="517"/>
      <c r="G444" s="517"/>
      <c r="H444" s="517"/>
      <c r="I444" s="1023" t="s">
        <v>179</v>
      </c>
    </row>
    <row r="445" spans="1:14" s="107" customFormat="1" ht="20.25" customHeight="1" thickTop="1" thickBot="1" x14ac:dyDescent="0.25">
      <c r="A445" s="714" t="s">
        <v>692</v>
      </c>
      <c r="B445" s="717" t="s">
        <v>180</v>
      </c>
      <c r="C445" s="715" t="s">
        <v>181</v>
      </c>
      <c r="D445" s="660" t="s">
        <v>783</v>
      </c>
      <c r="E445" s="718" t="s">
        <v>182</v>
      </c>
      <c r="F445" s="718" t="s">
        <v>183</v>
      </c>
      <c r="G445" s="718" t="s">
        <v>985</v>
      </c>
      <c r="H445" s="718" t="s">
        <v>986</v>
      </c>
      <c r="I445" s="888" t="s">
        <v>987</v>
      </c>
    </row>
    <row r="446" spans="1:14" s="386" customFormat="1" ht="13.5" thickTop="1" thickBot="1" x14ac:dyDescent="0.25">
      <c r="A446" s="1318">
        <v>1</v>
      </c>
      <c r="B446" s="1319">
        <v>2</v>
      </c>
      <c r="C446" s="1319">
        <v>3</v>
      </c>
      <c r="D446" s="1319">
        <v>4</v>
      </c>
      <c r="E446" s="593">
        <v>5</v>
      </c>
      <c r="F446" s="1320">
        <v>6</v>
      </c>
      <c r="G446" s="1320">
        <v>7</v>
      </c>
      <c r="H446" s="1321">
        <v>8</v>
      </c>
      <c r="I446" s="1322" t="s">
        <v>848</v>
      </c>
    </row>
    <row r="447" spans="1:14" s="558" customFormat="1" ht="16.5" thickTop="1" thickBot="1" x14ac:dyDescent="0.3">
      <c r="A447" s="1330">
        <v>60002100077</v>
      </c>
      <c r="B447" s="1041">
        <v>4357</v>
      </c>
      <c r="C447" s="1331">
        <v>5171</v>
      </c>
      <c r="D447" s="1042">
        <v>11</v>
      </c>
      <c r="E447" s="1325" t="s">
        <v>1001</v>
      </c>
      <c r="F447" s="960">
        <v>1900</v>
      </c>
      <c r="G447" s="1333">
        <v>1821</v>
      </c>
      <c r="H447" s="960">
        <v>1820</v>
      </c>
      <c r="I447" s="1334">
        <f>(H447/G447)*100</f>
        <v>99.945085118066999</v>
      </c>
    </row>
    <row r="448" spans="1:14" s="558" customFormat="1" ht="18" customHeight="1" thickTop="1" thickBot="1" x14ac:dyDescent="0.3">
      <c r="A448" s="2739" t="s">
        <v>268</v>
      </c>
      <c r="B448" s="2740"/>
      <c r="C448" s="2740"/>
      <c r="D448" s="2740"/>
      <c r="E448" s="2740"/>
      <c r="F448" s="943">
        <f>F447</f>
        <v>1900</v>
      </c>
      <c r="G448" s="943">
        <f>G447</f>
        <v>1821</v>
      </c>
      <c r="H448" s="943">
        <f>H447</f>
        <v>1820</v>
      </c>
      <c r="I448" s="926">
        <f>(H448/G448)*100</f>
        <v>99.945085118066999</v>
      </c>
    </row>
    <row r="449" spans="1:14" ht="13.5" thickTop="1" x14ac:dyDescent="0.2">
      <c r="K449" s="984"/>
      <c r="L449" s="984"/>
      <c r="M449" s="984"/>
      <c r="N449" s="439"/>
    </row>
    <row r="450" spans="1:14" x14ac:dyDescent="0.2">
      <c r="K450" s="984"/>
      <c r="L450" s="984"/>
      <c r="M450" s="984"/>
      <c r="N450" s="439"/>
    </row>
    <row r="451" spans="1:14" s="558" customFormat="1" ht="13.5" thickBot="1" x14ac:dyDescent="0.25">
      <c r="A451" s="439" t="s">
        <v>1194</v>
      </c>
      <c r="B451" s="669"/>
      <c r="D451" s="884"/>
      <c r="F451" s="517"/>
      <c r="G451" s="517"/>
      <c r="H451" s="517"/>
      <c r="I451" s="1023" t="s">
        <v>179</v>
      </c>
    </row>
    <row r="452" spans="1:14" s="107" customFormat="1" ht="20.25" customHeight="1" thickTop="1" thickBot="1" x14ac:dyDescent="0.25">
      <c r="A452" s="714" t="s">
        <v>692</v>
      </c>
      <c r="B452" s="717" t="s">
        <v>180</v>
      </c>
      <c r="C452" s="715" t="s">
        <v>181</v>
      </c>
      <c r="D452" s="660" t="s">
        <v>783</v>
      </c>
      <c r="E452" s="718" t="s">
        <v>182</v>
      </c>
      <c r="F452" s="718" t="s">
        <v>183</v>
      </c>
      <c r="G452" s="718" t="s">
        <v>985</v>
      </c>
      <c r="H452" s="718" t="s">
        <v>986</v>
      </c>
      <c r="I452" s="888" t="s">
        <v>987</v>
      </c>
    </row>
    <row r="453" spans="1:14" s="386" customFormat="1" ht="13.5" thickTop="1" thickBot="1" x14ac:dyDescent="0.25">
      <c r="A453" s="1318">
        <v>1</v>
      </c>
      <c r="B453" s="1319">
        <v>2</v>
      </c>
      <c r="C453" s="1319">
        <v>3</v>
      </c>
      <c r="D453" s="1319">
        <v>4</v>
      </c>
      <c r="E453" s="593">
        <v>5</v>
      </c>
      <c r="F453" s="1320">
        <v>6</v>
      </c>
      <c r="G453" s="1320">
        <v>7</v>
      </c>
      <c r="H453" s="1321">
        <v>8</v>
      </c>
      <c r="I453" s="1322" t="s">
        <v>848</v>
      </c>
    </row>
    <row r="454" spans="1:14" s="558" customFormat="1" ht="16.5" thickTop="1" thickBot="1" x14ac:dyDescent="0.3">
      <c r="A454" s="1330">
        <v>60002100183</v>
      </c>
      <c r="B454" s="1041">
        <v>4357</v>
      </c>
      <c r="C454" s="1331">
        <v>6121</v>
      </c>
      <c r="D454" s="1042">
        <v>11</v>
      </c>
      <c r="E454" s="1325" t="s">
        <v>671</v>
      </c>
      <c r="F454" s="960"/>
      <c r="G454" s="1333">
        <v>512</v>
      </c>
      <c r="H454" s="960">
        <v>511</v>
      </c>
      <c r="I454" s="1334">
        <f>(H454/G454)*100</f>
        <v>99.8046875</v>
      </c>
    </row>
    <row r="455" spans="1:14" s="558" customFormat="1" ht="18" customHeight="1" thickTop="1" thickBot="1" x14ac:dyDescent="0.3">
      <c r="A455" s="2751" t="s">
        <v>267</v>
      </c>
      <c r="B455" s="2750"/>
      <c r="C455" s="2750"/>
      <c r="D455" s="2750"/>
      <c r="E455" s="2750"/>
      <c r="F455" s="943">
        <f>F454</f>
        <v>0</v>
      </c>
      <c r="G455" s="943">
        <f>G454</f>
        <v>512</v>
      </c>
      <c r="H455" s="943">
        <f>H454</f>
        <v>511</v>
      </c>
      <c r="I455" s="926">
        <f>(H455/G455)*100</f>
        <v>99.8046875</v>
      </c>
    </row>
    <row r="456" spans="1:14" ht="13.5" thickTop="1" x14ac:dyDescent="0.2">
      <c r="K456" s="984"/>
      <c r="L456" s="984"/>
      <c r="M456" s="984"/>
      <c r="N456" s="439"/>
    </row>
    <row r="457" spans="1:14" x14ac:dyDescent="0.2">
      <c r="K457" s="984"/>
      <c r="L457" s="984"/>
      <c r="M457" s="984"/>
      <c r="N457" s="439"/>
    </row>
    <row r="458" spans="1:14" s="558" customFormat="1" ht="13.5" thickBot="1" x14ac:dyDescent="0.25">
      <c r="A458" s="439" t="s">
        <v>472</v>
      </c>
      <c r="B458" s="669"/>
      <c r="D458" s="884"/>
      <c r="F458" s="517"/>
      <c r="G458" s="517"/>
      <c r="H458" s="517"/>
      <c r="I458" s="1023" t="s">
        <v>179</v>
      </c>
    </row>
    <row r="459" spans="1:14" s="107" customFormat="1" ht="20.25" customHeight="1" thickTop="1" thickBot="1" x14ac:dyDescent="0.25">
      <c r="A459" s="714" t="s">
        <v>692</v>
      </c>
      <c r="B459" s="717" t="s">
        <v>180</v>
      </c>
      <c r="C459" s="715" t="s">
        <v>181</v>
      </c>
      <c r="D459" s="660" t="s">
        <v>783</v>
      </c>
      <c r="E459" s="718" t="s">
        <v>182</v>
      </c>
      <c r="F459" s="718" t="s">
        <v>183</v>
      </c>
      <c r="G459" s="718" t="s">
        <v>985</v>
      </c>
      <c r="H459" s="718" t="s">
        <v>986</v>
      </c>
      <c r="I459" s="888" t="s">
        <v>987</v>
      </c>
    </row>
    <row r="460" spans="1:14" s="386" customFormat="1" ht="13.5" thickTop="1" thickBot="1" x14ac:dyDescent="0.25">
      <c r="A460" s="1318">
        <v>1</v>
      </c>
      <c r="B460" s="1319">
        <v>2</v>
      </c>
      <c r="C460" s="1319">
        <v>3</v>
      </c>
      <c r="D460" s="1319">
        <v>4</v>
      </c>
      <c r="E460" s="593">
        <v>5</v>
      </c>
      <c r="F460" s="1320">
        <v>6</v>
      </c>
      <c r="G460" s="1320">
        <v>7</v>
      </c>
      <c r="H460" s="1321">
        <v>8</v>
      </c>
      <c r="I460" s="1322" t="s">
        <v>848</v>
      </c>
    </row>
    <row r="461" spans="1:14" s="558" customFormat="1" ht="16.5" thickTop="1" thickBot="1" x14ac:dyDescent="0.3">
      <c r="A461" s="1330">
        <v>60002100209</v>
      </c>
      <c r="B461" s="1041">
        <v>4357</v>
      </c>
      <c r="C461" s="1331">
        <v>5171</v>
      </c>
      <c r="D461" s="1042">
        <v>11</v>
      </c>
      <c r="E461" s="1325" t="s">
        <v>1001</v>
      </c>
      <c r="F461" s="960"/>
      <c r="G461" s="1333">
        <v>1414</v>
      </c>
      <c r="H461" s="960">
        <v>1414</v>
      </c>
      <c r="I461" s="1334">
        <f>(H461/G461)*100</f>
        <v>100</v>
      </c>
    </row>
    <row r="462" spans="1:14" s="558" customFormat="1" ht="18" customHeight="1" thickTop="1" thickBot="1" x14ac:dyDescent="0.3">
      <c r="A462" s="2739" t="s">
        <v>268</v>
      </c>
      <c r="B462" s="2740"/>
      <c r="C462" s="2740"/>
      <c r="D462" s="2740"/>
      <c r="E462" s="2740"/>
      <c r="F462" s="943">
        <f>F461</f>
        <v>0</v>
      </c>
      <c r="G462" s="943">
        <f>G461</f>
        <v>1414</v>
      </c>
      <c r="H462" s="943">
        <f>H461</f>
        <v>1414</v>
      </c>
      <c r="I462" s="926">
        <f>(H462/G462)*100</f>
        <v>100</v>
      </c>
    </row>
    <row r="463" spans="1:14" ht="13.5" thickTop="1" x14ac:dyDescent="0.2">
      <c r="K463" s="984"/>
      <c r="L463" s="984"/>
      <c r="M463" s="984"/>
      <c r="N463" s="439"/>
    </row>
    <row r="464" spans="1:14" x14ac:dyDescent="0.2">
      <c r="K464" s="984"/>
      <c r="L464" s="984"/>
      <c r="M464" s="984"/>
      <c r="N464" s="439"/>
    </row>
    <row r="465" spans="1:14" x14ac:dyDescent="0.2">
      <c r="K465" s="984"/>
      <c r="L465" s="984"/>
      <c r="M465" s="984"/>
      <c r="N465" s="439"/>
    </row>
    <row r="466" spans="1:14" x14ac:dyDescent="0.2">
      <c r="K466" s="984"/>
      <c r="L466" s="984"/>
      <c r="M466" s="984"/>
      <c r="N466" s="439"/>
    </row>
    <row r="467" spans="1:14" x14ac:dyDescent="0.2">
      <c r="K467" s="984"/>
      <c r="L467" s="984"/>
      <c r="M467" s="984"/>
      <c r="N467" s="439"/>
    </row>
    <row r="468" spans="1:14" x14ac:dyDescent="0.2">
      <c r="K468" s="984"/>
      <c r="L468" s="984"/>
      <c r="M468" s="984"/>
      <c r="N468" s="439"/>
    </row>
    <row r="469" spans="1:14" s="558" customFormat="1" ht="13.5" thickBot="1" x14ac:dyDescent="0.25">
      <c r="A469" s="439" t="s">
        <v>473</v>
      </c>
      <c r="B469" s="669"/>
      <c r="D469" s="884"/>
      <c r="F469" s="517"/>
      <c r="G469" s="517"/>
      <c r="H469" s="517"/>
      <c r="I469" s="1023" t="s">
        <v>179</v>
      </c>
    </row>
    <row r="470" spans="1:14" s="107" customFormat="1" ht="20.25" customHeight="1" thickTop="1" thickBot="1" x14ac:dyDescent="0.25">
      <c r="A470" s="714" t="s">
        <v>692</v>
      </c>
      <c r="B470" s="717" t="s">
        <v>180</v>
      </c>
      <c r="C470" s="715" t="s">
        <v>181</v>
      </c>
      <c r="D470" s="660" t="s">
        <v>783</v>
      </c>
      <c r="E470" s="718" t="s">
        <v>182</v>
      </c>
      <c r="F470" s="718" t="s">
        <v>183</v>
      </c>
      <c r="G470" s="718" t="s">
        <v>985</v>
      </c>
      <c r="H470" s="718" t="s">
        <v>986</v>
      </c>
      <c r="I470" s="888" t="s">
        <v>987</v>
      </c>
    </row>
    <row r="471" spans="1:14" s="386" customFormat="1" ht="13.5" thickTop="1" thickBot="1" x14ac:dyDescent="0.25">
      <c r="A471" s="1318">
        <v>1</v>
      </c>
      <c r="B471" s="1319">
        <v>2</v>
      </c>
      <c r="C471" s="1319">
        <v>3</v>
      </c>
      <c r="D471" s="1319">
        <v>4</v>
      </c>
      <c r="E471" s="593">
        <v>5</v>
      </c>
      <c r="F471" s="1320">
        <v>6</v>
      </c>
      <c r="G471" s="1320">
        <v>7</v>
      </c>
      <c r="H471" s="1321">
        <v>8</v>
      </c>
      <c r="I471" s="1322" t="s">
        <v>848</v>
      </c>
    </row>
    <row r="472" spans="1:14" s="558" customFormat="1" ht="16.5" thickTop="1" thickBot="1" x14ac:dyDescent="0.3">
      <c r="A472" s="1330">
        <v>60002100249</v>
      </c>
      <c r="B472" s="1041">
        <v>4357</v>
      </c>
      <c r="C472" s="1331">
        <v>5137</v>
      </c>
      <c r="D472" s="1042">
        <v>11</v>
      </c>
      <c r="E472" s="1325" t="s">
        <v>173</v>
      </c>
      <c r="F472" s="960"/>
      <c r="G472" s="1333">
        <v>379</v>
      </c>
      <c r="H472" s="960">
        <v>379</v>
      </c>
      <c r="I472" s="1334">
        <f>(H472/G472)*100</f>
        <v>100</v>
      </c>
    </row>
    <row r="473" spans="1:14" s="558" customFormat="1" ht="18" customHeight="1" thickTop="1" thickBot="1" x14ac:dyDescent="0.3">
      <c r="A473" s="2739" t="s">
        <v>268</v>
      </c>
      <c r="B473" s="2740"/>
      <c r="C473" s="2740"/>
      <c r="D473" s="2740"/>
      <c r="E473" s="2740"/>
      <c r="F473" s="943">
        <f>F472</f>
        <v>0</v>
      </c>
      <c r="G473" s="943">
        <f>G472</f>
        <v>379</v>
      </c>
      <c r="H473" s="943">
        <f>H472</f>
        <v>379</v>
      </c>
      <c r="I473" s="926">
        <f>(H473/G473)*100</f>
        <v>100</v>
      </c>
    </row>
    <row r="474" spans="1:14" s="558" customFormat="1" ht="15.75" thickTop="1" x14ac:dyDescent="0.25">
      <c r="A474" s="1031">
        <v>60002100249</v>
      </c>
      <c r="B474" s="836">
        <v>4357</v>
      </c>
      <c r="C474" s="680">
        <v>6121</v>
      </c>
      <c r="D474" s="1047">
        <v>11</v>
      </c>
      <c r="E474" s="309" t="s">
        <v>671</v>
      </c>
      <c r="F474" s="1034"/>
      <c r="G474" s="1328">
        <v>3411</v>
      </c>
      <c r="H474" s="1034">
        <v>3331</v>
      </c>
      <c r="I474" s="1329">
        <f>(H474/G474)*100</f>
        <v>97.654646731163879</v>
      </c>
    </row>
    <row r="475" spans="1:14" s="558" customFormat="1" ht="15.75" thickBot="1" x14ac:dyDescent="0.3">
      <c r="A475" s="1037">
        <v>60002100249</v>
      </c>
      <c r="B475" s="962">
        <v>4357</v>
      </c>
      <c r="C475" s="962">
        <v>6122</v>
      </c>
      <c r="D475" s="1349">
        <v>11</v>
      </c>
      <c r="E475" s="1348" t="s">
        <v>672</v>
      </c>
      <c r="F475" s="1347"/>
      <c r="G475" s="1347">
        <v>772</v>
      </c>
      <c r="H475" s="1347">
        <v>772</v>
      </c>
      <c r="I475" s="1048">
        <f>(H475/G475)*100</f>
        <v>100</v>
      </c>
    </row>
    <row r="476" spans="1:14" s="558" customFormat="1" ht="18" customHeight="1" thickTop="1" thickBot="1" x14ac:dyDescent="0.3">
      <c r="A476" s="2751" t="s">
        <v>267</v>
      </c>
      <c r="B476" s="2750"/>
      <c r="C476" s="2750"/>
      <c r="D476" s="2750"/>
      <c r="E476" s="2750"/>
      <c r="F476" s="943">
        <f>F474</f>
        <v>0</v>
      </c>
      <c r="G476" s="943">
        <f>G474+G475</f>
        <v>4183</v>
      </c>
      <c r="H476" s="943">
        <f>H474+H475</f>
        <v>4103</v>
      </c>
      <c r="I476" s="926">
        <f>(H476/G476)*100</f>
        <v>98.087497011714078</v>
      </c>
    </row>
    <row r="477" spans="1:14" s="558" customFormat="1" ht="18" customHeight="1" thickTop="1" x14ac:dyDescent="0.25">
      <c r="A477" s="370"/>
      <c r="B477" s="370"/>
      <c r="C477" s="370"/>
      <c r="D477" s="370"/>
      <c r="E477" s="370"/>
      <c r="F477" s="181"/>
      <c r="G477" s="181"/>
      <c r="H477" s="181"/>
      <c r="I477" s="210"/>
    </row>
    <row r="478" spans="1:14" s="558" customFormat="1" ht="18" customHeight="1" x14ac:dyDescent="0.25">
      <c r="A478" s="370"/>
      <c r="B478" s="370"/>
      <c r="C478" s="370"/>
      <c r="D478" s="370"/>
      <c r="E478" s="370"/>
      <c r="F478" s="181"/>
      <c r="G478" s="181"/>
      <c r="H478" s="181"/>
      <c r="I478" s="210"/>
    </row>
    <row r="479" spans="1:14" s="558" customFormat="1" ht="13.5" thickBot="1" x14ac:dyDescent="0.25">
      <c r="A479" s="439" t="s">
        <v>474</v>
      </c>
      <c r="B479" s="669"/>
      <c r="D479" s="884"/>
      <c r="F479" s="517"/>
      <c r="G479" s="517"/>
      <c r="H479" s="517"/>
      <c r="I479" s="1023" t="s">
        <v>179</v>
      </c>
    </row>
    <row r="480" spans="1:14" s="107" customFormat="1" ht="20.25" customHeight="1" thickTop="1" thickBot="1" x14ac:dyDescent="0.25">
      <c r="A480" s="714" t="s">
        <v>692</v>
      </c>
      <c r="B480" s="717" t="s">
        <v>180</v>
      </c>
      <c r="C480" s="715" t="s">
        <v>181</v>
      </c>
      <c r="D480" s="660" t="s">
        <v>783</v>
      </c>
      <c r="E480" s="718" t="s">
        <v>182</v>
      </c>
      <c r="F480" s="718" t="s">
        <v>183</v>
      </c>
      <c r="G480" s="718" t="s">
        <v>985</v>
      </c>
      <c r="H480" s="718" t="s">
        <v>986</v>
      </c>
      <c r="I480" s="888" t="s">
        <v>987</v>
      </c>
    </row>
    <row r="481" spans="1:14" s="386" customFormat="1" ht="13.5" thickTop="1" thickBot="1" x14ac:dyDescent="0.25">
      <c r="A481" s="1318">
        <v>1</v>
      </c>
      <c r="B481" s="1319">
        <v>2</v>
      </c>
      <c r="C481" s="1319">
        <v>3</v>
      </c>
      <c r="D481" s="1319">
        <v>4</v>
      </c>
      <c r="E481" s="593">
        <v>5</v>
      </c>
      <c r="F481" s="1320">
        <v>6</v>
      </c>
      <c r="G481" s="1320">
        <v>7</v>
      </c>
      <c r="H481" s="1321">
        <v>8</v>
      </c>
      <c r="I481" s="1322" t="s">
        <v>848</v>
      </c>
    </row>
    <row r="482" spans="1:14" s="558" customFormat="1" ht="16.5" thickTop="1" thickBot="1" x14ac:dyDescent="0.3">
      <c r="A482" s="1330">
        <v>60002100250</v>
      </c>
      <c r="B482" s="1041">
        <v>4357</v>
      </c>
      <c r="C482" s="1331">
        <v>6121</v>
      </c>
      <c r="D482" s="1042">
        <v>11</v>
      </c>
      <c r="E482" s="1043" t="s">
        <v>671</v>
      </c>
      <c r="F482" s="960"/>
      <c r="G482" s="1333">
        <v>1200</v>
      </c>
      <c r="H482" s="960">
        <v>78</v>
      </c>
      <c r="I482" s="1334">
        <f>(H482/G482)*100</f>
        <v>6.5</v>
      </c>
    </row>
    <row r="483" spans="1:14" s="558" customFormat="1" ht="18" customHeight="1" thickTop="1" thickBot="1" x14ac:dyDescent="0.3">
      <c r="A483" s="2751" t="s">
        <v>267</v>
      </c>
      <c r="B483" s="2750"/>
      <c r="C483" s="2750"/>
      <c r="D483" s="2750"/>
      <c r="E483" s="2750"/>
      <c r="F483" s="943">
        <f>F482</f>
        <v>0</v>
      </c>
      <c r="G483" s="943">
        <f>G482</f>
        <v>1200</v>
      </c>
      <c r="H483" s="943">
        <f>H482</f>
        <v>78</v>
      </c>
      <c r="I483" s="926">
        <f>(H483/G483)*100</f>
        <v>6.5</v>
      </c>
    </row>
    <row r="484" spans="1:14" ht="13.5" thickTop="1" x14ac:dyDescent="0.2">
      <c r="K484" s="984"/>
      <c r="L484" s="984"/>
      <c r="M484" s="984"/>
      <c r="N484" s="439"/>
    </row>
    <row r="485" spans="1:14" x14ac:dyDescent="0.2">
      <c r="K485" s="984"/>
      <c r="L485" s="984"/>
      <c r="M485" s="984"/>
      <c r="N485" s="439"/>
    </row>
    <row r="486" spans="1:14" s="558" customFormat="1" ht="13.5" thickBot="1" x14ac:dyDescent="0.25">
      <c r="A486" s="439" t="s">
        <v>475</v>
      </c>
      <c r="B486" s="669"/>
      <c r="D486" s="884"/>
      <c r="F486" s="517"/>
      <c r="G486" s="517"/>
      <c r="H486" s="517"/>
      <c r="I486" s="1023" t="s">
        <v>179</v>
      </c>
    </row>
    <row r="487" spans="1:14" s="107" customFormat="1" ht="20.25" customHeight="1" thickTop="1" thickBot="1" x14ac:dyDescent="0.25">
      <c r="A487" s="714" t="s">
        <v>692</v>
      </c>
      <c r="B487" s="717" t="s">
        <v>180</v>
      </c>
      <c r="C487" s="715" t="s">
        <v>181</v>
      </c>
      <c r="D487" s="660" t="s">
        <v>783</v>
      </c>
      <c r="E487" s="718" t="s">
        <v>182</v>
      </c>
      <c r="F487" s="718" t="s">
        <v>183</v>
      </c>
      <c r="G487" s="718" t="s">
        <v>985</v>
      </c>
      <c r="H487" s="718" t="s">
        <v>986</v>
      </c>
      <c r="I487" s="888" t="s">
        <v>987</v>
      </c>
    </row>
    <row r="488" spans="1:14" s="386" customFormat="1" ht="13.5" thickTop="1" thickBot="1" x14ac:dyDescent="0.25">
      <c r="A488" s="1318">
        <v>1</v>
      </c>
      <c r="B488" s="1319">
        <v>2</v>
      </c>
      <c r="C488" s="1319">
        <v>3</v>
      </c>
      <c r="D488" s="1319">
        <v>4</v>
      </c>
      <c r="E488" s="593">
        <v>5</v>
      </c>
      <c r="F488" s="1320">
        <v>6</v>
      </c>
      <c r="G488" s="1320">
        <v>7</v>
      </c>
      <c r="H488" s="1321">
        <v>8</v>
      </c>
      <c r="I488" s="1322" t="s">
        <v>848</v>
      </c>
    </row>
    <row r="489" spans="1:14" s="558" customFormat="1" ht="16.5" thickTop="1" thickBot="1" x14ac:dyDescent="0.3">
      <c r="A489" s="1330">
        <v>60002100251</v>
      </c>
      <c r="B489" s="1041">
        <v>4322</v>
      </c>
      <c r="C489" s="1331">
        <v>6121</v>
      </c>
      <c r="D489" s="1042">
        <v>870</v>
      </c>
      <c r="E489" s="1043" t="s">
        <v>671</v>
      </c>
      <c r="F489" s="960"/>
      <c r="G489" s="1333">
        <v>5730</v>
      </c>
      <c r="H489" s="960">
        <v>5241</v>
      </c>
      <c r="I489" s="1334">
        <f>(H489/G489)*100</f>
        <v>91.465968586387433</v>
      </c>
    </row>
    <row r="490" spans="1:14" s="558" customFormat="1" ht="18" customHeight="1" thickTop="1" thickBot="1" x14ac:dyDescent="0.3">
      <c r="A490" s="2751" t="s">
        <v>267</v>
      </c>
      <c r="B490" s="2750"/>
      <c r="C490" s="2750"/>
      <c r="D490" s="2750"/>
      <c r="E490" s="2750"/>
      <c r="F490" s="943">
        <f>F489</f>
        <v>0</v>
      </c>
      <c r="G490" s="943">
        <f>G489</f>
        <v>5730</v>
      </c>
      <c r="H490" s="943">
        <f>H489</f>
        <v>5241</v>
      </c>
      <c r="I490" s="926">
        <f>(H490/G490)*100</f>
        <v>91.465968586387433</v>
      </c>
    </row>
    <row r="491" spans="1:14" ht="13.5" thickTop="1" x14ac:dyDescent="0.2">
      <c r="K491" s="984"/>
      <c r="L491" s="984"/>
      <c r="M491" s="984"/>
      <c r="N491" s="439"/>
    </row>
    <row r="492" spans="1:14" x14ac:dyDescent="0.2">
      <c r="K492" s="984"/>
      <c r="L492" s="984"/>
      <c r="M492" s="984"/>
      <c r="N492" s="439"/>
    </row>
    <row r="493" spans="1:14" s="558" customFormat="1" ht="13.5" thickBot="1" x14ac:dyDescent="0.25">
      <c r="A493" s="439" t="s">
        <v>476</v>
      </c>
      <c r="B493" s="669"/>
      <c r="D493" s="884"/>
      <c r="F493" s="517"/>
      <c r="G493" s="517"/>
      <c r="H493" s="517"/>
      <c r="I493" s="1023" t="s">
        <v>179</v>
      </c>
    </row>
    <row r="494" spans="1:14" s="107" customFormat="1" ht="20.25" customHeight="1" thickTop="1" thickBot="1" x14ac:dyDescent="0.25">
      <c r="A494" s="714" t="s">
        <v>692</v>
      </c>
      <c r="B494" s="717" t="s">
        <v>180</v>
      </c>
      <c r="C494" s="715" t="s">
        <v>181</v>
      </c>
      <c r="D494" s="660" t="s">
        <v>783</v>
      </c>
      <c r="E494" s="718" t="s">
        <v>182</v>
      </c>
      <c r="F494" s="718" t="s">
        <v>183</v>
      </c>
      <c r="G494" s="718" t="s">
        <v>985</v>
      </c>
      <c r="H494" s="718" t="s">
        <v>986</v>
      </c>
      <c r="I494" s="888" t="s">
        <v>987</v>
      </c>
    </row>
    <row r="495" spans="1:14" s="386" customFormat="1" ht="13.5" thickTop="1" thickBot="1" x14ac:dyDescent="0.25">
      <c r="A495" s="1318">
        <v>1</v>
      </c>
      <c r="B495" s="1319">
        <v>2</v>
      </c>
      <c r="C495" s="1319">
        <v>3</v>
      </c>
      <c r="D495" s="1319">
        <v>4</v>
      </c>
      <c r="E495" s="593">
        <v>5</v>
      </c>
      <c r="F495" s="1320">
        <v>6</v>
      </c>
      <c r="G495" s="1320">
        <v>7</v>
      </c>
      <c r="H495" s="1321">
        <v>8</v>
      </c>
      <c r="I495" s="1322" t="s">
        <v>848</v>
      </c>
    </row>
    <row r="496" spans="1:14" s="558" customFormat="1" ht="16.5" thickTop="1" thickBot="1" x14ac:dyDescent="0.3">
      <c r="A496" s="1330">
        <v>60002100252</v>
      </c>
      <c r="B496" s="1041">
        <v>4322</v>
      </c>
      <c r="C496" s="1331">
        <v>6121</v>
      </c>
      <c r="D496" s="1042">
        <v>11</v>
      </c>
      <c r="E496" s="1043" t="s">
        <v>671</v>
      </c>
      <c r="F496" s="960"/>
      <c r="G496" s="1333">
        <v>527</v>
      </c>
      <c r="H496" s="960">
        <v>459</v>
      </c>
      <c r="I496" s="1334">
        <f>(H496/G496)*100</f>
        <v>87.096774193548384</v>
      </c>
    </row>
    <row r="497" spans="1:14" s="558" customFormat="1" ht="18" customHeight="1" thickTop="1" thickBot="1" x14ac:dyDescent="0.3">
      <c r="A497" s="2751" t="s">
        <v>267</v>
      </c>
      <c r="B497" s="2750"/>
      <c r="C497" s="2750"/>
      <c r="D497" s="2750"/>
      <c r="E497" s="2750"/>
      <c r="F497" s="943">
        <f>F496</f>
        <v>0</v>
      </c>
      <c r="G497" s="943">
        <f>G496</f>
        <v>527</v>
      </c>
      <c r="H497" s="943">
        <f>H496</f>
        <v>459</v>
      </c>
      <c r="I497" s="926">
        <f>(H497/G497)*100</f>
        <v>87.096774193548384</v>
      </c>
    </row>
    <row r="498" spans="1:14" ht="13.5" thickTop="1" x14ac:dyDescent="0.2">
      <c r="K498" s="984"/>
      <c r="L498" s="984"/>
      <c r="M498" s="984"/>
      <c r="N498" s="439"/>
    </row>
    <row r="499" spans="1:14" x14ac:dyDescent="0.2">
      <c r="K499" s="984"/>
      <c r="L499" s="984"/>
      <c r="M499" s="984"/>
      <c r="N499" s="439"/>
    </row>
    <row r="500" spans="1:14" s="558" customFormat="1" ht="13.5" thickBot="1" x14ac:dyDescent="0.25">
      <c r="A500" s="439" t="s">
        <v>477</v>
      </c>
      <c r="B500" s="669"/>
      <c r="D500" s="884"/>
      <c r="F500" s="517"/>
      <c r="G500" s="517"/>
      <c r="H500" s="517"/>
      <c r="I500" s="1023" t="s">
        <v>179</v>
      </c>
    </row>
    <row r="501" spans="1:14" s="107" customFormat="1" ht="20.25" customHeight="1" thickTop="1" thickBot="1" x14ac:dyDescent="0.25">
      <c r="A501" s="714" t="s">
        <v>692</v>
      </c>
      <c r="B501" s="717" t="s">
        <v>180</v>
      </c>
      <c r="C501" s="715" t="s">
        <v>181</v>
      </c>
      <c r="D501" s="660" t="s">
        <v>783</v>
      </c>
      <c r="E501" s="718" t="s">
        <v>182</v>
      </c>
      <c r="F501" s="718" t="s">
        <v>183</v>
      </c>
      <c r="G501" s="718" t="s">
        <v>985</v>
      </c>
      <c r="H501" s="718" t="s">
        <v>986</v>
      </c>
      <c r="I501" s="888" t="s">
        <v>987</v>
      </c>
    </row>
    <row r="502" spans="1:14" s="386" customFormat="1" ht="13.5" thickTop="1" thickBot="1" x14ac:dyDescent="0.25">
      <c r="A502" s="1318">
        <v>1</v>
      </c>
      <c r="B502" s="1319">
        <v>2</v>
      </c>
      <c r="C502" s="1319">
        <v>3</v>
      </c>
      <c r="D502" s="1319">
        <v>4</v>
      </c>
      <c r="E502" s="593">
        <v>5</v>
      </c>
      <c r="F502" s="1320">
        <v>6</v>
      </c>
      <c r="G502" s="1320">
        <v>7</v>
      </c>
      <c r="H502" s="1321">
        <v>8</v>
      </c>
      <c r="I502" s="1322" t="s">
        <v>848</v>
      </c>
    </row>
    <row r="503" spans="1:14" s="558" customFormat="1" ht="16.5" thickTop="1" thickBot="1" x14ac:dyDescent="0.3">
      <c r="A503" s="1330">
        <v>60002100253</v>
      </c>
      <c r="B503" s="1041">
        <v>4322</v>
      </c>
      <c r="C503" s="1331">
        <v>5171</v>
      </c>
      <c r="D503" s="1042">
        <v>11</v>
      </c>
      <c r="E503" s="1043" t="s">
        <v>1001</v>
      </c>
      <c r="F503" s="960"/>
      <c r="G503" s="1333">
        <v>1560</v>
      </c>
      <c r="H503" s="960">
        <v>1198</v>
      </c>
      <c r="I503" s="1334">
        <f>(H503/G503)*100</f>
        <v>76.794871794871796</v>
      </c>
    </row>
    <row r="504" spans="1:14" s="558" customFormat="1" ht="18" customHeight="1" thickTop="1" thickBot="1" x14ac:dyDescent="0.3">
      <c r="A504" s="2739" t="s">
        <v>268</v>
      </c>
      <c r="B504" s="2740"/>
      <c r="C504" s="2740"/>
      <c r="D504" s="2740"/>
      <c r="E504" s="2740"/>
      <c r="F504" s="943">
        <f>F503</f>
        <v>0</v>
      </c>
      <c r="G504" s="943">
        <f>G503</f>
        <v>1560</v>
      </c>
      <c r="H504" s="943">
        <f>H503</f>
        <v>1198</v>
      </c>
      <c r="I504" s="926">
        <f>(H504/G504)*100</f>
        <v>76.794871794871796</v>
      </c>
    </row>
    <row r="505" spans="1:14" ht="13.5" thickTop="1" x14ac:dyDescent="0.2">
      <c r="K505" s="984"/>
      <c r="L505" s="984"/>
      <c r="M505" s="984"/>
      <c r="N505" s="439"/>
    </row>
    <row r="506" spans="1:14" x14ac:dyDescent="0.2">
      <c r="K506" s="984"/>
      <c r="L506" s="984"/>
      <c r="M506" s="984"/>
      <c r="N506" s="439"/>
    </row>
    <row r="507" spans="1:14" s="558" customFormat="1" ht="13.5" thickBot="1" x14ac:dyDescent="0.25">
      <c r="A507" s="439" t="s">
        <v>478</v>
      </c>
      <c r="B507" s="669"/>
      <c r="D507" s="884"/>
      <c r="F507" s="517"/>
      <c r="G507" s="517"/>
      <c r="H507" s="517"/>
      <c r="I507" s="1023" t="s">
        <v>179</v>
      </c>
    </row>
    <row r="508" spans="1:14" s="107" customFormat="1" ht="20.25" customHeight="1" thickTop="1" thickBot="1" x14ac:dyDescent="0.25">
      <c r="A508" s="714" t="s">
        <v>692</v>
      </c>
      <c r="B508" s="717" t="s">
        <v>180</v>
      </c>
      <c r="C508" s="715" t="s">
        <v>181</v>
      </c>
      <c r="D508" s="660" t="s">
        <v>783</v>
      </c>
      <c r="E508" s="718" t="s">
        <v>182</v>
      </c>
      <c r="F508" s="718" t="s">
        <v>183</v>
      </c>
      <c r="G508" s="718" t="s">
        <v>985</v>
      </c>
      <c r="H508" s="718" t="s">
        <v>986</v>
      </c>
      <c r="I508" s="888" t="s">
        <v>987</v>
      </c>
    </row>
    <row r="509" spans="1:14" s="386" customFormat="1" ht="13.5" thickTop="1" thickBot="1" x14ac:dyDescent="0.25">
      <c r="A509" s="1318">
        <v>1</v>
      </c>
      <c r="B509" s="1319">
        <v>2</v>
      </c>
      <c r="C509" s="1319">
        <v>3</v>
      </c>
      <c r="D509" s="1319">
        <v>4</v>
      </c>
      <c r="E509" s="593">
        <v>5</v>
      </c>
      <c r="F509" s="1320">
        <v>6</v>
      </c>
      <c r="G509" s="1320">
        <v>7</v>
      </c>
      <c r="H509" s="1321">
        <v>8</v>
      </c>
      <c r="I509" s="1322" t="s">
        <v>848</v>
      </c>
    </row>
    <row r="510" spans="1:14" s="558" customFormat="1" ht="16.5" thickTop="1" thickBot="1" x14ac:dyDescent="0.3">
      <c r="A510" s="1330">
        <v>60002100255</v>
      </c>
      <c r="B510" s="1041">
        <v>4357</v>
      </c>
      <c r="C510" s="1331">
        <v>6121</v>
      </c>
      <c r="D510" s="1042">
        <v>11</v>
      </c>
      <c r="E510" s="1043" t="s">
        <v>671</v>
      </c>
      <c r="F510" s="960"/>
      <c r="G510" s="1333">
        <v>1314</v>
      </c>
      <c r="H510" s="960">
        <v>115</v>
      </c>
      <c r="I510" s="1334">
        <f>(H510/G510)*100</f>
        <v>8.7519025875190248</v>
      </c>
    </row>
    <row r="511" spans="1:14" s="558" customFormat="1" ht="18" customHeight="1" thickTop="1" thickBot="1" x14ac:dyDescent="0.3">
      <c r="A511" s="2751" t="s">
        <v>267</v>
      </c>
      <c r="B511" s="2750"/>
      <c r="C511" s="2750"/>
      <c r="D511" s="2750"/>
      <c r="E511" s="2750"/>
      <c r="F511" s="943">
        <f>F510</f>
        <v>0</v>
      </c>
      <c r="G511" s="943">
        <f>G510</f>
        <v>1314</v>
      </c>
      <c r="H511" s="943">
        <f>H510</f>
        <v>115</v>
      </c>
      <c r="I511" s="926">
        <f>(H511/G511)*100</f>
        <v>8.7519025875190248</v>
      </c>
    </row>
    <row r="512" spans="1:14" ht="13.5" thickTop="1" x14ac:dyDescent="0.2">
      <c r="K512" s="984"/>
      <c r="L512" s="984"/>
      <c r="M512" s="984"/>
      <c r="N512" s="439"/>
    </row>
    <row r="513" spans="1:14" x14ac:dyDescent="0.2">
      <c r="K513" s="984"/>
      <c r="L513" s="984"/>
      <c r="M513" s="984"/>
      <c r="N513" s="439"/>
    </row>
    <row r="514" spans="1:14" s="558" customFormat="1" ht="13.5" thickBot="1" x14ac:dyDescent="0.25">
      <c r="A514" s="439" t="s">
        <v>900</v>
      </c>
      <c r="B514" s="669"/>
      <c r="D514" s="884"/>
      <c r="F514" s="517"/>
      <c r="G514" s="517"/>
      <c r="H514" s="517"/>
      <c r="I514" s="1023" t="s">
        <v>179</v>
      </c>
    </row>
    <row r="515" spans="1:14" s="107" customFormat="1" ht="20.25" customHeight="1" thickTop="1" thickBot="1" x14ac:dyDescent="0.25">
      <c r="A515" s="714" t="s">
        <v>692</v>
      </c>
      <c r="B515" s="717" t="s">
        <v>180</v>
      </c>
      <c r="C515" s="715" t="s">
        <v>181</v>
      </c>
      <c r="D515" s="660" t="s">
        <v>783</v>
      </c>
      <c r="E515" s="718" t="s">
        <v>182</v>
      </c>
      <c r="F515" s="718" t="s">
        <v>183</v>
      </c>
      <c r="G515" s="718" t="s">
        <v>985</v>
      </c>
      <c r="H515" s="718" t="s">
        <v>986</v>
      </c>
      <c r="I515" s="888" t="s">
        <v>987</v>
      </c>
    </row>
    <row r="516" spans="1:14" s="386" customFormat="1" ht="13.5" thickTop="1" thickBot="1" x14ac:dyDescent="0.25">
      <c r="A516" s="1318">
        <v>1</v>
      </c>
      <c r="B516" s="1319">
        <v>2</v>
      </c>
      <c r="C516" s="1319">
        <v>3</v>
      </c>
      <c r="D516" s="1319">
        <v>4</v>
      </c>
      <c r="E516" s="593">
        <v>5</v>
      </c>
      <c r="F516" s="1320">
        <v>6</v>
      </c>
      <c r="G516" s="1320">
        <v>7</v>
      </c>
      <c r="H516" s="1321">
        <v>8</v>
      </c>
      <c r="I516" s="1322" t="s">
        <v>848</v>
      </c>
    </row>
    <row r="517" spans="1:14" s="558" customFormat="1" ht="16.5" thickTop="1" thickBot="1" x14ac:dyDescent="0.3">
      <c r="A517" s="1330">
        <v>60002100256</v>
      </c>
      <c r="B517" s="1041">
        <v>4357</v>
      </c>
      <c r="C517" s="1331">
        <v>6121</v>
      </c>
      <c r="D517" s="1042">
        <v>11</v>
      </c>
      <c r="E517" s="1043" t="s">
        <v>671</v>
      </c>
      <c r="F517" s="960"/>
      <c r="G517" s="1333">
        <v>759</v>
      </c>
      <c r="H517" s="960">
        <v>759</v>
      </c>
      <c r="I517" s="1334">
        <f>(H517/G517)*100</f>
        <v>100</v>
      </c>
    </row>
    <row r="518" spans="1:14" s="558" customFormat="1" ht="18" customHeight="1" thickTop="1" thickBot="1" x14ac:dyDescent="0.3">
      <c r="A518" s="2751" t="s">
        <v>267</v>
      </c>
      <c r="B518" s="2750"/>
      <c r="C518" s="2750"/>
      <c r="D518" s="2750"/>
      <c r="E518" s="2750"/>
      <c r="F518" s="943">
        <f>F517</f>
        <v>0</v>
      </c>
      <c r="G518" s="943">
        <f>G517</f>
        <v>759</v>
      </c>
      <c r="H518" s="943">
        <f>H517</f>
        <v>759</v>
      </c>
      <c r="I518" s="926">
        <f>(H518/G518)*100</f>
        <v>100</v>
      </c>
    </row>
    <row r="519" spans="1:14" ht="13.5" thickTop="1" x14ac:dyDescent="0.2">
      <c r="K519" s="984"/>
      <c r="L519" s="984"/>
      <c r="M519" s="984"/>
      <c r="N519" s="439"/>
    </row>
    <row r="520" spans="1:14" x14ac:dyDescent="0.2">
      <c r="K520" s="984"/>
      <c r="L520" s="984"/>
      <c r="M520" s="984"/>
      <c r="N520" s="439"/>
    </row>
    <row r="521" spans="1:14" s="558" customFormat="1" ht="13.5" thickBot="1" x14ac:dyDescent="0.25">
      <c r="A521" s="439" t="s">
        <v>901</v>
      </c>
      <c r="B521" s="669"/>
      <c r="D521" s="884"/>
      <c r="F521" s="517"/>
      <c r="G521" s="517"/>
      <c r="H521" s="517"/>
      <c r="I521" s="1023" t="s">
        <v>179</v>
      </c>
    </row>
    <row r="522" spans="1:14" s="107" customFormat="1" ht="20.25" customHeight="1" thickTop="1" thickBot="1" x14ac:dyDescent="0.25">
      <c r="A522" s="714" t="s">
        <v>692</v>
      </c>
      <c r="B522" s="717" t="s">
        <v>180</v>
      </c>
      <c r="C522" s="715" t="s">
        <v>181</v>
      </c>
      <c r="D522" s="660" t="s">
        <v>783</v>
      </c>
      <c r="E522" s="718" t="s">
        <v>182</v>
      </c>
      <c r="F522" s="718" t="s">
        <v>183</v>
      </c>
      <c r="G522" s="718" t="s">
        <v>985</v>
      </c>
      <c r="H522" s="718" t="s">
        <v>986</v>
      </c>
      <c r="I522" s="888" t="s">
        <v>987</v>
      </c>
    </row>
    <row r="523" spans="1:14" s="386" customFormat="1" ht="13.5" thickTop="1" thickBot="1" x14ac:dyDescent="0.25">
      <c r="A523" s="1318">
        <v>1</v>
      </c>
      <c r="B523" s="1319">
        <v>2</v>
      </c>
      <c r="C523" s="1319">
        <v>3</v>
      </c>
      <c r="D523" s="1319">
        <v>4</v>
      </c>
      <c r="E523" s="593">
        <v>5</v>
      </c>
      <c r="F523" s="1320">
        <v>6</v>
      </c>
      <c r="G523" s="1320">
        <v>7</v>
      </c>
      <c r="H523" s="1321">
        <v>8</v>
      </c>
      <c r="I523" s="1322" t="s">
        <v>848</v>
      </c>
    </row>
    <row r="524" spans="1:14" s="558" customFormat="1" ht="16.5" thickTop="1" thickBot="1" x14ac:dyDescent="0.3">
      <c r="A524" s="1330">
        <v>60002100258</v>
      </c>
      <c r="B524" s="1041">
        <v>4357</v>
      </c>
      <c r="C524" s="1331">
        <v>6121</v>
      </c>
      <c r="D524" s="1042">
        <v>870</v>
      </c>
      <c r="E524" s="1043" t="s">
        <v>671</v>
      </c>
      <c r="F524" s="960"/>
      <c r="G524" s="1333">
        <v>545</v>
      </c>
      <c r="H524" s="960">
        <v>0</v>
      </c>
      <c r="I524" s="1334">
        <f>(H524/G524)*100</f>
        <v>0</v>
      </c>
    </row>
    <row r="525" spans="1:14" s="558" customFormat="1" ht="18" customHeight="1" thickTop="1" thickBot="1" x14ac:dyDescent="0.3">
      <c r="A525" s="2751" t="s">
        <v>267</v>
      </c>
      <c r="B525" s="2750"/>
      <c r="C525" s="2750"/>
      <c r="D525" s="2750"/>
      <c r="E525" s="2750"/>
      <c r="F525" s="943">
        <f>F524</f>
        <v>0</v>
      </c>
      <c r="G525" s="943">
        <f>G524</f>
        <v>545</v>
      </c>
      <c r="H525" s="943">
        <f>H524</f>
        <v>0</v>
      </c>
      <c r="I525" s="926">
        <f>(H525/G525)*100</f>
        <v>0</v>
      </c>
    </row>
    <row r="526" spans="1:14" ht="13.5" thickTop="1" x14ac:dyDescent="0.2">
      <c r="K526" s="984"/>
      <c r="L526" s="984"/>
      <c r="M526" s="984"/>
      <c r="N526" s="439"/>
    </row>
    <row r="527" spans="1:14" x14ac:dyDescent="0.2">
      <c r="K527" s="984"/>
      <c r="L527" s="984"/>
      <c r="M527" s="984"/>
      <c r="N527" s="439"/>
    </row>
    <row r="528" spans="1:14" s="558" customFormat="1" ht="13.5" thickBot="1" x14ac:dyDescent="0.25">
      <c r="A528" s="439" t="s">
        <v>340</v>
      </c>
      <c r="B528" s="669"/>
      <c r="D528" s="884"/>
      <c r="F528" s="517"/>
      <c r="G528" s="517"/>
      <c r="H528" s="517"/>
      <c r="I528" s="1023" t="s">
        <v>179</v>
      </c>
    </row>
    <row r="529" spans="1:14" s="107" customFormat="1" ht="20.25" customHeight="1" thickTop="1" thickBot="1" x14ac:dyDescent="0.25">
      <c r="A529" s="714" t="s">
        <v>692</v>
      </c>
      <c r="B529" s="717" t="s">
        <v>180</v>
      </c>
      <c r="C529" s="715" t="s">
        <v>181</v>
      </c>
      <c r="D529" s="660" t="s">
        <v>783</v>
      </c>
      <c r="E529" s="718" t="s">
        <v>182</v>
      </c>
      <c r="F529" s="718" t="s">
        <v>183</v>
      </c>
      <c r="G529" s="718" t="s">
        <v>985</v>
      </c>
      <c r="H529" s="718" t="s">
        <v>986</v>
      </c>
      <c r="I529" s="888" t="s">
        <v>987</v>
      </c>
    </row>
    <row r="530" spans="1:14" s="386" customFormat="1" ht="13.5" thickTop="1" thickBot="1" x14ac:dyDescent="0.25">
      <c r="A530" s="1318">
        <v>1</v>
      </c>
      <c r="B530" s="1319">
        <v>2</v>
      </c>
      <c r="C530" s="1319">
        <v>3</v>
      </c>
      <c r="D530" s="1319">
        <v>4</v>
      </c>
      <c r="E530" s="593">
        <v>5</v>
      </c>
      <c r="F530" s="1320">
        <v>6</v>
      </c>
      <c r="G530" s="1320">
        <v>7</v>
      </c>
      <c r="H530" s="1321">
        <v>8</v>
      </c>
      <c r="I530" s="1322" t="s">
        <v>848</v>
      </c>
    </row>
    <row r="531" spans="1:14" s="558" customFormat="1" ht="16.5" thickTop="1" thickBot="1" x14ac:dyDescent="0.3">
      <c r="A531" s="1330">
        <v>60002100259</v>
      </c>
      <c r="B531" s="1041">
        <v>4357</v>
      </c>
      <c r="C531" s="1331">
        <v>6121</v>
      </c>
      <c r="D531" s="1042">
        <v>870</v>
      </c>
      <c r="E531" s="1043" t="s">
        <v>671</v>
      </c>
      <c r="F531" s="960"/>
      <c r="G531" s="1333">
        <v>1305</v>
      </c>
      <c r="H531" s="960">
        <v>103</v>
      </c>
      <c r="I531" s="1334">
        <f>(H531/G531)*100</f>
        <v>7.8927203065134091</v>
      </c>
    </row>
    <row r="532" spans="1:14" s="558" customFormat="1" ht="18" customHeight="1" thickTop="1" thickBot="1" x14ac:dyDescent="0.3">
      <c r="A532" s="2751" t="s">
        <v>267</v>
      </c>
      <c r="B532" s="2750"/>
      <c r="C532" s="2750"/>
      <c r="D532" s="2750"/>
      <c r="E532" s="2750"/>
      <c r="F532" s="943">
        <f>F531</f>
        <v>0</v>
      </c>
      <c r="G532" s="943">
        <f>G531</f>
        <v>1305</v>
      </c>
      <c r="H532" s="943">
        <f>H531</f>
        <v>103</v>
      </c>
      <c r="I532" s="926">
        <f>(H532/G532)*100</f>
        <v>7.8927203065134091</v>
      </c>
    </row>
    <row r="533" spans="1:14" ht="13.5" thickTop="1" x14ac:dyDescent="0.2">
      <c r="K533" s="984"/>
      <c r="L533" s="984"/>
      <c r="M533" s="984"/>
      <c r="N533" s="439"/>
    </row>
    <row r="534" spans="1:14" x14ac:dyDescent="0.2">
      <c r="K534" s="984"/>
      <c r="L534" s="984"/>
      <c r="M534" s="984"/>
      <c r="N534" s="439"/>
    </row>
    <row r="535" spans="1:14" s="558" customFormat="1" ht="13.5" thickBot="1" x14ac:dyDescent="0.25">
      <c r="A535" s="439" t="s">
        <v>341</v>
      </c>
      <c r="B535" s="669"/>
      <c r="D535" s="884"/>
      <c r="F535" s="517"/>
      <c r="G535" s="517"/>
      <c r="H535" s="517"/>
      <c r="I535" s="1023" t="s">
        <v>179</v>
      </c>
    </row>
    <row r="536" spans="1:14" s="107" customFormat="1" ht="20.25" customHeight="1" thickTop="1" thickBot="1" x14ac:dyDescent="0.25">
      <c r="A536" s="714" t="s">
        <v>692</v>
      </c>
      <c r="B536" s="717" t="s">
        <v>180</v>
      </c>
      <c r="C536" s="715" t="s">
        <v>181</v>
      </c>
      <c r="D536" s="660" t="s">
        <v>783</v>
      </c>
      <c r="E536" s="718" t="s">
        <v>182</v>
      </c>
      <c r="F536" s="718" t="s">
        <v>183</v>
      </c>
      <c r="G536" s="718" t="s">
        <v>985</v>
      </c>
      <c r="H536" s="718" t="s">
        <v>986</v>
      </c>
      <c r="I536" s="888" t="s">
        <v>987</v>
      </c>
    </row>
    <row r="537" spans="1:14" s="386" customFormat="1" ht="13.5" thickTop="1" thickBot="1" x14ac:dyDescent="0.25">
      <c r="A537" s="1318">
        <v>1</v>
      </c>
      <c r="B537" s="1319">
        <v>2</v>
      </c>
      <c r="C537" s="1319">
        <v>3</v>
      </c>
      <c r="D537" s="1319">
        <v>4</v>
      </c>
      <c r="E537" s="593">
        <v>5</v>
      </c>
      <c r="F537" s="1320">
        <v>6</v>
      </c>
      <c r="G537" s="1320">
        <v>7</v>
      </c>
      <c r="H537" s="1321">
        <v>8</v>
      </c>
      <c r="I537" s="1322" t="s">
        <v>848</v>
      </c>
    </row>
    <row r="538" spans="1:14" s="558" customFormat="1" ht="16.5" thickTop="1" thickBot="1" x14ac:dyDescent="0.3">
      <c r="A538" s="1330">
        <v>60002100260</v>
      </c>
      <c r="B538" s="1041">
        <v>4351</v>
      </c>
      <c r="C538" s="1331">
        <v>6121</v>
      </c>
      <c r="D538" s="1042">
        <v>870</v>
      </c>
      <c r="E538" s="1043" t="s">
        <v>671</v>
      </c>
      <c r="F538" s="960"/>
      <c r="G538" s="1333">
        <v>105</v>
      </c>
      <c r="H538" s="960">
        <v>104</v>
      </c>
      <c r="I538" s="1334">
        <f>(H538/G538)*100</f>
        <v>99.047619047619051</v>
      </c>
    </row>
    <row r="539" spans="1:14" s="558" customFormat="1" ht="18" customHeight="1" thickTop="1" thickBot="1" x14ac:dyDescent="0.3">
      <c r="A539" s="2751" t="s">
        <v>267</v>
      </c>
      <c r="B539" s="2750"/>
      <c r="C539" s="2750"/>
      <c r="D539" s="2750"/>
      <c r="E539" s="2750"/>
      <c r="F539" s="943">
        <f>F538</f>
        <v>0</v>
      </c>
      <c r="G539" s="943">
        <f>G538</f>
        <v>105</v>
      </c>
      <c r="H539" s="943">
        <f>H538</f>
        <v>104</v>
      </c>
      <c r="I539" s="926">
        <f>(H539/G539)*100</f>
        <v>99.047619047619051</v>
      </c>
    </row>
    <row r="540" spans="1:14" ht="13.5" thickTop="1" x14ac:dyDescent="0.2">
      <c r="K540" s="984"/>
      <c r="L540" s="984"/>
      <c r="M540" s="984"/>
      <c r="N540" s="439"/>
    </row>
    <row r="541" spans="1:14" x14ac:dyDescent="0.2">
      <c r="K541" s="984"/>
      <c r="L541" s="984"/>
      <c r="M541" s="984"/>
      <c r="N541" s="439"/>
    </row>
    <row r="542" spans="1:14" s="558" customFormat="1" ht="13.5" thickBot="1" x14ac:dyDescent="0.25">
      <c r="A542" s="439" t="s">
        <v>722</v>
      </c>
      <c r="B542" s="669"/>
      <c r="D542" s="884"/>
      <c r="F542" s="517"/>
      <c r="G542" s="517"/>
      <c r="H542" s="517"/>
      <c r="I542" s="1023" t="s">
        <v>179</v>
      </c>
    </row>
    <row r="543" spans="1:14" s="107" customFormat="1" ht="20.25" customHeight="1" thickTop="1" thickBot="1" x14ac:dyDescent="0.25">
      <c r="A543" s="714" t="s">
        <v>692</v>
      </c>
      <c r="B543" s="717" t="s">
        <v>180</v>
      </c>
      <c r="C543" s="715" t="s">
        <v>181</v>
      </c>
      <c r="D543" s="660" t="s">
        <v>783</v>
      </c>
      <c r="E543" s="718" t="s">
        <v>182</v>
      </c>
      <c r="F543" s="718" t="s">
        <v>183</v>
      </c>
      <c r="G543" s="718" t="s">
        <v>985</v>
      </c>
      <c r="H543" s="718" t="s">
        <v>986</v>
      </c>
      <c r="I543" s="888" t="s">
        <v>987</v>
      </c>
    </row>
    <row r="544" spans="1:14" s="386" customFormat="1" ht="13.5" thickTop="1" thickBot="1" x14ac:dyDescent="0.25">
      <c r="A544" s="1318">
        <v>1</v>
      </c>
      <c r="B544" s="1319">
        <v>2</v>
      </c>
      <c r="C544" s="1319">
        <v>3</v>
      </c>
      <c r="D544" s="1319">
        <v>4</v>
      </c>
      <c r="E544" s="593">
        <v>5</v>
      </c>
      <c r="F544" s="1320">
        <v>6</v>
      </c>
      <c r="G544" s="1320">
        <v>7</v>
      </c>
      <c r="H544" s="1321">
        <v>8</v>
      </c>
      <c r="I544" s="1322" t="s">
        <v>848</v>
      </c>
    </row>
    <row r="545" spans="1:14" s="558" customFormat="1" ht="16.5" thickTop="1" thickBot="1" x14ac:dyDescent="0.3">
      <c r="A545" s="1330">
        <v>60002100262</v>
      </c>
      <c r="B545" s="1041">
        <v>4357</v>
      </c>
      <c r="C545" s="1331">
        <v>6121</v>
      </c>
      <c r="D545" s="1042">
        <v>11</v>
      </c>
      <c r="E545" s="1043" t="s">
        <v>671</v>
      </c>
      <c r="F545" s="960"/>
      <c r="G545" s="1333">
        <v>550</v>
      </c>
      <c r="H545" s="960">
        <v>99</v>
      </c>
      <c r="I545" s="1334">
        <f>(H545/G545)*100</f>
        <v>18</v>
      </c>
    </row>
    <row r="546" spans="1:14" s="558" customFormat="1" ht="18" customHeight="1" thickTop="1" thickBot="1" x14ac:dyDescent="0.3">
      <c r="A546" s="2751" t="s">
        <v>267</v>
      </c>
      <c r="B546" s="2750"/>
      <c r="C546" s="2750"/>
      <c r="D546" s="2750"/>
      <c r="E546" s="2750"/>
      <c r="F546" s="943">
        <f>F545</f>
        <v>0</v>
      </c>
      <c r="G546" s="943">
        <f>G545</f>
        <v>550</v>
      </c>
      <c r="H546" s="943">
        <f>H545</f>
        <v>99</v>
      </c>
      <c r="I546" s="926">
        <f>(H546/G546)*100</f>
        <v>18</v>
      </c>
    </row>
    <row r="547" spans="1:14" ht="13.5" thickTop="1" x14ac:dyDescent="0.2">
      <c r="K547" s="984"/>
      <c r="L547" s="984"/>
      <c r="M547" s="984"/>
      <c r="N547" s="439"/>
    </row>
    <row r="548" spans="1:14" x14ac:dyDescent="0.2">
      <c r="K548" s="984"/>
      <c r="L548" s="984"/>
      <c r="M548" s="984"/>
      <c r="N548" s="439"/>
    </row>
    <row r="549" spans="1:14" s="558" customFormat="1" ht="13.5" thickBot="1" x14ac:dyDescent="0.25">
      <c r="A549" s="439" t="s">
        <v>723</v>
      </c>
      <c r="B549" s="669"/>
      <c r="D549" s="884"/>
      <c r="F549" s="517"/>
      <c r="G549" s="517"/>
      <c r="H549" s="517"/>
      <c r="I549" s="1023" t="s">
        <v>179</v>
      </c>
    </row>
    <row r="550" spans="1:14" s="107" customFormat="1" ht="20.25" customHeight="1" thickTop="1" thickBot="1" x14ac:dyDescent="0.25">
      <c r="A550" s="714" t="s">
        <v>692</v>
      </c>
      <c r="B550" s="717" t="s">
        <v>180</v>
      </c>
      <c r="C550" s="715" t="s">
        <v>181</v>
      </c>
      <c r="D550" s="660" t="s">
        <v>783</v>
      </c>
      <c r="E550" s="718" t="s">
        <v>182</v>
      </c>
      <c r="F550" s="718" t="s">
        <v>183</v>
      </c>
      <c r="G550" s="718" t="s">
        <v>985</v>
      </c>
      <c r="H550" s="718" t="s">
        <v>986</v>
      </c>
      <c r="I550" s="888" t="s">
        <v>987</v>
      </c>
    </row>
    <row r="551" spans="1:14" s="386" customFormat="1" ht="13.5" thickTop="1" thickBot="1" x14ac:dyDescent="0.25">
      <c r="A551" s="1318">
        <v>1</v>
      </c>
      <c r="B551" s="1319">
        <v>2</v>
      </c>
      <c r="C551" s="1319">
        <v>3</v>
      </c>
      <c r="D551" s="1319">
        <v>4</v>
      </c>
      <c r="E551" s="593">
        <v>5</v>
      </c>
      <c r="F551" s="1320">
        <v>6</v>
      </c>
      <c r="G551" s="1320">
        <v>7</v>
      </c>
      <c r="H551" s="1321">
        <v>8</v>
      </c>
      <c r="I551" s="1322" t="s">
        <v>848</v>
      </c>
    </row>
    <row r="552" spans="1:14" s="558" customFormat="1" ht="16.5" thickTop="1" thickBot="1" x14ac:dyDescent="0.3">
      <c r="A552" s="1330">
        <v>60002100263</v>
      </c>
      <c r="B552" s="1041">
        <v>4357</v>
      </c>
      <c r="C552" s="1331">
        <v>6121</v>
      </c>
      <c r="D552" s="1042">
        <v>11</v>
      </c>
      <c r="E552" s="1043" t="s">
        <v>671</v>
      </c>
      <c r="F552" s="960"/>
      <c r="G552" s="1333">
        <v>150</v>
      </c>
      <c r="H552" s="960">
        <v>109</v>
      </c>
      <c r="I552" s="1334">
        <f>(H552/G552)*100</f>
        <v>72.666666666666671</v>
      </c>
    </row>
    <row r="553" spans="1:14" s="558" customFormat="1" ht="18" customHeight="1" thickTop="1" thickBot="1" x14ac:dyDescent="0.3">
      <c r="A553" s="2751" t="s">
        <v>267</v>
      </c>
      <c r="B553" s="2750"/>
      <c r="C553" s="2750"/>
      <c r="D553" s="2750"/>
      <c r="E553" s="2750"/>
      <c r="F553" s="943">
        <f>F552</f>
        <v>0</v>
      </c>
      <c r="G553" s="943">
        <f>G552</f>
        <v>150</v>
      </c>
      <c r="H553" s="943">
        <f>H552</f>
        <v>109</v>
      </c>
      <c r="I553" s="926">
        <f>(H553/G553)*100</f>
        <v>72.666666666666671</v>
      </c>
    </row>
    <row r="554" spans="1:14" ht="13.5" thickTop="1" x14ac:dyDescent="0.2">
      <c r="K554" s="984"/>
      <c r="L554" s="984"/>
      <c r="M554" s="984"/>
      <c r="N554" s="439"/>
    </row>
    <row r="555" spans="1:14" x14ac:dyDescent="0.2">
      <c r="K555" s="984"/>
      <c r="L555" s="984"/>
      <c r="M555" s="984"/>
      <c r="N555" s="439"/>
    </row>
    <row r="556" spans="1:14" s="558" customFormat="1" ht="13.5" thickBot="1" x14ac:dyDescent="0.25">
      <c r="A556" s="439" t="s">
        <v>725</v>
      </c>
      <c r="B556" s="669"/>
      <c r="D556" s="884"/>
      <c r="F556" s="517"/>
      <c r="G556" s="517"/>
      <c r="H556" s="517"/>
      <c r="I556" s="1023" t="s">
        <v>179</v>
      </c>
    </row>
    <row r="557" spans="1:14" s="107" customFormat="1" ht="20.25" customHeight="1" thickTop="1" thickBot="1" x14ac:dyDescent="0.25">
      <c r="A557" s="714" t="s">
        <v>692</v>
      </c>
      <c r="B557" s="717" t="s">
        <v>180</v>
      </c>
      <c r="C557" s="715" t="s">
        <v>181</v>
      </c>
      <c r="D557" s="660" t="s">
        <v>783</v>
      </c>
      <c r="E557" s="718" t="s">
        <v>182</v>
      </c>
      <c r="F557" s="718" t="s">
        <v>183</v>
      </c>
      <c r="G557" s="718" t="s">
        <v>985</v>
      </c>
      <c r="H557" s="718" t="s">
        <v>986</v>
      </c>
      <c r="I557" s="888" t="s">
        <v>987</v>
      </c>
    </row>
    <row r="558" spans="1:14" s="386" customFormat="1" ht="13.5" thickTop="1" thickBot="1" x14ac:dyDescent="0.25">
      <c r="A558" s="1318">
        <v>1</v>
      </c>
      <c r="B558" s="1319">
        <v>2</v>
      </c>
      <c r="C558" s="1319">
        <v>3</v>
      </c>
      <c r="D558" s="1319">
        <v>4</v>
      </c>
      <c r="E558" s="593">
        <v>5</v>
      </c>
      <c r="F558" s="1320">
        <v>6</v>
      </c>
      <c r="G558" s="1320">
        <v>7</v>
      </c>
      <c r="H558" s="1321">
        <v>8</v>
      </c>
      <c r="I558" s="1322" t="s">
        <v>848</v>
      </c>
    </row>
    <row r="559" spans="1:14" s="558" customFormat="1" ht="16.5" thickTop="1" thickBot="1" x14ac:dyDescent="0.3">
      <c r="A559" s="1330">
        <v>60002100264</v>
      </c>
      <c r="B559" s="1041">
        <v>4357</v>
      </c>
      <c r="C559" s="1331">
        <v>5169</v>
      </c>
      <c r="D559" s="1042">
        <v>870</v>
      </c>
      <c r="E559" s="1043" t="s">
        <v>724</v>
      </c>
      <c r="F559" s="960"/>
      <c r="G559" s="1333">
        <v>300</v>
      </c>
      <c r="H559" s="960">
        <v>0</v>
      </c>
      <c r="I559" s="1334">
        <f>(H559/G559)*100</f>
        <v>0</v>
      </c>
    </row>
    <row r="560" spans="1:14" s="558" customFormat="1" ht="18" customHeight="1" thickTop="1" thickBot="1" x14ac:dyDescent="0.3">
      <c r="A560" s="2739" t="s">
        <v>268</v>
      </c>
      <c r="B560" s="2740"/>
      <c r="C560" s="2740"/>
      <c r="D560" s="2740"/>
      <c r="E560" s="2740"/>
      <c r="F560" s="943">
        <f>F559</f>
        <v>0</v>
      </c>
      <c r="G560" s="943">
        <f>G559</f>
        <v>300</v>
      </c>
      <c r="H560" s="943">
        <f>H559</f>
        <v>0</v>
      </c>
      <c r="I560" s="926">
        <f>(H560/G560)*100</f>
        <v>0</v>
      </c>
    </row>
    <row r="561" spans="1:14" ht="13.5" thickTop="1" x14ac:dyDescent="0.2">
      <c r="K561" s="984"/>
      <c r="L561" s="984"/>
      <c r="M561" s="984"/>
      <c r="N561" s="439"/>
    </row>
    <row r="562" spans="1:14" x14ac:dyDescent="0.2">
      <c r="K562" s="984"/>
      <c r="L562" s="984"/>
      <c r="M562" s="984"/>
      <c r="N562" s="439"/>
    </row>
    <row r="563" spans="1:14" s="558" customFormat="1" ht="13.5" thickBot="1" x14ac:dyDescent="0.25">
      <c r="A563" s="439" t="s">
        <v>726</v>
      </c>
      <c r="B563" s="669"/>
      <c r="D563" s="884"/>
      <c r="F563" s="517"/>
      <c r="G563" s="517"/>
      <c r="H563" s="517"/>
      <c r="I563" s="1023" t="s">
        <v>179</v>
      </c>
    </row>
    <row r="564" spans="1:14" s="107" customFormat="1" ht="20.25" customHeight="1" thickTop="1" thickBot="1" x14ac:dyDescent="0.25">
      <c r="A564" s="714" t="s">
        <v>692</v>
      </c>
      <c r="B564" s="717" t="s">
        <v>180</v>
      </c>
      <c r="C564" s="715" t="s">
        <v>181</v>
      </c>
      <c r="D564" s="660" t="s">
        <v>783</v>
      </c>
      <c r="E564" s="718" t="s">
        <v>182</v>
      </c>
      <c r="F564" s="718" t="s">
        <v>183</v>
      </c>
      <c r="G564" s="718" t="s">
        <v>985</v>
      </c>
      <c r="H564" s="718" t="s">
        <v>986</v>
      </c>
      <c r="I564" s="888" t="s">
        <v>987</v>
      </c>
    </row>
    <row r="565" spans="1:14" s="386" customFormat="1" ht="13.5" thickTop="1" thickBot="1" x14ac:dyDescent="0.25">
      <c r="A565" s="1318">
        <v>1</v>
      </c>
      <c r="B565" s="1319">
        <v>2</v>
      </c>
      <c r="C565" s="1319">
        <v>3</v>
      </c>
      <c r="D565" s="1319">
        <v>4</v>
      </c>
      <c r="E565" s="593">
        <v>5</v>
      </c>
      <c r="F565" s="1320">
        <v>6</v>
      </c>
      <c r="G565" s="1320">
        <v>7</v>
      </c>
      <c r="H565" s="1321">
        <v>8</v>
      </c>
      <c r="I565" s="1322" t="s">
        <v>848</v>
      </c>
    </row>
    <row r="566" spans="1:14" s="558" customFormat="1" ht="16.5" thickTop="1" thickBot="1" x14ac:dyDescent="0.3">
      <c r="A566" s="1330">
        <v>60002100267</v>
      </c>
      <c r="B566" s="1041">
        <v>4357</v>
      </c>
      <c r="C566" s="1360">
        <v>6121</v>
      </c>
      <c r="D566" s="1042">
        <v>11</v>
      </c>
      <c r="E566" s="1043" t="s">
        <v>671</v>
      </c>
      <c r="F566" s="960"/>
      <c r="G566" s="1333">
        <v>200</v>
      </c>
      <c r="H566" s="960">
        <v>191</v>
      </c>
      <c r="I566" s="1334">
        <f>(H566/G566)*100</f>
        <v>95.5</v>
      </c>
    </row>
    <row r="567" spans="1:14" s="558" customFormat="1" ht="18" customHeight="1" thickTop="1" thickBot="1" x14ac:dyDescent="0.3">
      <c r="A567" s="2751" t="s">
        <v>267</v>
      </c>
      <c r="B567" s="2750"/>
      <c r="C567" s="2750"/>
      <c r="D567" s="2750"/>
      <c r="E567" s="2750"/>
      <c r="F567" s="943">
        <f>F566</f>
        <v>0</v>
      </c>
      <c r="G567" s="943">
        <f>G566</f>
        <v>200</v>
      </c>
      <c r="H567" s="943">
        <f>H566</f>
        <v>191</v>
      </c>
      <c r="I567" s="926">
        <f>(H567/G567)*100</f>
        <v>95.5</v>
      </c>
    </row>
    <row r="568" spans="1:14" ht="13.5" thickTop="1" x14ac:dyDescent="0.2">
      <c r="K568" s="984"/>
      <c r="L568" s="984"/>
      <c r="M568" s="984"/>
      <c r="N568" s="439"/>
    </row>
    <row r="569" spans="1:14" x14ac:dyDescent="0.2">
      <c r="K569" s="984"/>
      <c r="L569" s="984"/>
      <c r="M569" s="984"/>
      <c r="N569" s="439"/>
    </row>
    <row r="570" spans="1:14" s="558" customFormat="1" ht="13.5" thickBot="1" x14ac:dyDescent="0.25">
      <c r="A570" s="439" t="s">
        <v>727</v>
      </c>
      <c r="B570" s="669"/>
      <c r="D570" s="884"/>
      <c r="F570" s="517"/>
      <c r="G570" s="517"/>
      <c r="H570" s="517"/>
      <c r="I570" s="1023" t="s">
        <v>179</v>
      </c>
    </row>
    <row r="571" spans="1:14" s="107" customFormat="1" ht="20.25" customHeight="1" thickTop="1" thickBot="1" x14ac:dyDescent="0.25">
      <c r="A571" s="714" t="s">
        <v>692</v>
      </c>
      <c r="B571" s="717" t="s">
        <v>180</v>
      </c>
      <c r="C571" s="715" t="s">
        <v>181</v>
      </c>
      <c r="D571" s="660" t="s">
        <v>783</v>
      </c>
      <c r="E571" s="718" t="s">
        <v>182</v>
      </c>
      <c r="F571" s="718" t="s">
        <v>183</v>
      </c>
      <c r="G571" s="718" t="s">
        <v>985</v>
      </c>
      <c r="H571" s="718" t="s">
        <v>986</v>
      </c>
      <c r="I571" s="888" t="s">
        <v>987</v>
      </c>
    </row>
    <row r="572" spans="1:14" s="386" customFormat="1" ht="13.5" thickTop="1" thickBot="1" x14ac:dyDescent="0.25">
      <c r="A572" s="1318">
        <v>1</v>
      </c>
      <c r="B572" s="1319">
        <v>2</v>
      </c>
      <c r="C572" s="1319">
        <v>3</v>
      </c>
      <c r="D572" s="1319">
        <v>4</v>
      </c>
      <c r="E572" s="593">
        <v>5</v>
      </c>
      <c r="F572" s="1320">
        <v>6</v>
      </c>
      <c r="G572" s="1320">
        <v>7</v>
      </c>
      <c r="H572" s="1321">
        <v>8</v>
      </c>
      <c r="I572" s="1322" t="s">
        <v>848</v>
      </c>
    </row>
    <row r="573" spans="1:14" s="558" customFormat="1" ht="16.5" thickTop="1" thickBot="1" x14ac:dyDescent="0.3">
      <c r="A573" s="1330">
        <v>60002100268</v>
      </c>
      <c r="B573" s="1041">
        <v>4357</v>
      </c>
      <c r="C573" s="1331">
        <v>6121</v>
      </c>
      <c r="D573" s="1042">
        <v>11</v>
      </c>
      <c r="E573" s="1043" t="s">
        <v>671</v>
      </c>
      <c r="F573" s="960"/>
      <c r="G573" s="1333">
        <v>2218</v>
      </c>
      <c r="H573" s="960">
        <v>876</v>
      </c>
      <c r="I573" s="1334">
        <f>(H573/G573)*100</f>
        <v>39.495040577096482</v>
      </c>
    </row>
    <row r="574" spans="1:14" s="558" customFormat="1" ht="18" customHeight="1" thickTop="1" thickBot="1" x14ac:dyDescent="0.3">
      <c r="A574" s="2751" t="s">
        <v>267</v>
      </c>
      <c r="B574" s="2750"/>
      <c r="C574" s="2750"/>
      <c r="D574" s="2750"/>
      <c r="E574" s="2750"/>
      <c r="F574" s="943">
        <f>F573</f>
        <v>0</v>
      </c>
      <c r="G574" s="943">
        <f>G573</f>
        <v>2218</v>
      </c>
      <c r="H574" s="943">
        <f>H573</f>
        <v>876</v>
      </c>
      <c r="I574" s="926">
        <f>(H574/G574)*100</f>
        <v>39.495040577096482</v>
      </c>
    </row>
    <row r="575" spans="1:14" ht="13.5" thickTop="1" x14ac:dyDescent="0.2">
      <c r="K575" s="984"/>
      <c r="L575" s="984"/>
      <c r="M575" s="984"/>
      <c r="N575" s="439"/>
    </row>
    <row r="576" spans="1:14" x14ac:dyDescent="0.2">
      <c r="K576" s="984"/>
      <c r="L576" s="984"/>
      <c r="M576" s="984"/>
      <c r="N576" s="439"/>
    </row>
    <row r="577" spans="1:14" s="558" customFormat="1" ht="13.5" thickBot="1" x14ac:dyDescent="0.25">
      <c r="A577" s="439" t="s">
        <v>1182</v>
      </c>
      <c r="B577" s="669"/>
      <c r="D577" s="884"/>
      <c r="F577" s="517"/>
      <c r="G577" s="517"/>
      <c r="H577" s="517"/>
      <c r="I577" s="1023" t="s">
        <v>179</v>
      </c>
    </row>
    <row r="578" spans="1:14" s="107" customFormat="1" ht="20.25" customHeight="1" thickTop="1" thickBot="1" x14ac:dyDescent="0.25">
      <c r="A578" s="714" t="s">
        <v>692</v>
      </c>
      <c r="B578" s="717" t="s">
        <v>180</v>
      </c>
      <c r="C578" s="715" t="s">
        <v>181</v>
      </c>
      <c r="D578" s="660" t="s">
        <v>783</v>
      </c>
      <c r="E578" s="718" t="s">
        <v>182</v>
      </c>
      <c r="F578" s="718" t="s">
        <v>183</v>
      </c>
      <c r="G578" s="718" t="s">
        <v>985</v>
      </c>
      <c r="H578" s="718" t="s">
        <v>986</v>
      </c>
      <c r="I578" s="888" t="s">
        <v>987</v>
      </c>
    </row>
    <row r="579" spans="1:14" s="386" customFormat="1" ht="13.5" thickTop="1" thickBot="1" x14ac:dyDescent="0.25">
      <c r="A579" s="1318">
        <v>1</v>
      </c>
      <c r="B579" s="1319">
        <v>2</v>
      </c>
      <c r="C579" s="1319">
        <v>3</v>
      </c>
      <c r="D579" s="1319">
        <v>4</v>
      </c>
      <c r="E579" s="593">
        <v>5</v>
      </c>
      <c r="F579" s="1320">
        <v>6</v>
      </c>
      <c r="G579" s="1320">
        <v>7</v>
      </c>
      <c r="H579" s="1321">
        <v>8</v>
      </c>
      <c r="I579" s="1322" t="s">
        <v>848</v>
      </c>
    </row>
    <row r="580" spans="1:14" s="558" customFormat="1" ht="16.5" thickTop="1" thickBot="1" x14ac:dyDescent="0.3">
      <c r="A580" s="1330">
        <v>60002100269</v>
      </c>
      <c r="B580" s="1041">
        <v>4322</v>
      </c>
      <c r="C580" s="1331">
        <v>5171</v>
      </c>
      <c r="D580" s="1042">
        <v>11</v>
      </c>
      <c r="E580" s="1043" t="s">
        <v>1001</v>
      </c>
      <c r="F580" s="960"/>
      <c r="G580" s="1333">
        <v>1235</v>
      </c>
      <c r="H580" s="960">
        <v>1203</v>
      </c>
      <c r="I580" s="1334">
        <f>(H580/G580)*100</f>
        <v>97.408906882591097</v>
      </c>
    </row>
    <row r="581" spans="1:14" s="558" customFormat="1" ht="18" customHeight="1" thickTop="1" thickBot="1" x14ac:dyDescent="0.3">
      <c r="A581" s="2739" t="s">
        <v>268</v>
      </c>
      <c r="B581" s="2740"/>
      <c r="C581" s="2740"/>
      <c r="D581" s="2740"/>
      <c r="E581" s="2740"/>
      <c r="F581" s="943">
        <f>F580</f>
        <v>0</v>
      </c>
      <c r="G581" s="943">
        <f>G580</f>
        <v>1235</v>
      </c>
      <c r="H581" s="943">
        <f>H580</f>
        <v>1203</v>
      </c>
      <c r="I581" s="926">
        <f>(H581/G581)*100</f>
        <v>97.408906882591097</v>
      </c>
    </row>
    <row r="582" spans="1:14" ht="13.5" thickTop="1" x14ac:dyDescent="0.2">
      <c r="K582" s="984"/>
      <c r="L582" s="984"/>
      <c r="M582" s="984"/>
      <c r="N582" s="439"/>
    </row>
    <row r="583" spans="1:14" x14ac:dyDescent="0.2">
      <c r="K583" s="984"/>
      <c r="L583" s="984"/>
      <c r="M583" s="984"/>
      <c r="N583" s="439"/>
    </row>
    <row r="584" spans="1:14" s="558" customFormat="1" ht="13.5" thickBot="1" x14ac:dyDescent="0.25">
      <c r="A584" s="439" t="s">
        <v>942</v>
      </c>
      <c r="B584" s="669"/>
      <c r="D584" s="884"/>
      <c r="F584" s="517"/>
      <c r="G584" s="517"/>
      <c r="H584" s="517"/>
      <c r="I584" s="1023" t="s">
        <v>179</v>
      </c>
    </row>
    <row r="585" spans="1:14" s="107" customFormat="1" ht="20.25" customHeight="1" thickTop="1" thickBot="1" x14ac:dyDescent="0.25">
      <c r="A585" s="714" t="s">
        <v>692</v>
      </c>
      <c r="B585" s="717" t="s">
        <v>180</v>
      </c>
      <c r="C585" s="715" t="s">
        <v>181</v>
      </c>
      <c r="D585" s="660" t="s">
        <v>783</v>
      </c>
      <c r="E585" s="718" t="s">
        <v>182</v>
      </c>
      <c r="F585" s="718" t="s">
        <v>183</v>
      </c>
      <c r="G585" s="718" t="s">
        <v>985</v>
      </c>
      <c r="H585" s="718" t="s">
        <v>986</v>
      </c>
      <c r="I585" s="888" t="s">
        <v>987</v>
      </c>
    </row>
    <row r="586" spans="1:14" s="386" customFormat="1" ht="13.5" thickTop="1" thickBot="1" x14ac:dyDescent="0.25">
      <c r="A586" s="1318">
        <v>1</v>
      </c>
      <c r="B586" s="1319">
        <v>2</v>
      </c>
      <c r="C586" s="1319">
        <v>3</v>
      </c>
      <c r="D586" s="1319">
        <v>4</v>
      </c>
      <c r="E586" s="593">
        <v>5</v>
      </c>
      <c r="F586" s="1320">
        <v>6</v>
      </c>
      <c r="G586" s="1320">
        <v>7</v>
      </c>
      <c r="H586" s="1321">
        <v>8</v>
      </c>
      <c r="I586" s="1322" t="s">
        <v>848</v>
      </c>
    </row>
    <row r="587" spans="1:14" s="558" customFormat="1" ht="15.75" thickTop="1" x14ac:dyDescent="0.25">
      <c r="A587" s="1031">
        <v>60002100270</v>
      </c>
      <c r="B587" s="836">
        <v>4322</v>
      </c>
      <c r="C587" s="680">
        <v>6121</v>
      </c>
      <c r="D587" s="1047">
        <v>11</v>
      </c>
      <c r="E587" s="852" t="s">
        <v>671</v>
      </c>
      <c r="F587" s="1034"/>
      <c r="G587" s="1328">
        <v>176</v>
      </c>
      <c r="H587" s="1034">
        <v>176</v>
      </c>
      <c r="I587" s="1329">
        <f>(H587/G587)*100</f>
        <v>100</v>
      </c>
    </row>
    <row r="588" spans="1:14" s="558" customFormat="1" ht="15.75" thickBot="1" x14ac:dyDescent="0.3">
      <c r="A588" s="1037">
        <v>60002100270</v>
      </c>
      <c r="B588" s="962">
        <v>4322</v>
      </c>
      <c r="C588" s="962">
        <v>6122</v>
      </c>
      <c r="D588" s="1349">
        <v>11</v>
      </c>
      <c r="E588" s="1348" t="s">
        <v>672</v>
      </c>
      <c r="F588" s="1347"/>
      <c r="G588" s="1347">
        <v>339</v>
      </c>
      <c r="H588" s="1347">
        <v>339</v>
      </c>
      <c r="I588" s="1048">
        <f>(H588/G588)*100</f>
        <v>100</v>
      </c>
    </row>
    <row r="589" spans="1:14" s="558" customFormat="1" ht="18" customHeight="1" thickTop="1" thickBot="1" x14ac:dyDescent="0.3">
      <c r="A589" s="2751" t="s">
        <v>267</v>
      </c>
      <c r="B589" s="2750"/>
      <c r="C589" s="2750"/>
      <c r="D589" s="2750"/>
      <c r="E589" s="2750"/>
      <c r="F589" s="943">
        <f>F587</f>
        <v>0</v>
      </c>
      <c r="G589" s="943">
        <f>G587+G588</f>
        <v>515</v>
      </c>
      <c r="H589" s="943">
        <f>H587+H588</f>
        <v>515</v>
      </c>
      <c r="I589" s="926">
        <f>(H589/G589)*100</f>
        <v>100</v>
      </c>
    </row>
    <row r="590" spans="1:14" ht="13.5" thickTop="1" x14ac:dyDescent="0.2">
      <c r="K590" s="984"/>
      <c r="L590" s="984"/>
      <c r="M590" s="984"/>
      <c r="N590" s="439"/>
    </row>
    <row r="591" spans="1:14" x14ac:dyDescent="0.2">
      <c r="K591" s="984"/>
      <c r="L591" s="984"/>
      <c r="M591" s="984"/>
      <c r="N591" s="439"/>
    </row>
    <row r="592" spans="1:14" s="558" customFormat="1" ht="13.5" thickBot="1" x14ac:dyDescent="0.25">
      <c r="A592" s="439" t="s">
        <v>943</v>
      </c>
      <c r="B592" s="669"/>
      <c r="D592" s="884"/>
      <c r="F592" s="517"/>
      <c r="G592" s="517"/>
      <c r="H592" s="517"/>
      <c r="I592" s="1023" t="s">
        <v>179</v>
      </c>
    </row>
    <row r="593" spans="1:14" s="107" customFormat="1" ht="20.25" customHeight="1" thickTop="1" thickBot="1" x14ac:dyDescent="0.25">
      <c r="A593" s="714" t="s">
        <v>692</v>
      </c>
      <c r="B593" s="717" t="s">
        <v>180</v>
      </c>
      <c r="C593" s="715" t="s">
        <v>181</v>
      </c>
      <c r="D593" s="660" t="s">
        <v>783</v>
      </c>
      <c r="E593" s="718" t="s">
        <v>182</v>
      </c>
      <c r="F593" s="718" t="s">
        <v>183</v>
      </c>
      <c r="G593" s="718" t="s">
        <v>985</v>
      </c>
      <c r="H593" s="718" t="s">
        <v>986</v>
      </c>
      <c r="I593" s="888" t="s">
        <v>987</v>
      </c>
    </row>
    <row r="594" spans="1:14" s="386" customFormat="1" ht="13.5" thickTop="1" thickBot="1" x14ac:dyDescent="0.25">
      <c r="A594" s="1318">
        <v>1</v>
      </c>
      <c r="B594" s="1319">
        <v>2</v>
      </c>
      <c r="C594" s="1319">
        <v>3</v>
      </c>
      <c r="D594" s="1319">
        <v>4</v>
      </c>
      <c r="E594" s="593">
        <v>5</v>
      </c>
      <c r="F594" s="1320">
        <v>6</v>
      </c>
      <c r="G594" s="1320">
        <v>7</v>
      </c>
      <c r="H594" s="1321">
        <v>8</v>
      </c>
      <c r="I594" s="1322" t="s">
        <v>848</v>
      </c>
    </row>
    <row r="595" spans="1:14" s="558" customFormat="1" ht="16.5" thickTop="1" thickBot="1" x14ac:dyDescent="0.3">
      <c r="A595" s="1330">
        <v>60002100271</v>
      </c>
      <c r="B595" s="1041">
        <v>4357</v>
      </c>
      <c r="C595" s="1331">
        <v>6121</v>
      </c>
      <c r="D595" s="1042">
        <v>11</v>
      </c>
      <c r="E595" s="1043" t="s">
        <v>671</v>
      </c>
      <c r="F595" s="960"/>
      <c r="G595" s="1333">
        <v>1626</v>
      </c>
      <c r="H595" s="960">
        <v>1622</v>
      </c>
      <c r="I595" s="1334">
        <f>(H595/G595)*100</f>
        <v>99.753997539975401</v>
      </c>
    </row>
    <row r="596" spans="1:14" s="558" customFormat="1" ht="18" customHeight="1" thickTop="1" thickBot="1" x14ac:dyDescent="0.3">
      <c r="A596" s="2751" t="s">
        <v>267</v>
      </c>
      <c r="B596" s="2750"/>
      <c r="C596" s="2750"/>
      <c r="D596" s="2750"/>
      <c r="E596" s="2750"/>
      <c r="F596" s="943">
        <f>F595</f>
        <v>0</v>
      </c>
      <c r="G596" s="943">
        <f>G595</f>
        <v>1626</v>
      </c>
      <c r="H596" s="943">
        <f>H595</f>
        <v>1622</v>
      </c>
      <c r="I596" s="926">
        <f>(H596/G596)*100</f>
        <v>99.753997539975401</v>
      </c>
    </row>
    <row r="597" spans="1:14" ht="13.5" thickTop="1" x14ac:dyDescent="0.2">
      <c r="K597" s="984"/>
      <c r="L597" s="984"/>
      <c r="M597" s="984"/>
      <c r="N597" s="439"/>
    </row>
    <row r="598" spans="1:14" x14ac:dyDescent="0.2">
      <c r="K598" s="984"/>
      <c r="L598" s="984"/>
      <c r="M598" s="984"/>
      <c r="N598" s="439"/>
    </row>
    <row r="599" spans="1:14" x14ac:dyDescent="0.2">
      <c r="K599" s="984"/>
      <c r="L599" s="984"/>
      <c r="M599" s="984"/>
      <c r="N599" s="439"/>
    </row>
    <row r="600" spans="1:14" x14ac:dyDescent="0.2">
      <c r="K600" s="984"/>
      <c r="L600" s="984"/>
      <c r="M600" s="984"/>
      <c r="N600" s="439"/>
    </row>
    <row r="601" spans="1:14" x14ac:dyDescent="0.2">
      <c r="K601" s="984"/>
      <c r="L601" s="984"/>
      <c r="M601" s="984"/>
      <c r="N601" s="439"/>
    </row>
    <row r="602" spans="1:14" s="558" customFormat="1" ht="13.5" thickBot="1" x14ac:dyDescent="0.25">
      <c r="A602" s="439" t="s">
        <v>944</v>
      </c>
      <c r="B602" s="669"/>
      <c r="D602" s="884"/>
      <c r="F602" s="517"/>
      <c r="G602" s="517"/>
      <c r="H602" s="517"/>
      <c r="I602" s="1023" t="s">
        <v>179</v>
      </c>
    </row>
    <row r="603" spans="1:14" s="107" customFormat="1" ht="20.25" customHeight="1" thickTop="1" thickBot="1" x14ac:dyDescent="0.25">
      <c r="A603" s="714" t="s">
        <v>692</v>
      </c>
      <c r="B603" s="717" t="s">
        <v>180</v>
      </c>
      <c r="C603" s="715" t="s">
        <v>181</v>
      </c>
      <c r="D603" s="660" t="s">
        <v>783</v>
      </c>
      <c r="E603" s="718" t="s">
        <v>182</v>
      </c>
      <c r="F603" s="718" t="s">
        <v>183</v>
      </c>
      <c r="G603" s="718" t="s">
        <v>985</v>
      </c>
      <c r="H603" s="718" t="s">
        <v>986</v>
      </c>
      <c r="I603" s="888" t="s">
        <v>987</v>
      </c>
    </row>
    <row r="604" spans="1:14" s="386" customFormat="1" ht="13.5" thickTop="1" thickBot="1" x14ac:dyDescent="0.25">
      <c r="A604" s="1318">
        <v>1</v>
      </c>
      <c r="B604" s="1319">
        <v>2</v>
      </c>
      <c r="C604" s="1319">
        <v>3</v>
      </c>
      <c r="D604" s="1319">
        <v>4</v>
      </c>
      <c r="E604" s="593">
        <v>5</v>
      </c>
      <c r="F604" s="1320">
        <v>6</v>
      </c>
      <c r="G604" s="1320">
        <v>7</v>
      </c>
      <c r="H604" s="1321">
        <v>8</v>
      </c>
      <c r="I604" s="1322" t="s">
        <v>848</v>
      </c>
    </row>
    <row r="605" spans="1:14" s="558" customFormat="1" ht="16.5" thickTop="1" thickBot="1" x14ac:dyDescent="0.3">
      <c r="A605" s="1330">
        <v>60002100273</v>
      </c>
      <c r="B605" s="1041">
        <v>4357</v>
      </c>
      <c r="C605" s="1331">
        <v>6121</v>
      </c>
      <c r="D605" s="1042">
        <v>11</v>
      </c>
      <c r="E605" s="1043" t="s">
        <v>671</v>
      </c>
      <c r="F605" s="960"/>
      <c r="G605" s="1333">
        <v>921</v>
      </c>
      <c r="H605" s="960">
        <v>917</v>
      </c>
      <c r="I605" s="1334">
        <f>(H605/G605)*100</f>
        <v>99.565689467969605</v>
      </c>
    </row>
    <row r="606" spans="1:14" s="558" customFormat="1" ht="18" customHeight="1" thickTop="1" thickBot="1" x14ac:dyDescent="0.3">
      <c r="A606" s="2751" t="s">
        <v>267</v>
      </c>
      <c r="B606" s="2750"/>
      <c r="C606" s="2750"/>
      <c r="D606" s="2750"/>
      <c r="E606" s="2750"/>
      <c r="F606" s="943">
        <f>F605</f>
        <v>0</v>
      </c>
      <c r="G606" s="943">
        <f>G605</f>
        <v>921</v>
      </c>
      <c r="H606" s="943">
        <f>H605</f>
        <v>917</v>
      </c>
      <c r="I606" s="926">
        <f>(H606/G606)*100</f>
        <v>99.565689467969605</v>
      </c>
    </row>
    <row r="607" spans="1:14" ht="13.5" thickTop="1" x14ac:dyDescent="0.2">
      <c r="K607" s="984"/>
      <c r="L607" s="984"/>
      <c r="M607" s="984"/>
      <c r="N607" s="439"/>
    </row>
    <row r="608" spans="1:14" x14ac:dyDescent="0.2">
      <c r="K608" s="984"/>
      <c r="L608" s="984"/>
      <c r="M608" s="984"/>
      <c r="N608" s="439"/>
    </row>
    <row r="609" spans="1:14" s="558" customFormat="1" ht="13.5" thickBot="1" x14ac:dyDescent="0.25">
      <c r="A609" s="439" t="s">
        <v>945</v>
      </c>
      <c r="B609" s="669"/>
      <c r="D609" s="884"/>
      <c r="F609" s="517"/>
      <c r="G609" s="517"/>
      <c r="H609" s="517"/>
      <c r="I609" s="1023" t="s">
        <v>179</v>
      </c>
    </row>
    <row r="610" spans="1:14" s="107" customFormat="1" ht="20.25" customHeight="1" thickTop="1" thickBot="1" x14ac:dyDescent="0.25">
      <c r="A610" s="714" t="s">
        <v>692</v>
      </c>
      <c r="B610" s="717" t="s">
        <v>180</v>
      </c>
      <c r="C610" s="715" t="s">
        <v>181</v>
      </c>
      <c r="D610" s="660" t="s">
        <v>783</v>
      </c>
      <c r="E610" s="718" t="s">
        <v>182</v>
      </c>
      <c r="F610" s="718" t="s">
        <v>183</v>
      </c>
      <c r="G610" s="718" t="s">
        <v>985</v>
      </c>
      <c r="H610" s="718" t="s">
        <v>986</v>
      </c>
      <c r="I610" s="888" t="s">
        <v>987</v>
      </c>
    </row>
    <row r="611" spans="1:14" s="386" customFormat="1" ht="13.5" thickTop="1" thickBot="1" x14ac:dyDescent="0.25">
      <c r="A611" s="1318">
        <v>1</v>
      </c>
      <c r="B611" s="1319">
        <v>2</v>
      </c>
      <c r="C611" s="1319">
        <v>3</v>
      </c>
      <c r="D611" s="1319">
        <v>4</v>
      </c>
      <c r="E611" s="593">
        <v>5</v>
      </c>
      <c r="F611" s="1320">
        <v>6</v>
      </c>
      <c r="G611" s="1320">
        <v>7</v>
      </c>
      <c r="H611" s="1321">
        <v>8</v>
      </c>
      <c r="I611" s="1322" t="s">
        <v>848</v>
      </c>
    </row>
    <row r="612" spans="1:14" s="558" customFormat="1" ht="16.5" thickTop="1" thickBot="1" x14ac:dyDescent="0.3">
      <c r="A612" s="1330">
        <v>60002100274</v>
      </c>
      <c r="B612" s="1041">
        <v>4357</v>
      </c>
      <c r="C612" s="1331">
        <v>6122</v>
      </c>
      <c r="D612" s="1042">
        <v>11</v>
      </c>
      <c r="E612" s="1043" t="s">
        <v>672</v>
      </c>
      <c r="F612" s="960"/>
      <c r="G612" s="1333">
        <v>2975</v>
      </c>
      <c r="H612" s="960">
        <v>0</v>
      </c>
      <c r="I612" s="1334">
        <f>(H612/G612)*100</f>
        <v>0</v>
      </c>
    </row>
    <row r="613" spans="1:14" s="558" customFormat="1" ht="18" customHeight="1" thickTop="1" thickBot="1" x14ac:dyDescent="0.3">
      <c r="A613" s="2751" t="s">
        <v>267</v>
      </c>
      <c r="B613" s="2750"/>
      <c r="C613" s="2750"/>
      <c r="D613" s="2750"/>
      <c r="E613" s="2750"/>
      <c r="F613" s="943">
        <f>F612</f>
        <v>0</v>
      </c>
      <c r="G613" s="943">
        <f>G612</f>
        <v>2975</v>
      </c>
      <c r="H613" s="943">
        <f>H612</f>
        <v>0</v>
      </c>
      <c r="I613" s="926">
        <f>(H613/G613)*100</f>
        <v>0</v>
      </c>
    </row>
    <row r="614" spans="1:14" ht="13.5" thickTop="1" x14ac:dyDescent="0.2">
      <c r="K614" s="984"/>
      <c r="L614" s="984"/>
      <c r="M614" s="984"/>
      <c r="N614" s="439"/>
    </row>
    <row r="615" spans="1:14" x14ac:dyDescent="0.2">
      <c r="K615" s="984"/>
      <c r="L615" s="984"/>
      <c r="M615" s="984"/>
      <c r="N615" s="439"/>
    </row>
    <row r="616" spans="1:14" s="558" customFormat="1" ht="13.5" thickBot="1" x14ac:dyDescent="0.25">
      <c r="A616" s="439" t="s">
        <v>946</v>
      </c>
      <c r="B616" s="669"/>
      <c r="D616" s="884"/>
      <c r="F616" s="517"/>
      <c r="G616" s="517"/>
      <c r="H616" s="517"/>
      <c r="I616" s="1023" t="s">
        <v>179</v>
      </c>
    </row>
    <row r="617" spans="1:14" s="107" customFormat="1" ht="20.25" customHeight="1" thickTop="1" thickBot="1" x14ac:dyDescent="0.25">
      <c r="A617" s="714" t="s">
        <v>692</v>
      </c>
      <c r="B617" s="717" t="s">
        <v>180</v>
      </c>
      <c r="C617" s="715" t="s">
        <v>181</v>
      </c>
      <c r="D617" s="660" t="s">
        <v>783</v>
      </c>
      <c r="E617" s="718" t="s">
        <v>182</v>
      </c>
      <c r="F617" s="718" t="s">
        <v>183</v>
      </c>
      <c r="G617" s="718" t="s">
        <v>985</v>
      </c>
      <c r="H617" s="718" t="s">
        <v>986</v>
      </c>
      <c r="I617" s="888" t="s">
        <v>987</v>
      </c>
    </row>
    <row r="618" spans="1:14" s="386" customFormat="1" ht="13.5" thickTop="1" thickBot="1" x14ac:dyDescent="0.25">
      <c r="A618" s="1318">
        <v>1</v>
      </c>
      <c r="B618" s="1319">
        <v>2</v>
      </c>
      <c r="C618" s="1319">
        <v>3</v>
      </c>
      <c r="D618" s="1319">
        <v>4</v>
      </c>
      <c r="E618" s="593">
        <v>5</v>
      </c>
      <c r="F618" s="1320">
        <v>6</v>
      </c>
      <c r="G618" s="1320">
        <v>7</v>
      </c>
      <c r="H618" s="1321">
        <v>8</v>
      </c>
      <c r="I618" s="1322" t="s">
        <v>848</v>
      </c>
    </row>
    <row r="619" spans="1:14" s="558" customFormat="1" ht="16.5" thickTop="1" thickBot="1" x14ac:dyDescent="0.3">
      <c r="A619" s="1330">
        <v>60002100279</v>
      </c>
      <c r="B619" s="1041">
        <v>4357</v>
      </c>
      <c r="C619" s="1331">
        <v>6121</v>
      </c>
      <c r="D619" s="1042">
        <v>11</v>
      </c>
      <c r="E619" s="1043" t="s">
        <v>671</v>
      </c>
      <c r="F619" s="960"/>
      <c r="G619" s="1333">
        <v>1462</v>
      </c>
      <c r="H619" s="960">
        <v>908</v>
      </c>
      <c r="I619" s="1334">
        <f>(H619/G619)*100</f>
        <v>62.106703146374834</v>
      </c>
    </row>
    <row r="620" spans="1:14" s="558" customFormat="1" ht="18" customHeight="1" thickTop="1" thickBot="1" x14ac:dyDescent="0.3">
      <c r="A620" s="2751" t="s">
        <v>267</v>
      </c>
      <c r="B620" s="2750"/>
      <c r="C620" s="2750"/>
      <c r="D620" s="2750"/>
      <c r="E620" s="2750"/>
      <c r="F620" s="943">
        <f>F619</f>
        <v>0</v>
      </c>
      <c r="G620" s="943">
        <f>G619</f>
        <v>1462</v>
      </c>
      <c r="H620" s="943">
        <f>H619</f>
        <v>908</v>
      </c>
      <c r="I620" s="926">
        <f>(H620/G620)*100</f>
        <v>62.106703146374834</v>
      </c>
    </row>
    <row r="621" spans="1:14" ht="13.5" thickTop="1" x14ac:dyDescent="0.2">
      <c r="K621" s="984"/>
      <c r="L621" s="984"/>
      <c r="M621" s="984"/>
      <c r="N621" s="439"/>
    </row>
    <row r="622" spans="1:14" x14ac:dyDescent="0.2">
      <c r="K622" s="984"/>
      <c r="L622" s="984"/>
      <c r="M622" s="984"/>
      <c r="N622" s="439"/>
    </row>
    <row r="623" spans="1:14" s="558" customFormat="1" ht="13.5" thickBot="1" x14ac:dyDescent="0.25">
      <c r="A623" s="439" t="s">
        <v>119</v>
      </c>
      <c r="B623" s="669"/>
      <c r="D623" s="884"/>
      <c r="F623" s="517"/>
      <c r="G623" s="517"/>
      <c r="H623" s="517"/>
      <c r="I623" s="1023" t="s">
        <v>179</v>
      </c>
    </row>
    <row r="624" spans="1:14" s="107" customFormat="1" ht="20.25" customHeight="1" thickTop="1" thickBot="1" x14ac:dyDescent="0.25">
      <c r="A624" s="714" t="s">
        <v>692</v>
      </c>
      <c r="B624" s="717" t="s">
        <v>180</v>
      </c>
      <c r="C624" s="715" t="s">
        <v>181</v>
      </c>
      <c r="D624" s="660" t="s">
        <v>783</v>
      </c>
      <c r="E624" s="718" t="s">
        <v>182</v>
      </c>
      <c r="F624" s="718" t="s">
        <v>183</v>
      </c>
      <c r="G624" s="718" t="s">
        <v>985</v>
      </c>
      <c r="H624" s="718" t="s">
        <v>986</v>
      </c>
      <c r="I624" s="888" t="s">
        <v>987</v>
      </c>
    </row>
    <row r="625" spans="1:14" s="386" customFormat="1" ht="13.5" thickTop="1" thickBot="1" x14ac:dyDescent="0.25">
      <c r="A625" s="1318">
        <v>1</v>
      </c>
      <c r="B625" s="1319">
        <v>2</v>
      </c>
      <c r="C625" s="1319">
        <v>3</v>
      </c>
      <c r="D625" s="1319">
        <v>4</v>
      </c>
      <c r="E625" s="593">
        <v>5</v>
      </c>
      <c r="F625" s="1320">
        <v>6</v>
      </c>
      <c r="G625" s="1320">
        <v>7</v>
      </c>
      <c r="H625" s="1321">
        <v>8</v>
      </c>
      <c r="I625" s="1322" t="s">
        <v>848</v>
      </c>
    </row>
    <row r="626" spans="1:14" s="558" customFormat="1" ht="16.5" thickTop="1" thickBot="1" x14ac:dyDescent="0.3">
      <c r="A626" s="1330">
        <v>60002100314</v>
      </c>
      <c r="B626" s="1041">
        <v>4357</v>
      </c>
      <c r="C626" s="1331">
        <v>6121</v>
      </c>
      <c r="D626" s="1042">
        <v>11</v>
      </c>
      <c r="E626" s="1043" t="s">
        <v>671</v>
      </c>
      <c r="F626" s="960"/>
      <c r="G626" s="1333">
        <v>646</v>
      </c>
      <c r="H626" s="960">
        <v>72</v>
      </c>
      <c r="I626" s="1334">
        <f>(H626/G626)*100</f>
        <v>11.145510835913312</v>
      </c>
    </row>
    <row r="627" spans="1:14" s="558" customFormat="1" ht="18" customHeight="1" thickTop="1" thickBot="1" x14ac:dyDescent="0.3">
      <c r="A627" s="2751" t="s">
        <v>267</v>
      </c>
      <c r="B627" s="2750"/>
      <c r="C627" s="2750"/>
      <c r="D627" s="2750"/>
      <c r="E627" s="2750"/>
      <c r="F627" s="943">
        <f>F626</f>
        <v>0</v>
      </c>
      <c r="G627" s="943">
        <f>G626</f>
        <v>646</v>
      </c>
      <c r="H627" s="943">
        <f>H626</f>
        <v>72</v>
      </c>
      <c r="I627" s="926">
        <f>(H627/G627)*100</f>
        <v>11.145510835913312</v>
      </c>
    </row>
    <row r="628" spans="1:14" ht="13.5" thickTop="1" x14ac:dyDescent="0.2">
      <c r="K628" s="984"/>
      <c r="L628" s="984"/>
      <c r="M628" s="984"/>
      <c r="N628" s="439"/>
    </row>
    <row r="629" spans="1:14" x14ac:dyDescent="0.2">
      <c r="K629" s="984"/>
      <c r="L629" s="984"/>
      <c r="M629" s="984"/>
      <c r="N629" s="439"/>
    </row>
    <row r="630" spans="1:14" s="558" customFormat="1" ht="13.5" thickBot="1" x14ac:dyDescent="0.25">
      <c r="A630" s="439" t="s">
        <v>583</v>
      </c>
      <c r="B630" s="669"/>
      <c r="D630" s="884"/>
      <c r="F630" s="517"/>
      <c r="G630" s="517"/>
      <c r="H630" s="517"/>
      <c r="I630" s="1023" t="s">
        <v>179</v>
      </c>
    </row>
    <row r="631" spans="1:14" s="107" customFormat="1" ht="20.25" customHeight="1" thickTop="1" thickBot="1" x14ac:dyDescent="0.25">
      <c r="A631" s="714" t="s">
        <v>692</v>
      </c>
      <c r="B631" s="717" t="s">
        <v>180</v>
      </c>
      <c r="C631" s="715" t="s">
        <v>181</v>
      </c>
      <c r="D631" s="660" t="s">
        <v>783</v>
      </c>
      <c r="E631" s="718" t="s">
        <v>182</v>
      </c>
      <c r="F631" s="718" t="s">
        <v>183</v>
      </c>
      <c r="G631" s="718" t="s">
        <v>985</v>
      </c>
      <c r="H631" s="718" t="s">
        <v>986</v>
      </c>
      <c r="I631" s="888" t="s">
        <v>987</v>
      </c>
    </row>
    <row r="632" spans="1:14" s="386" customFormat="1" ht="13.5" thickTop="1" thickBot="1" x14ac:dyDescent="0.25">
      <c r="A632" s="1318">
        <v>1</v>
      </c>
      <c r="B632" s="1319">
        <v>2</v>
      </c>
      <c r="C632" s="1319">
        <v>3</v>
      </c>
      <c r="D632" s="1319">
        <v>4</v>
      </c>
      <c r="E632" s="593">
        <v>5</v>
      </c>
      <c r="F632" s="1320">
        <v>6</v>
      </c>
      <c r="G632" s="1320">
        <v>7</v>
      </c>
      <c r="H632" s="1321">
        <v>8</v>
      </c>
      <c r="I632" s="1322" t="s">
        <v>848</v>
      </c>
    </row>
    <row r="633" spans="1:14" s="558" customFormat="1" ht="16.5" thickTop="1" thickBot="1" x14ac:dyDescent="0.3">
      <c r="A633" s="1330">
        <v>60002100318</v>
      </c>
      <c r="B633" s="1041">
        <v>4357</v>
      </c>
      <c r="C633" s="1331">
        <v>6121</v>
      </c>
      <c r="D633" s="1042">
        <v>11</v>
      </c>
      <c r="E633" s="1043" t="s">
        <v>671</v>
      </c>
      <c r="F633" s="960"/>
      <c r="G633" s="1333">
        <v>670</v>
      </c>
      <c r="H633" s="960">
        <v>68</v>
      </c>
      <c r="I633" s="1334">
        <f>(H633/G633)*100</f>
        <v>10.149253731343283</v>
      </c>
    </row>
    <row r="634" spans="1:14" s="558" customFormat="1" ht="18" customHeight="1" thickTop="1" thickBot="1" x14ac:dyDescent="0.3">
      <c r="A634" s="2751" t="s">
        <v>267</v>
      </c>
      <c r="B634" s="2750"/>
      <c r="C634" s="2750"/>
      <c r="D634" s="2750"/>
      <c r="E634" s="2750"/>
      <c r="F634" s="943">
        <f>F633</f>
        <v>0</v>
      </c>
      <c r="G634" s="943">
        <f>G633</f>
        <v>670</v>
      </c>
      <c r="H634" s="943">
        <f>H633</f>
        <v>68</v>
      </c>
      <c r="I634" s="926">
        <f>(H634/G634)*100</f>
        <v>10.149253731343283</v>
      </c>
    </row>
    <row r="635" spans="1:14" ht="13.5" thickTop="1" x14ac:dyDescent="0.2">
      <c r="K635" s="984"/>
      <c r="L635" s="984"/>
      <c r="M635" s="984"/>
      <c r="N635" s="439"/>
    </row>
    <row r="636" spans="1:14" x14ac:dyDescent="0.2">
      <c r="K636" s="984"/>
      <c r="L636" s="984"/>
      <c r="M636" s="984"/>
      <c r="N636" s="439"/>
    </row>
    <row r="637" spans="1:14" s="558" customFormat="1" ht="13.5" thickBot="1" x14ac:dyDescent="0.25">
      <c r="A637" s="439" t="s">
        <v>584</v>
      </c>
      <c r="B637" s="669"/>
      <c r="D637" s="884"/>
      <c r="F637" s="517"/>
      <c r="G637" s="517"/>
      <c r="H637" s="517"/>
      <c r="I637" s="1023" t="s">
        <v>179</v>
      </c>
    </row>
    <row r="638" spans="1:14" s="107" customFormat="1" ht="20.25" customHeight="1" thickTop="1" thickBot="1" x14ac:dyDescent="0.25">
      <c r="A638" s="714" t="s">
        <v>692</v>
      </c>
      <c r="B638" s="717" t="s">
        <v>180</v>
      </c>
      <c r="C638" s="715" t="s">
        <v>181</v>
      </c>
      <c r="D638" s="660" t="s">
        <v>783</v>
      </c>
      <c r="E638" s="718" t="s">
        <v>182</v>
      </c>
      <c r="F638" s="718" t="s">
        <v>183</v>
      </c>
      <c r="G638" s="718" t="s">
        <v>985</v>
      </c>
      <c r="H638" s="718" t="s">
        <v>986</v>
      </c>
      <c r="I638" s="888" t="s">
        <v>987</v>
      </c>
    </row>
    <row r="639" spans="1:14" s="386" customFormat="1" ht="13.5" thickTop="1" thickBot="1" x14ac:dyDescent="0.25">
      <c r="A639" s="1318">
        <v>1</v>
      </c>
      <c r="B639" s="1319">
        <v>2</v>
      </c>
      <c r="C639" s="1319">
        <v>3</v>
      </c>
      <c r="D639" s="1319">
        <v>4</v>
      </c>
      <c r="E639" s="593">
        <v>5</v>
      </c>
      <c r="F639" s="1320">
        <v>6</v>
      </c>
      <c r="G639" s="1320">
        <v>7</v>
      </c>
      <c r="H639" s="1321">
        <v>8</v>
      </c>
      <c r="I639" s="1322" t="s">
        <v>848</v>
      </c>
    </row>
    <row r="640" spans="1:14" s="558" customFormat="1" ht="16.5" thickTop="1" thickBot="1" x14ac:dyDescent="0.3">
      <c r="A640" s="1330">
        <v>60002100328</v>
      </c>
      <c r="B640" s="1041">
        <v>4357</v>
      </c>
      <c r="C640" s="1331">
        <v>6121</v>
      </c>
      <c r="D640" s="1042">
        <v>11</v>
      </c>
      <c r="E640" s="1043" t="s">
        <v>671</v>
      </c>
      <c r="F640" s="960"/>
      <c r="G640" s="1333">
        <v>800</v>
      </c>
      <c r="H640" s="960">
        <v>0</v>
      </c>
      <c r="I640" s="1334">
        <f>(H640/G640)*100</f>
        <v>0</v>
      </c>
      <c r="K640" s="517">
        <f>F420+F427+F434+F441+F448+F455+F462+F473+F476+F483+F490+F497+F504+F511+F518+F525+F532+F539+F546+F553+F560+F567+F574+F581+F589+F596+F606+F613+F620+F627+F634+F641</f>
        <v>9650</v>
      </c>
      <c r="L640" s="517">
        <f>G420+G427+G434+G441+G448+G455+G462+G473+G476+G483+G490+G497+G504+G511+G518+G525+G532+G539+G546+G553+G560+G567+G574+G581+G589+G596+G606+G613+G620+G627+G634+G641</f>
        <v>42586</v>
      </c>
      <c r="M640" s="517">
        <f>H420+H427+H434+H441+H448+H455+H462+H473+H476+H483+H490+H497+H504+H511+H518+H525+H532+H539+H546+H553+H560+H567+H574+H581+H589+H596+H606+H613+H620+H627+H634+H641</f>
        <v>29353</v>
      </c>
      <c r="N640" s="558" t="s">
        <v>1236</v>
      </c>
    </row>
    <row r="641" spans="1:14" s="558" customFormat="1" ht="18" customHeight="1" thickTop="1" thickBot="1" x14ac:dyDescent="0.3">
      <c r="A641" s="2751" t="s">
        <v>267</v>
      </c>
      <c r="B641" s="2750"/>
      <c r="C641" s="2750"/>
      <c r="D641" s="2750"/>
      <c r="E641" s="2750"/>
      <c r="F641" s="943">
        <f>F640</f>
        <v>0</v>
      </c>
      <c r="G641" s="943">
        <f>G640</f>
        <v>800</v>
      </c>
      <c r="H641" s="943">
        <f>H640</f>
        <v>0</v>
      </c>
      <c r="I641" s="926">
        <f>(H641/G641)*100</f>
        <v>0</v>
      </c>
    </row>
    <row r="642" spans="1:14" ht="13.5" thickTop="1" x14ac:dyDescent="0.2">
      <c r="K642" s="984"/>
      <c r="L642" s="984"/>
      <c r="M642" s="984"/>
      <c r="N642" s="439"/>
    </row>
    <row r="643" spans="1:14" x14ac:dyDescent="0.2">
      <c r="K643" s="984"/>
      <c r="L643" s="984"/>
      <c r="M643" s="984"/>
      <c r="N643" s="439"/>
    </row>
    <row r="644" spans="1:14" s="558" customFormat="1" ht="13.5" thickBot="1" x14ac:dyDescent="0.25">
      <c r="A644" s="439" t="s">
        <v>585</v>
      </c>
      <c r="B644" s="669"/>
      <c r="D644" s="884"/>
      <c r="F644" s="517"/>
      <c r="G644" s="517"/>
      <c r="H644" s="517"/>
      <c r="I644" s="1023" t="s">
        <v>179</v>
      </c>
    </row>
    <row r="645" spans="1:14" s="107" customFormat="1" ht="20.25" customHeight="1" thickTop="1" thickBot="1" x14ac:dyDescent="0.25">
      <c r="A645" s="714" t="s">
        <v>692</v>
      </c>
      <c r="B645" s="717" t="s">
        <v>180</v>
      </c>
      <c r="C645" s="715" t="s">
        <v>181</v>
      </c>
      <c r="D645" s="660" t="s">
        <v>783</v>
      </c>
      <c r="E645" s="718" t="s">
        <v>182</v>
      </c>
      <c r="F645" s="718" t="s">
        <v>183</v>
      </c>
      <c r="G645" s="718" t="s">
        <v>985</v>
      </c>
      <c r="H645" s="718" t="s">
        <v>986</v>
      </c>
      <c r="I645" s="888" t="s">
        <v>987</v>
      </c>
    </row>
    <row r="646" spans="1:14" s="386" customFormat="1" ht="13.5" thickTop="1" thickBot="1" x14ac:dyDescent="0.25">
      <c r="A646" s="1318">
        <v>1</v>
      </c>
      <c r="B646" s="1319">
        <v>2</v>
      </c>
      <c r="C646" s="1319">
        <v>3</v>
      </c>
      <c r="D646" s="1319">
        <v>4</v>
      </c>
      <c r="E646" s="593">
        <v>5</v>
      </c>
      <c r="F646" s="1320">
        <v>6</v>
      </c>
      <c r="G646" s="1320">
        <v>7</v>
      </c>
      <c r="H646" s="1321">
        <v>8</v>
      </c>
      <c r="I646" s="1322" t="s">
        <v>848</v>
      </c>
    </row>
    <row r="647" spans="1:14" s="558" customFormat="1" ht="16.5" thickTop="1" thickBot="1" x14ac:dyDescent="0.3">
      <c r="A647" s="1330">
        <v>60003100066</v>
      </c>
      <c r="B647" s="1041">
        <v>3315</v>
      </c>
      <c r="C647" s="1331">
        <v>6121</v>
      </c>
      <c r="D647" s="1042">
        <v>13</v>
      </c>
      <c r="E647" s="1043" t="s">
        <v>671</v>
      </c>
      <c r="F647" s="960"/>
      <c r="G647" s="1333">
        <v>357</v>
      </c>
      <c r="H647" s="960">
        <v>325</v>
      </c>
      <c r="I647" s="1334">
        <f>(H647/G647)*100</f>
        <v>91.036414565826334</v>
      </c>
    </row>
    <row r="648" spans="1:14" s="558" customFormat="1" ht="18" customHeight="1" thickTop="1" thickBot="1" x14ac:dyDescent="0.3">
      <c r="A648" s="2751" t="s">
        <v>267</v>
      </c>
      <c r="B648" s="2750"/>
      <c r="C648" s="2750"/>
      <c r="D648" s="2750"/>
      <c r="E648" s="2750"/>
      <c r="F648" s="943">
        <f>F647</f>
        <v>0</v>
      </c>
      <c r="G648" s="943">
        <f>G647</f>
        <v>357</v>
      </c>
      <c r="H648" s="943">
        <f>H647</f>
        <v>325</v>
      </c>
      <c r="I648" s="926">
        <f>(H648/G648)*100</f>
        <v>91.036414565826334</v>
      </c>
    </row>
    <row r="649" spans="1:14" ht="13.5" thickTop="1" x14ac:dyDescent="0.2">
      <c r="K649" s="984"/>
      <c r="L649" s="984"/>
      <c r="M649" s="984"/>
      <c r="N649" s="439"/>
    </row>
    <row r="650" spans="1:14" x14ac:dyDescent="0.2">
      <c r="K650" s="984"/>
      <c r="L650" s="984"/>
      <c r="M650" s="984"/>
      <c r="N650" s="439"/>
    </row>
    <row r="651" spans="1:14" s="558" customFormat="1" ht="13.5" thickBot="1" x14ac:dyDescent="0.25">
      <c r="A651" s="439" t="s">
        <v>871</v>
      </c>
      <c r="B651" s="669"/>
      <c r="D651" s="884"/>
      <c r="F651" s="517"/>
      <c r="G651" s="517"/>
      <c r="H651" s="517"/>
      <c r="I651" s="1023" t="s">
        <v>179</v>
      </c>
    </row>
    <row r="652" spans="1:14" s="107" customFormat="1" ht="20.25" customHeight="1" thickTop="1" thickBot="1" x14ac:dyDescent="0.25">
      <c r="A652" s="714" t="s">
        <v>692</v>
      </c>
      <c r="B652" s="717" t="s">
        <v>180</v>
      </c>
      <c r="C652" s="715" t="s">
        <v>181</v>
      </c>
      <c r="D652" s="660" t="s">
        <v>783</v>
      </c>
      <c r="E652" s="718" t="s">
        <v>182</v>
      </c>
      <c r="F652" s="718" t="s">
        <v>183</v>
      </c>
      <c r="G652" s="718" t="s">
        <v>985</v>
      </c>
      <c r="H652" s="718" t="s">
        <v>986</v>
      </c>
      <c r="I652" s="888" t="s">
        <v>987</v>
      </c>
    </row>
    <row r="653" spans="1:14" s="386" customFormat="1" ht="13.5" thickTop="1" thickBot="1" x14ac:dyDescent="0.25">
      <c r="A653" s="1318">
        <v>1</v>
      </c>
      <c r="B653" s="1319">
        <v>2</v>
      </c>
      <c r="C653" s="1319">
        <v>3</v>
      </c>
      <c r="D653" s="1319">
        <v>4</v>
      </c>
      <c r="E653" s="593">
        <v>5</v>
      </c>
      <c r="F653" s="1320">
        <v>6</v>
      </c>
      <c r="G653" s="1320">
        <v>7</v>
      </c>
      <c r="H653" s="1321">
        <v>8</v>
      </c>
      <c r="I653" s="1322" t="s">
        <v>848</v>
      </c>
    </row>
    <row r="654" spans="1:14" s="558" customFormat="1" ht="16.5" thickTop="1" thickBot="1" x14ac:dyDescent="0.3">
      <c r="A654" s="1330">
        <v>60003100067</v>
      </c>
      <c r="B654" s="1041">
        <v>3315</v>
      </c>
      <c r="C654" s="1331">
        <v>6121</v>
      </c>
      <c r="D654" s="1042">
        <v>13</v>
      </c>
      <c r="E654" s="1043" t="s">
        <v>671</v>
      </c>
      <c r="F654" s="960">
        <v>2900</v>
      </c>
      <c r="G654" s="1333">
        <v>1</v>
      </c>
      <c r="H654" s="960">
        <v>0</v>
      </c>
      <c r="I654" s="1334">
        <f>(H654/G654)*100</f>
        <v>0</v>
      </c>
    </row>
    <row r="655" spans="1:14" s="558" customFormat="1" ht="18" customHeight="1" thickTop="1" thickBot="1" x14ac:dyDescent="0.3">
      <c r="A655" s="2751" t="s">
        <v>267</v>
      </c>
      <c r="B655" s="2750"/>
      <c r="C655" s="2750"/>
      <c r="D655" s="2750"/>
      <c r="E655" s="2750"/>
      <c r="F655" s="943">
        <f>F654</f>
        <v>2900</v>
      </c>
      <c r="G655" s="943">
        <f>G654</f>
        <v>1</v>
      </c>
      <c r="H655" s="943">
        <f>H654</f>
        <v>0</v>
      </c>
      <c r="I655" s="926">
        <f>(H655/G655)*100</f>
        <v>0</v>
      </c>
    </row>
    <row r="656" spans="1:14" ht="13.5" thickTop="1" x14ac:dyDescent="0.2">
      <c r="K656" s="984"/>
      <c r="L656" s="984"/>
      <c r="M656" s="984"/>
      <c r="N656" s="439"/>
    </row>
    <row r="657" spans="1:14" x14ac:dyDescent="0.2">
      <c r="K657" s="984"/>
      <c r="L657" s="984"/>
      <c r="M657" s="984"/>
      <c r="N657" s="439"/>
    </row>
    <row r="658" spans="1:14" s="558" customFormat="1" ht="13.5" thickBot="1" x14ac:dyDescent="0.25">
      <c r="A658" s="439" t="s">
        <v>872</v>
      </c>
      <c r="B658" s="669"/>
      <c r="D658" s="884"/>
      <c r="F658" s="517"/>
      <c r="G658" s="517"/>
      <c r="H658" s="517"/>
      <c r="I658" s="1023" t="s">
        <v>179</v>
      </c>
    </row>
    <row r="659" spans="1:14" s="107" customFormat="1" ht="20.25" customHeight="1" thickTop="1" thickBot="1" x14ac:dyDescent="0.25">
      <c r="A659" s="714" t="s">
        <v>692</v>
      </c>
      <c r="B659" s="717" t="s">
        <v>180</v>
      </c>
      <c r="C659" s="715" t="s">
        <v>181</v>
      </c>
      <c r="D659" s="660" t="s">
        <v>783</v>
      </c>
      <c r="E659" s="718" t="s">
        <v>182</v>
      </c>
      <c r="F659" s="718" t="s">
        <v>183</v>
      </c>
      <c r="G659" s="718" t="s">
        <v>985</v>
      </c>
      <c r="H659" s="718" t="s">
        <v>986</v>
      </c>
      <c r="I659" s="888" t="s">
        <v>987</v>
      </c>
    </row>
    <row r="660" spans="1:14" s="386" customFormat="1" ht="13.5" thickTop="1" thickBot="1" x14ac:dyDescent="0.25">
      <c r="A660" s="1318">
        <v>1</v>
      </c>
      <c r="B660" s="1319">
        <v>2</v>
      </c>
      <c r="C660" s="1319">
        <v>3</v>
      </c>
      <c r="D660" s="1319">
        <v>4</v>
      </c>
      <c r="E660" s="593">
        <v>5</v>
      </c>
      <c r="F660" s="1320">
        <v>6</v>
      </c>
      <c r="G660" s="1320">
        <v>7</v>
      </c>
      <c r="H660" s="1321">
        <v>8</v>
      </c>
      <c r="I660" s="1322" t="s">
        <v>848</v>
      </c>
    </row>
    <row r="661" spans="1:14" s="386" customFormat="1" ht="16.5" thickTop="1" thickBot="1" x14ac:dyDescent="0.3">
      <c r="A661" s="1330">
        <v>60003100069</v>
      </c>
      <c r="B661" s="1041">
        <v>3315</v>
      </c>
      <c r="C661" s="1331">
        <v>5171</v>
      </c>
      <c r="D661" s="1042">
        <v>13</v>
      </c>
      <c r="E661" s="1043" t="s">
        <v>1001</v>
      </c>
      <c r="F661" s="960">
        <v>8652</v>
      </c>
      <c r="G661" s="1333">
        <v>0</v>
      </c>
      <c r="H661" s="960">
        <v>0</v>
      </c>
      <c r="I661" s="1334">
        <v>0</v>
      </c>
    </row>
    <row r="662" spans="1:14" s="386" customFormat="1" ht="16.5" thickTop="1" thickBot="1" x14ac:dyDescent="0.3">
      <c r="A662" s="2751" t="s">
        <v>268</v>
      </c>
      <c r="B662" s="2750"/>
      <c r="C662" s="2750"/>
      <c r="D662" s="2750"/>
      <c r="E662" s="2750"/>
      <c r="F662" s="960">
        <f>F661</f>
        <v>8652</v>
      </c>
      <c r="G662" s="960">
        <f>G661</f>
        <v>0</v>
      </c>
      <c r="H662" s="960">
        <f>H661</f>
        <v>0</v>
      </c>
      <c r="I662" s="1334">
        <v>0</v>
      </c>
    </row>
    <row r="663" spans="1:14" s="558" customFormat="1" ht="16.5" thickTop="1" thickBot="1" x14ac:dyDescent="0.3">
      <c r="A663" s="1330">
        <v>60003100069</v>
      </c>
      <c r="B663" s="1041">
        <v>3315</v>
      </c>
      <c r="C663" s="1331">
        <v>6121</v>
      </c>
      <c r="D663" s="1042">
        <v>870</v>
      </c>
      <c r="E663" s="1043" t="s">
        <v>671</v>
      </c>
      <c r="F663" s="960"/>
      <c r="G663" s="1333">
        <v>9974</v>
      </c>
      <c r="H663" s="960">
        <v>9950</v>
      </c>
      <c r="I663" s="1334">
        <f>(H663/G663)*100</f>
        <v>99.759374373370775</v>
      </c>
    </row>
    <row r="664" spans="1:14" s="558" customFormat="1" ht="18" customHeight="1" thickTop="1" thickBot="1" x14ac:dyDescent="0.3">
      <c r="A664" s="2751" t="s">
        <v>267</v>
      </c>
      <c r="B664" s="2750"/>
      <c r="C664" s="2750"/>
      <c r="D664" s="2750"/>
      <c r="E664" s="2750"/>
      <c r="F664" s="943">
        <f>F663</f>
        <v>0</v>
      </c>
      <c r="G664" s="943">
        <f>G663</f>
        <v>9974</v>
      </c>
      <c r="H664" s="943">
        <f>H663</f>
        <v>9950</v>
      </c>
      <c r="I664" s="926">
        <f>(H664/G664)*100</f>
        <v>99.759374373370775</v>
      </c>
    </row>
    <row r="665" spans="1:14" ht="13.5" thickTop="1" x14ac:dyDescent="0.2">
      <c r="K665" s="984"/>
      <c r="L665" s="984"/>
      <c r="M665" s="984"/>
      <c r="N665" s="439"/>
    </row>
    <row r="666" spans="1:14" x14ac:dyDescent="0.2">
      <c r="K666" s="984"/>
      <c r="L666" s="984"/>
      <c r="M666" s="984"/>
      <c r="N666" s="439"/>
    </row>
    <row r="667" spans="1:14" x14ac:dyDescent="0.2">
      <c r="K667" s="984"/>
      <c r="L667" s="984"/>
      <c r="M667" s="984"/>
      <c r="N667" s="439"/>
    </row>
    <row r="668" spans="1:14" x14ac:dyDescent="0.2">
      <c r="K668" s="984"/>
      <c r="L668" s="984"/>
      <c r="M668" s="984"/>
      <c r="N668" s="439"/>
    </row>
    <row r="669" spans="1:14" s="558" customFormat="1" ht="13.5" thickBot="1" x14ac:dyDescent="0.25">
      <c r="A669" s="439" t="s">
        <v>873</v>
      </c>
      <c r="B669" s="669"/>
      <c r="D669" s="884"/>
      <c r="F669" s="517"/>
      <c r="G669" s="517"/>
      <c r="H669" s="517"/>
      <c r="I669" s="1023" t="s">
        <v>179</v>
      </c>
    </row>
    <row r="670" spans="1:14" s="107" customFormat="1" ht="20.25" customHeight="1" thickTop="1" thickBot="1" x14ac:dyDescent="0.25">
      <c r="A670" s="714" t="s">
        <v>692</v>
      </c>
      <c r="B670" s="717" t="s">
        <v>180</v>
      </c>
      <c r="C670" s="715" t="s">
        <v>181</v>
      </c>
      <c r="D670" s="660" t="s">
        <v>783</v>
      </c>
      <c r="E670" s="718" t="s">
        <v>182</v>
      </c>
      <c r="F670" s="718" t="s">
        <v>183</v>
      </c>
      <c r="G670" s="718" t="s">
        <v>985</v>
      </c>
      <c r="H670" s="718" t="s">
        <v>986</v>
      </c>
      <c r="I670" s="888" t="s">
        <v>987</v>
      </c>
    </row>
    <row r="671" spans="1:14" s="386" customFormat="1" ht="13.5" thickTop="1" thickBot="1" x14ac:dyDescent="0.25">
      <c r="A671" s="1318">
        <v>1</v>
      </c>
      <c r="B671" s="1319">
        <v>2</v>
      </c>
      <c r="C671" s="1319">
        <v>3</v>
      </c>
      <c r="D671" s="1319">
        <v>4</v>
      </c>
      <c r="E671" s="593">
        <v>5</v>
      </c>
      <c r="F671" s="1320">
        <v>6</v>
      </c>
      <c r="G671" s="1320">
        <v>7</v>
      </c>
      <c r="H671" s="1321">
        <v>8</v>
      </c>
      <c r="I671" s="1322" t="s">
        <v>848</v>
      </c>
    </row>
    <row r="672" spans="1:14" s="558" customFormat="1" ht="16.5" thickTop="1" thickBot="1" x14ac:dyDescent="0.3">
      <c r="A672" s="1330">
        <v>60003100078</v>
      </c>
      <c r="B672" s="1041">
        <v>3315</v>
      </c>
      <c r="C672" s="1331">
        <v>5137</v>
      </c>
      <c r="D672" s="1042">
        <v>870</v>
      </c>
      <c r="E672" s="1043" t="s">
        <v>173</v>
      </c>
      <c r="F672" s="960"/>
      <c r="G672" s="1333">
        <v>4598</v>
      </c>
      <c r="H672" s="960">
        <v>3299</v>
      </c>
      <c r="I672" s="1334">
        <f>(H672/G672)*100</f>
        <v>71.748586341887773</v>
      </c>
    </row>
    <row r="673" spans="1:14" s="558" customFormat="1" ht="16.5" thickTop="1" thickBot="1" x14ac:dyDescent="0.3">
      <c r="A673" s="2739" t="s">
        <v>268</v>
      </c>
      <c r="B673" s="2740"/>
      <c r="C673" s="2740"/>
      <c r="D673" s="2740"/>
      <c r="E673" s="2740"/>
      <c r="F673" s="960">
        <v>0</v>
      </c>
      <c r="G673" s="960">
        <f>G672</f>
        <v>4598</v>
      </c>
      <c r="H673" s="960">
        <f>H672</f>
        <v>3299</v>
      </c>
      <c r="I673" s="1334">
        <f>(H673/G673)*100</f>
        <v>71.748586341887773</v>
      </c>
    </row>
    <row r="674" spans="1:14" s="558" customFormat="1" ht="15.75" thickTop="1" x14ac:dyDescent="0.25">
      <c r="A674" s="1371">
        <v>60003100078</v>
      </c>
      <c r="B674" s="1372">
        <v>3315</v>
      </c>
      <c r="C674" s="1372">
        <v>6121</v>
      </c>
      <c r="D674" s="1346">
        <v>13</v>
      </c>
      <c r="E674" s="1345" t="s">
        <v>671</v>
      </c>
      <c r="F674" s="1344">
        <v>23295</v>
      </c>
      <c r="G674" s="1344">
        <v>0</v>
      </c>
      <c r="H674" s="1344">
        <v>0</v>
      </c>
      <c r="I674" s="1329">
        <v>0</v>
      </c>
    </row>
    <row r="675" spans="1:14" s="558" customFormat="1" ht="15" x14ac:dyDescent="0.25">
      <c r="A675" s="1351">
        <v>60003100078</v>
      </c>
      <c r="B675" s="808">
        <v>3315</v>
      </c>
      <c r="C675" s="808">
        <v>6121</v>
      </c>
      <c r="D675" s="1340">
        <v>870</v>
      </c>
      <c r="E675" s="1350" t="s">
        <v>671</v>
      </c>
      <c r="F675" s="916"/>
      <c r="G675" s="916">
        <v>22012</v>
      </c>
      <c r="H675" s="916">
        <v>20538</v>
      </c>
      <c r="I675" s="908">
        <f>(H675/G675)*100</f>
        <v>93.30365255315283</v>
      </c>
    </row>
    <row r="676" spans="1:14" s="558" customFormat="1" ht="15" x14ac:dyDescent="0.25">
      <c r="A676" s="1351">
        <v>60003100078</v>
      </c>
      <c r="B676" s="808">
        <v>3315</v>
      </c>
      <c r="C676" s="808">
        <v>6122</v>
      </c>
      <c r="D676" s="1340">
        <v>870</v>
      </c>
      <c r="E676" s="1350" t="s">
        <v>672</v>
      </c>
      <c r="F676" s="916"/>
      <c r="G676" s="916">
        <v>1497</v>
      </c>
      <c r="H676" s="916">
        <v>536</v>
      </c>
      <c r="I676" s="908">
        <f>(H676/G676)*100</f>
        <v>35.804943219772881</v>
      </c>
    </row>
    <row r="677" spans="1:14" s="558" customFormat="1" ht="15.75" thickBot="1" x14ac:dyDescent="0.3">
      <c r="A677" s="1037">
        <v>60003100078</v>
      </c>
      <c r="B677" s="962">
        <v>3315</v>
      </c>
      <c r="C677" s="962">
        <v>6129</v>
      </c>
      <c r="D677" s="1349">
        <v>870</v>
      </c>
      <c r="E677" s="1348" t="s">
        <v>868</v>
      </c>
      <c r="F677" s="1347"/>
      <c r="G677" s="1347">
        <v>174</v>
      </c>
      <c r="H677" s="1347">
        <v>0</v>
      </c>
      <c r="I677" s="1048">
        <v>0</v>
      </c>
    </row>
    <row r="678" spans="1:14" s="558" customFormat="1" ht="18" customHeight="1" thickTop="1" thickBot="1" x14ac:dyDescent="0.3">
      <c r="A678" s="2751" t="s">
        <v>267</v>
      </c>
      <c r="B678" s="2750"/>
      <c r="C678" s="2750"/>
      <c r="D678" s="2750"/>
      <c r="E678" s="2750"/>
      <c r="F678" s="943">
        <f>F674</f>
        <v>23295</v>
      </c>
      <c r="G678" s="943">
        <f>G675+G676+G677</f>
        <v>23683</v>
      </c>
      <c r="H678" s="943">
        <f>H675+H676+H677</f>
        <v>21074</v>
      </c>
      <c r="I678" s="926">
        <f>(H678/G678)*100</f>
        <v>88.98365916480175</v>
      </c>
    </row>
    <row r="679" spans="1:14" ht="13.5" thickTop="1" x14ac:dyDescent="0.2">
      <c r="K679" s="984"/>
      <c r="L679" s="984"/>
      <c r="M679" s="984"/>
      <c r="N679" s="439"/>
    </row>
    <row r="680" spans="1:14" x14ac:dyDescent="0.2">
      <c r="K680" s="984"/>
      <c r="L680" s="984"/>
      <c r="M680" s="984"/>
      <c r="N680" s="439"/>
    </row>
    <row r="681" spans="1:14" s="558" customFormat="1" ht="13.5" thickBot="1" x14ac:dyDescent="0.25">
      <c r="A681" s="439" t="s">
        <v>874</v>
      </c>
      <c r="B681" s="669"/>
      <c r="D681" s="884"/>
      <c r="F681" s="517"/>
      <c r="G681" s="517"/>
      <c r="H681" s="517"/>
      <c r="I681" s="1023" t="s">
        <v>179</v>
      </c>
    </row>
    <row r="682" spans="1:14" s="107" customFormat="1" ht="20.25" customHeight="1" thickTop="1" thickBot="1" x14ac:dyDescent="0.25">
      <c r="A682" s="714" t="s">
        <v>692</v>
      </c>
      <c r="B682" s="717" t="s">
        <v>180</v>
      </c>
      <c r="C682" s="715" t="s">
        <v>181</v>
      </c>
      <c r="D682" s="660" t="s">
        <v>783</v>
      </c>
      <c r="E682" s="718" t="s">
        <v>182</v>
      </c>
      <c r="F682" s="718" t="s">
        <v>183</v>
      </c>
      <c r="G682" s="718" t="s">
        <v>985</v>
      </c>
      <c r="H682" s="718" t="s">
        <v>986</v>
      </c>
      <c r="I682" s="888" t="s">
        <v>987</v>
      </c>
    </row>
    <row r="683" spans="1:14" s="386" customFormat="1" ht="13.5" thickTop="1" thickBot="1" x14ac:dyDescent="0.25">
      <c r="A683" s="1318">
        <v>1</v>
      </c>
      <c r="B683" s="1319">
        <v>2</v>
      </c>
      <c r="C683" s="1319">
        <v>3</v>
      </c>
      <c r="D683" s="1319">
        <v>4</v>
      </c>
      <c r="E683" s="593">
        <v>5</v>
      </c>
      <c r="F683" s="1320">
        <v>6</v>
      </c>
      <c r="G683" s="1320">
        <v>7</v>
      </c>
      <c r="H683" s="1321">
        <v>8</v>
      </c>
      <c r="I683" s="1322" t="s">
        <v>848</v>
      </c>
    </row>
    <row r="684" spans="1:14" s="558" customFormat="1" ht="16.5" thickTop="1" thickBot="1" x14ac:dyDescent="0.3">
      <c r="A684" s="1330">
        <v>60003100198</v>
      </c>
      <c r="B684" s="1041">
        <v>3315</v>
      </c>
      <c r="C684" s="1331">
        <v>6121</v>
      </c>
      <c r="D684" s="1042">
        <v>13</v>
      </c>
      <c r="E684" s="1043" t="s">
        <v>671</v>
      </c>
      <c r="F684" s="960"/>
      <c r="G684" s="1333">
        <v>374</v>
      </c>
      <c r="H684" s="960">
        <v>30</v>
      </c>
      <c r="I684" s="1334">
        <f>(H684/G684)*100</f>
        <v>8.0213903743315509</v>
      </c>
    </row>
    <row r="685" spans="1:14" s="558" customFormat="1" ht="18" customHeight="1" thickTop="1" thickBot="1" x14ac:dyDescent="0.3">
      <c r="A685" s="2751" t="s">
        <v>267</v>
      </c>
      <c r="B685" s="2750"/>
      <c r="C685" s="2750"/>
      <c r="D685" s="2750"/>
      <c r="E685" s="2750"/>
      <c r="F685" s="943">
        <f>F684</f>
        <v>0</v>
      </c>
      <c r="G685" s="943">
        <f>G684</f>
        <v>374</v>
      </c>
      <c r="H685" s="943">
        <f>H684</f>
        <v>30</v>
      </c>
      <c r="I685" s="926">
        <f>(H685/G685)*100</f>
        <v>8.0213903743315509</v>
      </c>
    </row>
    <row r="686" spans="1:14" ht="13.5" thickTop="1" x14ac:dyDescent="0.2">
      <c r="K686" s="984"/>
      <c r="L686" s="984"/>
      <c r="M686" s="984"/>
      <c r="N686" s="439"/>
    </row>
    <row r="687" spans="1:14" x14ac:dyDescent="0.2">
      <c r="K687" s="984"/>
      <c r="L687" s="984"/>
      <c r="M687" s="984"/>
      <c r="N687" s="439"/>
    </row>
    <row r="688" spans="1:14" s="558" customFormat="1" ht="13.5" thickBot="1" x14ac:dyDescent="0.25">
      <c r="A688" s="439" t="s">
        <v>875</v>
      </c>
      <c r="B688" s="669"/>
      <c r="D688" s="884"/>
      <c r="F688" s="517"/>
      <c r="G688" s="517"/>
      <c r="H688" s="517"/>
      <c r="I688" s="1023" t="s">
        <v>179</v>
      </c>
    </row>
    <row r="689" spans="1:14" s="107" customFormat="1" ht="20.25" customHeight="1" thickTop="1" thickBot="1" x14ac:dyDescent="0.25">
      <c r="A689" s="714" t="s">
        <v>692</v>
      </c>
      <c r="B689" s="717" t="s">
        <v>180</v>
      </c>
      <c r="C689" s="715" t="s">
        <v>181</v>
      </c>
      <c r="D689" s="660" t="s">
        <v>783</v>
      </c>
      <c r="E689" s="718" t="s">
        <v>182</v>
      </c>
      <c r="F689" s="718" t="s">
        <v>183</v>
      </c>
      <c r="G689" s="718" t="s">
        <v>985</v>
      </c>
      <c r="H689" s="718" t="s">
        <v>986</v>
      </c>
      <c r="I689" s="888" t="s">
        <v>987</v>
      </c>
    </row>
    <row r="690" spans="1:14" s="386" customFormat="1" ht="13.5" thickTop="1" thickBot="1" x14ac:dyDescent="0.25">
      <c r="A690" s="1318">
        <v>1</v>
      </c>
      <c r="B690" s="1319">
        <v>2</v>
      </c>
      <c r="C690" s="1319">
        <v>3</v>
      </c>
      <c r="D690" s="1319">
        <v>4</v>
      </c>
      <c r="E690" s="593">
        <v>5</v>
      </c>
      <c r="F690" s="1320">
        <v>6</v>
      </c>
      <c r="G690" s="1320">
        <v>7</v>
      </c>
      <c r="H690" s="1321">
        <v>8</v>
      </c>
      <c r="I690" s="1322" t="s">
        <v>848</v>
      </c>
    </row>
    <row r="691" spans="1:14" s="558" customFormat="1" ht="16.5" thickTop="1" thickBot="1" x14ac:dyDescent="0.3">
      <c r="A691" s="1330">
        <v>60003100206</v>
      </c>
      <c r="B691" s="1041">
        <v>3315</v>
      </c>
      <c r="C691" s="1331">
        <v>6121</v>
      </c>
      <c r="D691" s="1042">
        <v>870</v>
      </c>
      <c r="E691" s="1043" t="s">
        <v>671</v>
      </c>
      <c r="F691" s="960"/>
      <c r="G691" s="1333">
        <v>7100</v>
      </c>
      <c r="H691" s="960">
        <v>4741</v>
      </c>
      <c r="I691" s="1334">
        <f>(H691/G691)*100</f>
        <v>66.774647887323951</v>
      </c>
    </row>
    <row r="692" spans="1:14" s="558" customFormat="1" ht="18" customHeight="1" thickTop="1" thickBot="1" x14ac:dyDescent="0.3">
      <c r="A692" s="2751" t="s">
        <v>267</v>
      </c>
      <c r="B692" s="2750"/>
      <c r="C692" s="2750"/>
      <c r="D692" s="2750"/>
      <c r="E692" s="2750"/>
      <c r="F692" s="943">
        <f>F691</f>
        <v>0</v>
      </c>
      <c r="G692" s="943">
        <f>G691</f>
        <v>7100</v>
      </c>
      <c r="H692" s="943">
        <f>H691</f>
        <v>4741</v>
      </c>
      <c r="I692" s="926">
        <f>(H692/G692)*100</f>
        <v>66.774647887323951</v>
      </c>
    </row>
    <row r="693" spans="1:14" ht="13.5" thickTop="1" x14ac:dyDescent="0.2">
      <c r="K693" s="984"/>
      <c r="L693" s="984"/>
      <c r="M693" s="984"/>
      <c r="N693" s="439"/>
    </row>
    <row r="694" spans="1:14" x14ac:dyDescent="0.2">
      <c r="K694" s="984"/>
      <c r="L694" s="984"/>
      <c r="M694" s="984"/>
      <c r="N694" s="439"/>
    </row>
    <row r="695" spans="1:14" s="558" customFormat="1" ht="13.5" thickBot="1" x14ac:dyDescent="0.25">
      <c r="A695" s="439" t="s">
        <v>876</v>
      </c>
      <c r="B695" s="669"/>
      <c r="D695" s="884"/>
      <c r="F695" s="517"/>
      <c r="G695" s="517"/>
      <c r="H695" s="517"/>
      <c r="I695" s="1023" t="s">
        <v>179</v>
      </c>
    </row>
    <row r="696" spans="1:14" s="107" customFormat="1" ht="20.25" customHeight="1" thickTop="1" thickBot="1" x14ac:dyDescent="0.25">
      <c r="A696" s="714" t="s">
        <v>692</v>
      </c>
      <c r="B696" s="717" t="s">
        <v>180</v>
      </c>
      <c r="C696" s="715" t="s">
        <v>181</v>
      </c>
      <c r="D696" s="660" t="s">
        <v>783</v>
      </c>
      <c r="E696" s="718" t="s">
        <v>182</v>
      </c>
      <c r="F696" s="718" t="s">
        <v>183</v>
      </c>
      <c r="G696" s="718" t="s">
        <v>985</v>
      </c>
      <c r="H696" s="718" t="s">
        <v>986</v>
      </c>
      <c r="I696" s="888" t="s">
        <v>987</v>
      </c>
    </row>
    <row r="697" spans="1:14" s="386" customFormat="1" ht="13.5" thickTop="1" thickBot="1" x14ac:dyDescent="0.25">
      <c r="A697" s="1318">
        <v>1</v>
      </c>
      <c r="B697" s="1319">
        <v>2</v>
      </c>
      <c r="C697" s="1319">
        <v>3</v>
      </c>
      <c r="D697" s="1319">
        <v>4</v>
      </c>
      <c r="E697" s="593">
        <v>5</v>
      </c>
      <c r="F697" s="1320">
        <v>6</v>
      </c>
      <c r="G697" s="1320">
        <v>7</v>
      </c>
      <c r="H697" s="1321">
        <v>8</v>
      </c>
      <c r="I697" s="1322" t="s">
        <v>848</v>
      </c>
    </row>
    <row r="698" spans="1:14" s="558" customFormat="1" ht="16.5" thickTop="1" thickBot="1" x14ac:dyDescent="0.3">
      <c r="A698" s="1330">
        <v>60003100208</v>
      </c>
      <c r="B698" s="1041">
        <v>3315</v>
      </c>
      <c r="C698" s="1331">
        <v>6121</v>
      </c>
      <c r="D698" s="1042">
        <v>13</v>
      </c>
      <c r="E698" s="1043" t="s">
        <v>671</v>
      </c>
      <c r="F698" s="960"/>
      <c r="G698" s="1333">
        <v>5527</v>
      </c>
      <c r="H698" s="960">
        <v>5493</v>
      </c>
      <c r="I698" s="1334">
        <f>(H698/G698)*100</f>
        <v>99.384838067667815</v>
      </c>
    </row>
    <row r="699" spans="1:14" s="558" customFormat="1" ht="18" customHeight="1" thickTop="1" thickBot="1" x14ac:dyDescent="0.3">
      <c r="A699" s="2751" t="s">
        <v>267</v>
      </c>
      <c r="B699" s="2750"/>
      <c r="C699" s="2750"/>
      <c r="D699" s="2750"/>
      <c r="E699" s="2750"/>
      <c r="F699" s="943">
        <f>F698</f>
        <v>0</v>
      </c>
      <c r="G699" s="943">
        <f>G698</f>
        <v>5527</v>
      </c>
      <c r="H699" s="943">
        <f>H698</f>
        <v>5493</v>
      </c>
      <c r="I699" s="926">
        <f>(H699/G699)*100</f>
        <v>99.384838067667815</v>
      </c>
    </row>
    <row r="700" spans="1:14" ht="13.5" thickTop="1" x14ac:dyDescent="0.2">
      <c r="K700" s="984"/>
      <c r="L700" s="984"/>
      <c r="M700" s="984"/>
      <c r="N700" s="439"/>
    </row>
    <row r="701" spans="1:14" x14ac:dyDescent="0.2">
      <c r="K701" s="984"/>
      <c r="L701" s="984"/>
      <c r="M701" s="984"/>
      <c r="N701" s="439"/>
    </row>
    <row r="702" spans="1:14" s="558" customFormat="1" ht="13.5" thickBot="1" x14ac:dyDescent="0.25">
      <c r="A702" s="439" t="s">
        <v>877</v>
      </c>
      <c r="B702" s="669"/>
      <c r="D702" s="884"/>
      <c r="F702" s="517"/>
      <c r="G702" s="517"/>
      <c r="H702" s="517"/>
      <c r="I702" s="1023" t="s">
        <v>179</v>
      </c>
    </row>
    <row r="703" spans="1:14" s="107" customFormat="1" ht="20.25" customHeight="1" thickTop="1" thickBot="1" x14ac:dyDescent="0.25">
      <c r="A703" s="714" t="s">
        <v>692</v>
      </c>
      <c r="B703" s="717" t="s">
        <v>180</v>
      </c>
      <c r="C703" s="715" t="s">
        <v>181</v>
      </c>
      <c r="D703" s="660" t="s">
        <v>783</v>
      </c>
      <c r="E703" s="718" t="s">
        <v>182</v>
      </c>
      <c r="F703" s="718" t="s">
        <v>183</v>
      </c>
      <c r="G703" s="718" t="s">
        <v>985</v>
      </c>
      <c r="H703" s="718" t="s">
        <v>986</v>
      </c>
      <c r="I703" s="888" t="s">
        <v>987</v>
      </c>
    </row>
    <row r="704" spans="1:14" s="386" customFormat="1" ht="13.5" thickTop="1" thickBot="1" x14ac:dyDescent="0.25">
      <c r="A704" s="1318">
        <v>1</v>
      </c>
      <c r="B704" s="1319">
        <v>2</v>
      </c>
      <c r="C704" s="1319">
        <v>3</v>
      </c>
      <c r="D704" s="1319">
        <v>4</v>
      </c>
      <c r="E704" s="593">
        <v>5</v>
      </c>
      <c r="F704" s="1320">
        <v>6</v>
      </c>
      <c r="G704" s="1320">
        <v>7</v>
      </c>
      <c r="H704" s="1321">
        <v>8</v>
      </c>
      <c r="I704" s="1322" t="s">
        <v>848</v>
      </c>
    </row>
    <row r="705" spans="1:14" s="558" customFormat="1" ht="16.5" thickTop="1" thickBot="1" x14ac:dyDescent="0.3">
      <c r="A705" s="1330">
        <v>60003100217</v>
      </c>
      <c r="B705" s="1041">
        <v>3315</v>
      </c>
      <c r="C705" s="1331">
        <v>6121</v>
      </c>
      <c r="D705" s="1042">
        <v>13</v>
      </c>
      <c r="E705" s="1043" t="s">
        <v>671</v>
      </c>
      <c r="F705" s="960"/>
      <c r="G705" s="1333">
        <v>177</v>
      </c>
      <c r="H705" s="960">
        <v>30</v>
      </c>
      <c r="I705" s="1334">
        <f>(H705/G705)*100</f>
        <v>16.949152542372879</v>
      </c>
    </row>
    <row r="706" spans="1:14" s="558" customFormat="1" ht="18" customHeight="1" thickTop="1" thickBot="1" x14ac:dyDescent="0.3">
      <c r="A706" s="2751" t="s">
        <v>267</v>
      </c>
      <c r="B706" s="2750"/>
      <c r="C706" s="2750"/>
      <c r="D706" s="2750"/>
      <c r="E706" s="2750"/>
      <c r="F706" s="943">
        <f>F705</f>
        <v>0</v>
      </c>
      <c r="G706" s="943">
        <f>G705</f>
        <v>177</v>
      </c>
      <c r="H706" s="943">
        <f>H705</f>
        <v>30</v>
      </c>
      <c r="I706" s="926">
        <f>(H706/G706)*100</f>
        <v>16.949152542372879</v>
      </c>
    </row>
    <row r="707" spans="1:14" ht="13.5" thickTop="1" x14ac:dyDescent="0.2">
      <c r="K707" s="984"/>
      <c r="L707" s="984"/>
      <c r="M707" s="984"/>
      <c r="N707" s="439"/>
    </row>
    <row r="708" spans="1:14" x14ac:dyDescent="0.2">
      <c r="K708" s="984"/>
      <c r="L708" s="984"/>
      <c r="M708" s="984"/>
      <c r="N708" s="439"/>
    </row>
    <row r="709" spans="1:14" s="558" customFormat="1" ht="13.5" thickBot="1" x14ac:dyDescent="0.25">
      <c r="A709" s="439" t="s">
        <v>878</v>
      </c>
      <c r="B709" s="669"/>
      <c r="D709" s="884"/>
      <c r="F709" s="517"/>
      <c r="G709" s="517"/>
      <c r="H709" s="517"/>
      <c r="I709" s="1023" t="s">
        <v>179</v>
      </c>
    </row>
    <row r="710" spans="1:14" s="107" customFormat="1" ht="20.25" customHeight="1" thickTop="1" thickBot="1" x14ac:dyDescent="0.25">
      <c r="A710" s="714" t="s">
        <v>692</v>
      </c>
      <c r="B710" s="717" t="s">
        <v>180</v>
      </c>
      <c r="C710" s="715" t="s">
        <v>181</v>
      </c>
      <c r="D710" s="660" t="s">
        <v>783</v>
      </c>
      <c r="E710" s="718" t="s">
        <v>182</v>
      </c>
      <c r="F710" s="718" t="s">
        <v>183</v>
      </c>
      <c r="G710" s="718" t="s">
        <v>985</v>
      </c>
      <c r="H710" s="718" t="s">
        <v>986</v>
      </c>
      <c r="I710" s="888" t="s">
        <v>987</v>
      </c>
    </row>
    <row r="711" spans="1:14" s="386" customFormat="1" ht="13.5" thickTop="1" thickBot="1" x14ac:dyDescent="0.25">
      <c r="A711" s="1318">
        <v>1</v>
      </c>
      <c r="B711" s="1319">
        <v>2</v>
      </c>
      <c r="C711" s="1319">
        <v>3</v>
      </c>
      <c r="D711" s="1319">
        <v>4</v>
      </c>
      <c r="E711" s="593">
        <v>5</v>
      </c>
      <c r="F711" s="1320">
        <v>6</v>
      </c>
      <c r="G711" s="1320">
        <v>7</v>
      </c>
      <c r="H711" s="1321">
        <v>8</v>
      </c>
      <c r="I711" s="1322" t="s">
        <v>848</v>
      </c>
    </row>
    <row r="712" spans="1:14" s="558" customFormat="1" ht="16.5" thickTop="1" thickBot="1" x14ac:dyDescent="0.3">
      <c r="A712" s="1330">
        <v>60003100218</v>
      </c>
      <c r="B712" s="1041">
        <v>3315</v>
      </c>
      <c r="C712" s="1331">
        <v>6121</v>
      </c>
      <c r="D712" s="1042">
        <v>13</v>
      </c>
      <c r="E712" s="1043" t="s">
        <v>671</v>
      </c>
      <c r="F712" s="960"/>
      <c r="G712" s="1333">
        <v>155</v>
      </c>
      <c r="H712" s="960">
        <v>155</v>
      </c>
      <c r="I712" s="1334">
        <f>(H712/G712)*100</f>
        <v>100</v>
      </c>
    </row>
    <row r="713" spans="1:14" s="558" customFormat="1" ht="18" customHeight="1" thickTop="1" thickBot="1" x14ac:dyDescent="0.3">
      <c r="A713" s="2751" t="s">
        <v>267</v>
      </c>
      <c r="B713" s="2750"/>
      <c r="C713" s="2750"/>
      <c r="D713" s="2750"/>
      <c r="E713" s="2750"/>
      <c r="F713" s="943">
        <f>F712</f>
        <v>0</v>
      </c>
      <c r="G713" s="943">
        <f>G712</f>
        <v>155</v>
      </c>
      <c r="H713" s="943">
        <f>H712</f>
        <v>155</v>
      </c>
      <c r="I713" s="926">
        <f>(H713/G713)*100</f>
        <v>100</v>
      </c>
    </row>
    <row r="714" spans="1:14" ht="13.5" thickTop="1" x14ac:dyDescent="0.2">
      <c r="K714" s="984"/>
      <c r="L714" s="984"/>
      <c r="M714" s="984"/>
      <c r="N714" s="439"/>
    </row>
    <row r="715" spans="1:14" x14ac:dyDescent="0.2">
      <c r="K715" s="984"/>
      <c r="L715" s="984"/>
      <c r="M715" s="984"/>
      <c r="N715" s="439"/>
    </row>
    <row r="716" spans="1:14" s="558" customFormat="1" ht="13.5" thickBot="1" x14ac:dyDescent="0.25">
      <c r="A716" s="439" t="s">
        <v>774</v>
      </c>
      <c r="B716" s="669"/>
      <c r="D716" s="884"/>
      <c r="F716" s="517"/>
      <c r="G716" s="517"/>
      <c r="H716" s="517"/>
      <c r="I716" s="1023" t="s">
        <v>179</v>
      </c>
    </row>
    <row r="717" spans="1:14" s="107" customFormat="1" ht="20.25" customHeight="1" thickTop="1" thickBot="1" x14ac:dyDescent="0.25">
      <c r="A717" s="714" t="s">
        <v>692</v>
      </c>
      <c r="B717" s="717" t="s">
        <v>180</v>
      </c>
      <c r="C717" s="715" t="s">
        <v>181</v>
      </c>
      <c r="D717" s="660" t="s">
        <v>783</v>
      </c>
      <c r="E717" s="718" t="s">
        <v>182</v>
      </c>
      <c r="F717" s="718" t="s">
        <v>183</v>
      </c>
      <c r="G717" s="718" t="s">
        <v>985</v>
      </c>
      <c r="H717" s="718" t="s">
        <v>986</v>
      </c>
      <c r="I717" s="888" t="s">
        <v>987</v>
      </c>
    </row>
    <row r="718" spans="1:14" s="386" customFormat="1" ht="13.5" thickTop="1" thickBot="1" x14ac:dyDescent="0.25">
      <c r="A718" s="1318">
        <v>1</v>
      </c>
      <c r="B718" s="1319">
        <v>2</v>
      </c>
      <c r="C718" s="1319">
        <v>3</v>
      </c>
      <c r="D718" s="1319">
        <v>4</v>
      </c>
      <c r="E718" s="593">
        <v>5</v>
      </c>
      <c r="F718" s="1320">
        <v>6</v>
      </c>
      <c r="G718" s="1320">
        <v>7</v>
      </c>
      <c r="H718" s="1321">
        <v>8</v>
      </c>
      <c r="I718" s="1322" t="s">
        <v>848</v>
      </c>
    </row>
    <row r="719" spans="1:14" s="558" customFormat="1" ht="16.5" thickTop="1" thickBot="1" x14ac:dyDescent="0.3">
      <c r="A719" s="1330">
        <v>60003100280</v>
      </c>
      <c r="B719" s="1041">
        <v>3314</v>
      </c>
      <c r="C719" s="1331">
        <v>6121</v>
      </c>
      <c r="D719" s="1042">
        <v>13</v>
      </c>
      <c r="E719" s="1043" t="s">
        <v>671</v>
      </c>
      <c r="F719" s="960"/>
      <c r="G719" s="1333">
        <v>802</v>
      </c>
      <c r="H719" s="960">
        <v>802</v>
      </c>
      <c r="I719" s="1334">
        <f>(H719/G719)*100</f>
        <v>100</v>
      </c>
    </row>
    <row r="720" spans="1:14" s="558" customFormat="1" ht="18" customHeight="1" thickTop="1" thickBot="1" x14ac:dyDescent="0.3">
      <c r="A720" s="2751" t="s">
        <v>267</v>
      </c>
      <c r="B720" s="2750"/>
      <c r="C720" s="2750"/>
      <c r="D720" s="2750"/>
      <c r="E720" s="2750"/>
      <c r="F720" s="943">
        <f>F719</f>
        <v>0</v>
      </c>
      <c r="G720" s="943">
        <f>G719</f>
        <v>802</v>
      </c>
      <c r="H720" s="943">
        <f>H719</f>
        <v>802</v>
      </c>
      <c r="I720" s="926">
        <f>(H720/G720)*100</f>
        <v>100</v>
      </c>
    </row>
    <row r="721" spans="1:14" ht="13.5" thickTop="1" x14ac:dyDescent="0.2">
      <c r="K721" s="984"/>
      <c r="L721" s="984"/>
      <c r="M721" s="984"/>
      <c r="N721" s="439"/>
    </row>
    <row r="722" spans="1:14" x14ac:dyDescent="0.2">
      <c r="K722" s="984"/>
      <c r="L722" s="984"/>
      <c r="M722" s="984"/>
      <c r="N722" s="439"/>
    </row>
    <row r="723" spans="1:14" s="558" customFormat="1" ht="13.5" thickBot="1" x14ac:dyDescent="0.25">
      <c r="A723" s="439" t="s">
        <v>775</v>
      </c>
      <c r="B723" s="669"/>
      <c r="D723" s="884"/>
      <c r="F723" s="517"/>
      <c r="G723" s="517"/>
      <c r="H723" s="517"/>
      <c r="I723" s="1023" t="s">
        <v>179</v>
      </c>
    </row>
    <row r="724" spans="1:14" s="107" customFormat="1" ht="20.25" customHeight="1" thickTop="1" thickBot="1" x14ac:dyDescent="0.25">
      <c r="A724" s="714" t="s">
        <v>692</v>
      </c>
      <c r="B724" s="717" t="s">
        <v>180</v>
      </c>
      <c r="C724" s="715" t="s">
        <v>181</v>
      </c>
      <c r="D724" s="660" t="s">
        <v>783</v>
      </c>
      <c r="E724" s="718" t="s">
        <v>182</v>
      </c>
      <c r="F724" s="718" t="s">
        <v>183</v>
      </c>
      <c r="G724" s="718" t="s">
        <v>985</v>
      </c>
      <c r="H724" s="718" t="s">
        <v>986</v>
      </c>
      <c r="I724" s="888" t="s">
        <v>987</v>
      </c>
    </row>
    <row r="725" spans="1:14" s="386" customFormat="1" ht="13.5" thickTop="1" thickBot="1" x14ac:dyDescent="0.25">
      <c r="A725" s="1318">
        <v>1</v>
      </c>
      <c r="B725" s="1319">
        <v>2</v>
      </c>
      <c r="C725" s="1319">
        <v>3</v>
      </c>
      <c r="D725" s="1319">
        <v>4</v>
      </c>
      <c r="E725" s="593">
        <v>5</v>
      </c>
      <c r="F725" s="1320">
        <v>6</v>
      </c>
      <c r="G725" s="1320">
        <v>7</v>
      </c>
      <c r="H725" s="1321">
        <v>8</v>
      </c>
      <c r="I725" s="1322" t="s">
        <v>848</v>
      </c>
    </row>
    <row r="726" spans="1:14" s="558" customFormat="1" ht="16.5" thickTop="1" thickBot="1" x14ac:dyDescent="0.3">
      <c r="A726" s="1330">
        <v>60003100281</v>
      </c>
      <c r="B726" s="1041">
        <v>3315</v>
      </c>
      <c r="C726" s="1331">
        <v>6121</v>
      </c>
      <c r="D726" s="1042">
        <v>870</v>
      </c>
      <c r="E726" s="1043" t="s">
        <v>671</v>
      </c>
      <c r="F726" s="960"/>
      <c r="G726" s="1333">
        <v>12173</v>
      </c>
      <c r="H726" s="960">
        <v>12173</v>
      </c>
      <c r="I726" s="1334">
        <f>(H726/G726)*100</f>
        <v>100</v>
      </c>
    </row>
    <row r="727" spans="1:14" s="558" customFormat="1" ht="18" customHeight="1" thickTop="1" thickBot="1" x14ac:dyDescent="0.3">
      <c r="A727" s="2751" t="s">
        <v>267</v>
      </c>
      <c r="B727" s="2750"/>
      <c r="C727" s="2750"/>
      <c r="D727" s="2750"/>
      <c r="E727" s="2750"/>
      <c r="F727" s="943">
        <f>F726</f>
        <v>0</v>
      </c>
      <c r="G727" s="943">
        <f>G726</f>
        <v>12173</v>
      </c>
      <c r="H727" s="943">
        <f>H726</f>
        <v>12173</v>
      </c>
      <c r="I727" s="926">
        <f>(H727/G727)*100</f>
        <v>100</v>
      </c>
    </row>
    <row r="728" spans="1:14" ht="13.5" thickTop="1" x14ac:dyDescent="0.2">
      <c r="K728" s="984"/>
      <c r="L728" s="984"/>
      <c r="M728" s="984"/>
      <c r="N728" s="439"/>
    </row>
    <row r="729" spans="1:14" x14ac:dyDescent="0.2">
      <c r="K729" s="984"/>
      <c r="L729" s="984"/>
      <c r="M729" s="984"/>
      <c r="N729" s="439"/>
    </row>
    <row r="730" spans="1:14" s="558" customFormat="1" ht="13.5" thickBot="1" x14ac:dyDescent="0.25">
      <c r="A730" s="439" t="s">
        <v>776</v>
      </c>
      <c r="B730" s="669"/>
      <c r="D730" s="884"/>
      <c r="F730" s="517"/>
      <c r="G730" s="517"/>
      <c r="H730" s="517"/>
      <c r="I730" s="1023" t="s">
        <v>179</v>
      </c>
    </row>
    <row r="731" spans="1:14" s="107" customFormat="1" ht="20.25" customHeight="1" thickTop="1" thickBot="1" x14ac:dyDescent="0.25">
      <c r="A731" s="714" t="s">
        <v>692</v>
      </c>
      <c r="B731" s="717" t="s">
        <v>180</v>
      </c>
      <c r="C731" s="715" t="s">
        <v>181</v>
      </c>
      <c r="D731" s="660" t="s">
        <v>783</v>
      </c>
      <c r="E731" s="718" t="s">
        <v>182</v>
      </c>
      <c r="F731" s="718" t="s">
        <v>183</v>
      </c>
      <c r="G731" s="718" t="s">
        <v>985</v>
      </c>
      <c r="H731" s="718" t="s">
        <v>986</v>
      </c>
      <c r="I731" s="888" t="s">
        <v>987</v>
      </c>
    </row>
    <row r="732" spans="1:14" s="386" customFormat="1" ht="13.5" thickTop="1" thickBot="1" x14ac:dyDescent="0.25">
      <c r="A732" s="1318">
        <v>1</v>
      </c>
      <c r="B732" s="1319">
        <v>2</v>
      </c>
      <c r="C732" s="1319">
        <v>3</v>
      </c>
      <c r="D732" s="1319">
        <v>4</v>
      </c>
      <c r="E732" s="593">
        <v>5</v>
      </c>
      <c r="F732" s="1320">
        <v>6</v>
      </c>
      <c r="G732" s="1320">
        <v>7</v>
      </c>
      <c r="H732" s="1321">
        <v>8</v>
      </c>
      <c r="I732" s="1322" t="s">
        <v>848</v>
      </c>
    </row>
    <row r="733" spans="1:14" s="558" customFormat="1" ht="16.5" thickTop="1" thickBot="1" x14ac:dyDescent="0.3">
      <c r="A733" s="1330">
        <v>60003100283</v>
      </c>
      <c r="B733" s="1041">
        <v>3315</v>
      </c>
      <c r="C733" s="1331">
        <v>6121</v>
      </c>
      <c r="D733" s="1042">
        <v>13</v>
      </c>
      <c r="E733" s="1043" t="s">
        <v>671</v>
      </c>
      <c r="F733" s="960"/>
      <c r="G733" s="1333">
        <v>200</v>
      </c>
      <c r="H733" s="960">
        <v>0</v>
      </c>
      <c r="I733" s="1334">
        <f>(H733/G733)*100</f>
        <v>0</v>
      </c>
    </row>
    <row r="734" spans="1:14" s="558" customFormat="1" ht="18" customHeight="1" thickTop="1" thickBot="1" x14ac:dyDescent="0.3">
      <c r="A734" s="2751" t="s">
        <v>267</v>
      </c>
      <c r="B734" s="2750"/>
      <c r="C734" s="2750"/>
      <c r="D734" s="2750"/>
      <c r="E734" s="2750"/>
      <c r="F734" s="943">
        <f>F733</f>
        <v>0</v>
      </c>
      <c r="G734" s="943">
        <f>G733</f>
        <v>200</v>
      </c>
      <c r="H734" s="943">
        <f>H733</f>
        <v>0</v>
      </c>
      <c r="I734" s="926">
        <f>(H734/G734)*100</f>
        <v>0</v>
      </c>
    </row>
    <row r="735" spans="1:14" s="558" customFormat="1" ht="14.25" thickTop="1" thickBot="1" x14ac:dyDescent="0.25">
      <c r="A735" s="439" t="s">
        <v>777</v>
      </c>
      <c r="B735" s="669"/>
      <c r="D735" s="884"/>
      <c r="F735" s="517"/>
      <c r="G735" s="517"/>
      <c r="H735" s="517"/>
      <c r="I735" s="1023" t="s">
        <v>179</v>
      </c>
    </row>
    <row r="736" spans="1:14" s="107" customFormat="1" ht="20.25" customHeight="1" thickTop="1" thickBot="1" x14ac:dyDescent="0.25">
      <c r="A736" s="714" t="s">
        <v>692</v>
      </c>
      <c r="B736" s="717" t="s">
        <v>180</v>
      </c>
      <c r="C736" s="715" t="s">
        <v>181</v>
      </c>
      <c r="D736" s="660" t="s">
        <v>783</v>
      </c>
      <c r="E736" s="718" t="s">
        <v>182</v>
      </c>
      <c r="F736" s="718" t="s">
        <v>183</v>
      </c>
      <c r="G736" s="718" t="s">
        <v>985</v>
      </c>
      <c r="H736" s="718" t="s">
        <v>986</v>
      </c>
      <c r="I736" s="888" t="s">
        <v>987</v>
      </c>
    </row>
    <row r="737" spans="1:14" s="386" customFormat="1" ht="13.5" thickTop="1" thickBot="1" x14ac:dyDescent="0.25">
      <c r="A737" s="1318">
        <v>1</v>
      </c>
      <c r="B737" s="1319">
        <v>2</v>
      </c>
      <c r="C737" s="1319">
        <v>3</v>
      </c>
      <c r="D737" s="1319">
        <v>4</v>
      </c>
      <c r="E737" s="593">
        <v>5</v>
      </c>
      <c r="F737" s="1320">
        <v>6</v>
      </c>
      <c r="G737" s="1320">
        <v>7</v>
      </c>
      <c r="H737" s="1321">
        <v>8</v>
      </c>
      <c r="I737" s="1322" t="s">
        <v>848</v>
      </c>
    </row>
    <row r="738" spans="1:14" s="558" customFormat="1" ht="16.5" thickTop="1" thickBot="1" x14ac:dyDescent="0.3">
      <c r="A738" s="1330">
        <v>60003100284</v>
      </c>
      <c r="B738" s="1041">
        <v>3315</v>
      </c>
      <c r="C738" s="1331">
        <v>6121</v>
      </c>
      <c r="D738" s="1042">
        <v>13</v>
      </c>
      <c r="E738" s="1043" t="s">
        <v>671</v>
      </c>
      <c r="F738" s="960"/>
      <c r="G738" s="1333">
        <v>2330</v>
      </c>
      <c r="H738" s="960">
        <v>1200</v>
      </c>
      <c r="I738" s="1334">
        <f>(H738/G738)*100</f>
        <v>51.502145922746777</v>
      </c>
    </row>
    <row r="739" spans="1:14" s="558" customFormat="1" ht="18" customHeight="1" thickTop="1" thickBot="1" x14ac:dyDescent="0.3">
      <c r="A739" s="2751" t="s">
        <v>267</v>
      </c>
      <c r="B739" s="2750"/>
      <c r="C739" s="2750"/>
      <c r="D739" s="2750"/>
      <c r="E739" s="2750"/>
      <c r="F739" s="943">
        <f>F738</f>
        <v>0</v>
      </c>
      <c r="G739" s="943">
        <f>G738</f>
        <v>2330</v>
      </c>
      <c r="H739" s="943">
        <f>H738</f>
        <v>1200</v>
      </c>
      <c r="I739" s="926">
        <f>(H739/G739)*100</f>
        <v>51.502145922746777</v>
      </c>
    </row>
    <row r="740" spans="1:14" ht="13.5" thickTop="1" x14ac:dyDescent="0.2">
      <c r="K740" s="984"/>
      <c r="L740" s="984"/>
      <c r="M740" s="984"/>
      <c r="N740" s="439"/>
    </row>
    <row r="741" spans="1:14" x14ac:dyDescent="0.2">
      <c r="K741" s="984"/>
      <c r="L741" s="984"/>
      <c r="M741" s="984"/>
      <c r="N741" s="439"/>
    </row>
    <row r="742" spans="1:14" s="558" customFormat="1" ht="13.5" thickBot="1" x14ac:dyDescent="0.25">
      <c r="A742" s="439" t="s">
        <v>778</v>
      </c>
      <c r="B742" s="669"/>
      <c r="D742" s="884"/>
      <c r="F742" s="517"/>
      <c r="G742" s="517"/>
      <c r="H742" s="517"/>
      <c r="I742" s="1023" t="s">
        <v>179</v>
      </c>
    </row>
    <row r="743" spans="1:14" s="107" customFormat="1" ht="20.25" customHeight="1" thickTop="1" thickBot="1" x14ac:dyDescent="0.25">
      <c r="A743" s="714" t="s">
        <v>692</v>
      </c>
      <c r="B743" s="717" t="s">
        <v>180</v>
      </c>
      <c r="C743" s="715" t="s">
        <v>181</v>
      </c>
      <c r="D743" s="660" t="s">
        <v>783</v>
      </c>
      <c r="E743" s="718" t="s">
        <v>182</v>
      </c>
      <c r="F743" s="718" t="s">
        <v>183</v>
      </c>
      <c r="G743" s="718" t="s">
        <v>985</v>
      </c>
      <c r="H743" s="718" t="s">
        <v>986</v>
      </c>
      <c r="I743" s="888" t="s">
        <v>987</v>
      </c>
    </row>
    <row r="744" spans="1:14" s="386" customFormat="1" ht="13.5" thickTop="1" thickBot="1" x14ac:dyDescent="0.25">
      <c r="A744" s="1318">
        <v>1</v>
      </c>
      <c r="B744" s="1319">
        <v>2</v>
      </c>
      <c r="C744" s="1319">
        <v>3</v>
      </c>
      <c r="D744" s="1319">
        <v>4</v>
      </c>
      <c r="E744" s="593">
        <v>5</v>
      </c>
      <c r="F744" s="1320">
        <v>6</v>
      </c>
      <c r="G744" s="1320">
        <v>7</v>
      </c>
      <c r="H744" s="1321">
        <v>8</v>
      </c>
      <c r="I744" s="1322" t="s">
        <v>848</v>
      </c>
    </row>
    <row r="745" spans="1:14" s="386" customFormat="1" ht="16.5" thickTop="1" thickBot="1" x14ac:dyDescent="0.3">
      <c r="A745" s="1387">
        <v>60003100286</v>
      </c>
      <c r="B745" s="1388">
        <v>3319</v>
      </c>
      <c r="C745" s="1375">
        <v>5171</v>
      </c>
      <c r="D745" s="1042">
        <v>13</v>
      </c>
      <c r="E745" s="1352" t="s">
        <v>1001</v>
      </c>
      <c r="F745" s="1353"/>
      <c r="G745" s="1354">
        <v>2159</v>
      </c>
      <c r="H745" s="1355">
        <v>2159</v>
      </c>
      <c r="I745" s="1334">
        <f>(H745/G745)*100</f>
        <v>100</v>
      </c>
    </row>
    <row r="746" spans="1:14" s="386" customFormat="1" ht="16.5" thickTop="1" thickBot="1" x14ac:dyDescent="0.3">
      <c r="A746" s="2739" t="s">
        <v>268</v>
      </c>
      <c r="B746" s="2740"/>
      <c r="C746" s="2740"/>
      <c r="D746" s="2740"/>
      <c r="E746" s="2740"/>
      <c r="F746" s="935">
        <v>0</v>
      </c>
      <c r="G746" s="1355">
        <f>G745</f>
        <v>2159</v>
      </c>
      <c r="H746" s="1355">
        <f>H745</f>
        <v>2159</v>
      </c>
      <c r="I746" s="1334">
        <f>(H746/G746)*100</f>
        <v>100</v>
      </c>
    </row>
    <row r="747" spans="1:14" s="558" customFormat="1" ht="16.5" thickTop="1" thickBot="1" x14ac:dyDescent="0.3">
      <c r="A747" s="1330">
        <v>60003100286</v>
      </c>
      <c r="B747" s="1041">
        <v>3319</v>
      </c>
      <c r="C747" s="1331">
        <v>6121</v>
      </c>
      <c r="D747" s="1042">
        <v>13</v>
      </c>
      <c r="E747" s="1043" t="s">
        <v>671</v>
      </c>
      <c r="F747" s="960"/>
      <c r="G747" s="1333">
        <v>1</v>
      </c>
      <c r="H747" s="960">
        <v>0</v>
      </c>
      <c r="I747" s="1334">
        <f>(H747/G747)*100</f>
        <v>0</v>
      </c>
    </row>
    <row r="748" spans="1:14" s="558" customFormat="1" ht="18" customHeight="1" thickTop="1" thickBot="1" x14ac:dyDescent="0.3">
      <c r="A748" s="2751" t="s">
        <v>267</v>
      </c>
      <c r="B748" s="2750"/>
      <c r="C748" s="2750"/>
      <c r="D748" s="2750"/>
      <c r="E748" s="2750"/>
      <c r="F748" s="943">
        <f>F747</f>
        <v>0</v>
      </c>
      <c r="G748" s="943">
        <f>G747</f>
        <v>1</v>
      </c>
      <c r="H748" s="943">
        <f>H747</f>
        <v>0</v>
      </c>
      <c r="I748" s="926">
        <f>(H748/G748)*100</f>
        <v>0</v>
      </c>
    </row>
    <row r="749" spans="1:14" ht="13.5" thickTop="1" x14ac:dyDescent="0.2">
      <c r="K749" s="984"/>
      <c r="L749" s="984"/>
      <c r="M749" s="984"/>
      <c r="N749" s="439"/>
    </row>
    <row r="750" spans="1:14" x14ac:dyDescent="0.2">
      <c r="K750" s="984"/>
      <c r="L750" s="984"/>
      <c r="M750" s="984"/>
      <c r="N750" s="439"/>
    </row>
    <row r="751" spans="1:14" s="558" customFormat="1" ht="13.5" thickBot="1" x14ac:dyDescent="0.25">
      <c r="A751" s="439" t="s">
        <v>778</v>
      </c>
      <c r="B751" s="669"/>
      <c r="D751" s="884"/>
      <c r="F751" s="517"/>
      <c r="G751" s="517"/>
      <c r="H751" s="517"/>
      <c r="I751" s="1023" t="s">
        <v>179</v>
      </c>
    </row>
    <row r="752" spans="1:14" s="107" customFormat="1" ht="20.25" customHeight="1" thickTop="1" thickBot="1" x14ac:dyDescent="0.25">
      <c r="A752" s="714" t="s">
        <v>692</v>
      </c>
      <c r="B752" s="717" t="s">
        <v>180</v>
      </c>
      <c r="C752" s="715" t="s">
        <v>181</v>
      </c>
      <c r="D752" s="660" t="s">
        <v>783</v>
      </c>
      <c r="E752" s="718" t="s">
        <v>182</v>
      </c>
      <c r="F752" s="718" t="s">
        <v>183</v>
      </c>
      <c r="G752" s="718" t="s">
        <v>985</v>
      </c>
      <c r="H752" s="718" t="s">
        <v>986</v>
      </c>
      <c r="I752" s="888" t="s">
        <v>987</v>
      </c>
    </row>
    <row r="753" spans="1:14" s="386" customFormat="1" ht="13.5" thickTop="1" thickBot="1" x14ac:dyDescent="0.25">
      <c r="A753" s="1318">
        <v>1</v>
      </c>
      <c r="B753" s="1319">
        <v>2</v>
      </c>
      <c r="C753" s="1319">
        <v>3</v>
      </c>
      <c r="D753" s="1319">
        <v>4</v>
      </c>
      <c r="E753" s="593">
        <v>5</v>
      </c>
      <c r="F753" s="1320">
        <v>6</v>
      </c>
      <c r="G753" s="1320">
        <v>7</v>
      </c>
      <c r="H753" s="1321">
        <v>8</v>
      </c>
      <c r="I753" s="1322" t="s">
        <v>848</v>
      </c>
    </row>
    <row r="754" spans="1:14" s="558" customFormat="1" ht="15.75" thickTop="1" x14ac:dyDescent="0.25">
      <c r="A754" s="1031">
        <v>60003100315</v>
      </c>
      <c r="B754" s="836">
        <v>3315</v>
      </c>
      <c r="C754" s="680">
        <v>5901</v>
      </c>
      <c r="D754" s="1047">
        <v>0</v>
      </c>
      <c r="E754" s="852" t="s">
        <v>670</v>
      </c>
      <c r="F754" s="1034"/>
      <c r="G754" s="1328">
        <v>300</v>
      </c>
      <c r="H754" s="1034">
        <v>0</v>
      </c>
      <c r="I754" s="1329">
        <f>(H754/G754)*100</f>
        <v>0</v>
      </c>
    </row>
    <row r="755" spans="1:14" s="558" customFormat="1" ht="15.75" thickBot="1" x14ac:dyDescent="0.3">
      <c r="A755" s="1037">
        <v>60003100315</v>
      </c>
      <c r="B755" s="962">
        <v>3315</v>
      </c>
      <c r="C755" s="962">
        <v>5901</v>
      </c>
      <c r="D755" s="1349">
        <v>24</v>
      </c>
      <c r="E755" s="1348" t="s">
        <v>670</v>
      </c>
      <c r="F755" s="1347"/>
      <c r="G755" s="1347">
        <v>350</v>
      </c>
      <c r="H755" s="1347">
        <v>0</v>
      </c>
      <c r="I755" s="1048">
        <f>(H755/G755)*100</f>
        <v>0</v>
      </c>
    </row>
    <row r="756" spans="1:14" s="558" customFormat="1" ht="18" customHeight="1" thickTop="1" thickBot="1" x14ac:dyDescent="0.3">
      <c r="A756" s="2751" t="s">
        <v>268</v>
      </c>
      <c r="B756" s="2750"/>
      <c r="C756" s="2750"/>
      <c r="D756" s="2750"/>
      <c r="E756" s="2750"/>
      <c r="F756" s="943">
        <f>F754</f>
        <v>0</v>
      </c>
      <c r="G756" s="943">
        <f>G754+G755</f>
        <v>650</v>
      </c>
      <c r="H756" s="943">
        <f>H754+H755</f>
        <v>0</v>
      </c>
      <c r="I756" s="926">
        <f>(H756/G756)*100</f>
        <v>0</v>
      </c>
      <c r="K756" s="517"/>
      <c r="L756" s="517"/>
      <c r="M756" s="517"/>
    </row>
    <row r="757" spans="1:14" ht="13.5" thickTop="1" x14ac:dyDescent="0.2">
      <c r="K757" s="984"/>
      <c r="L757" s="984"/>
      <c r="M757" s="984"/>
      <c r="N757" s="439"/>
    </row>
    <row r="758" spans="1:14" x14ac:dyDescent="0.2">
      <c r="K758" s="984"/>
      <c r="L758" s="984"/>
      <c r="M758" s="984"/>
      <c r="N758" s="439"/>
    </row>
    <row r="759" spans="1:14" s="558" customFormat="1" ht="13.5" thickBot="1" x14ac:dyDescent="0.25">
      <c r="A759" s="439" t="s">
        <v>780</v>
      </c>
      <c r="B759" s="669"/>
      <c r="D759" s="884"/>
      <c r="F759" s="517"/>
      <c r="G759" s="517"/>
      <c r="H759" s="517"/>
      <c r="I759" s="1023" t="s">
        <v>179</v>
      </c>
    </row>
    <row r="760" spans="1:14" s="107" customFormat="1" ht="20.25" customHeight="1" thickTop="1" thickBot="1" x14ac:dyDescent="0.25">
      <c r="A760" s="714" t="s">
        <v>692</v>
      </c>
      <c r="B760" s="717" t="s">
        <v>180</v>
      </c>
      <c r="C760" s="715" t="s">
        <v>181</v>
      </c>
      <c r="D760" s="660" t="s">
        <v>783</v>
      </c>
      <c r="E760" s="718" t="s">
        <v>182</v>
      </c>
      <c r="F760" s="718" t="s">
        <v>183</v>
      </c>
      <c r="G760" s="718" t="s">
        <v>985</v>
      </c>
      <c r="H760" s="718" t="s">
        <v>986</v>
      </c>
      <c r="I760" s="888" t="s">
        <v>987</v>
      </c>
    </row>
    <row r="761" spans="1:14" s="386" customFormat="1" ht="13.5" thickTop="1" thickBot="1" x14ac:dyDescent="0.25">
      <c r="A761" s="1318">
        <v>1</v>
      </c>
      <c r="B761" s="1319">
        <v>2</v>
      </c>
      <c r="C761" s="1319">
        <v>3</v>
      </c>
      <c r="D761" s="1319">
        <v>4</v>
      </c>
      <c r="E761" s="593">
        <v>5</v>
      </c>
      <c r="F761" s="1320">
        <v>6</v>
      </c>
      <c r="G761" s="1320">
        <v>7</v>
      </c>
      <c r="H761" s="1321">
        <v>8</v>
      </c>
      <c r="I761" s="1322" t="s">
        <v>848</v>
      </c>
    </row>
    <row r="762" spans="1:14" s="558" customFormat="1" ht="15.75" thickTop="1" x14ac:dyDescent="0.25">
      <c r="A762" s="1031">
        <v>60003100330</v>
      </c>
      <c r="B762" s="836">
        <v>3399</v>
      </c>
      <c r="C762" s="680">
        <v>6121</v>
      </c>
      <c r="D762" s="1047">
        <v>13</v>
      </c>
      <c r="E762" s="852" t="s">
        <v>671</v>
      </c>
      <c r="F762" s="1034"/>
      <c r="G762" s="1328">
        <v>270</v>
      </c>
      <c r="H762" s="1034">
        <v>0</v>
      </c>
      <c r="I762" s="1329">
        <f>(H762/G762)*100</f>
        <v>0</v>
      </c>
    </row>
    <row r="763" spans="1:14" s="558" customFormat="1" ht="15.75" thickBot="1" x14ac:dyDescent="0.3">
      <c r="A763" s="1037">
        <v>60003100330</v>
      </c>
      <c r="B763" s="962">
        <v>3399</v>
      </c>
      <c r="C763" s="962">
        <v>6329</v>
      </c>
      <c r="D763" s="1349">
        <v>13</v>
      </c>
      <c r="E763" s="1348" t="s">
        <v>779</v>
      </c>
      <c r="F763" s="1347"/>
      <c r="G763" s="1347">
        <v>130</v>
      </c>
      <c r="H763" s="1347">
        <v>0</v>
      </c>
      <c r="I763" s="1048">
        <f>(H763/G763)*100</f>
        <v>0</v>
      </c>
    </row>
    <row r="764" spans="1:14" s="558" customFormat="1" ht="18" customHeight="1" thickTop="1" thickBot="1" x14ac:dyDescent="0.3">
      <c r="A764" s="2751" t="s">
        <v>267</v>
      </c>
      <c r="B764" s="2750"/>
      <c r="C764" s="2750"/>
      <c r="D764" s="2750"/>
      <c r="E764" s="2750"/>
      <c r="F764" s="943">
        <f>F762</f>
        <v>0</v>
      </c>
      <c r="G764" s="943">
        <f>G762+G763</f>
        <v>400</v>
      </c>
      <c r="H764" s="943">
        <f>H762+H763</f>
        <v>0</v>
      </c>
      <c r="I764" s="926">
        <f>(H764/G764)*100</f>
        <v>0</v>
      </c>
      <c r="K764" s="517">
        <f>F648+F655+F662+F664+F673+F678+F685+F692+F699+F706+F713+F720+F727+F734+F739+F746+F748+F764+F756</f>
        <v>34847</v>
      </c>
      <c r="L764" s="517">
        <f>G648+G655+G662+G664+G673+G678+G685+G692+G699+G706+G713+G720+G727+G734+G739+G746+G748+G764+G756</f>
        <v>70661</v>
      </c>
      <c r="M764" s="517">
        <f>H648+H655+H662+H664+H673+H678+H685+H692+H699+H706+H713+H720+H727+H734+H739+H746+H748+H764+H756</f>
        <v>61431</v>
      </c>
      <c r="N764" s="558" t="s">
        <v>1240</v>
      </c>
    </row>
    <row r="765" spans="1:14" ht="13.5" thickTop="1" x14ac:dyDescent="0.2">
      <c r="K765" s="984"/>
      <c r="L765" s="984"/>
      <c r="M765" s="984"/>
      <c r="N765" s="439"/>
    </row>
    <row r="766" spans="1:14" x14ac:dyDescent="0.2">
      <c r="K766" s="984"/>
      <c r="L766" s="984"/>
      <c r="M766" s="984"/>
      <c r="N766" s="439"/>
    </row>
    <row r="767" spans="1:14" s="558" customFormat="1" ht="13.5" thickBot="1" x14ac:dyDescent="0.25">
      <c r="A767" s="439" t="s">
        <v>781</v>
      </c>
      <c r="B767" s="669"/>
      <c r="D767" s="884"/>
      <c r="F767" s="517"/>
      <c r="G767" s="517"/>
      <c r="H767" s="517"/>
      <c r="I767" s="1023" t="s">
        <v>179</v>
      </c>
    </row>
    <row r="768" spans="1:14" s="107" customFormat="1" ht="20.25" customHeight="1" thickTop="1" thickBot="1" x14ac:dyDescent="0.25">
      <c r="A768" s="714" t="s">
        <v>692</v>
      </c>
      <c r="B768" s="717" t="s">
        <v>180</v>
      </c>
      <c r="C768" s="715" t="s">
        <v>181</v>
      </c>
      <c r="D768" s="660" t="s">
        <v>783</v>
      </c>
      <c r="E768" s="718" t="s">
        <v>182</v>
      </c>
      <c r="F768" s="718" t="s">
        <v>183</v>
      </c>
      <c r="G768" s="718" t="s">
        <v>985</v>
      </c>
      <c r="H768" s="718" t="s">
        <v>986</v>
      </c>
      <c r="I768" s="888" t="s">
        <v>987</v>
      </c>
    </row>
    <row r="769" spans="1:14" s="386" customFormat="1" ht="13.5" thickTop="1" thickBot="1" x14ac:dyDescent="0.25">
      <c r="A769" s="1318">
        <v>1</v>
      </c>
      <c r="B769" s="1319">
        <v>2</v>
      </c>
      <c r="C769" s="1319">
        <v>3</v>
      </c>
      <c r="D769" s="1319">
        <v>4</v>
      </c>
      <c r="E769" s="593">
        <v>5</v>
      </c>
      <c r="F769" s="1320">
        <v>6</v>
      </c>
      <c r="G769" s="1320">
        <v>7</v>
      </c>
      <c r="H769" s="1321">
        <v>8</v>
      </c>
      <c r="I769" s="1322" t="s">
        <v>848</v>
      </c>
    </row>
    <row r="770" spans="1:14" s="558" customFormat="1" ht="15.75" thickTop="1" x14ac:dyDescent="0.25">
      <c r="A770" s="1031">
        <v>60004100000</v>
      </c>
      <c r="B770" s="836">
        <v>2212</v>
      </c>
      <c r="C770" s="680">
        <v>6121</v>
      </c>
      <c r="D770" s="1047">
        <v>12</v>
      </c>
      <c r="E770" s="852" t="s">
        <v>671</v>
      </c>
      <c r="F770" s="1034"/>
      <c r="G770" s="1328">
        <v>25</v>
      </c>
      <c r="H770" s="1034">
        <v>0</v>
      </c>
      <c r="I770" s="1329">
        <f>(H770/G770)*100</f>
        <v>0</v>
      </c>
    </row>
    <row r="771" spans="1:14" s="558" customFormat="1" ht="15.75" thickBot="1" x14ac:dyDescent="0.3">
      <c r="A771" s="1037">
        <v>60004100000</v>
      </c>
      <c r="B771" s="962">
        <v>2212</v>
      </c>
      <c r="C771" s="962">
        <v>6121</v>
      </c>
      <c r="D771" s="1349">
        <v>91628</v>
      </c>
      <c r="E771" s="1348" t="s">
        <v>671</v>
      </c>
      <c r="F771" s="1347"/>
      <c r="G771" s="1347">
        <v>84318</v>
      </c>
      <c r="H771" s="1347">
        <v>83768</v>
      </c>
      <c r="I771" s="1048">
        <f>(H771/G771)*100</f>
        <v>99.347707488318036</v>
      </c>
    </row>
    <row r="772" spans="1:14" s="558" customFormat="1" ht="18" customHeight="1" thickTop="1" thickBot="1" x14ac:dyDescent="0.3">
      <c r="A772" s="2751" t="s">
        <v>267</v>
      </c>
      <c r="B772" s="2750"/>
      <c r="C772" s="2750"/>
      <c r="D772" s="2750"/>
      <c r="E772" s="2750"/>
      <c r="F772" s="943">
        <f>F770</f>
        <v>0</v>
      </c>
      <c r="G772" s="943">
        <f>G770+G771</f>
        <v>84343</v>
      </c>
      <c r="H772" s="943">
        <f>H770+H771</f>
        <v>83768</v>
      </c>
      <c r="I772" s="926">
        <f>(H772/G772)*100</f>
        <v>99.318259962296807</v>
      </c>
    </row>
    <row r="773" spans="1:14" ht="13.5" thickTop="1" x14ac:dyDescent="0.2">
      <c r="K773" s="984"/>
      <c r="L773" s="984"/>
      <c r="M773" s="984"/>
      <c r="N773" s="439"/>
    </row>
    <row r="774" spans="1:14" x14ac:dyDescent="0.2">
      <c r="K774" s="984"/>
      <c r="L774" s="984"/>
      <c r="M774" s="984"/>
      <c r="N774" s="439"/>
    </row>
    <row r="775" spans="1:14" s="558" customFormat="1" ht="13.5" thickBot="1" x14ac:dyDescent="0.25">
      <c r="A775" s="439" t="s">
        <v>1248</v>
      </c>
      <c r="B775" s="669"/>
      <c r="D775" s="884"/>
      <c r="F775" s="517"/>
      <c r="G775" s="517"/>
      <c r="H775" s="517"/>
      <c r="I775" s="1023" t="s">
        <v>179</v>
      </c>
    </row>
    <row r="776" spans="1:14" s="107" customFormat="1" ht="20.25" customHeight="1" thickTop="1" thickBot="1" x14ac:dyDescent="0.25">
      <c r="A776" s="714" t="s">
        <v>692</v>
      </c>
      <c r="B776" s="717" t="s">
        <v>180</v>
      </c>
      <c r="C776" s="715" t="s">
        <v>181</v>
      </c>
      <c r="D776" s="660" t="s">
        <v>783</v>
      </c>
      <c r="E776" s="718" t="s">
        <v>182</v>
      </c>
      <c r="F776" s="718" t="s">
        <v>183</v>
      </c>
      <c r="G776" s="718" t="s">
        <v>985</v>
      </c>
      <c r="H776" s="718" t="s">
        <v>986</v>
      </c>
      <c r="I776" s="888" t="s">
        <v>987</v>
      </c>
    </row>
    <row r="777" spans="1:14" s="386" customFormat="1" ht="13.5" thickTop="1" thickBot="1" x14ac:dyDescent="0.25">
      <c r="A777" s="1318">
        <v>1</v>
      </c>
      <c r="B777" s="1319">
        <v>2</v>
      </c>
      <c r="C777" s="1319">
        <v>3</v>
      </c>
      <c r="D777" s="1319">
        <v>4</v>
      </c>
      <c r="E777" s="593">
        <v>5</v>
      </c>
      <c r="F777" s="1320">
        <v>6</v>
      </c>
      <c r="G777" s="1320">
        <v>7</v>
      </c>
      <c r="H777" s="1321">
        <v>8</v>
      </c>
      <c r="I777" s="1322" t="s">
        <v>848</v>
      </c>
    </row>
    <row r="778" spans="1:14" s="558" customFormat="1" ht="16.5" thickTop="1" thickBot="1" x14ac:dyDescent="0.3">
      <c r="A778" s="1330">
        <v>60004100012</v>
      </c>
      <c r="B778" s="1041">
        <v>2212</v>
      </c>
      <c r="C778" s="1331">
        <v>6121</v>
      </c>
      <c r="D778" s="1042">
        <v>12</v>
      </c>
      <c r="E778" s="1043" t="s">
        <v>671</v>
      </c>
      <c r="F778" s="960"/>
      <c r="G778" s="1333">
        <v>1</v>
      </c>
      <c r="H778" s="960">
        <v>0</v>
      </c>
      <c r="I778" s="1334">
        <f>(H778/G778)*100</f>
        <v>0</v>
      </c>
    </row>
    <row r="779" spans="1:14" s="558" customFormat="1" ht="18" customHeight="1" thickTop="1" thickBot="1" x14ac:dyDescent="0.3">
      <c r="A779" s="2751" t="s">
        <v>267</v>
      </c>
      <c r="B779" s="2750"/>
      <c r="C779" s="2750"/>
      <c r="D779" s="2750"/>
      <c r="E779" s="2750"/>
      <c r="F779" s="943">
        <f>F778</f>
        <v>0</v>
      </c>
      <c r="G779" s="943">
        <f>G778</f>
        <v>1</v>
      </c>
      <c r="H779" s="943">
        <f>H778</f>
        <v>0</v>
      </c>
      <c r="I779" s="926">
        <f>(H779/G779)*100</f>
        <v>0</v>
      </c>
    </row>
    <row r="780" spans="1:14" ht="13.5" thickTop="1" x14ac:dyDescent="0.2">
      <c r="K780" s="984"/>
      <c r="L780" s="984"/>
      <c r="M780" s="984"/>
      <c r="N780" s="439"/>
    </row>
    <row r="781" spans="1:14" x14ac:dyDescent="0.2">
      <c r="K781" s="984"/>
      <c r="L781" s="984"/>
      <c r="M781" s="984"/>
      <c r="N781" s="439"/>
    </row>
    <row r="782" spans="1:14" s="558" customFormat="1" ht="13.5" thickBot="1" x14ac:dyDescent="0.25">
      <c r="A782" s="439" t="s">
        <v>392</v>
      </c>
      <c r="B782" s="669"/>
      <c r="D782" s="884"/>
      <c r="F782" s="517"/>
      <c r="G782" s="517"/>
      <c r="H782" s="517"/>
      <c r="I782" s="1023" t="s">
        <v>179</v>
      </c>
    </row>
    <row r="783" spans="1:14" s="107" customFormat="1" ht="20.25" customHeight="1" thickTop="1" thickBot="1" x14ac:dyDescent="0.25">
      <c r="A783" s="714" t="s">
        <v>692</v>
      </c>
      <c r="B783" s="717" t="s">
        <v>180</v>
      </c>
      <c r="C783" s="715" t="s">
        <v>181</v>
      </c>
      <c r="D783" s="660" t="s">
        <v>783</v>
      </c>
      <c r="E783" s="718" t="s">
        <v>182</v>
      </c>
      <c r="F783" s="718" t="s">
        <v>183</v>
      </c>
      <c r="G783" s="718" t="s">
        <v>985</v>
      </c>
      <c r="H783" s="718" t="s">
        <v>986</v>
      </c>
      <c r="I783" s="888" t="s">
        <v>987</v>
      </c>
    </row>
    <row r="784" spans="1:14" s="386" customFormat="1" ht="13.5" thickTop="1" thickBot="1" x14ac:dyDescent="0.25">
      <c r="A784" s="1318">
        <v>1</v>
      </c>
      <c r="B784" s="1319">
        <v>2</v>
      </c>
      <c r="C784" s="1319">
        <v>3</v>
      </c>
      <c r="D784" s="1319">
        <v>4</v>
      </c>
      <c r="E784" s="593">
        <v>5</v>
      </c>
      <c r="F784" s="1320">
        <v>6</v>
      </c>
      <c r="G784" s="1320">
        <v>7</v>
      </c>
      <c r="H784" s="1321">
        <v>8</v>
      </c>
      <c r="I784" s="1322" t="s">
        <v>848</v>
      </c>
    </row>
    <row r="785" spans="1:14" s="558" customFormat="1" ht="16.5" thickTop="1" thickBot="1" x14ac:dyDescent="0.3">
      <c r="A785" s="1330">
        <v>60004100022</v>
      </c>
      <c r="B785" s="1041">
        <v>3639</v>
      </c>
      <c r="C785" s="1331">
        <v>6130</v>
      </c>
      <c r="D785" s="1042">
        <v>12</v>
      </c>
      <c r="E785" s="1043" t="s">
        <v>959</v>
      </c>
      <c r="F785" s="960">
        <v>15000</v>
      </c>
      <c r="G785" s="1333">
        <v>0</v>
      </c>
      <c r="H785" s="960">
        <v>0</v>
      </c>
      <c r="I785" s="1334">
        <v>0</v>
      </c>
    </row>
    <row r="786" spans="1:14" s="558" customFormat="1" ht="18" customHeight="1" thickTop="1" thickBot="1" x14ac:dyDescent="0.3">
      <c r="A786" s="2751" t="s">
        <v>267</v>
      </c>
      <c r="B786" s="2750"/>
      <c r="C786" s="2750"/>
      <c r="D786" s="2750"/>
      <c r="E786" s="2750"/>
      <c r="F786" s="943">
        <f>F785</f>
        <v>15000</v>
      </c>
      <c r="G786" s="943">
        <f>G785</f>
        <v>0</v>
      </c>
      <c r="H786" s="943">
        <f>H785</f>
        <v>0</v>
      </c>
      <c r="I786" s="926">
        <v>0</v>
      </c>
    </row>
    <row r="787" spans="1:14" ht="13.5" thickTop="1" x14ac:dyDescent="0.2">
      <c r="K787" s="984"/>
      <c r="L787" s="984"/>
      <c r="M787" s="984"/>
      <c r="N787" s="439"/>
    </row>
    <row r="788" spans="1:14" x14ac:dyDescent="0.2">
      <c r="K788" s="984"/>
      <c r="L788" s="984"/>
      <c r="M788" s="984"/>
      <c r="N788" s="439"/>
    </row>
    <row r="789" spans="1:14" s="558" customFormat="1" ht="13.5" thickBot="1" x14ac:dyDescent="0.25">
      <c r="A789" s="439" t="s">
        <v>1249</v>
      </c>
      <c r="B789" s="669"/>
      <c r="D789" s="884"/>
      <c r="F789" s="517"/>
      <c r="G789" s="517"/>
      <c r="H789" s="517"/>
      <c r="I789" s="1023" t="s">
        <v>179</v>
      </c>
    </row>
    <row r="790" spans="1:14" s="107" customFormat="1" ht="20.25" customHeight="1" thickTop="1" thickBot="1" x14ac:dyDescent="0.25">
      <c r="A790" s="714" t="s">
        <v>692</v>
      </c>
      <c r="B790" s="717" t="s">
        <v>180</v>
      </c>
      <c r="C790" s="715" t="s">
        <v>181</v>
      </c>
      <c r="D790" s="660" t="s">
        <v>783</v>
      </c>
      <c r="E790" s="718" t="s">
        <v>182</v>
      </c>
      <c r="F790" s="718" t="s">
        <v>183</v>
      </c>
      <c r="G790" s="718" t="s">
        <v>985</v>
      </c>
      <c r="H790" s="718" t="s">
        <v>986</v>
      </c>
      <c r="I790" s="888" t="s">
        <v>987</v>
      </c>
    </row>
    <row r="791" spans="1:14" s="386" customFormat="1" ht="13.5" thickTop="1" thickBot="1" x14ac:dyDescent="0.25">
      <c r="A791" s="1318">
        <v>1</v>
      </c>
      <c r="B791" s="1319">
        <v>2</v>
      </c>
      <c r="C791" s="1319">
        <v>3</v>
      </c>
      <c r="D791" s="1319">
        <v>4</v>
      </c>
      <c r="E791" s="593">
        <v>5</v>
      </c>
      <c r="F791" s="1320">
        <v>6</v>
      </c>
      <c r="G791" s="1320">
        <v>7</v>
      </c>
      <c r="H791" s="1321">
        <v>8</v>
      </c>
      <c r="I791" s="1322" t="s">
        <v>848</v>
      </c>
    </row>
    <row r="792" spans="1:14" s="558" customFormat="1" ht="16.5" thickTop="1" thickBot="1" x14ac:dyDescent="0.3">
      <c r="A792" s="1330">
        <v>60004100029</v>
      </c>
      <c r="B792" s="1041">
        <v>2212</v>
      </c>
      <c r="C792" s="1331">
        <v>6121</v>
      </c>
      <c r="D792" s="1042">
        <v>12</v>
      </c>
      <c r="E792" s="1043" t="s">
        <v>671</v>
      </c>
      <c r="F792" s="960"/>
      <c r="G792" s="1333">
        <v>752</v>
      </c>
      <c r="H792" s="960">
        <v>751</v>
      </c>
      <c r="I792" s="1334">
        <f>(H792/G792)*100</f>
        <v>99.86702127659575</v>
      </c>
    </row>
    <row r="793" spans="1:14" s="558" customFormat="1" ht="18" customHeight="1" thickTop="1" thickBot="1" x14ac:dyDescent="0.3">
      <c r="A793" s="2751" t="s">
        <v>267</v>
      </c>
      <c r="B793" s="2750"/>
      <c r="C793" s="2750"/>
      <c r="D793" s="2750"/>
      <c r="E793" s="2750"/>
      <c r="F793" s="943">
        <f>F792</f>
        <v>0</v>
      </c>
      <c r="G793" s="943">
        <f>G792</f>
        <v>752</v>
      </c>
      <c r="H793" s="943">
        <f>H792</f>
        <v>751</v>
      </c>
      <c r="I793" s="926">
        <f>(H793/G793)*100</f>
        <v>99.86702127659575</v>
      </c>
    </row>
    <row r="794" spans="1:14" ht="13.5" thickTop="1" x14ac:dyDescent="0.2">
      <c r="K794" s="984"/>
      <c r="L794" s="984"/>
      <c r="M794" s="984"/>
      <c r="N794" s="439"/>
    </row>
    <row r="795" spans="1:14" x14ac:dyDescent="0.2">
      <c r="K795" s="984"/>
      <c r="L795" s="984"/>
      <c r="M795" s="984"/>
      <c r="N795" s="439"/>
    </row>
    <row r="796" spans="1:14" s="558" customFormat="1" ht="13.5" thickBot="1" x14ac:dyDescent="0.25">
      <c r="A796" s="439" t="s">
        <v>1250</v>
      </c>
      <c r="B796" s="669"/>
      <c r="D796" s="884"/>
      <c r="F796" s="517"/>
      <c r="G796" s="517"/>
      <c r="H796" s="517"/>
      <c r="I796" s="1023" t="s">
        <v>179</v>
      </c>
    </row>
    <row r="797" spans="1:14" s="107" customFormat="1" ht="20.25" customHeight="1" thickTop="1" thickBot="1" x14ac:dyDescent="0.25">
      <c r="A797" s="714" t="s">
        <v>692</v>
      </c>
      <c r="B797" s="717" t="s">
        <v>180</v>
      </c>
      <c r="C797" s="715" t="s">
        <v>181</v>
      </c>
      <c r="D797" s="660" t="s">
        <v>783</v>
      </c>
      <c r="E797" s="718" t="s">
        <v>182</v>
      </c>
      <c r="F797" s="718" t="s">
        <v>183</v>
      </c>
      <c r="G797" s="718" t="s">
        <v>985</v>
      </c>
      <c r="H797" s="718" t="s">
        <v>986</v>
      </c>
      <c r="I797" s="888" t="s">
        <v>987</v>
      </c>
    </row>
    <row r="798" spans="1:14" s="386" customFormat="1" ht="13.5" thickTop="1" thickBot="1" x14ac:dyDescent="0.25">
      <c r="A798" s="1318">
        <v>1</v>
      </c>
      <c r="B798" s="1319">
        <v>2</v>
      </c>
      <c r="C798" s="1319">
        <v>3</v>
      </c>
      <c r="D798" s="1319">
        <v>4</v>
      </c>
      <c r="E798" s="593">
        <v>5</v>
      </c>
      <c r="F798" s="1320">
        <v>6</v>
      </c>
      <c r="G798" s="1320">
        <v>7</v>
      </c>
      <c r="H798" s="1321">
        <v>8</v>
      </c>
      <c r="I798" s="1322" t="s">
        <v>848</v>
      </c>
    </row>
    <row r="799" spans="1:14" s="558" customFormat="1" ht="16.5" thickTop="1" thickBot="1" x14ac:dyDescent="0.3">
      <c r="A799" s="1330">
        <v>60004100032</v>
      </c>
      <c r="B799" s="1041">
        <v>2212</v>
      </c>
      <c r="C799" s="1331">
        <v>6121</v>
      </c>
      <c r="D799" s="1042">
        <v>12</v>
      </c>
      <c r="E799" s="1043" t="s">
        <v>671</v>
      </c>
      <c r="F799" s="960"/>
      <c r="G799" s="1333">
        <v>569</v>
      </c>
      <c r="H799" s="960">
        <v>440</v>
      </c>
      <c r="I799" s="1334">
        <f>(H799/G799)*100</f>
        <v>77.328646748681891</v>
      </c>
    </row>
    <row r="800" spans="1:14" s="558" customFormat="1" ht="18" customHeight="1" thickTop="1" thickBot="1" x14ac:dyDescent="0.3">
      <c r="A800" s="2751" t="s">
        <v>267</v>
      </c>
      <c r="B800" s="2750"/>
      <c r="C800" s="2750"/>
      <c r="D800" s="2750"/>
      <c r="E800" s="2750"/>
      <c r="F800" s="943">
        <f>F799</f>
        <v>0</v>
      </c>
      <c r="G800" s="943">
        <f>G799</f>
        <v>569</v>
      </c>
      <c r="H800" s="943">
        <f>H799</f>
        <v>440</v>
      </c>
      <c r="I800" s="926">
        <f>(H800/G800)*100</f>
        <v>77.328646748681891</v>
      </c>
    </row>
    <row r="801" spans="1:14" s="558" customFormat="1" ht="14.25" thickTop="1" thickBot="1" x14ac:dyDescent="0.25">
      <c r="A801" s="439" t="s">
        <v>1251</v>
      </c>
      <c r="B801" s="669"/>
      <c r="D801" s="884"/>
      <c r="F801" s="517"/>
      <c r="G801" s="517"/>
      <c r="H801" s="517"/>
      <c r="I801" s="1023" t="s">
        <v>179</v>
      </c>
    </row>
    <row r="802" spans="1:14" s="107" customFormat="1" ht="20.25" customHeight="1" thickTop="1" thickBot="1" x14ac:dyDescent="0.25">
      <c r="A802" s="714" t="s">
        <v>692</v>
      </c>
      <c r="B802" s="717" t="s">
        <v>180</v>
      </c>
      <c r="C802" s="715" t="s">
        <v>181</v>
      </c>
      <c r="D802" s="660" t="s">
        <v>783</v>
      </c>
      <c r="E802" s="718" t="s">
        <v>182</v>
      </c>
      <c r="F802" s="718" t="s">
        <v>183</v>
      </c>
      <c r="G802" s="718" t="s">
        <v>985</v>
      </c>
      <c r="H802" s="718" t="s">
        <v>986</v>
      </c>
      <c r="I802" s="888" t="s">
        <v>987</v>
      </c>
    </row>
    <row r="803" spans="1:14" s="386" customFormat="1" ht="13.5" thickTop="1" thickBot="1" x14ac:dyDescent="0.25">
      <c r="A803" s="1318">
        <v>1</v>
      </c>
      <c r="B803" s="1319">
        <v>2</v>
      </c>
      <c r="C803" s="1319">
        <v>3</v>
      </c>
      <c r="D803" s="1319">
        <v>4</v>
      </c>
      <c r="E803" s="593">
        <v>5</v>
      </c>
      <c r="F803" s="1320">
        <v>6</v>
      </c>
      <c r="G803" s="1320">
        <v>7</v>
      </c>
      <c r="H803" s="1321">
        <v>8</v>
      </c>
      <c r="I803" s="1322" t="s">
        <v>848</v>
      </c>
    </row>
    <row r="804" spans="1:14" s="558" customFormat="1" ht="16.5" thickTop="1" thickBot="1" x14ac:dyDescent="0.3">
      <c r="A804" s="1330">
        <v>60004100033</v>
      </c>
      <c r="B804" s="1041">
        <v>2212</v>
      </c>
      <c r="C804" s="1331">
        <v>6121</v>
      </c>
      <c r="D804" s="1042">
        <v>12</v>
      </c>
      <c r="E804" s="1043" t="s">
        <v>671</v>
      </c>
      <c r="F804" s="960"/>
      <c r="G804" s="1333">
        <v>36</v>
      </c>
      <c r="H804" s="960">
        <v>23</v>
      </c>
      <c r="I804" s="1334">
        <f>(H804/G804)*100</f>
        <v>63.888888888888886</v>
      </c>
    </row>
    <row r="805" spans="1:14" s="558" customFormat="1" ht="18" customHeight="1" thickTop="1" thickBot="1" x14ac:dyDescent="0.3">
      <c r="A805" s="2751" t="s">
        <v>267</v>
      </c>
      <c r="B805" s="2750"/>
      <c r="C805" s="2750"/>
      <c r="D805" s="2750"/>
      <c r="E805" s="2750"/>
      <c r="F805" s="943">
        <f>F804</f>
        <v>0</v>
      </c>
      <c r="G805" s="943">
        <f>G804</f>
        <v>36</v>
      </c>
      <c r="H805" s="943">
        <f>H804</f>
        <v>23</v>
      </c>
      <c r="I805" s="926">
        <f>(H805/G805)*100</f>
        <v>63.888888888888886</v>
      </c>
    </row>
    <row r="806" spans="1:14" ht="13.5" thickTop="1" x14ac:dyDescent="0.2">
      <c r="K806" s="984"/>
      <c r="L806" s="984"/>
      <c r="M806" s="984"/>
      <c r="N806" s="439"/>
    </row>
    <row r="807" spans="1:14" x14ac:dyDescent="0.2">
      <c r="K807" s="984"/>
      <c r="L807" s="984"/>
      <c r="M807" s="984"/>
      <c r="N807" s="439"/>
    </row>
    <row r="808" spans="1:14" s="558" customFormat="1" ht="13.5" thickBot="1" x14ac:dyDescent="0.25">
      <c r="A808" s="439" t="s">
        <v>1252</v>
      </c>
      <c r="B808" s="669"/>
      <c r="D808" s="884"/>
      <c r="F808" s="517"/>
      <c r="G808" s="517"/>
      <c r="H808" s="517"/>
      <c r="I808" s="1023" t="s">
        <v>179</v>
      </c>
    </row>
    <row r="809" spans="1:14" s="107" customFormat="1" ht="20.25" customHeight="1" thickTop="1" thickBot="1" x14ac:dyDescent="0.25">
      <c r="A809" s="714" t="s">
        <v>692</v>
      </c>
      <c r="B809" s="717" t="s">
        <v>180</v>
      </c>
      <c r="C809" s="715" t="s">
        <v>181</v>
      </c>
      <c r="D809" s="660" t="s">
        <v>783</v>
      </c>
      <c r="E809" s="718" t="s">
        <v>182</v>
      </c>
      <c r="F809" s="718" t="s">
        <v>183</v>
      </c>
      <c r="G809" s="718" t="s">
        <v>985</v>
      </c>
      <c r="H809" s="718" t="s">
        <v>986</v>
      </c>
      <c r="I809" s="888" t="s">
        <v>987</v>
      </c>
    </row>
    <row r="810" spans="1:14" s="386" customFormat="1" ht="13.5" thickTop="1" thickBot="1" x14ac:dyDescent="0.25">
      <c r="A810" s="1318">
        <v>1</v>
      </c>
      <c r="B810" s="1319">
        <v>2</v>
      </c>
      <c r="C810" s="1319">
        <v>3</v>
      </c>
      <c r="D810" s="1319">
        <v>4</v>
      </c>
      <c r="E810" s="593">
        <v>5</v>
      </c>
      <c r="F810" s="1320">
        <v>6</v>
      </c>
      <c r="G810" s="1320">
        <v>7</v>
      </c>
      <c r="H810" s="1321">
        <v>8</v>
      </c>
      <c r="I810" s="1322" t="s">
        <v>848</v>
      </c>
    </row>
    <row r="811" spans="1:14" s="558" customFormat="1" ht="16.5" thickTop="1" thickBot="1" x14ac:dyDescent="0.3">
      <c r="A811" s="1330">
        <v>60004100037</v>
      </c>
      <c r="B811" s="1041">
        <v>2212</v>
      </c>
      <c r="C811" s="1331">
        <v>6121</v>
      </c>
      <c r="D811" s="1042">
        <v>12</v>
      </c>
      <c r="E811" s="1043" t="s">
        <v>671</v>
      </c>
      <c r="F811" s="960"/>
      <c r="G811" s="1333">
        <v>224</v>
      </c>
      <c r="H811" s="960">
        <v>5</v>
      </c>
      <c r="I811" s="1334">
        <f>(H811/G811)*100</f>
        <v>2.2321428571428572</v>
      </c>
    </row>
    <row r="812" spans="1:14" s="558" customFormat="1" ht="18" customHeight="1" thickTop="1" thickBot="1" x14ac:dyDescent="0.3">
      <c r="A812" s="2751" t="s">
        <v>267</v>
      </c>
      <c r="B812" s="2750"/>
      <c r="C812" s="2750"/>
      <c r="D812" s="2750"/>
      <c r="E812" s="2750"/>
      <c r="F812" s="943">
        <f>F811</f>
        <v>0</v>
      </c>
      <c r="G812" s="943">
        <f>G811</f>
        <v>224</v>
      </c>
      <c r="H812" s="943">
        <f>H811</f>
        <v>5</v>
      </c>
      <c r="I812" s="926">
        <f>(H812/G812)*100</f>
        <v>2.2321428571428572</v>
      </c>
    </row>
    <row r="813" spans="1:14" ht="13.5" thickTop="1" x14ac:dyDescent="0.2">
      <c r="K813" s="984"/>
      <c r="L813" s="984"/>
      <c r="M813" s="984"/>
      <c r="N813" s="439"/>
    </row>
    <row r="814" spans="1:14" x14ac:dyDescent="0.2">
      <c r="K814" s="984"/>
      <c r="L814" s="984"/>
      <c r="M814" s="984"/>
      <c r="N814" s="439"/>
    </row>
    <row r="815" spans="1:14" s="558" customFormat="1" ht="13.5" thickBot="1" x14ac:dyDescent="0.25">
      <c r="A815" s="439" t="s">
        <v>1253</v>
      </c>
      <c r="B815" s="669"/>
      <c r="D815" s="884"/>
      <c r="F815" s="517"/>
      <c r="G815" s="517"/>
      <c r="H815" s="517"/>
      <c r="I815" s="1023" t="s">
        <v>179</v>
      </c>
    </row>
    <row r="816" spans="1:14" s="107" customFormat="1" ht="20.25" customHeight="1" thickTop="1" thickBot="1" x14ac:dyDescent="0.25">
      <c r="A816" s="714" t="s">
        <v>692</v>
      </c>
      <c r="B816" s="717" t="s">
        <v>180</v>
      </c>
      <c r="C816" s="715" t="s">
        <v>181</v>
      </c>
      <c r="D816" s="660" t="s">
        <v>783</v>
      </c>
      <c r="E816" s="718" t="s">
        <v>182</v>
      </c>
      <c r="F816" s="718" t="s">
        <v>183</v>
      </c>
      <c r="G816" s="718" t="s">
        <v>985</v>
      </c>
      <c r="H816" s="718" t="s">
        <v>986</v>
      </c>
      <c r="I816" s="888" t="s">
        <v>987</v>
      </c>
    </row>
    <row r="817" spans="1:14" s="386" customFormat="1" ht="13.5" thickTop="1" thickBot="1" x14ac:dyDescent="0.25">
      <c r="A817" s="1318">
        <v>1</v>
      </c>
      <c r="B817" s="1319">
        <v>2</v>
      </c>
      <c r="C817" s="1319">
        <v>3</v>
      </c>
      <c r="D817" s="1319">
        <v>4</v>
      </c>
      <c r="E817" s="593">
        <v>5</v>
      </c>
      <c r="F817" s="1320">
        <v>6</v>
      </c>
      <c r="G817" s="1320">
        <v>7</v>
      </c>
      <c r="H817" s="1321">
        <v>8</v>
      </c>
      <c r="I817" s="1322" t="s">
        <v>848</v>
      </c>
    </row>
    <row r="818" spans="1:14" s="558" customFormat="1" ht="15.75" thickTop="1" x14ac:dyDescent="0.25">
      <c r="A818" s="1031">
        <v>60004100038</v>
      </c>
      <c r="B818" s="836">
        <v>2212</v>
      </c>
      <c r="C818" s="680">
        <v>6121</v>
      </c>
      <c r="D818" s="1047">
        <v>12</v>
      </c>
      <c r="E818" s="852" t="s">
        <v>671</v>
      </c>
      <c r="F818" s="1034"/>
      <c r="G818" s="1328">
        <v>21</v>
      </c>
      <c r="H818" s="1034">
        <v>17</v>
      </c>
      <c r="I818" s="1329">
        <f>(H818/G818)*100</f>
        <v>80.952380952380949</v>
      </c>
    </row>
    <row r="819" spans="1:14" s="558" customFormat="1" ht="15.75" thickBot="1" x14ac:dyDescent="0.3">
      <c r="A819" s="1037">
        <v>60004100038</v>
      </c>
      <c r="B819" s="962">
        <v>2212</v>
      </c>
      <c r="C819" s="962">
        <v>6130</v>
      </c>
      <c r="D819" s="1349">
        <v>12</v>
      </c>
      <c r="E819" s="1348" t="s">
        <v>959</v>
      </c>
      <c r="F819" s="1347"/>
      <c r="G819" s="1347">
        <v>5476</v>
      </c>
      <c r="H819" s="1347">
        <v>5477</v>
      </c>
      <c r="I819" s="1048">
        <f>(H819/G819)*100</f>
        <v>100.018261504748</v>
      </c>
    </row>
    <row r="820" spans="1:14" s="558" customFormat="1" ht="18" customHeight="1" thickTop="1" thickBot="1" x14ac:dyDescent="0.3">
      <c r="A820" s="2751" t="s">
        <v>267</v>
      </c>
      <c r="B820" s="2750"/>
      <c r="C820" s="2750"/>
      <c r="D820" s="2750"/>
      <c r="E820" s="2750"/>
      <c r="F820" s="943">
        <f>F818</f>
        <v>0</v>
      </c>
      <c r="G820" s="943">
        <f>G818+G819</f>
        <v>5497</v>
      </c>
      <c r="H820" s="943">
        <f>H818+H819</f>
        <v>5494</v>
      </c>
      <c r="I820" s="926">
        <f>(H820/G820)*100</f>
        <v>99.945424777151175</v>
      </c>
    </row>
    <row r="821" spans="1:14" ht="13.5" thickTop="1" x14ac:dyDescent="0.2">
      <c r="K821" s="984"/>
      <c r="L821" s="984"/>
      <c r="M821" s="984"/>
      <c r="N821" s="439"/>
    </row>
    <row r="822" spans="1:14" x14ac:dyDescent="0.2">
      <c r="K822" s="984"/>
      <c r="L822" s="984"/>
      <c r="M822" s="984"/>
      <c r="N822" s="439"/>
    </row>
    <row r="823" spans="1:14" s="558" customFormat="1" ht="13.5" thickBot="1" x14ac:dyDescent="0.25">
      <c r="A823" s="439" t="s">
        <v>1241</v>
      </c>
      <c r="B823" s="669"/>
      <c r="D823" s="884"/>
      <c r="F823" s="517"/>
      <c r="G823" s="517"/>
      <c r="H823" s="517"/>
      <c r="I823" s="1023" t="s">
        <v>179</v>
      </c>
    </row>
    <row r="824" spans="1:14" s="107" customFormat="1" ht="20.25" customHeight="1" thickTop="1" thickBot="1" x14ac:dyDescent="0.25">
      <c r="A824" s="714" t="s">
        <v>692</v>
      </c>
      <c r="B824" s="717" t="s">
        <v>180</v>
      </c>
      <c r="C824" s="715" t="s">
        <v>181</v>
      </c>
      <c r="D824" s="660" t="s">
        <v>783</v>
      </c>
      <c r="E824" s="718" t="s">
        <v>182</v>
      </c>
      <c r="F824" s="718" t="s">
        <v>183</v>
      </c>
      <c r="G824" s="718" t="s">
        <v>985</v>
      </c>
      <c r="H824" s="718" t="s">
        <v>986</v>
      </c>
      <c r="I824" s="888" t="s">
        <v>987</v>
      </c>
    </row>
    <row r="825" spans="1:14" s="386" customFormat="1" ht="13.5" thickTop="1" thickBot="1" x14ac:dyDescent="0.25">
      <c r="A825" s="1318">
        <v>1</v>
      </c>
      <c r="B825" s="1319">
        <v>2</v>
      </c>
      <c r="C825" s="1319">
        <v>3</v>
      </c>
      <c r="D825" s="1319">
        <v>4</v>
      </c>
      <c r="E825" s="593">
        <v>5</v>
      </c>
      <c r="F825" s="1320">
        <v>6</v>
      </c>
      <c r="G825" s="1320">
        <v>7</v>
      </c>
      <c r="H825" s="1321">
        <v>8</v>
      </c>
      <c r="I825" s="1322" t="s">
        <v>848</v>
      </c>
    </row>
    <row r="826" spans="1:14" s="558" customFormat="1" ht="16.5" thickTop="1" thickBot="1" x14ac:dyDescent="0.3">
      <c r="A826" s="1330">
        <v>60004100040</v>
      </c>
      <c r="B826" s="1041">
        <v>2212</v>
      </c>
      <c r="C826" s="1331">
        <v>6121</v>
      </c>
      <c r="D826" s="1042">
        <v>12</v>
      </c>
      <c r="E826" s="1043" t="s">
        <v>671</v>
      </c>
      <c r="F826" s="960"/>
      <c r="G826" s="1333">
        <v>134</v>
      </c>
      <c r="H826" s="960">
        <v>133</v>
      </c>
      <c r="I826" s="1334">
        <f>(H826/G826)*100</f>
        <v>99.253731343283576</v>
      </c>
    </row>
    <row r="827" spans="1:14" s="558" customFormat="1" ht="18" customHeight="1" thickTop="1" thickBot="1" x14ac:dyDescent="0.3">
      <c r="A827" s="2751" t="s">
        <v>267</v>
      </c>
      <c r="B827" s="2750"/>
      <c r="C827" s="2750"/>
      <c r="D827" s="2750"/>
      <c r="E827" s="2750"/>
      <c r="F827" s="943">
        <f>F826</f>
        <v>0</v>
      </c>
      <c r="G827" s="943">
        <f>G826</f>
        <v>134</v>
      </c>
      <c r="H827" s="943">
        <f>H826</f>
        <v>133</v>
      </c>
      <c r="I827" s="926">
        <f>(H827/G827)*100</f>
        <v>99.253731343283576</v>
      </c>
    </row>
    <row r="828" spans="1:14" ht="13.5" thickTop="1" x14ac:dyDescent="0.2">
      <c r="K828" s="984"/>
      <c r="L828" s="984"/>
      <c r="M828" s="984"/>
      <c r="N828" s="439"/>
    </row>
    <row r="829" spans="1:14" x14ac:dyDescent="0.2">
      <c r="K829" s="984"/>
      <c r="L829" s="984"/>
      <c r="M829" s="984"/>
      <c r="N829" s="439"/>
    </row>
    <row r="830" spans="1:14" s="558" customFormat="1" ht="13.5" thickBot="1" x14ac:dyDescent="0.25">
      <c r="A830" s="439" t="s">
        <v>1254</v>
      </c>
      <c r="B830" s="669"/>
      <c r="D830" s="884"/>
      <c r="F830" s="517"/>
      <c r="G830" s="517"/>
      <c r="H830" s="517"/>
      <c r="I830" s="1023" t="s">
        <v>179</v>
      </c>
    </row>
    <row r="831" spans="1:14" s="107" customFormat="1" ht="20.25" customHeight="1" thickTop="1" thickBot="1" x14ac:dyDescent="0.25">
      <c r="A831" s="714" t="s">
        <v>692</v>
      </c>
      <c r="B831" s="717" t="s">
        <v>180</v>
      </c>
      <c r="C831" s="715" t="s">
        <v>181</v>
      </c>
      <c r="D831" s="660" t="s">
        <v>783</v>
      </c>
      <c r="E831" s="718" t="s">
        <v>182</v>
      </c>
      <c r="F831" s="718" t="s">
        <v>183</v>
      </c>
      <c r="G831" s="718" t="s">
        <v>985</v>
      </c>
      <c r="H831" s="718" t="s">
        <v>986</v>
      </c>
      <c r="I831" s="888" t="s">
        <v>987</v>
      </c>
    </row>
    <row r="832" spans="1:14" s="386" customFormat="1" ht="13.5" thickTop="1" thickBot="1" x14ac:dyDescent="0.25">
      <c r="A832" s="1318">
        <v>1</v>
      </c>
      <c r="B832" s="1319">
        <v>2</v>
      </c>
      <c r="C832" s="1319">
        <v>3</v>
      </c>
      <c r="D832" s="1319">
        <v>4</v>
      </c>
      <c r="E832" s="1319">
        <v>5</v>
      </c>
      <c r="F832" s="1320">
        <v>6</v>
      </c>
      <c r="G832" s="1320">
        <v>7</v>
      </c>
      <c r="H832" s="1321">
        <v>8</v>
      </c>
      <c r="I832" s="1322" t="s">
        <v>848</v>
      </c>
    </row>
    <row r="833" spans="1:14" s="386" customFormat="1" ht="15.75" thickTop="1" x14ac:dyDescent="0.25">
      <c r="A833" s="1373">
        <v>60004100043</v>
      </c>
      <c r="B833" s="1374">
        <v>2212</v>
      </c>
      <c r="C833" s="1374">
        <v>6121</v>
      </c>
      <c r="D833" s="1346">
        <v>12</v>
      </c>
      <c r="E833" s="1367" t="s">
        <v>671</v>
      </c>
      <c r="F833" s="1366">
        <v>17000</v>
      </c>
      <c r="G833" s="1364">
        <v>0</v>
      </c>
      <c r="H833" s="1364">
        <v>0</v>
      </c>
      <c r="I833" s="1329">
        <v>0</v>
      </c>
    </row>
    <row r="834" spans="1:14" s="558" customFormat="1" ht="15.75" thickBot="1" x14ac:dyDescent="0.3">
      <c r="A834" s="1045">
        <v>60004100043</v>
      </c>
      <c r="B834" s="706">
        <v>2212</v>
      </c>
      <c r="C834" s="807">
        <v>6121</v>
      </c>
      <c r="D834" s="1038">
        <v>870</v>
      </c>
      <c r="E834" s="1365" t="s">
        <v>671</v>
      </c>
      <c r="F834" s="954"/>
      <c r="G834" s="1039">
        <v>8368</v>
      </c>
      <c r="H834" s="954">
        <v>8351</v>
      </c>
      <c r="I834" s="1048">
        <f>(H834/G834)*100</f>
        <v>99.796845124282981</v>
      </c>
    </row>
    <row r="835" spans="1:14" s="558" customFormat="1" ht="18" customHeight="1" thickTop="1" thickBot="1" x14ac:dyDescent="0.3">
      <c r="A835" s="2751" t="s">
        <v>267</v>
      </c>
      <c r="B835" s="2750"/>
      <c r="C835" s="2750"/>
      <c r="D835" s="2750"/>
      <c r="E835" s="2750"/>
      <c r="F835" s="943">
        <f>F833</f>
        <v>17000</v>
      </c>
      <c r="G835" s="943">
        <f>G834</f>
        <v>8368</v>
      </c>
      <c r="H835" s="943">
        <f>H834</f>
        <v>8351</v>
      </c>
      <c r="I835" s="926">
        <f>(H835/G835)*100</f>
        <v>99.796845124282981</v>
      </c>
    </row>
    <row r="836" spans="1:14" ht="13.5" thickTop="1" x14ac:dyDescent="0.2">
      <c r="K836" s="984"/>
      <c r="L836" s="984"/>
      <c r="M836" s="984"/>
      <c r="N836" s="439"/>
    </row>
    <row r="837" spans="1:14" x14ac:dyDescent="0.2">
      <c r="K837" s="984"/>
      <c r="L837" s="984"/>
      <c r="M837" s="984"/>
      <c r="N837" s="439"/>
    </row>
    <row r="838" spans="1:14" s="558" customFormat="1" ht="13.5" thickBot="1" x14ac:dyDescent="0.25">
      <c r="A838" s="439" t="s">
        <v>1069</v>
      </c>
      <c r="B838" s="669"/>
      <c r="D838" s="884"/>
      <c r="F838" s="517"/>
      <c r="G838" s="517"/>
      <c r="H838" s="517"/>
      <c r="I838" s="1023" t="s">
        <v>179</v>
      </c>
    </row>
    <row r="839" spans="1:14" s="107" customFormat="1" ht="20.25" customHeight="1" thickTop="1" thickBot="1" x14ac:dyDescent="0.25">
      <c r="A839" s="714" t="s">
        <v>692</v>
      </c>
      <c r="B839" s="717" t="s">
        <v>180</v>
      </c>
      <c r="C839" s="715" t="s">
        <v>181</v>
      </c>
      <c r="D839" s="660" t="s">
        <v>783</v>
      </c>
      <c r="E839" s="718" t="s">
        <v>182</v>
      </c>
      <c r="F839" s="718" t="s">
        <v>183</v>
      </c>
      <c r="G839" s="718" t="s">
        <v>985</v>
      </c>
      <c r="H839" s="718" t="s">
        <v>986</v>
      </c>
      <c r="I839" s="888" t="s">
        <v>987</v>
      </c>
    </row>
    <row r="840" spans="1:14" s="386" customFormat="1" ht="13.5" thickTop="1" thickBot="1" x14ac:dyDescent="0.25">
      <c r="A840" s="1318">
        <v>1</v>
      </c>
      <c r="B840" s="1319">
        <v>2</v>
      </c>
      <c r="C840" s="1319">
        <v>3</v>
      </c>
      <c r="D840" s="1319">
        <v>4</v>
      </c>
      <c r="E840" s="593">
        <v>5</v>
      </c>
      <c r="F840" s="1320">
        <v>6</v>
      </c>
      <c r="G840" s="1320">
        <v>7</v>
      </c>
      <c r="H840" s="1321">
        <v>8</v>
      </c>
      <c r="I840" s="1322" t="s">
        <v>848</v>
      </c>
    </row>
    <row r="841" spans="1:14" s="386" customFormat="1" ht="15.75" thickTop="1" x14ac:dyDescent="0.25">
      <c r="A841" s="1373">
        <v>60004100044</v>
      </c>
      <c r="B841" s="1374">
        <v>2212</v>
      </c>
      <c r="C841" s="1374">
        <v>6121</v>
      </c>
      <c r="D841" s="1346">
        <v>12</v>
      </c>
      <c r="E841" s="1367" t="s">
        <v>671</v>
      </c>
      <c r="F841" s="1366">
        <v>15000</v>
      </c>
      <c r="G841" s="1364">
        <v>0</v>
      </c>
      <c r="H841" s="1364">
        <v>0</v>
      </c>
      <c r="I841" s="1329">
        <v>0</v>
      </c>
    </row>
    <row r="842" spans="1:14" s="558" customFormat="1" ht="15.75" thickBot="1" x14ac:dyDescent="0.3">
      <c r="A842" s="1045">
        <v>60004100044</v>
      </c>
      <c r="B842" s="706">
        <v>2212</v>
      </c>
      <c r="C842" s="807">
        <v>6121</v>
      </c>
      <c r="D842" s="1038">
        <v>870</v>
      </c>
      <c r="E842" s="1365" t="s">
        <v>671</v>
      </c>
      <c r="F842" s="954"/>
      <c r="G842" s="1039">
        <v>1599</v>
      </c>
      <c r="H842" s="954">
        <v>1536</v>
      </c>
      <c r="I842" s="1048">
        <f>(H842/G842)*100</f>
        <v>96.060037523452152</v>
      </c>
    </row>
    <row r="843" spans="1:14" s="558" customFormat="1" ht="18" customHeight="1" thickTop="1" thickBot="1" x14ac:dyDescent="0.3">
      <c r="A843" s="2751" t="s">
        <v>267</v>
      </c>
      <c r="B843" s="2750"/>
      <c r="C843" s="2750"/>
      <c r="D843" s="2750"/>
      <c r="E843" s="2750"/>
      <c r="F843" s="943">
        <f>F841</f>
        <v>15000</v>
      </c>
      <c r="G843" s="943">
        <f>G842</f>
        <v>1599</v>
      </c>
      <c r="H843" s="943">
        <f>H842</f>
        <v>1536</v>
      </c>
      <c r="I843" s="926">
        <v>0</v>
      </c>
    </row>
    <row r="844" spans="1:14" ht="13.5" thickTop="1" x14ac:dyDescent="0.2">
      <c r="K844" s="984"/>
      <c r="L844" s="984"/>
      <c r="M844" s="984"/>
      <c r="N844" s="439"/>
    </row>
    <row r="845" spans="1:14" x14ac:dyDescent="0.2">
      <c r="K845" s="984"/>
      <c r="L845" s="984"/>
      <c r="M845" s="984"/>
      <c r="N845" s="439"/>
    </row>
    <row r="846" spans="1:14" s="558" customFormat="1" ht="13.5" thickBot="1" x14ac:dyDescent="0.25">
      <c r="A846" s="439" t="s">
        <v>393</v>
      </c>
      <c r="B846" s="669"/>
      <c r="D846" s="884"/>
      <c r="F846" s="517"/>
      <c r="G846" s="517"/>
      <c r="H846" s="517"/>
      <c r="I846" s="1023" t="s">
        <v>179</v>
      </c>
    </row>
    <row r="847" spans="1:14" s="107" customFormat="1" ht="20.25" customHeight="1" thickTop="1" thickBot="1" x14ac:dyDescent="0.25">
      <c r="A847" s="714" t="s">
        <v>692</v>
      </c>
      <c r="B847" s="717" t="s">
        <v>180</v>
      </c>
      <c r="C847" s="715" t="s">
        <v>181</v>
      </c>
      <c r="D847" s="660" t="s">
        <v>783</v>
      </c>
      <c r="E847" s="718" t="s">
        <v>182</v>
      </c>
      <c r="F847" s="718" t="s">
        <v>183</v>
      </c>
      <c r="G847" s="718" t="s">
        <v>985</v>
      </c>
      <c r="H847" s="718" t="s">
        <v>986</v>
      </c>
      <c r="I847" s="888" t="s">
        <v>987</v>
      </c>
    </row>
    <row r="848" spans="1:14" s="386" customFormat="1" ht="13.5" thickTop="1" thickBot="1" x14ac:dyDescent="0.25">
      <c r="A848" s="1318">
        <v>1</v>
      </c>
      <c r="B848" s="1319">
        <v>2</v>
      </c>
      <c r="C848" s="1319">
        <v>3</v>
      </c>
      <c r="D848" s="1319">
        <v>4</v>
      </c>
      <c r="E848" s="593">
        <v>5</v>
      </c>
      <c r="F848" s="1320">
        <v>6</v>
      </c>
      <c r="G848" s="1320">
        <v>7</v>
      </c>
      <c r="H848" s="1321">
        <v>8</v>
      </c>
      <c r="I848" s="1322" t="s">
        <v>848</v>
      </c>
    </row>
    <row r="849" spans="1:14" s="386" customFormat="1" ht="16.5" thickTop="1" thickBot="1" x14ac:dyDescent="0.3">
      <c r="A849" s="1384">
        <v>60004100046</v>
      </c>
      <c r="B849" s="1385">
        <v>2212</v>
      </c>
      <c r="C849" s="1385">
        <v>6121</v>
      </c>
      <c r="D849" s="1357">
        <v>12</v>
      </c>
      <c r="E849" s="1368" t="s">
        <v>671</v>
      </c>
      <c r="F849" s="1369">
        <v>1000</v>
      </c>
      <c r="G849" s="1370">
        <v>0</v>
      </c>
      <c r="H849" s="1370">
        <v>0</v>
      </c>
      <c r="I849" s="1334">
        <v>0</v>
      </c>
    </row>
    <row r="850" spans="1:14" s="558" customFormat="1" ht="18" customHeight="1" thickTop="1" thickBot="1" x14ac:dyDescent="0.3">
      <c r="A850" s="2751" t="s">
        <v>267</v>
      </c>
      <c r="B850" s="2750"/>
      <c r="C850" s="2750"/>
      <c r="D850" s="2750"/>
      <c r="E850" s="2750"/>
      <c r="F850" s="943">
        <f>F849</f>
        <v>1000</v>
      </c>
      <c r="G850" s="943">
        <f>G849</f>
        <v>0</v>
      </c>
      <c r="H850" s="943">
        <f>H849</f>
        <v>0</v>
      </c>
      <c r="I850" s="926">
        <v>0</v>
      </c>
    </row>
    <row r="851" spans="1:14" ht="13.5" thickTop="1" x14ac:dyDescent="0.2">
      <c r="K851" s="984"/>
      <c r="L851" s="984"/>
      <c r="M851" s="984"/>
      <c r="N851" s="439"/>
    </row>
    <row r="852" spans="1:14" x14ac:dyDescent="0.2">
      <c r="K852" s="984"/>
      <c r="L852" s="984"/>
      <c r="M852" s="984"/>
      <c r="N852" s="439"/>
    </row>
    <row r="853" spans="1:14" s="558" customFormat="1" ht="13.5" thickBot="1" x14ac:dyDescent="0.25">
      <c r="A853" s="439" t="s">
        <v>1070</v>
      </c>
      <c r="B853" s="669"/>
      <c r="D853" s="884"/>
      <c r="F853" s="517"/>
      <c r="G853" s="517"/>
      <c r="H853" s="517"/>
      <c r="I853" s="1023" t="s">
        <v>179</v>
      </c>
    </row>
    <row r="854" spans="1:14" s="107" customFormat="1" ht="20.25" customHeight="1" thickTop="1" thickBot="1" x14ac:dyDescent="0.25">
      <c r="A854" s="714" t="s">
        <v>692</v>
      </c>
      <c r="B854" s="717" t="s">
        <v>180</v>
      </c>
      <c r="C854" s="715" t="s">
        <v>181</v>
      </c>
      <c r="D854" s="660" t="s">
        <v>783</v>
      </c>
      <c r="E854" s="718" t="s">
        <v>182</v>
      </c>
      <c r="F854" s="718" t="s">
        <v>183</v>
      </c>
      <c r="G854" s="718" t="s">
        <v>985</v>
      </c>
      <c r="H854" s="718" t="s">
        <v>986</v>
      </c>
      <c r="I854" s="888" t="s">
        <v>987</v>
      </c>
    </row>
    <row r="855" spans="1:14" s="386" customFormat="1" ht="13.5" thickTop="1" thickBot="1" x14ac:dyDescent="0.25">
      <c r="A855" s="1318">
        <v>1</v>
      </c>
      <c r="B855" s="1319">
        <v>2</v>
      </c>
      <c r="C855" s="1319">
        <v>3</v>
      </c>
      <c r="D855" s="1319">
        <v>4</v>
      </c>
      <c r="E855" s="593">
        <v>5</v>
      </c>
      <c r="F855" s="1320">
        <v>6</v>
      </c>
      <c r="G855" s="1320">
        <v>7</v>
      </c>
      <c r="H855" s="1321">
        <v>8</v>
      </c>
      <c r="I855" s="1322" t="s">
        <v>848</v>
      </c>
    </row>
    <row r="856" spans="1:14" s="558" customFormat="1" ht="16.5" thickTop="1" thickBot="1" x14ac:dyDescent="0.3">
      <c r="A856" s="1330">
        <v>60004100047</v>
      </c>
      <c r="B856" s="1041">
        <v>2212</v>
      </c>
      <c r="C856" s="1331">
        <v>6121</v>
      </c>
      <c r="D856" s="1042">
        <v>12</v>
      </c>
      <c r="E856" s="1043" t="s">
        <v>671</v>
      </c>
      <c r="F856" s="960"/>
      <c r="G856" s="1333">
        <v>333</v>
      </c>
      <c r="H856" s="960">
        <v>333</v>
      </c>
      <c r="I856" s="1334">
        <f>(H856/G856)*100</f>
        <v>100</v>
      </c>
    </row>
    <row r="857" spans="1:14" s="558" customFormat="1" ht="18" customHeight="1" thickTop="1" thickBot="1" x14ac:dyDescent="0.3">
      <c r="A857" s="2751" t="s">
        <v>267</v>
      </c>
      <c r="B857" s="2750"/>
      <c r="C857" s="2750"/>
      <c r="D857" s="2750"/>
      <c r="E857" s="2750"/>
      <c r="F857" s="943">
        <f>F856</f>
        <v>0</v>
      </c>
      <c r="G857" s="943">
        <f>G856</f>
        <v>333</v>
      </c>
      <c r="H857" s="943">
        <f>H856</f>
        <v>333</v>
      </c>
      <c r="I857" s="926">
        <f>(H857/G857)*100</f>
        <v>100</v>
      </c>
    </row>
    <row r="858" spans="1:14" ht="13.5" thickTop="1" x14ac:dyDescent="0.2">
      <c r="K858" s="984"/>
      <c r="L858" s="984"/>
      <c r="M858" s="984"/>
      <c r="N858" s="439"/>
    </row>
    <row r="859" spans="1:14" x14ac:dyDescent="0.2">
      <c r="K859" s="984"/>
      <c r="L859" s="984"/>
      <c r="M859" s="984"/>
      <c r="N859" s="439"/>
    </row>
    <row r="860" spans="1:14" s="558" customFormat="1" ht="13.5" thickBot="1" x14ac:dyDescent="0.25">
      <c r="A860" s="439" t="s">
        <v>1071</v>
      </c>
      <c r="B860" s="669"/>
      <c r="D860" s="884"/>
      <c r="F860" s="517"/>
      <c r="G860" s="517"/>
      <c r="H860" s="517"/>
      <c r="I860" s="1023" t="s">
        <v>179</v>
      </c>
    </row>
    <row r="861" spans="1:14" s="107" customFormat="1" ht="20.25" customHeight="1" thickTop="1" thickBot="1" x14ac:dyDescent="0.25">
      <c r="A861" s="714" t="s">
        <v>692</v>
      </c>
      <c r="B861" s="717" t="s">
        <v>180</v>
      </c>
      <c r="C861" s="715" t="s">
        <v>181</v>
      </c>
      <c r="D861" s="660" t="s">
        <v>783</v>
      </c>
      <c r="E861" s="718" t="s">
        <v>182</v>
      </c>
      <c r="F861" s="718" t="s">
        <v>183</v>
      </c>
      <c r="G861" s="718" t="s">
        <v>985</v>
      </c>
      <c r="H861" s="718" t="s">
        <v>986</v>
      </c>
      <c r="I861" s="888" t="s">
        <v>987</v>
      </c>
    </row>
    <row r="862" spans="1:14" s="386" customFormat="1" ht="13.5" thickTop="1" thickBot="1" x14ac:dyDescent="0.25">
      <c r="A862" s="1318">
        <v>1</v>
      </c>
      <c r="B862" s="1319">
        <v>2</v>
      </c>
      <c r="C862" s="1319">
        <v>3</v>
      </c>
      <c r="D862" s="1319">
        <v>4</v>
      </c>
      <c r="E862" s="593">
        <v>5</v>
      </c>
      <c r="F862" s="1320">
        <v>6</v>
      </c>
      <c r="G862" s="1320">
        <v>7</v>
      </c>
      <c r="H862" s="1321">
        <v>8</v>
      </c>
      <c r="I862" s="1322" t="s">
        <v>848</v>
      </c>
    </row>
    <row r="863" spans="1:14" s="558" customFormat="1" ht="16.5" thickTop="1" thickBot="1" x14ac:dyDescent="0.3">
      <c r="A863" s="1330">
        <v>60004100048</v>
      </c>
      <c r="B863" s="1041">
        <v>2212</v>
      </c>
      <c r="C863" s="1331">
        <v>6121</v>
      </c>
      <c r="D863" s="1042">
        <v>12</v>
      </c>
      <c r="E863" s="1043" t="s">
        <v>671</v>
      </c>
      <c r="F863" s="960"/>
      <c r="G863" s="1333">
        <v>2488</v>
      </c>
      <c r="H863" s="960">
        <v>2487</v>
      </c>
      <c r="I863" s="1334">
        <f>(H863/G863)*100</f>
        <v>99.959807073954991</v>
      </c>
    </row>
    <row r="864" spans="1:14" s="558" customFormat="1" ht="18" customHeight="1" thickTop="1" thickBot="1" x14ac:dyDescent="0.3">
      <c r="A864" s="2751" t="s">
        <v>267</v>
      </c>
      <c r="B864" s="2750"/>
      <c r="C864" s="2750"/>
      <c r="D864" s="2750"/>
      <c r="E864" s="2750"/>
      <c r="F864" s="943">
        <f>F863</f>
        <v>0</v>
      </c>
      <c r="G864" s="943">
        <f>G863</f>
        <v>2488</v>
      </c>
      <c r="H864" s="943">
        <f>H863</f>
        <v>2487</v>
      </c>
      <c r="I864" s="926">
        <f>(H864/G864)*100</f>
        <v>99.959807073954991</v>
      </c>
    </row>
    <row r="865" spans="1:14" ht="13.5" thickTop="1" x14ac:dyDescent="0.2">
      <c r="K865" s="984"/>
      <c r="L865" s="984"/>
      <c r="M865" s="984"/>
      <c r="N865" s="439"/>
    </row>
    <row r="866" spans="1:14" x14ac:dyDescent="0.2">
      <c r="K866" s="984"/>
      <c r="L866" s="984"/>
      <c r="M866" s="984"/>
      <c r="N866" s="439"/>
    </row>
    <row r="867" spans="1:14" x14ac:dyDescent="0.2">
      <c r="K867" s="984"/>
      <c r="L867" s="984"/>
      <c r="M867" s="984"/>
      <c r="N867" s="439"/>
    </row>
    <row r="868" spans="1:14" s="558" customFormat="1" ht="13.5" thickBot="1" x14ac:dyDescent="0.25">
      <c r="A868" s="439" t="s">
        <v>1072</v>
      </c>
      <c r="B868" s="669"/>
      <c r="D868" s="884"/>
      <c r="F868" s="517"/>
      <c r="G868" s="517"/>
      <c r="H868" s="517"/>
      <c r="I868" s="1023" t="s">
        <v>179</v>
      </c>
    </row>
    <row r="869" spans="1:14" s="107" customFormat="1" ht="20.25" customHeight="1" thickTop="1" thickBot="1" x14ac:dyDescent="0.25">
      <c r="A869" s="714" t="s">
        <v>692</v>
      </c>
      <c r="B869" s="717" t="s">
        <v>180</v>
      </c>
      <c r="C869" s="715" t="s">
        <v>181</v>
      </c>
      <c r="D869" s="660" t="s">
        <v>783</v>
      </c>
      <c r="E869" s="718" t="s">
        <v>182</v>
      </c>
      <c r="F869" s="718" t="s">
        <v>183</v>
      </c>
      <c r="G869" s="718" t="s">
        <v>985</v>
      </c>
      <c r="H869" s="718" t="s">
        <v>986</v>
      </c>
      <c r="I869" s="888" t="s">
        <v>987</v>
      </c>
    </row>
    <row r="870" spans="1:14" s="386" customFormat="1" ht="13.5" thickTop="1" thickBot="1" x14ac:dyDescent="0.25">
      <c r="A870" s="1318">
        <v>1</v>
      </c>
      <c r="B870" s="1319">
        <v>2</v>
      </c>
      <c r="C870" s="1319">
        <v>3</v>
      </c>
      <c r="D870" s="1319">
        <v>4</v>
      </c>
      <c r="E870" s="593">
        <v>5</v>
      </c>
      <c r="F870" s="1320">
        <v>6</v>
      </c>
      <c r="G870" s="1320">
        <v>7</v>
      </c>
      <c r="H870" s="1321">
        <v>8</v>
      </c>
      <c r="I870" s="1322" t="s">
        <v>848</v>
      </c>
    </row>
    <row r="871" spans="1:14" s="558" customFormat="1" ht="16.5" thickTop="1" thickBot="1" x14ac:dyDescent="0.3">
      <c r="A871" s="1330">
        <v>60004100050</v>
      </c>
      <c r="B871" s="1041">
        <v>2212</v>
      </c>
      <c r="C871" s="1331">
        <v>6121</v>
      </c>
      <c r="D871" s="1042">
        <v>12</v>
      </c>
      <c r="E871" s="1043" t="s">
        <v>671</v>
      </c>
      <c r="F871" s="960"/>
      <c r="G871" s="1333">
        <v>706</v>
      </c>
      <c r="H871" s="960">
        <v>705</v>
      </c>
      <c r="I871" s="1334">
        <f>(H871/G871)*100</f>
        <v>99.858356940509921</v>
      </c>
    </row>
    <row r="872" spans="1:14" s="558" customFormat="1" ht="18" customHeight="1" thickTop="1" thickBot="1" x14ac:dyDescent="0.3">
      <c r="A872" s="2751" t="s">
        <v>267</v>
      </c>
      <c r="B872" s="2750"/>
      <c r="C872" s="2750"/>
      <c r="D872" s="2750"/>
      <c r="E872" s="2750"/>
      <c r="F872" s="943">
        <f>F871</f>
        <v>0</v>
      </c>
      <c r="G872" s="943">
        <f>G871</f>
        <v>706</v>
      </c>
      <c r="H872" s="943">
        <f>H871</f>
        <v>705</v>
      </c>
      <c r="I872" s="926">
        <f>(H872/G872)*100</f>
        <v>99.858356940509921</v>
      </c>
    </row>
    <row r="873" spans="1:14" ht="13.5" thickTop="1" x14ac:dyDescent="0.2">
      <c r="K873" s="984"/>
      <c r="L873" s="984"/>
      <c r="M873" s="984"/>
      <c r="N873" s="439"/>
    </row>
    <row r="874" spans="1:14" x14ac:dyDescent="0.2">
      <c r="K874" s="984"/>
      <c r="L874" s="984"/>
      <c r="M874" s="984"/>
      <c r="N874" s="439"/>
    </row>
    <row r="875" spans="1:14" s="558" customFormat="1" ht="13.5" thickBot="1" x14ac:dyDescent="0.25">
      <c r="A875" s="439" t="s">
        <v>1073</v>
      </c>
      <c r="B875" s="669"/>
      <c r="D875" s="884"/>
      <c r="F875" s="517"/>
      <c r="G875" s="517"/>
      <c r="H875" s="517"/>
      <c r="I875" s="1023" t="s">
        <v>179</v>
      </c>
    </row>
    <row r="876" spans="1:14" s="107" customFormat="1" ht="20.25" customHeight="1" thickTop="1" thickBot="1" x14ac:dyDescent="0.25">
      <c r="A876" s="714" t="s">
        <v>692</v>
      </c>
      <c r="B876" s="717" t="s">
        <v>180</v>
      </c>
      <c r="C876" s="715" t="s">
        <v>181</v>
      </c>
      <c r="D876" s="660" t="s">
        <v>783</v>
      </c>
      <c r="E876" s="718" t="s">
        <v>182</v>
      </c>
      <c r="F876" s="718" t="s">
        <v>183</v>
      </c>
      <c r="G876" s="718" t="s">
        <v>985</v>
      </c>
      <c r="H876" s="718" t="s">
        <v>986</v>
      </c>
      <c r="I876" s="888" t="s">
        <v>987</v>
      </c>
    </row>
    <row r="877" spans="1:14" s="386" customFormat="1" ht="13.5" thickTop="1" thickBot="1" x14ac:dyDescent="0.25">
      <c r="A877" s="1318">
        <v>1</v>
      </c>
      <c r="B877" s="1319">
        <v>2</v>
      </c>
      <c r="C877" s="1319">
        <v>3</v>
      </c>
      <c r="D877" s="1319">
        <v>4</v>
      </c>
      <c r="E877" s="593">
        <v>5</v>
      </c>
      <c r="F877" s="1320">
        <v>6</v>
      </c>
      <c r="G877" s="1320">
        <v>7</v>
      </c>
      <c r="H877" s="1321">
        <v>8</v>
      </c>
      <c r="I877" s="1322" t="s">
        <v>848</v>
      </c>
    </row>
    <row r="878" spans="1:14" s="558" customFormat="1" ht="15.75" thickTop="1" x14ac:dyDescent="0.25">
      <c r="A878" s="1031">
        <v>60004100060</v>
      </c>
      <c r="B878" s="836">
        <v>2212</v>
      </c>
      <c r="C878" s="680">
        <v>6121</v>
      </c>
      <c r="D878" s="1047">
        <v>12</v>
      </c>
      <c r="E878" s="852" t="s">
        <v>671</v>
      </c>
      <c r="F878" s="1034"/>
      <c r="G878" s="1328">
        <v>15</v>
      </c>
      <c r="H878" s="1034">
        <v>0</v>
      </c>
      <c r="I878" s="1329">
        <f>(H878/G878)*100</f>
        <v>0</v>
      </c>
    </row>
    <row r="879" spans="1:14" s="558" customFormat="1" ht="15.75" thickBot="1" x14ac:dyDescent="0.3">
      <c r="A879" s="1037">
        <v>60004100060</v>
      </c>
      <c r="B879" s="962">
        <v>2212</v>
      </c>
      <c r="C879" s="962">
        <v>6130</v>
      </c>
      <c r="D879" s="1349">
        <v>12</v>
      </c>
      <c r="E879" s="1348" t="s">
        <v>959</v>
      </c>
      <c r="F879" s="1347"/>
      <c r="G879" s="1347">
        <v>13</v>
      </c>
      <c r="H879" s="1347">
        <v>13</v>
      </c>
      <c r="I879" s="1048">
        <f>(H879/G879)*100</f>
        <v>100</v>
      </c>
    </row>
    <row r="880" spans="1:14" s="558" customFormat="1" ht="18" customHeight="1" thickTop="1" thickBot="1" x14ac:dyDescent="0.3">
      <c r="A880" s="2751" t="s">
        <v>267</v>
      </c>
      <c r="B880" s="2750"/>
      <c r="C880" s="2750"/>
      <c r="D880" s="2750"/>
      <c r="E880" s="2750"/>
      <c r="F880" s="943">
        <f>F878</f>
        <v>0</v>
      </c>
      <c r="G880" s="943">
        <f>G878+G879</f>
        <v>28</v>
      </c>
      <c r="H880" s="943">
        <f>H878+H879</f>
        <v>13</v>
      </c>
      <c r="I880" s="926">
        <f>(H880/G880)*100</f>
        <v>46.428571428571431</v>
      </c>
    </row>
    <row r="881" spans="1:14" ht="13.5" thickTop="1" x14ac:dyDescent="0.2">
      <c r="K881" s="984"/>
      <c r="L881" s="984"/>
      <c r="M881" s="984"/>
      <c r="N881" s="439"/>
    </row>
    <row r="882" spans="1:14" x14ac:dyDescent="0.2">
      <c r="K882" s="984"/>
      <c r="L882" s="984"/>
      <c r="M882" s="984"/>
      <c r="N882" s="439"/>
    </row>
    <row r="883" spans="1:14" s="558" customFormat="1" ht="13.5" thickBot="1" x14ac:dyDescent="0.25">
      <c r="A883" s="439" t="s">
        <v>1074</v>
      </c>
      <c r="B883" s="669"/>
      <c r="D883" s="884"/>
      <c r="F883" s="517"/>
      <c r="G883" s="517"/>
      <c r="H883" s="517"/>
      <c r="I883" s="1023" t="s">
        <v>179</v>
      </c>
    </row>
    <row r="884" spans="1:14" s="107" customFormat="1" ht="20.25" customHeight="1" thickTop="1" thickBot="1" x14ac:dyDescent="0.25">
      <c r="A884" s="714" t="s">
        <v>692</v>
      </c>
      <c r="B884" s="717" t="s">
        <v>180</v>
      </c>
      <c r="C884" s="715" t="s">
        <v>181</v>
      </c>
      <c r="D884" s="660" t="s">
        <v>783</v>
      </c>
      <c r="E884" s="718" t="s">
        <v>182</v>
      </c>
      <c r="F884" s="718" t="s">
        <v>183</v>
      </c>
      <c r="G884" s="718" t="s">
        <v>985</v>
      </c>
      <c r="H884" s="718" t="s">
        <v>986</v>
      </c>
      <c r="I884" s="888" t="s">
        <v>987</v>
      </c>
    </row>
    <row r="885" spans="1:14" s="386" customFormat="1" ht="13.5" thickTop="1" thickBot="1" x14ac:dyDescent="0.25">
      <c r="A885" s="1318">
        <v>1</v>
      </c>
      <c r="B885" s="1319">
        <v>2</v>
      </c>
      <c r="C885" s="1319">
        <v>3</v>
      </c>
      <c r="D885" s="1319">
        <v>4</v>
      </c>
      <c r="E885" s="593">
        <v>5</v>
      </c>
      <c r="F885" s="1320">
        <v>6</v>
      </c>
      <c r="G885" s="1320">
        <v>7</v>
      </c>
      <c r="H885" s="1321">
        <v>8</v>
      </c>
      <c r="I885" s="1322" t="s">
        <v>848</v>
      </c>
    </row>
    <row r="886" spans="1:14" s="558" customFormat="1" ht="15.75" thickTop="1" x14ac:dyDescent="0.25">
      <c r="A886" s="1031">
        <v>60004100061</v>
      </c>
      <c r="B886" s="836">
        <v>2212</v>
      </c>
      <c r="C886" s="680">
        <v>6121</v>
      </c>
      <c r="D886" s="1047">
        <v>12</v>
      </c>
      <c r="E886" s="852" t="s">
        <v>671</v>
      </c>
      <c r="F886" s="1034">
        <v>31035</v>
      </c>
      <c r="G886" s="1328">
        <v>7959</v>
      </c>
      <c r="H886" s="1034">
        <v>7925</v>
      </c>
      <c r="I886" s="1329">
        <f>(H886/G886)*100</f>
        <v>99.572810654604851</v>
      </c>
    </row>
    <row r="887" spans="1:14" s="558" customFormat="1" ht="15.75" thickBot="1" x14ac:dyDescent="0.3">
      <c r="A887" s="1037">
        <v>60004100061</v>
      </c>
      <c r="B887" s="962">
        <v>2212</v>
      </c>
      <c r="C887" s="962">
        <v>6121</v>
      </c>
      <c r="D887" s="1349">
        <v>805</v>
      </c>
      <c r="E887" s="1348" t="s">
        <v>671</v>
      </c>
      <c r="F887" s="1347"/>
      <c r="G887" s="1347">
        <v>23814</v>
      </c>
      <c r="H887" s="1347">
        <v>22826</v>
      </c>
      <c r="I887" s="1048">
        <f>(H887/G887)*100</f>
        <v>95.851179978164097</v>
      </c>
    </row>
    <row r="888" spans="1:14" s="558" customFormat="1" ht="18" customHeight="1" thickTop="1" thickBot="1" x14ac:dyDescent="0.3">
      <c r="A888" s="2751" t="s">
        <v>267</v>
      </c>
      <c r="B888" s="2750"/>
      <c r="C888" s="2750"/>
      <c r="D888" s="2750"/>
      <c r="E888" s="2750"/>
      <c r="F888" s="943">
        <f>F886</f>
        <v>31035</v>
      </c>
      <c r="G888" s="943">
        <f>G886+G887</f>
        <v>31773</v>
      </c>
      <c r="H888" s="943">
        <f>H886+H887</f>
        <v>30751</v>
      </c>
      <c r="I888" s="926">
        <f>(H888/G888)*100</f>
        <v>96.783432474113241</v>
      </c>
    </row>
    <row r="889" spans="1:14" ht="13.5" thickTop="1" x14ac:dyDescent="0.2">
      <c r="K889" s="984"/>
      <c r="L889" s="984"/>
      <c r="M889" s="984"/>
      <c r="N889" s="439"/>
    </row>
    <row r="890" spans="1:14" x14ac:dyDescent="0.2">
      <c r="K890" s="984"/>
      <c r="L890" s="984"/>
      <c r="M890" s="984"/>
      <c r="N890" s="439"/>
    </row>
    <row r="891" spans="1:14" s="558" customFormat="1" ht="13.5" thickBot="1" x14ac:dyDescent="0.25">
      <c r="A891" s="439" t="s">
        <v>1075</v>
      </c>
      <c r="B891" s="669"/>
      <c r="D891" s="884"/>
      <c r="F891" s="517"/>
      <c r="G891" s="517"/>
      <c r="H891" s="517"/>
      <c r="I891" s="1023" t="s">
        <v>179</v>
      </c>
    </row>
    <row r="892" spans="1:14" s="107" customFormat="1" ht="20.25" customHeight="1" thickTop="1" thickBot="1" x14ac:dyDescent="0.25">
      <c r="A892" s="714" t="s">
        <v>692</v>
      </c>
      <c r="B892" s="717" t="s">
        <v>180</v>
      </c>
      <c r="C892" s="715" t="s">
        <v>181</v>
      </c>
      <c r="D892" s="660" t="s">
        <v>783</v>
      </c>
      <c r="E892" s="718" t="s">
        <v>182</v>
      </c>
      <c r="F892" s="718" t="s">
        <v>183</v>
      </c>
      <c r="G892" s="718" t="s">
        <v>985</v>
      </c>
      <c r="H892" s="718" t="s">
        <v>986</v>
      </c>
      <c r="I892" s="888" t="s">
        <v>987</v>
      </c>
    </row>
    <row r="893" spans="1:14" s="386" customFormat="1" ht="13.5" thickTop="1" thickBot="1" x14ac:dyDescent="0.25">
      <c r="A893" s="1318">
        <v>1</v>
      </c>
      <c r="B893" s="1319">
        <v>2</v>
      </c>
      <c r="C893" s="1319">
        <v>3</v>
      </c>
      <c r="D893" s="1319">
        <v>4</v>
      </c>
      <c r="E893" s="593">
        <v>5</v>
      </c>
      <c r="F893" s="1320">
        <v>6</v>
      </c>
      <c r="G893" s="1320">
        <v>7</v>
      </c>
      <c r="H893" s="1321">
        <v>8</v>
      </c>
      <c r="I893" s="1322" t="s">
        <v>848</v>
      </c>
    </row>
    <row r="894" spans="1:14" s="386" customFormat="1" ht="15.75" thickTop="1" x14ac:dyDescent="0.25">
      <c r="A894" s="1031">
        <v>60004100081</v>
      </c>
      <c r="B894" s="836">
        <v>2212</v>
      </c>
      <c r="C894" s="680">
        <v>6121</v>
      </c>
      <c r="D894" s="1047">
        <v>12</v>
      </c>
      <c r="E894" s="852" t="s">
        <v>671</v>
      </c>
      <c r="F894" s="1034">
        <v>600</v>
      </c>
      <c r="G894" s="1328">
        <v>0</v>
      </c>
      <c r="H894" s="1034">
        <v>0</v>
      </c>
      <c r="I894" s="1329">
        <v>0</v>
      </c>
    </row>
    <row r="895" spans="1:14" s="558" customFormat="1" ht="15.75" thickBot="1" x14ac:dyDescent="0.3">
      <c r="A895" s="1037">
        <v>60004100081</v>
      </c>
      <c r="B895" s="962">
        <v>2212</v>
      </c>
      <c r="C895" s="962">
        <v>6121</v>
      </c>
      <c r="D895" s="1349">
        <v>805</v>
      </c>
      <c r="E895" s="1348" t="s">
        <v>671</v>
      </c>
      <c r="F895" s="1347"/>
      <c r="G895" s="1347">
        <v>855</v>
      </c>
      <c r="H895" s="1347">
        <v>743</v>
      </c>
      <c r="I895" s="1048">
        <f>(H895/G895)*100</f>
        <v>86.900584795321635</v>
      </c>
    </row>
    <row r="896" spans="1:14" s="558" customFormat="1" ht="18" customHeight="1" thickTop="1" thickBot="1" x14ac:dyDescent="0.3">
      <c r="A896" s="2751" t="s">
        <v>267</v>
      </c>
      <c r="B896" s="2750"/>
      <c r="C896" s="2750"/>
      <c r="D896" s="2750"/>
      <c r="E896" s="2750"/>
      <c r="F896" s="943">
        <f>F894</f>
        <v>600</v>
      </c>
      <c r="G896" s="943">
        <f>G895</f>
        <v>855</v>
      </c>
      <c r="H896" s="943">
        <f>H895</f>
        <v>743</v>
      </c>
      <c r="I896" s="926">
        <f>(H896/G896)*100</f>
        <v>86.900584795321635</v>
      </c>
    </row>
    <row r="897" spans="1:14" ht="13.5" thickTop="1" x14ac:dyDescent="0.2">
      <c r="K897" s="984"/>
      <c r="L897" s="984"/>
      <c r="M897" s="984"/>
      <c r="N897" s="439"/>
    </row>
    <row r="898" spans="1:14" x14ac:dyDescent="0.2">
      <c r="K898" s="984"/>
      <c r="L898" s="984"/>
      <c r="M898" s="984"/>
      <c r="N898" s="439"/>
    </row>
    <row r="899" spans="1:14" s="558" customFormat="1" ht="13.5" thickBot="1" x14ac:dyDescent="0.25">
      <c r="A899" s="439" t="s">
        <v>827</v>
      </c>
      <c r="B899" s="669"/>
      <c r="D899" s="884"/>
      <c r="F899" s="517"/>
      <c r="G899" s="517"/>
      <c r="H899" s="517"/>
      <c r="I899" s="1023" t="s">
        <v>179</v>
      </c>
    </row>
    <row r="900" spans="1:14" s="107" customFormat="1" ht="20.25" customHeight="1" thickTop="1" thickBot="1" x14ac:dyDescent="0.25">
      <c r="A900" s="714" t="s">
        <v>692</v>
      </c>
      <c r="B900" s="717" t="s">
        <v>180</v>
      </c>
      <c r="C900" s="715" t="s">
        <v>181</v>
      </c>
      <c r="D900" s="660" t="s">
        <v>783</v>
      </c>
      <c r="E900" s="718" t="s">
        <v>182</v>
      </c>
      <c r="F900" s="718" t="s">
        <v>183</v>
      </c>
      <c r="G900" s="718" t="s">
        <v>985</v>
      </c>
      <c r="H900" s="718" t="s">
        <v>986</v>
      </c>
      <c r="I900" s="888" t="s">
        <v>987</v>
      </c>
    </row>
    <row r="901" spans="1:14" s="386" customFormat="1" ht="13.5" thickTop="1" thickBot="1" x14ac:dyDescent="0.25">
      <c r="A901" s="1318">
        <v>1</v>
      </c>
      <c r="B901" s="1319">
        <v>2</v>
      </c>
      <c r="C901" s="1319">
        <v>3</v>
      </c>
      <c r="D901" s="1319">
        <v>4</v>
      </c>
      <c r="E901" s="593">
        <v>5</v>
      </c>
      <c r="F901" s="1320">
        <v>6</v>
      </c>
      <c r="G901" s="1320">
        <v>7</v>
      </c>
      <c r="H901" s="1321">
        <v>8</v>
      </c>
      <c r="I901" s="1322" t="s">
        <v>848</v>
      </c>
    </row>
    <row r="902" spans="1:14" s="558" customFormat="1" ht="16.5" thickTop="1" thickBot="1" x14ac:dyDescent="0.3">
      <c r="A902" s="1330">
        <v>60004100086</v>
      </c>
      <c r="B902" s="1041">
        <v>2212</v>
      </c>
      <c r="C902" s="1331">
        <v>5169</v>
      </c>
      <c r="D902" s="1042">
        <v>805</v>
      </c>
      <c r="E902" s="1325" t="s">
        <v>955</v>
      </c>
      <c r="F902" s="960"/>
      <c r="G902" s="1333">
        <v>144</v>
      </c>
      <c r="H902" s="960">
        <v>144</v>
      </c>
      <c r="I902" s="1334">
        <f t="shared" ref="I902:I907" si="2">(H902/G902)*100</f>
        <v>100</v>
      </c>
    </row>
    <row r="903" spans="1:14" s="558" customFormat="1" ht="18" customHeight="1" thickTop="1" thickBot="1" x14ac:dyDescent="0.3">
      <c r="A903" s="2739" t="s">
        <v>268</v>
      </c>
      <c r="B903" s="2740"/>
      <c r="C903" s="2740"/>
      <c r="D903" s="2740"/>
      <c r="E903" s="2740"/>
      <c r="F903" s="943">
        <f>F902</f>
        <v>0</v>
      </c>
      <c r="G903" s="943">
        <f>G902</f>
        <v>144</v>
      </c>
      <c r="H903" s="943">
        <f>H902</f>
        <v>144</v>
      </c>
      <c r="I903" s="926">
        <f t="shared" si="2"/>
        <v>100</v>
      </c>
    </row>
    <row r="904" spans="1:14" s="558" customFormat="1" ht="15.75" thickTop="1" x14ac:dyDescent="0.25">
      <c r="A904" s="1031">
        <v>60004100086</v>
      </c>
      <c r="B904" s="836">
        <v>2212</v>
      </c>
      <c r="C904" s="680">
        <v>6121</v>
      </c>
      <c r="D904" s="1047">
        <v>12</v>
      </c>
      <c r="E904" s="309" t="s">
        <v>671</v>
      </c>
      <c r="F904" s="1034">
        <v>26000</v>
      </c>
      <c r="G904" s="1328">
        <v>889</v>
      </c>
      <c r="H904" s="1034">
        <v>861</v>
      </c>
      <c r="I904" s="1329">
        <f t="shared" si="2"/>
        <v>96.850393700787393</v>
      </c>
    </row>
    <row r="905" spans="1:14" s="558" customFormat="1" ht="15" x14ac:dyDescent="0.25">
      <c r="A905" s="1351">
        <v>60004100086</v>
      </c>
      <c r="B905" s="808">
        <v>2212</v>
      </c>
      <c r="C905" s="808">
        <v>6121</v>
      </c>
      <c r="D905" s="1340">
        <v>805</v>
      </c>
      <c r="E905" s="1350" t="s">
        <v>671</v>
      </c>
      <c r="F905" s="916"/>
      <c r="G905" s="916">
        <v>28873</v>
      </c>
      <c r="H905" s="916">
        <v>28838</v>
      </c>
      <c r="I905" s="908">
        <f t="shared" si="2"/>
        <v>99.878779482561569</v>
      </c>
    </row>
    <row r="906" spans="1:14" s="558" customFormat="1" ht="15.75" thickBot="1" x14ac:dyDescent="0.3">
      <c r="A906" s="1037">
        <v>60004100086</v>
      </c>
      <c r="B906" s="962">
        <v>2212</v>
      </c>
      <c r="C906" s="962">
        <v>6130</v>
      </c>
      <c r="D906" s="1349">
        <v>805</v>
      </c>
      <c r="E906" s="1348" t="s">
        <v>959</v>
      </c>
      <c r="F906" s="1347"/>
      <c r="G906" s="1347">
        <v>5</v>
      </c>
      <c r="H906" s="1347">
        <v>5</v>
      </c>
      <c r="I906" s="1048">
        <f t="shared" si="2"/>
        <v>100</v>
      </c>
    </row>
    <row r="907" spans="1:14" s="558" customFormat="1" ht="18" customHeight="1" thickTop="1" thickBot="1" x14ac:dyDescent="0.3">
      <c r="A907" s="2751" t="s">
        <v>267</v>
      </c>
      <c r="B907" s="2750"/>
      <c r="C907" s="2750"/>
      <c r="D907" s="2750"/>
      <c r="E907" s="2750"/>
      <c r="F907" s="943">
        <f>F904</f>
        <v>26000</v>
      </c>
      <c r="G907" s="943">
        <f>G904+G905+G906</f>
        <v>29767</v>
      </c>
      <c r="H907" s="943">
        <f>H904+H905+H906</f>
        <v>29704</v>
      </c>
      <c r="I907" s="926">
        <f t="shared" si="2"/>
        <v>99.788356233412841</v>
      </c>
    </row>
    <row r="908" spans="1:14" ht="13.5" thickTop="1" x14ac:dyDescent="0.2">
      <c r="K908" s="984"/>
      <c r="L908" s="984"/>
      <c r="M908" s="984"/>
      <c r="N908" s="439"/>
    </row>
    <row r="909" spans="1:14" x14ac:dyDescent="0.2">
      <c r="K909" s="984"/>
      <c r="L909" s="984"/>
      <c r="M909" s="984"/>
      <c r="N909" s="439"/>
    </row>
    <row r="910" spans="1:14" s="558" customFormat="1" ht="13.5" thickBot="1" x14ac:dyDescent="0.25">
      <c r="A910" s="439" t="s">
        <v>828</v>
      </c>
      <c r="B910" s="669"/>
      <c r="D910" s="884"/>
      <c r="F910" s="517"/>
      <c r="G910" s="517"/>
      <c r="H910" s="517"/>
      <c r="I910" s="1023" t="s">
        <v>179</v>
      </c>
    </row>
    <row r="911" spans="1:14" s="107" customFormat="1" ht="20.25" customHeight="1" thickTop="1" thickBot="1" x14ac:dyDescent="0.25">
      <c r="A911" s="714" t="s">
        <v>692</v>
      </c>
      <c r="B911" s="717" t="s">
        <v>180</v>
      </c>
      <c r="C911" s="715" t="s">
        <v>181</v>
      </c>
      <c r="D911" s="660" t="s">
        <v>783</v>
      </c>
      <c r="E911" s="718" t="s">
        <v>182</v>
      </c>
      <c r="F911" s="718" t="s">
        <v>183</v>
      </c>
      <c r="G911" s="718" t="s">
        <v>985</v>
      </c>
      <c r="H911" s="718" t="s">
        <v>986</v>
      </c>
      <c r="I911" s="888" t="s">
        <v>987</v>
      </c>
    </row>
    <row r="912" spans="1:14" s="386" customFormat="1" ht="13.5" thickTop="1" thickBot="1" x14ac:dyDescent="0.25">
      <c r="A912" s="1318">
        <v>1</v>
      </c>
      <c r="B912" s="1319">
        <v>2</v>
      </c>
      <c r="C912" s="1319">
        <v>3</v>
      </c>
      <c r="D912" s="1319">
        <v>4</v>
      </c>
      <c r="E912" s="593">
        <v>5</v>
      </c>
      <c r="F912" s="1320">
        <v>6</v>
      </c>
      <c r="G912" s="1320">
        <v>7</v>
      </c>
      <c r="H912" s="1321">
        <v>8</v>
      </c>
      <c r="I912" s="1322" t="s">
        <v>848</v>
      </c>
    </row>
    <row r="913" spans="1:14" s="558" customFormat="1" ht="16.5" thickTop="1" thickBot="1" x14ac:dyDescent="0.3">
      <c r="A913" s="1330">
        <v>60004100099</v>
      </c>
      <c r="B913" s="1041">
        <v>2212</v>
      </c>
      <c r="C913" s="1331">
        <v>6121</v>
      </c>
      <c r="D913" s="1042">
        <v>12</v>
      </c>
      <c r="E913" s="1043" t="s">
        <v>671</v>
      </c>
      <c r="F913" s="960"/>
      <c r="G913" s="1333">
        <v>3642</v>
      </c>
      <c r="H913" s="960">
        <v>3642</v>
      </c>
      <c r="I913" s="1334">
        <f>(H913/G913)*100</f>
        <v>100</v>
      </c>
    </row>
    <row r="914" spans="1:14" s="558" customFormat="1" ht="18" customHeight="1" thickTop="1" thickBot="1" x14ac:dyDescent="0.3">
      <c r="A914" s="2751" t="s">
        <v>267</v>
      </c>
      <c r="B914" s="2750"/>
      <c r="C914" s="2750"/>
      <c r="D914" s="2750"/>
      <c r="E914" s="2750"/>
      <c r="F914" s="943">
        <f>F913</f>
        <v>0</v>
      </c>
      <c r="G914" s="943">
        <f>G913</f>
        <v>3642</v>
      </c>
      <c r="H914" s="943">
        <f>H913</f>
        <v>3642</v>
      </c>
      <c r="I914" s="926">
        <f>(H914/G914)*100</f>
        <v>100</v>
      </c>
    </row>
    <row r="915" spans="1:14" ht="13.5" thickTop="1" x14ac:dyDescent="0.2">
      <c r="K915" s="984"/>
      <c r="L915" s="984"/>
      <c r="M915" s="984"/>
      <c r="N915" s="439"/>
    </row>
    <row r="916" spans="1:14" x14ac:dyDescent="0.2">
      <c r="K916" s="984"/>
      <c r="L916" s="984"/>
      <c r="M916" s="984"/>
      <c r="N916" s="439"/>
    </row>
    <row r="917" spans="1:14" s="558" customFormat="1" ht="13.5" thickBot="1" x14ac:dyDescent="0.25">
      <c r="A917" s="439" t="s">
        <v>829</v>
      </c>
      <c r="B917" s="669"/>
      <c r="D917" s="884"/>
      <c r="F917" s="517"/>
      <c r="G917" s="517"/>
      <c r="H917" s="517"/>
      <c r="I917" s="1023" t="s">
        <v>179</v>
      </c>
    </row>
    <row r="918" spans="1:14" s="107" customFormat="1" ht="20.25" customHeight="1" thickTop="1" thickBot="1" x14ac:dyDescent="0.25">
      <c r="A918" s="714" t="s">
        <v>692</v>
      </c>
      <c r="B918" s="717" t="s">
        <v>180</v>
      </c>
      <c r="C918" s="715" t="s">
        <v>181</v>
      </c>
      <c r="D918" s="660" t="s">
        <v>783</v>
      </c>
      <c r="E918" s="718" t="s">
        <v>182</v>
      </c>
      <c r="F918" s="718" t="s">
        <v>183</v>
      </c>
      <c r="G918" s="718" t="s">
        <v>985</v>
      </c>
      <c r="H918" s="718" t="s">
        <v>986</v>
      </c>
      <c r="I918" s="888" t="s">
        <v>987</v>
      </c>
    </row>
    <row r="919" spans="1:14" s="386" customFormat="1" ht="13.5" thickTop="1" thickBot="1" x14ac:dyDescent="0.25">
      <c r="A919" s="1318">
        <v>1</v>
      </c>
      <c r="B919" s="1319">
        <v>2</v>
      </c>
      <c r="C919" s="1319">
        <v>3</v>
      </c>
      <c r="D919" s="1319">
        <v>4</v>
      </c>
      <c r="E919" s="593">
        <v>5</v>
      </c>
      <c r="F919" s="1320">
        <v>6</v>
      </c>
      <c r="G919" s="1320">
        <v>7</v>
      </c>
      <c r="H919" s="1321">
        <v>8</v>
      </c>
      <c r="I919" s="1322" t="s">
        <v>848</v>
      </c>
    </row>
    <row r="920" spans="1:14" s="558" customFormat="1" ht="16.5" thickTop="1" thickBot="1" x14ac:dyDescent="0.3">
      <c r="A920" s="1330">
        <v>60004100104</v>
      </c>
      <c r="B920" s="1041">
        <v>2212</v>
      </c>
      <c r="C920" s="1331">
        <v>6121</v>
      </c>
      <c r="D920" s="1042">
        <v>12</v>
      </c>
      <c r="E920" s="1043" t="s">
        <v>671</v>
      </c>
      <c r="F920" s="960"/>
      <c r="G920" s="1333">
        <v>554</v>
      </c>
      <c r="H920" s="960">
        <v>553</v>
      </c>
      <c r="I920" s="1334">
        <f>(H920/G920)*100</f>
        <v>99.819494584837543</v>
      </c>
    </row>
    <row r="921" spans="1:14" s="558" customFormat="1" ht="18" customHeight="1" thickTop="1" thickBot="1" x14ac:dyDescent="0.3">
      <c r="A921" s="2751" t="s">
        <v>267</v>
      </c>
      <c r="B921" s="2750"/>
      <c r="C921" s="2750"/>
      <c r="D921" s="2750"/>
      <c r="E921" s="2750"/>
      <c r="F921" s="943">
        <f>F920</f>
        <v>0</v>
      </c>
      <c r="G921" s="943">
        <f>G920</f>
        <v>554</v>
      </c>
      <c r="H921" s="943">
        <f>H920</f>
        <v>553</v>
      </c>
      <c r="I921" s="926">
        <f>(H921/G921)*100</f>
        <v>99.819494584837543</v>
      </c>
    </row>
    <row r="922" spans="1:14" ht="13.5" thickTop="1" x14ac:dyDescent="0.2">
      <c r="K922" s="984"/>
      <c r="L922" s="984"/>
      <c r="M922" s="984"/>
      <c r="N922" s="439"/>
    </row>
    <row r="923" spans="1:14" x14ac:dyDescent="0.2">
      <c r="K923" s="984"/>
      <c r="L923" s="984"/>
      <c r="M923" s="984"/>
      <c r="N923" s="439"/>
    </row>
    <row r="924" spans="1:14" s="558" customFormat="1" ht="13.5" thickBot="1" x14ac:dyDescent="0.25">
      <c r="A924" s="439" t="s">
        <v>830</v>
      </c>
      <c r="B924" s="669"/>
      <c r="D924" s="884"/>
      <c r="F924" s="517"/>
      <c r="G924" s="517"/>
      <c r="H924" s="517"/>
      <c r="I924" s="1023" t="s">
        <v>179</v>
      </c>
    </row>
    <row r="925" spans="1:14" s="107" customFormat="1" ht="20.25" customHeight="1" thickTop="1" thickBot="1" x14ac:dyDescent="0.25">
      <c r="A925" s="714" t="s">
        <v>692</v>
      </c>
      <c r="B925" s="717" t="s">
        <v>180</v>
      </c>
      <c r="C925" s="715" t="s">
        <v>181</v>
      </c>
      <c r="D925" s="660" t="s">
        <v>783</v>
      </c>
      <c r="E925" s="718" t="s">
        <v>182</v>
      </c>
      <c r="F925" s="718" t="s">
        <v>183</v>
      </c>
      <c r="G925" s="718" t="s">
        <v>985</v>
      </c>
      <c r="H925" s="718" t="s">
        <v>986</v>
      </c>
      <c r="I925" s="888" t="s">
        <v>987</v>
      </c>
    </row>
    <row r="926" spans="1:14" s="386" customFormat="1" ht="13.5" thickTop="1" thickBot="1" x14ac:dyDescent="0.25">
      <c r="A926" s="1318">
        <v>1</v>
      </c>
      <c r="B926" s="1319">
        <v>2</v>
      </c>
      <c r="C926" s="1319">
        <v>3</v>
      </c>
      <c r="D926" s="1319">
        <v>4</v>
      </c>
      <c r="E926" s="593">
        <v>5</v>
      </c>
      <c r="F926" s="1320">
        <v>6</v>
      </c>
      <c r="G926" s="1320">
        <v>7</v>
      </c>
      <c r="H926" s="1321">
        <v>8</v>
      </c>
      <c r="I926" s="1322" t="s">
        <v>848</v>
      </c>
    </row>
    <row r="927" spans="1:14" s="558" customFormat="1" ht="16.5" thickTop="1" thickBot="1" x14ac:dyDescent="0.3">
      <c r="A927" s="1330">
        <v>60004100107</v>
      </c>
      <c r="B927" s="1041">
        <v>2212</v>
      </c>
      <c r="C927" s="1331">
        <v>6121</v>
      </c>
      <c r="D927" s="1042">
        <v>12</v>
      </c>
      <c r="E927" s="1043" t="s">
        <v>671</v>
      </c>
      <c r="F927" s="960"/>
      <c r="G927" s="1333">
        <v>1072</v>
      </c>
      <c r="H927" s="960">
        <v>1072</v>
      </c>
      <c r="I927" s="1334">
        <f>(H927/G927)*100</f>
        <v>100</v>
      </c>
    </row>
    <row r="928" spans="1:14" s="558" customFormat="1" ht="18" customHeight="1" thickTop="1" thickBot="1" x14ac:dyDescent="0.3">
      <c r="A928" s="2751" t="s">
        <v>267</v>
      </c>
      <c r="B928" s="2750"/>
      <c r="C928" s="2750"/>
      <c r="D928" s="2750"/>
      <c r="E928" s="2750"/>
      <c r="F928" s="943">
        <f>F927</f>
        <v>0</v>
      </c>
      <c r="G928" s="943">
        <f>G927</f>
        <v>1072</v>
      </c>
      <c r="H928" s="943">
        <f>H927</f>
        <v>1072</v>
      </c>
      <c r="I928" s="926">
        <f>(H928/G928)*100</f>
        <v>100</v>
      </c>
    </row>
    <row r="929" spans="1:14" ht="13.5" thickTop="1" x14ac:dyDescent="0.2">
      <c r="K929" s="984"/>
      <c r="L929" s="984"/>
      <c r="M929" s="984"/>
      <c r="N929" s="439"/>
    </row>
    <row r="930" spans="1:14" x14ac:dyDescent="0.2">
      <c r="K930" s="984"/>
      <c r="L930" s="984"/>
      <c r="M930" s="984"/>
      <c r="N930" s="439"/>
    </row>
    <row r="931" spans="1:14" x14ac:dyDescent="0.2">
      <c r="K931" s="984"/>
      <c r="L931" s="984"/>
      <c r="M931" s="984"/>
      <c r="N931" s="439"/>
    </row>
    <row r="932" spans="1:14" x14ac:dyDescent="0.2">
      <c r="K932" s="984"/>
      <c r="L932" s="984"/>
      <c r="M932" s="984"/>
      <c r="N932" s="439"/>
    </row>
    <row r="933" spans="1:14" x14ac:dyDescent="0.2">
      <c r="K933" s="984"/>
      <c r="L933" s="984"/>
      <c r="M933" s="984"/>
      <c r="N933" s="439"/>
    </row>
    <row r="934" spans="1:14" x14ac:dyDescent="0.2">
      <c r="K934" s="984"/>
      <c r="L934" s="984"/>
      <c r="M934" s="984"/>
      <c r="N934" s="439"/>
    </row>
    <row r="935" spans="1:14" s="558" customFormat="1" ht="13.5" thickBot="1" x14ac:dyDescent="0.25">
      <c r="A935" s="439" t="s">
        <v>831</v>
      </c>
      <c r="B935" s="669"/>
      <c r="D935" s="884"/>
      <c r="F935" s="517"/>
      <c r="G935" s="517"/>
      <c r="H935" s="517"/>
      <c r="I935" s="1023" t="s">
        <v>179</v>
      </c>
    </row>
    <row r="936" spans="1:14" s="107" customFormat="1" ht="20.25" customHeight="1" thickTop="1" thickBot="1" x14ac:dyDescent="0.25">
      <c r="A936" s="714" t="s">
        <v>692</v>
      </c>
      <c r="B936" s="717" t="s">
        <v>180</v>
      </c>
      <c r="C936" s="715" t="s">
        <v>181</v>
      </c>
      <c r="D936" s="660" t="s">
        <v>783</v>
      </c>
      <c r="E936" s="718" t="s">
        <v>182</v>
      </c>
      <c r="F936" s="718" t="s">
        <v>183</v>
      </c>
      <c r="G936" s="718" t="s">
        <v>985</v>
      </c>
      <c r="H936" s="718" t="s">
        <v>986</v>
      </c>
      <c r="I936" s="888" t="s">
        <v>987</v>
      </c>
    </row>
    <row r="937" spans="1:14" s="386" customFormat="1" ht="13.5" thickTop="1" thickBot="1" x14ac:dyDescent="0.25">
      <c r="A937" s="1318">
        <v>1</v>
      </c>
      <c r="B937" s="1319">
        <v>2</v>
      </c>
      <c r="C937" s="1319">
        <v>3</v>
      </c>
      <c r="D937" s="1319">
        <v>4</v>
      </c>
      <c r="E937" s="593">
        <v>5</v>
      </c>
      <c r="F937" s="1320">
        <v>6</v>
      </c>
      <c r="G937" s="1320">
        <v>7</v>
      </c>
      <c r="H937" s="1321">
        <v>8</v>
      </c>
      <c r="I937" s="1322" t="s">
        <v>848</v>
      </c>
    </row>
    <row r="938" spans="1:14" s="558" customFormat="1" ht="16.5" thickTop="1" thickBot="1" x14ac:dyDescent="0.3">
      <c r="A938" s="1330">
        <v>60004100108</v>
      </c>
      <c r="B938" s="1041">
        <v>2212</v>
      </c>
      <c r="C938" s="1331">
        <v>6121</v>
      </c>
      <c r="D938" s="1042">
        <v>12</v>
      </c>
      <c r="E938" s="1043" t="s">
        <v>671</v>
      </c>
      <c r="F938" s="960"/>
      <c r="G938" s="1333">
        <v>609</v>
      </c>
      <c r="H938" s="960">
        <v>609</v>
      </c>
      <c r="I938" s="1334">
        <f>(H938/G938)*100</f>
        <v>100</v>
      </c>
    </row>
    <row r="939" spans="1:14" s="558" customFormat="1" ht="18" customHeight="1" thickTop="1" thickBot="1" x14ac:dyDescent="0.3">
      <c r="A939" s="2751" t="s">
        <v>267</v>
      </c>
      <c r="B939" s="2750"/>
      <c r="C939" s="2750"/>
      <c r="D939" s="2750"/>
      <c r="E939" s="2750"/>
      <c r="F939" s="943">
        <f>F938</f>
        <v>0</v>
      </c>
      <c r="G939" s="943">
        <f>G938</f>
        <v>609</v>
      </c>
      <c r="H939" s="943">
        <f>H938</f>
        <v>609</v>
      </c>
      <c r="I939" s="926">
        <f>(H939/G939)*100</f>
        <v>100</v>
      </c>
    </row>
    <row r="940" spans="1:14" ht="13.5" thickTop="1" x14ac:dyDescent="0.2">
      <c r="K940" s="984"/>
      <c r="L940" s="984"/>
      <c r="M940" s="984"/>
      <c r="N940" s="439"/>
    </row>
    <row r="941" spans="1:14" x14ac:dyDescent="0.2">
      <c r="K941" s="984"/>
      <c r="L941" s="984"/>
      <c r="M941" s="984"/>
      <c r="N941" s="439"/>
    </row>
    <row r="942" spans="1:14" s="558" customFormat="1" ht="13.5" thickBot="1" x14ac:dyDescent="0.25">
      <c r="A942" s="439" t="s">
        <v>566</v>
      </c>
      <c r="B942" s="669"/>
      <c r="D942" s="884"/>
      <c r="F942" s="517"/>
      <c r="G942" s="517"/>
      <c r="H942" s="517"/>
      <c r="I942" s="1023" t="s">
        <v>179</v>
      </c>
    </row>
    <row r="943" spans="1:14" s="107" customFormat="1" ht="20.25" customHeight="1" thickTop="1" thickBot="1" x14ac:dyDescent="0.25">
      <c r="A943" s="714" t="s">
        <v>692</v>
      </c>
      <c r="B943" s="717" t="s">
        <v>180</v>
      </c>
      <c r="C943" s="715" t="s">
        <v>181</v>
      </c>
      <c r="D943" s="660" t="s">
        <v>783</v>
      </c>
      <c r="E943" s="718" t="s">
        <v>182</v>
      </c>
      <c r="F943" s="718" t="s">
        <v>183</v>
      </c>
      <c r="G943" s="718" t="s">
        <v>985</v>
      </c>
      <c r="H943" s="718" t="s">
        <v>986</v>
      </c>
      <c r="I943" s="888" t="s">
        <v>987</v>
      </c>
    </row>
    <row r="944" spans="1:14" s="386" customFormat="1" ht="13.5" thickTop="1" thickBot="1" x14ac:dyDescent="0.25">
      <c r="A944" s="1318">
        <v>1</v>
      </c>
      <c r="B944" s="1319">
        <v>2</v>
      </c>
      <c r="C944" s="1319">
        <v>3</v>
      </c>
      <c r="D944" s="1319">
        <v>4</v>
      </c>
      <c r="E944" s="593">
        <v>5</v>
      </c>
      <c r="F944" s="1320">
        <v>6</v>
      </c>
      <c r="G944" s="1320">
        <v>7</v>
      </c>
      <c r="H944" s="1321">
        <v>8</v>
      </c>
      <c r="I944" s="1322" t="s">
        <v>848</v>
      </c>
    </row>
    <row r="945" spans="1:14" s="558" customFormat="1" ht="16.5" thickTop="1" thickBot="1" x14ac:dyDescent="0.3">
      <c r="A945" s="1330">
        <v>60004100109</v>
      </c>
      <c r="B945" s="1041">
        <v>2212</v>
      </c>
      <c r="C945" s="1331">
        <v>6121</v>
      </c>
      <c r="D945" s="1042">
        <v>12</v>
      </c>
      <c r="E945" s="1043" t="s">
        <v>671</v>
      </c>
      <c r="F945" s="960"/>
      <c r="G945" s="1333">
        <v>1102</v>
      </c>
      <c r="H945" s="960">
        <v>725</v>
      </c>
      <c r="I945" s="1334">
        <f>(H945/G945)*100</f>
        <v>65.789473684210535</v>
      </c>
    </row>
    <row r="946" spans="1:14" s="558" customFormat="1" ht="18" customHeight="1" thickTop="1" thickBot="1" x14ac:dyDescent="0.3">
      <c r="A946" s="2751" t="s">
        <v>267</v>
      </c>
      <c r="B946" s="2750"/>
      <c r="C946" s="2750"/>
      <c r="D946" s="2750"/>
      <c r="E946" s="2750"/>
      <c r="F946" s="943">
        <f>F945</f>
        <v>0</v>
      </c>
      <c r="G946" s="943">
        <f>G945</f>
        <v>1102</v>
      </c>
      <c r="H946" s="943">
        <f>H945</f>
        <v>725</v>
      </c>
      <c r="I946" s="926">
        <f>(H946/G946)*100</f>
        <v>65.789473684210535</v>
      </c>
    </row>
    <row r="947" spans="1:14" ht="13.5" thickTop="1" x14ac:dyDescent="0.2">
      <c r="K947" s="984"/>
      <c r="L947" s="984"/>
      <c r="M947" s="984"/>
      <c r="N947" s="439"/>
    </row>
    <row r="948" spans="1:14" x14ac:dyDescent="0.2">
      <c r="K948" s="984"/>
      <c r="L948" s="984"/>
      <c r="M948" s="984"/>
      <c r="N948" s="439"/>
    </row>
    <row r="949" spans="1:14" s="558" customFormat="1" ht="13.5" thickBot="1" x14ac:dyDescent="0.25">
      <c r="A949" s="439" t="s">
        <v>567</v>
      </c>
      <c r="B949" s="669"/>
      <c r="D949" s="884"/>
      <c r="F949" s="517"/>
      <c r="G949" s="517"/>
      <c r="H949" s="517"/>
      <c r="I949" s="1023" t="s">
        <v>179</v>
      </c>
    </row>
    <row r="950" spans="1:14" s="107" customFormat="1" ht="20.25" customHeight="1" thickTop="1" thickBot="1" x14ac:dyDescent="0.25">
      <c r="A950" s="714" t="s">
        <v>692</v>
      </c>
      <c r="B950" s="717" t="s">
        <v>180</v>
      </c>
      <c r="C950" s="715" t="s">
        <v>181</v>
      </c>
      <c r="D950" s="660" t="s">
        <v>783</v>
      </c>
      <c r="E950" s="718" t="s">
        <v>182</v>
      </c>
      <c r="F950" s="718" t="s">
        <v>183</v>
      </c>
      <c r="G950" s="718" t="s">
        <v>985</v>
      </c>
      <c r="H950" s="718" t="s">
        <v>986</v>
      </c>
      <c r="I950" s="888" t="s">
        <v>987</v>
      </c>
    </row>
    <row r="951" spans="1:14" s="386" customFormat="1" ht="13.5" thickTop="1" thickBot="1" x14ac:dyDescent="0.25">
      <c r="A951" s="1318">
        <v>1</v>
      </c>
      <c r="B951" s="1319">
        <v>2</v>
      </c>
      <c r="C951" s="1319">
        <v>3</v>
      </c>
      <c r="D951" s="1319">
        <v>4</v>
      </c>
      <c r="E951" s="593">
        <v>5</v>
      </c>
      <c r="F951" s="1320">
        <v>6</v>
      </c>
      <c r="G951" s="1320">
        <v>7</v>
      </c>
      <c r="H951" s="1321">
        <v>8</v>
      </c>
      <c r="I951" s="1322" t="s">
        <v>848</v>
      </c>
    </row>
    <row r="952" spans="1:14" s="558" customFormat="1" ht="16.5" thickTop="1" thickBot="1" x14ac:dyDescent="0.3">
      <c r="A952" s="1330">
        <v>60004100110</v>
      </c>
      <c r="B952" s="1041">
        <v>2212</v>
      </c>
      <c r="C952" s="1331">
        <v>6121</v>
      </c>
      <c r="D952" s="1042">
        <v>12</v>
      </c>
      <c r="E952" s="1043" t="s">
        <v>671</v>
      </c>
      <c r="F952" s="960"/>
      <c r="G952" s="1333">
        <v>292</v>
      </c>
      <c r="H952" s="960">
        <v>292</v>
      </c>
      <c r="I952" s="1334">
        <f>(H952/G952)*100</f>
        <v>100</v>
      </c>
    </row>
    <row r="953" spans="1:14" s="558" customFormat="1" ht="18" customHeight="1" thickTop="1" thickBot="1" x14ac:dyDescent="0.3">
      <c r="A953" s="2751" t="s">
        <v>267</v>
      </c>
      <c r="B953" s="2750"/>
      <c r="C953" s="2750"/>
      <c r="D953" s="2750"/>
      <c r="E953" s="2750"/>
      <c r="F953" s="943">
        <f>F952</f>
        <v>0</v>
      </c>
      <c r="G953" s="943">
        <f>G952</f>
        <v>292</v>
      </c>
      <c r="H953" s="943">
        <f>H952</f>
        <v>292</v>
      </c>
      <c r="I953" s="926">
        <f>(H953/G953)*100</f>
        <v>100</v>
      </c>
    </row>
    <row r="954" spans="1:14" ht="13.5" thickTop="1" x14ac:dyDescent="0.2">
      <c r="K954" s="984"/>
      <c r="L954" s="984"/>
      <c r="M954" s="984"/>
      <c r="N954" s="439"/>
    </row>
    <row r="955" spans="1:14" x14ac:dyDescent="0.2">
      <c r="K955" s="984"/>
      <c r="L955" s="984"/>
      <c r="M955" s="984"/>
      <c r="N955" s="439"/>
    </row>
    <row r="956" spans="1:14" s="558" customFormat="1" ht="13.5" thickBot="1" x14ac:dyDescent="0.25">
      <c r="A956" s="439" t="s">
        <v>568</v>
      </c>
      <c r="B956" s="669"/>
      <c r="D956" s="884"/>
      <c r="F956" s="517"/>
      <c r="G956" s="517"/>
      <c r="H956" s="517"/>
      <c r="I956" s="1023" t="s">
        <v>179</v>
      </c>
    </row>
    <row r="957" spans="1:14" s="107" customFormat="1" ht="20.25" customHeight="1" thickTop="1" thickBot="1" x14ac:dyDescent="0.25">
      <c r="A957" s="714" t="s">
        <v>692</v>
      </c>
      <c r="B957" s="717" t="s">
        <v>180</v>
      </c>
      <c r="C957" s="715" t="s">
        <v>181</v>
      </c>
      <c r="D957" s="660" t="s">
        <v>783</v>
      </c>
      <c r="E957" s="718" t="s">
        <v>182</v>
      </c>
      <c r="F957" s="718" t="s">
        <v>183</v>
      </c>
      <c r="G957" s="718" t="s">
        <v>985</v>
      </c>
      <c r="H957" s="718" t="s">
        <v>986</v>
      </c>
      <c r="I957" s="888" t="s">
        <v>987</v>
      </c>
    </row>
    <row r="958" spans="1:14" s="386" customFormat="1" ht="13.5" thickTop="1" thickBot="1" x14ac:dyDescent="0.25">
      <c r="A958" s="1318">
        <v>1</v>
      </c>
      <c r="B958" s="1319">
        <v>2</v>
      </c>
      <c r="C958" s="1319">
        <v>3</v>
      </c>
      <c r="D958" s="1319">
        <v>4</v>
      </c>
      <c r="E958" s="593">
        <v>5</v>
      </c>
      <c r="F958" s="1320">
        <v>6</v>
      </c>
      <c r="G958" s="1320">
        <v>7</v>
      </c>
      <c r="H958" s="1321">
        <v>8</v>
      </c>
      <c r="I958" s="1322" t="s">
        <v>848</v>
      </c>
    </row>
    <row r="959" spans="1:14" s="558" customFormat="1" ht="16.5" thickTop="1" thickBot="1" x14ac:dyDescent="0.3">
      <c r="A959" s="1330">
        <v>60004100111</v>
      </c>
      <c r="B959" s="1041">
        <v>2212</v>
      </c>
      <c r="C959" s="1331">
        <v>6121</v>
      </c>
      <c r="D959" s="1042">
        <v>12</v>
      </c>
      <c r="E959" s="1043" t="s">
        <v>671</v>
      </c>
      <c r="F959" s="960"/>
      <c r="G959" s="1333">
        <v>200</v>
      </c>
      <c r="H959" s="960">
        <v>199</v>
      </c>
      <c r="I959" s="1334">
        <f>(H959/G959)*100</f>
        <v>99.5</v>
      </c>
    </row>
    <row r="960" spans="1:14" s="558" customFormat="1" ht="18" customHeight="1" thickTop="1" thickBot="1" x14ac:dyDescent="0.3">
      <c r="A960" s="2751" t="s">
        <v>267</v>
      </c>
      <c r="B960" s="2750"/>
      <c r="C960" s="2750"/>
      <c r="D960" s="2750"/>
      <c r="E960" s="2750"/>
      <c r="F960" s="943">
        <f>F959</f>
        <v>0</v>
      </c>
      <c r="G960" s="943">
        <f>G959</f>
        <v>200</v>
      </c>
      <c r="H960" s="943">
        <f>H959</f>
        <v>199</v>
      </c>
      <c r="I960" s="926">
        <f>(H960/G960)*100</f>
        <v>99.5</v>
      </c>
    </row>
    <row r="961" spans="1:14" ht="13.5" thickTop="1" x14ac:dyDescent="0.2">
      <c r="K961" s="984"/>
      <c r="L961" s="984"/>
      <c r="M961" s="984"/>
      <c r="N961" s="439"/>
    </row>
    <row r="962" spans="1:14" x14ac:dyDescent="0.2">
      <c r="K962" s="984"/>
      <c r="L962" s="984"/>
      <c r="M962" s="984"/>
      <c r="N962" s="439"/>
    </row>
    <row r="963" spans="1:14" s="558" customFormat="1" ht="13.5" thickBot="1" x14ac:dyDescent="0.25">
      <c r="A963" s="439" t="s">
        <v>1201</v>
      </c>
      <c r="B963" s="669"/>
      <c r="D963" s="884"/>
      <c r="F963" s="517"/>
      <c r="G963" s="517"/>
      <c r="H963" s="517"/>
      <c r="I963" s="1023" t="s">
        <v>179</v>
      </c>
    </row>
    <row r="964" spans="1:14" s="107" customFormat="1" ht="20.25" customHeight="1" thickTop="1" thickBot="1" x14ac:dyDescent="0.25">
      <c r="A964" s="714" t="s">
        <v>692</v>
      </c>
      <c r="B964" s="717" t="s">
        <v>180</v>
      </c>
      <c r="C964" s="715" t="s">
        <v>181</v>
      </c>
      <c r="D964" s="660" t="s">
        <v>783</v>
      </c>
      <c r="E964" s="718" t="s">
        <v>182</v>
      </c>
      <c r="F964" s="718" t="s">
        <v>183</v>
      </c>
      <c r="G964" s="718" t="s">
        <v>985</v>
      </c>
      <c r="H964" s="718" t="s">
        <v>986</v>
      </c>
      <c r="I964" s="888" t="s">
        <v>987</v>
      </c>
    </row>
    <row r="965" spans="1:14" s="386" customFormat="1" ht="13.5" thickTop="1" thickBot="1" x14ac:dyDescent="0.25">
      <c r="A965" s="1318">
        <v>1</v>
      </c>
      <c r="B965" s="1319">
        <v>2</v>
      </c>
      <c r="C965" s="1319">
        <v>3</v>
      </c>
      <c r="D965" s="1319">
        <v>4</v>
      </c>
      <c r="E965" s="593">
        <v>5</v>
      </c>
      <c r="F965" s="1320">
        <v>6</v>
      </c>
      <c r="G965" s="1320">
        <v>7</v>
      </c>
      <c r="H965" s="1321">
        <v>8</v>
      </c>
      <c r="I965" s="1322" t="s">
        <v>848</v>
      </c>
    </row>
    <row r="966" spans="1:14" s="558" customFormat="1" ht="16.5" thickTop="1" thickBot="1" x14ac:dyDescent="0.3">
      <c r="A966" s="1330">
        <v>60004100114</v>
      </c>
      <c r="B966" s="1041">
        <v>2212</v>
      </c>
      <c r="C966" s="1331">
        <v>6121</v>
      </c>
      <c r="D966" s="1042">
        <v>12</v>
      </c>
      <c r="E966" s="1043" t="s">
        <v>671</v>
      </c>
      <c r="F966" s="960"/>
      <c r="G966" s="1333">
        <v>1538</v>
      </c>
      <c r="H966" s="960">
        <v>1537</v>
      </c>
      <c r="I966" s="1334">
        <f>(H966/G966)*100</f>
        <v>99.934980494148235</v>
      </c>
    </row>
    <row r="967" spans="1:14" s="558" customFormat="1" ht="18" customHeight="1" thickTop="1" thickBot="1" x14ac:dyDescent="0.3">
      <c r="A967" s="2751" t="s">
        <v>267</v>
      </c>
      <c r="B967" s="2750"/>
      <c r="C967" s="2750"/>
      <c r="D967" s="2750"/>
      <c r="E967" s="2750"/>
      <c r="F967" s="943">
        <f>F966</f>
        <v>0</v>
      </c>
      <c r="G967" s="943">
        <f>G966</f>
        <v>1538</v>
      </c>
      <c r="H967" s="943">
        <f>H966</f>
        <v>1537</v>
      </c>
      <c r="I967" s="926">
        <f>(H967/G967)*100</f>
        <v>99.934980494148235</v>
      </c>
    </row>
    <row r="968" spans="1:14" ht="13.5" thickTop="1" x14ac:dyDescent="0.2">
      <c r="K968" s="984"/>
      <c r="L968" s="984"/>
      <c r="M968" s="984"/>
      <c r="N968" s="439"/>
    </row>
    <row r="969" spans="1:14" x14ac:dyDescent="0.2">
      <c r="K969" s="984"/>
      <c r="L969" s="984"/>
      <c r="M969" s="984"/>
      <c r="N969" s="439"/>
    </row>
    <row r="970" spans="1:14" s="558" customFormat="1" ht="13.5" thickBot="1" x14ac:dyDescent="0.25">
      <c r="A970" s="439" t="s">
        <v>33</v>
      </c>
      <c r="B970" s="669"/>
      <c r="D970" s="884"/>
      <c r="F970" s="517"/>
      <c r="G970" s="517"/>
      <c r="H970" s="517"/>
      <c r="I970" s="1023" t="s">
        <v>179</v>
      </c>
    </row>
    <row r="971" spans="1:14" s="107" customFormat="1" ht="20.25" customHeight="1" thickTop="1" thickBot="1" x14ac:dyDescent="0.25">
      <c r="A971" s="714" t="s">
        <v>692</v>
      </c>
      <c r="B971" s="717" t="s">
        <v>180</v>
      </c>
      <c r="C971" s="715" t="s">
        <v>181</v>
      </c>
      <c r="D971" s="660" t="s">
        <v>783</v>
      </c>
      <c r="E971" s="718" t="s">
        <v>182</v>
      </c>
      <c r="F971" s="718" t="s">
        <v>183</v>
      </c>
      <c r="G971" s="718" t="s">
        <v>985</v>
      </c>
      <c r="H971" s="718" t="s">
        <v>986</v>
      </c>
      <c r="I971" s="888" t="s">
        <v>987</v>
      </c>
    </row>
    <row r="972" spans="1:14" s="386" customFormat="1" ht="13.5" thickTop="1" thickBot="1" x14ac:dyDescent="0.25">
      <c r="A972" s="1318">
        <v>1</v>
      </c>
      <c r="B972" s="1319">
        <v>2</v>
      </c>
      <c r="C972" s="1319">
        <v>3</v>
      </c>
      <c r="D972" s="1319">
        <v>4</v>
      </c>
      <c r="E972" s="593">
        <v>5</v>
      </c>
      <c r="F972" s="1320">
        <v>6</v>
      </c>
      <c r="G972" s="1320">
        <v>7</v>
      </c>
      <c r="H972" s="1321">
        <v>8</v>
      </c>
      <c r="I972" s="1322" t="s">
        <v>848</v>
      </c>
    </row>
    <row r="973" spans="1:14" s="558" customFormat="1" ht="16.5" thickTop="1" thickBot="1" x14ac:dyDescent="0.3">
      <c r="A973" s="1330">
        <v>60004100115</v>
      </c>
      <c r="B973" s="1041">
        <v>2212</v>
      </c>
      <c r="C973" s="1331">
        <v>6121</v>
      </c>
      <c r="D973" s="1042">
        <v>12</v>
      </c>
      <c r="E973" s="1043" t="s">
        <v>671</v>
      </c>
      <c r="F973" s="960"/>
      <c r="G973" s="1333">
        <v>1437</v>
      </c>
      <c r="H973" s="960">
        <v>1436</v>
      </c>
      <c r="I973" s="1334">
        <f>(H973/G973)*100</f>
        <v>99.930410577592212</v>
      </c>
    </row>
    <row r="974" spans="1:14" s="558" customFormat="1" ht="18" customHeight="1" thickTop="1" thickBot="1" x14ac:dyDescent="0.3">
      <c r="A974" s="2751" t="s">
        <v>267</v>
      </c>
      <c r="B974" s="2750"/>
      <c r="C974" s="2750"/>
      <c r="D974" s="2750"/>
      <c r="E974" s="2750"/>
      <c r="F974" s="943">
        <f>F973</f>
        <v>0</v>
      </c>
      <c r="G974" s="943">
        <f>G973</f>
        <v>1437</v>
      </c>
      <c r="H974" s="943">
        <f>H973</f>
        <v>1436</v>
      </c>
      <c r="I974" s="926">
        <f>(H974/G974)*100</f>
        <v>99.930410577592212</v>
      </c>
    </row>
    <row r="975" spans="1:14" ht="13.5" thickTop="1" x14ac:dyDescent="0.2">
      <c r="K975" s="984"/>
      <c r="L975" s="984"/>
      <c r="M975" s="984"/>
      <c r="N975" s="439"/>
    </row>
    <row r="976" spans="1:14" x14ac:dyDescent="0.2">
      <c r="K976" s="984"/>
      <c r="L976" s="984"/>
      <c r="M976" s="984"/>
      <c r="N976" s="439"/>
    </row>
    <row r="977" spans="1:14" s="558" customFormat="1" ht="13.5" thickBot="1" x14ac:dyDescent="0.25">
      <c r="A977" s="439" t="s">
        <v>300</v>
      </c>
      <c r="B977" s="669"/>
      <c r="D977" s="884"/>
      <c r="F977" s="517"/>
      <c r="G977" s="517"/>
      <c r="H977" s="517"/>
      <c r="I977" s="1023" t="s">
        <v>179</v>
      </c>
    </row>
    <row r="978" spans="1:14" s="107" customFormat="1" ht="20.25" customHeight="1" thickTop="1" thickBot="1" x14ac:dyDescent="0.25">
      <c r="A978" s="714" t="s">
        <v>692</v>
      </c>
      <c r="B978" s="717" t="s">
        <v>180</v>
      </c>
      <c r="C978" s="715" t="s">
        <v>181</v>
      </c>
      <c r="D978" s="660" t="s">
        <v>783</v>
      </c>
      <c r="E978" s="718" t="s">
        <v>182</v>
      </c>
      <c r="F978" s="718" t="s">
        <v>183</v>
      </c>
      <c r="G978" s="718" t="s">
        <v>985</v>
      </c>
      <c r="H978" s="718" t="s">
        <v>986</v>
      </c>
      <c r="I978" s="888" t="s">
        <v>987</v>
      </c>
    </row>
    <row r="979" spans="1:14" s="386" customFormat="1" ht="13.5" thickTop="1" thickBot="1" x14ac:dyDescent="0.25">
      <c r="A979" s="1318">
        <v>1</v>
      </c>
      <c r="B979" s="1319">
        <v>2</v>
      </c>
      <c r="C979" s="1319">
        <v>3</v>
      </c>
      <c r="D979" s="1319">
        <v>4</v>
      </c>
      <c r="E979" s="593">
        <v>5</v>
      </c>
      <c r="F979" s="1320">
        <v>6</v>
      </c>
      <c r="G979" s="1320">
        <v>7</v>
      </c>
      <c r="H979" s="1321">
        <v>8</v>
      </c>
      <c r="I979" s="1322" t="s">
        <v>848</v>
      </c>
    </row>
    <row r="980" spans="1:14" s="558" customFormat="1" ht="16.5" thickTop="1" thickBot="1" x14ac:dyDescent="0.3">
      <c r="A980" s="1330">
        <v>60004100130</v>
      </c>
      <c r="B980" s="1041">
        <v>2212</v>
      </c>
      <c r="C980" s="1331">
        <v>5166</v>
      </c>
      <c r="D980" s="1042">
        <v>12</v>
      </c>
      <c r="E980" s="1043" t="s">
        <v>671</v>
      </c>
      <c r="F980" s="960">
        <v>1000</v>
      </c>
      <c r="G980" s="1333">
        <v>8</v>
      </c>
      <c r="H980" s="960">
        <v>0</v>
      </c>
      <c r="I980" s="1334">
        <f>(H980/G980)*100</f>
        <v>0</v>
      </c>
    </row>
    <row r="981" spans="1:14" s="558" customFormat="1" ht="18" customHeight="1" thickTop="1" thickBot="1" x14ac:dyDescent="0.3">
      <c r="A981" s="2751" t="s">
        <v>268</v>
      </c>
      <c r="B981" s="2750"/>
      <c r="C981" s="2750"/>
      <c r="D981" s="2750"/>
      <c r="E981" s="2750"/>
      <c r="F981" s="943">
        <f>F980</f>
        <v>1000</v>
      </c>
      <c r="G981" s="943">
        <f>G980</f>
        <v>8</v>
      </c>
      <c r="H981" s="943">
        <f>H980</f>
        <v>0</v>
      </c>
      <c r="I981" s="926">
        <f>(H981/G981)*100</f>
        <v>0</v>
      </c>
    </row>
    <row r="982" spans="1:14" ht="13.5" thickTop="1" x14ac:dyDescent="0.2">
      <c r="K982" s="984"/>
      <c r="L982" s="984"/>
      <c r="M982" s="984"/>
      <c r="N982" s="439"/>
    </row>
    <row r="983" spans="1:14" x14ac:dyDescent="0.2">
      <c r="K983" s="984"/>
      <c r="L983" s="984"/>
      <c r="M983" s="984"/>
      <c r="N983" s="439"/>
    </row>
    <row r="984" spans="1:14" s="558" customFormat="1" ht="13.5" thickBot="1" x14ac:dyDescent="0.25">
      <c r="A984" s="439" t="s">
        <v>301</v>
      </c>
      <c r="B984" s="669"/>
      <c r="D984" s="884"/>
      <c r="F984" s="517"/>
      <c r="G984" s="517"/>
      <c r="H984" s="517"/>
      <c r="I984" s="1023" t="s">
        <v>179</v>
      </c>
    </row>
    <row r="985" spans="1:14" s="107" customFormat="1" ht="20.25" customHeight="1" thickTop="1" thickBot="1" x14ac:dyDescent="0.25">
      <c r="A985" s="714" t="s">
        <v>692</v>
      </c>
      <c r="B985" s="717" t="s">
        <v>180</v>
      </c>
      <c r="C985" s="715" t="s">
        <v>181</v>
      </c>
      <c r="D985" s="660" t="s">
        <v>783</v>
      </c>
      <c r="E985" s="718" t="s">
        <v>182</v>
      </c>
      <c r="F985" s="718" t="s">
        <v>183</v>
      </c>
      <c r="G985" s="718" t="s">
        <v>985</v>
      </c>
      <c r="H985" s="718" t="s">
        <v>986</v>
      </c>
      <c r="I985" s="888" t="s">
        <v>987</v>
      </c>
    </row>
    <row r="986" spans="1:14" s="386" customFormat="1" ht="13.5" thickTop="1" thickBot="1" x14ac:dyDescent="0.25">
      <c r="A986" s="1318">
        <v>1</v>
      </c>
      <c r="B986" s="1319">
        <v>2</v>
      </c>
      <c r="C986" s="1319">
        <v>3</v>
      </c>
      <c r="D986" s="1319">
        <v>4</v>
      </c>
      <c r="E986" s="593">
        <v>5</v>
      </c>
      <c r="F986" s="1320">
        <v>6</v>
      </c>
      <c r="G986" s="1320">
        <v>7</v>
      </c>
      <c r="H986" s="1321">
        <v>8</v>
      </c>
      <c r="I986" s="1322" t="s">
        <v>848</v>
      </c>
    </row>
    <row r="987" spans="1:14" s="558" customFormat="1" ht="16.5" thickTop="1" thickBot="1" x14ac:dyDescent="0.3">
      <c r="A987" s="1330">
        <v>60004100139</v>
      </c>
      <c r="B987" s="1041">
        <v>2212</v>
      </c>
      <c r="C987" s="1331">
        <v>5169</v>
      </c>
      <c r="D987" s="1042">
        <v>805</v>
      </c>
      <c r="E987" s="1043" t="s">
        <v>955</v>
      </c>
      <c r="F987" s="960"/>
      <c r="G987" s="1333">
        <v>53</v>
      </c>
      <c r="H987" s="960">
        <v>53</v>
      </c>
      <c r="I987" s="1334">
        <f>(H987/G987)*100</f>
        <v>100</v>
      </c>
    </row>
    <row r="988" spans="1:14" s="558" customFormat="1" ht="16.5" thickTop="1" thickBot="1" x14ac:dyDescent="0.3">
      <c r="A988" s="2739" t="s">
        <v>268</v>
      </c>
      <c r="B988" s="2740"/>
      <c r="C988" s="2740"/>
      <c r="D988" s="2740"/>
      <c r="E988" s="2740"/>
      <c r="F988" s="960">
        <v>0</v>
      </c>
      <c r="G988" s="960">
        <f>G987</f>
        <v>53</v>
      </c>
      <c r="H988" s="960">
        <f>H987</f>
        <v>53</v>
      </c>
      <c r="I988" s="1334">
        <f>(H988/G988)*100</f>
        <v>100</v>
      </c>
    </row>
    <row r="989" spans="1:14" s="558" customFormat="1" ht="16.5" thickTop="1" thickBot="1" x14ac:dyDescent="0.3">
      <c r="A989" s="1040">
        <v>60004100139</v>
      </c>
      <c r="B989" s="1356">
        <v>2212</v>
      </c>
      <c r="C989" s="1356">
        <v>6121</v>
      </c>
      <c r="D989" s="1357">
        <v>805</v>
      </c>
      <c r="E989" s="1358" t="s">
        <v>671</v>
      </c>
      <c r="F989" s="1359"/>
      <c r="G989" s="1359">
        <v>16298</v>
      </c>
      <c r="H989" s="1359">
        <v>16298</v>
      </c>
      <c r="I989" s="1334">
        <f>(H989/G989)*100</f>
        <v>100</v>
      </c>
    </row>
    <row r="990" spans="1:14" s="558" customFormat="1" ht="18" customHeight="1" thickTop="1" thickBot="1" x14ac:dyDescent="0.3">
      <c r="A990" s="2751" t="s">
        <v>267</v>
      </c>
      <c r="B990" s="2750"/>
      <c r="C990" s="2750"/>
      <c r="D990" s="2750"/>
      <c r="E990" s="2750"/>
      <c r="F990" s="943">
        <f>F987</f>
        <v>0</v>
      </c>
      <c r="G990" s="943">
        <f>G989</f>
        <v>16298</v>
      </c>
      <c r="H990" s="943">
        <f>H989</f>
        <v>16298</v>
      </c>
      <c r="I990" s="926">
        <f>(H990/G990)*100</f>
        <v>100</v>
      </c>
    </row>
    <row r="991" spans="1:14" ht="13.5" thickTop="1" x14ac:dyDescent="0.2">
      <c r="K991" s="984"/>
      <c r="L991" s="984"/>
      <c r="M991" s="984"/>
      <c r="N991" s="439"/>
    </row>
    <row r="992" spans="1:14" x14ac:dyDescent="0.2">
      <c r="K992" s="984"/>
      <c r="L992" s="984"/>
      <c r="M992" s="984"/>
      <c r="N992" s="439"/>
    </row>
    <row r="993" spans="1:14" s="558" customFormat="1" ht="13.5" thickBot="1" x14ac:dyDescent="0.25">
      <c r="A993" s="439" t="s">
        <v>302</v>
      </c>
      <c r="B993" s="669"/>
      <c r="D993" s="884"/>
      <c r="F993" s="517"/>
      <c r="G993" s="517"/>
      <c r="H993" s="517"/>
      <c r="I993" s="1023" t="s">
        <v>179</v>
      </c>
    </row>
    <row r="994" spans="1:14" s="107" customFormat="1" ht="20.25" customHeight="1" thickTop="1" thickBot="1" x14ac:dyDescent="0.25">
      <c r="A994" s="714" t="s">
        <v>692</v>
      </c>
      <c r="B994" s="717" t="s">
        <v>180</v>
      </c>
      <c r="C994" s="715" t="s">
        <v>181</v>
      </c>
      <c r="D994" s="660" t="s">
        <v>783</v>
      </c>
      <c r="E994" s="718" t="s">
        <v>182</v>
      </c>
      <c r="F994" s="718" t="s">
        <v>183</v>
      </c>
      <c r="G994" s="718" t="s">
        <v>985</v>
      </c>
      <c r="H994" s="718" t="s">
        <v>986</v>
      </c>
      <c r="I994" s="888" t="s">
        <v>987</v>
      </c>
    </row>
    <row r="995" spans="1:14" s="386" customFormat="1" ht="13.5" thickTop="1" thickBot="1" x14ac:dyDescent="0.25">
      <c r="A995" s="1318">
        <v>1</v>
      </c>
      <c r="B995" s="1319">
        <v>2</v>
      </c>
      <c r="C995" s="1319">
        <v>3</v>
      </c>
      <c r="D995" s="1319">
        <v>4</v>
      </c>
      <c r="E995" s="593">
        <v>5</v>
      </c>
      <c r="F995" s="1320">
        <v>6</v>
      </c>
      <c r="G995" s="1320">
        <v>7</v>
      </c>
      <c r="H995" s="1321">
        <v>8</v>
      </c>
      <c r="I995" s="1322" t="s">
        <v>848</v>
      </c>
    </row>
    <row r="996" spans="1:14" s="558" customFormat="1" ht="16.5" thickTop="1" thickBot="1" x14ac:dyDescent="0.3">
      <c r="A996" s="1330">
        <v>60004100290</v>
      </c>
      <c r="B996" s="1041">
        <v>2212</v>
      </c>
      <c r="C996" s="1331">
        <v>6121</v>
      </c>
      <c r="D996" s="1042">
        <v>870</v>
      </c>
      <c r="E996" s="1043" t="s">
        <v>671</v>
      </c>
      <c r="F996" s="960"/>
      <c r="G996" s="1333">
        <v>11029</v>
      </c>
      <c r="H996" s="960">
        <v>11007</v>
      </c>
      <c r="I996" s="1334">
        <f>(H996/G996)*100</f>
        <v>99.800525886299752</v>
      </c>
    </row>
    <row r="997" spans="1:14" s="558" customFormat="1" ht="18" customHeight="1" thickTop="1" thickBot="1" x14ac:dyDescent="0.3">
      <c r="A997" s="2751" t="s">
        <v>267</v>
      </c>
      <c r="B997" s="2750"/>
      <c r="C997" s="2750"/>
      <c r="D997" s="2750"/>
      <c r="E997" s="2750"/>
      <c r="F997" s="943">
        <f>F996</f>
        <v>0</v>
      </c>
      <c r="G997" s="943">
        <f>G996</f>
        <v>11029</v>
      </c>
      <c r="H997" s="943">
        <f>H996</f>
        <v>11007</v>
      </c>
      <c r="I997" s="926">
        <f>(H997/G997)*100</f>
        <v>99.800525886299752</v>
      </c>
    </row>
    <row r="998" spans="1:14" ht="13.5" thickTop="1" x14ac:dyDescent="0.2">
      <c r="K998" s="984"/>
      <c r="L998" s="984"/>
      <c r="M998" s="984"/>
      <c r="N998" s="439"/>
    </row>
    <row r="999" spans="1:14" x14ac:dyDescent="0.2">
      <c r="K999" s="984"/>
      <c r="L999" s="984"/>
      <c r="M999" s="984"/>
      <c r="N999" s="439"/>
    </row>
    <row r="1000" spans="1:14" x14ac:dyDescent="0.2">
      <c r="K1000" s="984"/>
      <c r="L1000" s="984"/>
      <c r="M1000" s="984"/>
      <c r="N1000" s="439"/>
    </row>
    <row r="1001" spans="1:14" x14ac:dyDescent="0.2">
      <c r="K1001" s="984"/>
      <c r="L1001" s="984"/>
      <c r="M1001" s="984"/>
      <c r="N1001" s="439"/>
    </row>
    <row r="1002" spans="1:14" s="558" customFormat="1" ht="13.5" thickBot="1" x14ac:dyDescent="0.25">
      <c r="A1002" s="439" t="s">
        <v>303</v>
      </c>
      <c r="B1002" s="669"/>
      <c r="D1002" s="884"/>
      <c r="F1002" s="517"/>
      <c r="G1002" s="517"/>
      <c r="H1002" s="517"/>
      <c r="I1002" s="1023" t="s">
        <v>179</v>
      </c>
    </row>
    <row r="1003" spans="1:14" s="107" customFormat="1" ht="20.25" customHeight="1" thickTop="1" thickBot="1" x14ac:dyDescent="0.25">
      <c r="A1003" s="714" t="s">
        <v>692</v>
      </c>
      <c r="B1003" s="717" t="s">
        <v>180</v>
      </c>
      <c r="C1003" s="715" t="s">
        <v>181</v>
      </c>
      <c r="D1003" s="660" t="s">
        <v>783</v>
      </c>
      <c r="E1003" s="718" t="s">
        <v>182</v>
      </c>
      <c r="F1003" s="718" t="s">
        <v>183</v>
      </c>
      <c r="G1003" s="718" t="s">
        <v>985</v>
      </c>
      <c r="H1003" s="718" t="s">
        <v>986</v>
      </c>
      <c r="I1003" s="888" t="s">
        <v>987</v>
      </c>
    </row>
    <row r="1004" spans="1:14" s="386" customFormat="1" ht="13.5" thickTop="1" thickBot="1" x14ac:dyDescent="0.25">
      <c r="A1004" s="1318">
        <v>1</v>
      </c>
      <c r="B1004" s="1319">
        <v>2</v>
      </c>
      <c r="C1004" s="1319">
        <v>3</v>
      </c>
      <c r="D1004" s="1319">
        <v>4</v>
      </c>
      <c r="E1004" s="593">
        <v>5</v>
      </c>
      <c r="F1004" s="1320">
        <v>6</v>
      </c>
      <c r="G1004" s="1320">
        <v>7</v>
      </c>
      <c r="H1004" s="1321">
        <v>8</v>
      </c>
      <c r="I1004" s="1322" t="s">
        <v>848</v>
      </c>
    </row>
    <row r="1005" spans="1:14" s="558" customFormat="1" ht="16.5" thickTop="1" thickBot="1" x14ac:dyDescent="0.3">
      <c r="A1005" s="1330">
        <v>60004100291</v>
      </c>
      <c r="B1005" s="1041">
        <v>2212</v>
      </c>
      <c r="C1005" s="1331">
        <v>6121</v>
      </c>
      <c r="D1005" s="1042">
        <v>870</v>
      </c>
      <c r="E1005" s="1043" t="s">
        <v>671</v>
      </c>
      <c r="F1005" s="960"/>
      <c r="G1005" s="1333">
        <v>8280</v>
      </c>
      <c r="H1005" s="960">
        <v>8219</v>
      </c>
      <c r="I1005" s="1334">
        <f>(H1005/G1005)*100</f>
        <v>99.263285024154584</v>
      </c>
    </row>
    <row r="1006" spans="1:14" s="558" customFormat="1" ht="18" customHeight="1" thickTop="1" thickBot="1" x14ac:dyDescent="0.3">
      <c r="A1006" s="2751" t="s">
        <v>267</v>
      </c>
      <c r="B1006" s="2750"/>
      <c r="C1006" s="2750"/>
      <c r="D1006" s="2750"/>
      <c r="E1006" s="2750"/>
      <c r="F1006" s="943">
        <f>F1005</f>
        <v>0</v>
      </c>
      <c r="G1006" s="943">
        <f>G1005</f>
        <v>8280</v>
      </c>
      <c r="H1006" s="943">
        <f>H1005</f>
        <v>8219</v>
      </c>
      <c r="I1006" s="926">
        <f>(H1006/G1006)*100</f>
        <v>99.263285024154584</v>
      </c>
    </row>
    <row r="1007" spans="1:14" ht="13.5" thickTop="1" x14ac:dyDescent="0.2">
      <c r="K1007" s="984"/>
      <c r="L1007" s="984"/>
      <c r="M1007" s="984"/>
      <c r="N1007" s="439"/>
    </row>
    <row r="1008" spans="1:14" x14ac:dyDescent="0.2">
      <c r="K1008" s="984"/>
      <c r="L1008" s="984"/>
      <c r="M1008" s="984"/>
      <c r="N1008" s="439"/>
    </row>
    <row r="1009" spans="1:14" s="558" customFormat="1" ht="13.5" thickBot="1" x14ac:dyDescent="0.25">
      <c r="A1009" s="439" t="s">
        <v>304</v>
      </c>
      <c r="B1009" s="669"/>
      <c r="D1009" s="884"/>
      <c r="F1009" s="517"/>
      <c r="G1009" s="517"/>
      <c r="H1009" s="517"/>
      <c r="I1009" s="1023" t="s">
        <v>179</v>
      </c>
    </row>
    <row r="1010" spans="1:14" s="107" customFormat="1" ht="20.25" customHeight="1" thickTop="1" thickBot="1" x14ac:dyDescent="0.25">
      <c r="A1010" s="714" t="s">
        <v>692</v>
      </c>
      <c r="B1010" s="717" t="s">
        <v>180</v>
      </c>
      <c r="C1010" s="715" t="s">
        <v>181</v>
      </c>
      <c r="D1010" s="660" t="s">
        <v>783</v>
      </c>
      <c r="E1010" s="718" t="s">
        <v>182</v>
      </c>
      <c r="F1010" s="718" t="s">
        <v>183</v>
      </c>
      <c r="G1010" s="718" t="s">
        <v>985</v>
      </c>
      <c r="H1010" s="718" t="s">
        <v>986</v>
      </c>
      <c r="I1010" s="888" t="s">
        <v>987</v>
      </c>
    </row>
    <row r="1011" spans="1:14" s="386" customFormat="1" ht="13.5" thickTop="1" thickBot="1" x14ac:dyDescent="0.25">
      <c r="A1011" s="1318">
        <v>1</v>
      </c>
      <c r="B1011" s="1319">
        <v>2</v>
      </c>
      <c r="C1011" s="1319">
        <v>3</v>
      </c>
      <c r="D1011" s="1319">
        <v>4</v>
      </c>
      <c r="E1011" s="593">
        <v>5</v>
      </c>
      <c r="F1011" s="1320">
        <v>6</v>
      </c>
      <c r="G1011" s="1320">
        <v>7</v>
      </c>
      <c r="H1011" s="1321">
        <v>8</v>
      </c>
      <c r="I1011" s="1322" t="s">
        <v>848</v>
      </c>
    </row>
    <row r="1012" spans="1:14" s="558" customFormat="1" ht="16.5" thickTop="1" thickBot="1" x14ac:dyDescent="0.3">
      <c r="A1012" s="1330">
        <v>60004100292</v>
      </c>
      <c r="B1012" s="1041">
        <v>2212</v>
      </c>
      <c r="C1012" s="1331">
        <v>6121</v>
      </c>
      <c r="D1012" s="1042">
        <v>870</v>
      </c>
      <c r="E1012" s="1043" t="s">
        <v>671</v>
      </c>
      <c r="F1012" s="960"/>
      <c r="G1012" s="1333">
        <v>7607</v>
      </c>
      <c r="H1012" s="960">
        <v>5389</v>
      </c>
      <c r="I1012" s="1334">
        <f>(H1012/G1012)*100</f>
        <v>70.842644932299208</v>
      </c>
    </row>
    <row r="1013" spans="1:14" s="558" customFormat="1" ht="18" customHeight="1" thickTop="1" thickBot="1" x14ac:dyDescent="0.3">
      <c r="A1013" s="2751" t="s">
        <v>267</v>
      </c>
      <c r="B1013" s="2750"/>
      <c r="C1013" s="2750"/>
      <c r="D1013" s="2750"/>
      <c r="E1013" s="2750"/>
      <c r="F1013" s="943">
        <f>F1012</f>
        <v>0</v>
      </c>
      <c r="G1013" s="943">
        <f>G1012</f>
        <v>7607</v>
      </c>
      <c r="H1013" s="943">
        <f>H1012</f>
        <v>5389</v>
      </c>
      <c r="I1013" s="926">
        <f>(H1013/G1013)*100</f>
        <v>70.842644932299208</v>
      </c>
    </row>
    <row r="1014" spans="1:14" ht="13.5" thickTop="1" x14ac:dyDescent="0.2">
      <c r="K1014" s="984"/>
      <c r="L1014" s="984"/>
      <c r="M1014" s="984"/>
      <c r="N1014" s="439"/>
    </row>
    <row r="1015" spans="1:14" x14ac:dyDescent="0.2">
      <c r="K1015" s="984"/>
      <c r="L1015" s="984"/>
      <c r="M1015" s="984"/>
      <c r="N1015" s="439"/>
    </row>
    <row r="1016" spans="1:14" s="558" customFormat="1" ht="13.5" thickBot="1" x14ac:dyDescent="0.25">
      <c r="A1016" s="439" t="s">
        <v>305</v>
      </c>
      <c r="B1016" s="669"/>
      <c r="D1016" s="884"/>
      <c r="F1016" s="517"/>
      <c r="G1016" s="517"/>
      <c r="H1016" s="517"/>
      <c r="I1016" s="1023" t="s">
        <v>179</v>
      </c>
    </row>
    <row r="1017" spans="1:14" s="107" customFormat="1" ht="20.25" customHeight="1" thickTop="1" thickBot="1" x14ac:dyDescent="0.25">
      <c r="A1017" s="714" t="s">
        <v>692</v>
      </c>
      <c r="B1017" s="717" t="s">
        <v>180</v>
      </c>
      <c r="C1017" s="715" t="s">
        <v>181</v>
      </c>
      <c r="D1017" s="660" t="s">
        <v>783</v>
      </c>
      <c r="E1017" s="718" t="s">
        <v>182</v>
      </c>
      <c r="F1017" s="718" t="s">
        <v>183</v>
      </c>
      <c r="G1017" s="718" t="s">
        <v>985</v>
      </c>
      <c r="H1017" s="718" t="s">
        <v>986</v>
      </c>
      <c r="I1017" s="888" t="s">
        <v>987</v>
      </c>
    </row>
    <row r="1018" spans="1:14" s="386" customFormat="1" ht="13.5" thickTop="1" thickBot="1" x14ac:dyDescent="0.25">
      <c r="A1018" s="1318">
        <v>1</v>
      </c>
      <c r="B1018" s="1319">
        <v>2</v>
      </c>
      <c r="C1018" s="1319">
        <v>3</v>
      </c>
      <c r="D1018" s="1319">
        <v>4</v>
      </c>
      <c r="E1018" s="593">
        <v>5</v>
      </c>
      <c r="F1018" s="1320">
        <v>6</v>
      </c>
      <c r="G1018" s="1320">
        <v>7</v>
      </c>
      <c r="H1018" s="1321">
        <v>8</v>
      </c>
      <c r="I1018" s="1322" t="s">
        <v>848</v>
      </c>
    </row>
    <row r="1019" spans="1:14" s="558" customFormat="1" ht="16.5" thickTop="1" thickBot="1" x14ac:dyDescent="0.3">
      <c r="A1019" s="1330">
        <v>60004100341</v>
      </c>
      <c r="B1019" s="1041">
        <v>2212</v>
      </c>
      <c r="C1019" s="1331">
        <v>5171</v>
      </c>
      <c r="D1019" s="1042">
        <v>12</v>
      </c>
      <c r="E1019" s="1043" t="s">
        <v>1001</v>
      </c>
      <c r="F1019" s="960"/>
      <c r="G1019" s="1333">
        <v>441</v>
      </c>
      <c r="H1019" s="960">
        <v>441</v>
      </c>
      <c r="I1019" s="1334">
        <f>(H1019/G1019)*100</f>
        <v>100</v>
      </c>
    </row>
    <row r="1020" spans="1:14" s="558" customFormat="1" ht="18" customHeight="1" thickTop="1" thickBot="1" x14ac:dyDescent="0.3">
      <c r="A1020" s="2751" t="s">
        <v>268</v>
      </c>
      <c r="B1020" s="2750"/>
      <c r="C1020" s="2750"/>
      <c r="D1020" s="2750"/>
      <c r="E1020" s="2750"/>
      <c r="F1020" s="943">
        <f>F1019</f>
        <v>0</v>
      </c>
      <c r="G1020" s="943">
        <f>G1019</f>
        <v>441</v>
      </c>
      <c r="H1020" s="943">
        <f>H1019</f>
        <v>441</v>
      </c>
      <c r="I1020" s="926">
        <f>(H1020/G1020)*100</f>
        <v>100</v>
      </c>
    </row>
    <row r="1021" spans="1:14" ht="13.5" thickTop="1" x14ac:dyDescent="0.2">
      <c r="K1021" s="984"/>
      <c r="L1021" s="984"/>
      <c r="M1021" s="984"/>
      <c r="N1021" s="439"/>
    </row>
    <row r="1022" spans="1:14" x14ac:dyDescent="0.2">
      <c r="K1022" s="984"/>
      <c r="L1022" s="984"/>
      <c r="M1022" s="984"/>
      <c r="N1022" s="439"/>
    </row>
    <row r="1023" spans="1:14" s="558" customFormat="1" ht="13.5" thickBot="1" x14ac:dyDescent="0.25">
      <c r="A1023" s="439" t="s">
        <v>306</v>
      </c>
      <c r="B1023" s="669"/>
      <c r="D1023" s="884"/>
      <c r="F1023" s="517"/>
      <c r="G1023" s="517"/>
      <c r="H1023" s="517"/>
      <c r="I1023" s="1023" t="s">
        <v>179</v>
      </c>
    </row>
    <row r="1024" spans="1:14" s="107" customFormat="1" ht="20.25" customHeight="1" thickTop="1" thickBot="1" x14ac:dyDescent="0.25">
      <c r="A1024" s="714" t="s">
        <v>692</v>
      </c>
      <c r="B1024" s="717" t="s">
        <v>180</v>
      </c>
      <c r="C1024" s="715" t="s">
        <v>181</v>
      </c>
      <c r="D1024" s="660" t="s">
        <v>783</v>
      </c>
      <c r="E1024" s="718" t="s">
        <v>182</v>
      </c>
      <c r="F1024" s="718" t="s">
        <v>183</v>
      </c>
      <c r="G1024" s="718" t="s">
        <v>985</v>
      </c>
      <c r="H1024" s="718" t="s">
        <v>986</v>
      </c>
      <c r="I1024" s="888" t="s">
        <v>987</v>
      </c>
    </row>
    <row r="1025" spans="1:14" s="386" customFormat="1" ht="13.5" thickTop="1" thickBot="1" x14ac:dyDescent="0.25">
      <c r="A1025" s="1318">
        <v>1</v>
      </c>
      <c r="B1025" s="1319">
        <v>2</v>
      </c>
      <c r="C1025" s="1319">
        <v>3</v>
      </c>
      <c r="D1025" s="1319">
        <v>4</v>
      </c>
      <c r="E1025" s="593">
        <v>5</v>
      </c>
      <c r="F1025" s="1320">
        <v>6</v>
      </c>
      <c r="G1025" s="1320">
        <v>7</v>
      </c>
      <c r="H1025" s="1321">
        <v>8</v>
      </c>
      <c r="I1025" s="1322" t="s">
        <v>848</v>
      </c>
    </row>
    <row r="1026" spans="1:14" s="558" customFormat="1" ht="16.5" thickTop="1" thickBot="1" x14ac:dyDescent="0.3">
      <c r="A1026" s="1330">
        <v>60004100342</v>
      </c>
      <c r="B1026" s="1041">
        <v>2212</v>
      </c>
      <c r="C1026" s="1331">
        <v>5171</v>
      </c>
      <c r="D1026" s="1042">
        <v>12</v>
      </c>
      <c r="E1026" s="1043" t="s">
        <v>1001</v>
      </c>
      <c r="F1026" s="960"/>
      <c r="G1026" s="1333">
        <v>10255</v>
      </c>
      <c r="H1026" s="960">
        <v>10243</v>
      </c>
      <c r="I1026" s="1334">
        <f>(H1026/G1026)*100</f>
        <v>99.882983910287663</v>
      </c>
    </row>
    <row r="1027" spans="1:14" s="558" customFormat="1" ht="18" customHeight="1" thickTop="1" thickBot="1" x14ac:dyDescent="0.3">
      <c r="A1027" s="2751" t="s">
        <v>268</v>
      </c>
      <c r="B1027" s="2750"/>
      <c r="C1027" s="2750"/>
      <c r="D1027" s="2750"/>
      <c r="E1027" s="2750"/>
      <c r="F1027" s="943">
        <f>F1026</f>
        <v>0</v>
      </c>
      <c r="G1027" s="943">
        <f>G1026</f>
        <v>10255</v>
      </c>
      <c r="H1027" s="943">
        <f>H1026</f>
        <v>10243</v>
      </c>
      <c r="I1027" s="926">
        <f>(H1027/G1027)*100</f>
        <v>99.882983910287663</v>
      </c>
      <c r="K1027" s="517">
        <f>F772+F779+F786+F793+F800+F805+F812+F820+F835+F843+F850+F857+F864+F872+F880+F888+F896+F903+F907+F914+F921+F928+F939+F946+F953+F960+F967+F974+F981+F988+F990+F997+F1006+F1013+F1020+F1027</f>
        <v>106635</v>
      </c>
      <c r="L1027" s="517">
        <f>G772+G779+G786+G793+G800+G805+G812+G820+G827+G835+G843+G850+G857+G864+G872+G880+G888+G896+G903+G907+G914+G921+G928+G939+G946+G953+G960+G967+G974+G981+G988+G990+G997+G1006+G1013+G1020+G1027</f>
        <v>232034</v>
      </c>
      <c r="M1027" s="517">
        <f>H772+H779+H786+H793+H800+H805+H812+H820+H827+H835+H843+H850+H857+H864+H872+H880+H888+H896+H903+H907+H914+H921+H928+H939+H946+H953+H960+H967+H974+H981+H988+H990+H997+H1006+H1013+H1020+H1027</f>
        <v>227096</v>
      </c>
      <c r="N1027" s="558" t="s">
        <v>1237</v>
      </c>
    </row>
    <row r="1028" spans="1:14" ht="13.5" thickTop="1" x14ac:dyDescent="0.2">
      <c r="K1028" s="984"/>
      <c r="L1028" s="984"/>
      <c r="M1028" s="984"/>
      <c r="N1028" s="439"/>
    </row>
    <row r="1029" spans="1:14" x14ac:dyDescent="0.2">
      <c r="K1029" s="984"/>
      <c r="L1029" s="984"/>
      <c r="M1029" s="984"/>
      <c r="N1029" s="439"/>
    </row>
    <row r="1030" spans="1:14" s="558" customFormat="1" ht="13.5" thickBot="1" x14ac:dyDescent="0.25">
      <c r="A1030" s="439" t="s">
        <v>307</v>
      </c>
      <c r="B1030" s="669"/>
      <c r="D1030" s="884"/>
      <c r="F1030" s="517"/>
      <c r="G1030" s="517"/>
      <c r="H1030" s="517"/>
      <c r="I1030" s="1023" t="s">
        <v>179</v>
      </c>
    </row>
    <row r="1031" spans="1:14" s="107" customFormat="1" ht="20.25" customHeight="1" thickTop="1" thickBot="1" x14ac:dyDescent="0.25">
      <c r="A1031" s="714" t="s">
        <v>692</v>
      </c>
      <c r="B1031" s="717" t="s">
        <v>180</v>
      </c>
      <c r="C1031" s="715" t="s">
        <v>181</v>
      </c>
      <c r="D1031" s="660" t="s">
        <v>783</v>
      </c>
      <c r="E1031" s="718" t="s">
        <v>182</v>
      </c>
      <c r="F1031" s="718" t="s">
        <v>183</v>
      </c>
      <c r="G1031" s="718" t="s">
        <v>985</v>
      </c>
      <c r="H1031" s="718" t="s">
        <v>986</v>
      </c>
      <c r="I1031" s="888" t="s">
        <v>987</v>
      </c>
    </row>
    <row r="1032" spans="1:14" s="386" customFormat="1" ht="13.5" thickTop="1" thickBot="1" x14ac:dyDescent="0.25">
      <c r="A1032" s="1318">
        <v>1</v>
      </c>
      <c r="B1032" s="1319">
        <v>2</v>
      </c>
      <c r="C1032" s="1319">
        <v>3</v>
      </c>
      <c r="D1032" s="1319">
        <v>4</v>
      </c>
      <c r="E1032" s="593">
        <v>5</v>
      </c>
      <c r="F1032" s="1320">
        <v>6</v>
      </c>
      <c r="G1032" s="1320">
        <v>7</v>
      </c>
      <c r="H1032" s="1321">
        <v>8</v>
      </c>
      <c r="I1032" s="1322" t="s">
        <v>848</v>
      </c>
    </row>
    <row r="1033" spans="1:14" s="558" customFormat="1" ht="16.5" thickTop="1" thickBot="1" x14ac:dyDescent="0.3">
      <c r="A1033" s="1330">
        <v>60005100072</v>
      </c>
      <c r="B1033" s="1041">
        <v>3522</v>
      </c>
      <c r="C1033" s="1331">
        <v>6121</v>
      </c>
      <c r="D1033" s="1042">
        <v>25</v>
      </c>
      <c r="E1033" s="1043" t="s">
        <v>671</v>
      </c>
      <c r="F1033" s="960">
        <v>1595</v>
      </c>
      <c r="G1033" s="1333">
        <v>1595</v>
      </c>
      <c r="H1033" s="960">
        <v>1595</v>
      </c>
      <c r="I1033" s="1334">
        <f>(H1033/G1033)*100</f>
        <v>100</v>
      </c>
    </row>
    <row r="1034" spans="1:14" s="558" customFormat="1" ht="18" customHeight="1" thickTop="1" thickBot="1" x14ac:dyDescent="0.3">
      <c r="A1034" s="2751" t="s">
        <v>267</v>
      </c>
      <c r="B1034" s="2750"/>
      <c r="C1034" s="2750"/>
      <c r="D1034" s="2750"/>
      <c r="E1034" s="2750"/>
      <c r="F1034" s="943">
        <f>F1033</f>
        <v>1595</v>
      </c>
      <c r="G1034" s="943">
        <f>G1033</f>
        <v>1595</v>
      </c>
      <c r="H1034" s="943">
        <f>H1033</f>
        <v>1595</v>
      </c>
      <c r="I1034" s="926">
        <f>(H1034/G1034)*100</f>
        <v>100</v>
      </c>
    </row>
    <row r="1035" spans="1:14" ht="13.5" thickTop="1" x14ac:dyDescent="0.2">
      <c r="K1035" s="984"/>
      <c r="L1035" s="984"/>
      <c r="M1035" s="984"/>
      <c r="N1035" s="439"/>
    </row>
    <row r="1036" spans="1:14" x14ac:dyDescent="0.2">
      <c r="K1036" s="984"/>
      <c r="L1036" s="984"/>
      <c r="M1036" s="984"/>
      <c r="N1036" s="439"/>
    </row>
    <row r="1037" spans="1:14" s="558" customFormat="1" ht="13.5" thickBot="1" x14ac:dyDescent="0.25">
      <c r="A1037" s="439" t="s">
        <v>308</v>
      </c>
      <c r="B1037" s="669"/>
      <c r="D1037" s="884"/>
      <c r="F1037" s="517"/>
      <c r="G1037" s="517"/>
      <c r="H1037" s="517"/>
      <c r="I1037" s="1023" t="s">
        <v>179</v>
      </c>
    </row>
    <row r="1038" spans="1:14" s="107" customFormat="1" ht="20.25" customHeight="1" thickTop="1" thickBot="1" x14ac:dyDescent="0.25">
      <c r="A1038" s="714" t="s">
        <v>692</v>
      </c>
      <c r="B1038" s="717" t="s">
        <v>180</v>
      </c>
      <c r="C1038" s="715" t="s">
        <v>181</v>
      </c>
      <c r="D1038" s="660" t="s">
        <v>783</v>
      </c>
      <c r="E1038" s="718" t="s">
        <v>182</v>
      </c>
      <c r="F1038" s="718" t="s">
        <v>183</v>
      </c>
      <c r="G1038" s="718" t="s">
        <v>985</v>
      </c>
      <c r="H1038" s="718" t="s">
        <v>986</v>
      </c>
      <c r="I1038" s="888" t="s">
        <v>987</v>
      </c>
    </row>
    <row r="1039" spans="1:14" s="386" customFormat="1" ht="13.5" thickTop="1" thickBot="1" x14ac:dyDescent="0.25">
      <c r="A1039" s="1318">
        <v>1</v>
      </c>
      <c r="B1039" s="1319">
        <v>2</v>
      </c>
      <c r="C1039" s="1319">
        <v>3</v>
      </c>
      <c r="D1039" s="1319">
        <v>4</v>
      </c>
      <c r="E1039" s="593">
        <v>5</v>
      </c>
      <c r="F1039" s="1320">
        <v>6</v>
      </c>
      <c r="G1039" s="1320">
        <v>7</v>
      </c>
      <c r="H1039" s="1321">
        <v>8</v>
      </c>
      <c r="I1039" s="1322" t="s">
        <v>848</v>
      </c>
    </row>
    <row r="1040" spans="1:14" s="558" customFormat="1" ht="16.5" thickTop="1" thickBot="1" x14ac:dyDescent="0.3">
      <c r="A1040" s="1330">
        <v>60005100080</v>
      </c>
      <c r="B1040" s="1041">
        <v>3522</v>
      </c>
      <c r="C1040" s="1331">
        <v>6121</v>
      </c>
      <c r="D1040" s="1042">
        <v>14</v>
      </c>
      <c r="E1040" s="1043" t="s">
        <v>671</v>
      </c>
      <c r="F1040" s="960">
        <v>1433</v>
      </c>
      <c r="G1040" s="1333">
        <v>1800</v>
      </c>
      <c r="H1040" s="960">
        <v>1669</v>
      </c>
      <c r="I1040" s="1334">
        <f>(H1040/G1040)*100</f>
        <v>92.722222222222214</v>
      </c>
    </row>
    <row r="1041" spans="1:14" s="558" customFormat="1" ht="18" customHeight="1" thickTop="1" thickBot="1" x14ac:dyDescent="0.3">
      <c r="A1041" s="2751" t="s">
        <v>267</v>
      </c>
      <c r="B1041" s="2750"/>
      <c r="C1041" s="2750"/>
      <c r="D1041" s="2750"/>
      <c r="E1041" s="2750"/>
      <c r="F1041" s="943">
        <f>F1040</f>
        <v>1433</v>
      </c>
      <c r="G1041" s="943">
        <f>G1040</f>
        <v>1800</v>
      </c>
      <c r="H1041" s="943">
        <f>H1040</f>
        <v>1669</v>
      </c>
      <c r="I1041" s="926">
        <f>(H1041/G1041)*100</f>
        <v>92.722222222222214</v>
      </c>
    </row>
    <row r="1042" spans="1:14" ht="13.5" thickTop="1" x14ac:dyDescent="0.2">
      <c r="K1042" s="984"/>
      <c r="L1042" s="984"/>
      <c r="M1042" s="984"/>
      <c r="N1042" s="439"/>
    </row>
    <row r="1043" spans="1:14" x14ac:dyDescent="0.2">
      <c r="K1043" s="984"/>
      <c r="L1043" s="984"/>
      <c r="M1043" s="984"/>
      <c r="N1043" s="439"/>
    </row>
    <row r="1044" spans="1:14" s="558" customFormat="1" ht="13.5" thickBot="1" x14ac:dyDescent="0.25">
      <c r="A1044" s="439" t="s">
        <v>310</v>
      </c>
      <c r="B1044" s="669"/>
      <c r="D1044" s="884"/>
      <c r="F1044" s="517"/>
      <c r="G1044" s="517"/>
      <c r="H1044" s="517"/>
      <c r="I1044" s="1023" t="s">
        <v>179</v>
      </c>
    </row>
    <row r="1045" spans="1:14" s="107" customFormat="1" ht="20.25" customHeight="1" thickTop="1" thickBot="1" x14ac:dyDescent="0.25">
      <c r="A1045" s="714" t="s">
        <v>692</v>
      </c>
      <c r="B1045" s="717" t="s">
        <v>180</v>
      </c>
      <c r="C1045" s="715" t="s">
        <v>181</v>
      </c>
      <c r="D1045" s="660" t="s">
        <v>783</v>
      </c>
      <c r="E1045" s="718" t="s">
        <v>182</v>
      </c>
      <c r="F1045" s="718" t="s">
        <v>183</v>
      </c>
      <c r="G1045" s="718" t="s">
        <v>985</v>
      </c>
      <c r="H1045" s="718" t="s">
        <v>986</v>
      </c>
      <c r="I1045" s="888" t="s">
        <v>987</v>
      </c>
    </row>
    <row r="1046" spans="1:14" s="386" customFormat="1" ht="13.5" thickTop="1" thickBot="1" x14ac:dyDescent="0.25">
      <c r="A1046" s="592">
        <v>1</v>
      </c>
      <c r="B1046" s="593">
        <v>2</v>
      </c>
      <c r="C1046" s="593">
        <v>3</v>
      </c>
      <c r="D1046" s="593">
        <v>4</v>
      </c>
      <c r="E1046" s="593">
        <v>5</v>
      </c>
      <c r="F1046" s="567">
        <v>6</v>
      </c>
      <c r="G1046" s="567">
        <v>7</v>
      </c>
      <c r="H1046" s="568">
        <v>8</v>
      </c>
      <c r="I1046" s="662" t="s">
        <v>848</v>
      </c>
    </row>
    <row r="1047" spans="1:14" s="386" customFormat="1" ht="15.75" thickTop="1" x14ac:dyDescent="0.25">
      <c r="A1047" s="1376">
        <v>60005100136</v>
      </c>
      <c r="B1047" s="1377">
        <v>3522</v>
      </c>
      <c r="C1047" s="1377">
        <v>5137</v>
      </c>
      <c r="D1047" s="1340">
        <v>870</v>
      </c>
      <c r="E1047" s="1339" t="s">
        <v>309</v>
      </c>
      <c r="F1047" s="1338"/>
      <c r="G1047" s="1338">
        <v>752</v>
      </c>
      <c r="H1047" s="1338">
        <v>752</v>
      </c>
      <c r="I1047" s="906">
        <f t="shared" ref="I1047:I1054" si="3">(H1047/G1047)*100</f>
        <v>100</v>
      </c>
    </row>
    <row r="1048" spans="1:14" s="386" customFormat="1" ht="15.75" thickBot="1" x14ac:dyDescent="0.3">
      <c r="A1048" s="1379">
        <v>60005100136</v>
      </c>
      <c r="B1048" s="1380">
        <v>3522</v>
      </c>
      <c r="C1048" s="1381">
        <v>5172</v>
      </c>
      <c r="D1048" s="1038">
        <v>870</v>
      </c>
      <c r="E1048" s="1335" t="s">
        <v>1002</v>
      </c>
      <c r="F1048" s="1336"/>
      <c r="G1048" s="1337">
        <v>121</v>
      </c>
      <c r="H1048" s="1336">
        <v>121</v>
      </c>
      <c r="I1048" s="1046">
        <f t="shared" si="3"/>
        <v>100</v>
      </c>
    </row>
    <row r="1049" spans="1:14" s="558" customFormat="1" ht="18" customHeight="1" thickTop="1" thickBot="1" x14ac:dyDescent="0.3">
      <c r="A1049" s="2739" t="s">
        <v>268</v>
      </c>
      <c r="B1049" s="2740"/>
      <c r="C1049" s="2740"/>
      <c r="D1049" s="2740"/>
      <c r="E1049" s="2740"/>
      <c r="F1049" s="894">
        <v>0</v>
      </c>
      <c r="G1049" s="894">
        <f>G1047+G1048</f>
        <v>873</v>
      </c>
      <c r="H1049" s="894">
        <f>H1047+H1048</f>
        <v>873</v>
      </c>
      <c r="I1049" s="895">
        <f t="shared" si="3"/>
        <v>100</v>
      </c>
    </row>
    <row r="1050" spans="1:14" s="558" customFormat="1" ht="18" customHeight="1" thickTop="1" x14ac:dyDescent="0.25">
      <c r="A1050" s="1376">
        <v>60005100136</v>
      </c>
      <c r="B1050" s="1377">
        <v>3522</v>
      </c>
      <c r="C1050" s="1377">
        <v>6121</v>
      </c>
      <c r="D1050" s="1340">
        <v>14</v>
      </c>
      <c r="E1050" s="1339" t="s">
        <v>671</v>
      </c>
      <c r="F1050" s="1338">
        <v>36279</v>
      </c>
      <c r="G1050" s="1338">
        <v>31347</v>
      </c>
      <c r="H1050" s="1338">
        <v>31079</v>
      </c>
      <c r="I1050" s="906">
        <f>(H1050/G1050)*100</f>
        <v>99.145053753150222</v>
      </c>
    </row>
    <row r="1051" spans="1:14" s="386" customFormat="1" ht="15" x14ac:dyDescent="0.25">
      <c r="A1051" s="1376">
        <v>60005100136</v>
      </c>
      <c r="B1051" s="1377">
        <v>3522</v>
      </c>
      <c r="C1051" s="1378">
        <v>6121</v>
      </c>
      <c r="D1051" s="1032">
        <v>870</v>
      </c>
      <c r="E1051" s="1323" t="s">
        <v>671</v>
      </c>
      <c r="F1051" s="416"/>
      <c r="G1051" s="1327">
        <v>31347</v>
      </c>
      <c r="H1051" s="416">
        <v>31079</v>
      </c>
      <c r="I1051" s="906">
        <f t="shared" si="3"/>
        <v>99.145053753150222</v>
      </c>
    </row>
    <row r="1052" spans="1:14" s="386" customFormat="1" ht="15" x14ac:dyDescent="0.25">
      <c r="A1052" s="1376">
        <v>60005100136</v>
      </c>
      <c r="B1052" s="1377">
        <v>3522</v>
      </c>
      <c r="C1052" s="1377">
        <v>6122</v>
      </c>
      <c r="D1052" s="1340">
        <v>870</v>
      </c>
      <c r="E1052" s="1339" t="s">
        <v>672</v>
      </c>
      <c r="F1052" s="1338"/>
      <c r="G1052" s="1338">
        <v>3626</v>
      </c>
      <c r="H1052" s="1338">
        <v>3626</v>
      </c>
      <c r="I1052" s="906">
        <f t="shared" si="3"/>
        <v>100</v>
      </c>
    </row>
    <row r="1053" spans="1:14" s="386" customFormat="1" ht="15.75" thickBot="1" x14ac:dyDescent="0.3">
      <c r="A1053" s="1379">
        <v>60005100136</v>
      </c>
      <c r="B1053" s="1380">
        <v>3522</v>
      </c>
      <c r="C1053" s="1381">
        <v>6125</v>
      </c>
      <c r="D1053" s="1038">
        <v>870</v>
      </c>
      <c r="E1053" s="1335" t="s">
        <v>193</v>
      </c>
      <c r="F1053" s="1336"/>
      <c r="G1053" s="1337">
        <v>701</v>
      </c>
      <c r="H1053" s="1336">
        <v>701</v>
      </c>
      <c r="I1053" s="1046">
        <f t="shared" si="3"/>
        <v>100</v>
      </c>
    </row>
    <row r="1054" spans="1:14" s="558" customFormat="1" ht="18" customHeight="1" thickTop="1" thickBot="1" x14ac:dyDescent="0.3">
      <c r="A1054" s="2751" t="s">
        <v>267</v>
      </c>
      <c r="B1054" s="2750"/>
      <c r="C1054" s="2750"/>
      <c r="D1054" s="2750"/>
      <c r="E1054" s="2750"/>
      <c r="F1054" s="943">
        <f>F1050</f>
        <v>36279</v>
      </c>
      <c r="G1054" s="943">
        <f>G1051+G1052+G1053</f>
        <v>35674</v>
      </c>
      <c r="H1054" s="943">
        <f>H1051+H1052+H1053</f>
        <v>35406</v>
      </c>
      <c r="I1054" s="895">
        <f t="shared" si="3"/>
        <v>99.248752592924816</v>
      </c>
    </row>
    <row r="1055" spans="1:14" ht="13.5" thickTop="1" x14ac:dyDescent="0.2">
      <c r="K1055" s="984"/>
      <c r="L1055" s="984"/>
      <c r="M1055" s="984"/>
      <c r="N1055" s="439"/>
    </row>
    <row r="1056" spans="1:14" x14ac:dyDescent="0.2">
      <c r="K1056" s="984"/>
      <c r="L1056" s="984"/>
      <c r="M1056" s="984"/>
      <c r="N1056" s="439"/>
    </row>
    <row r="1057" spans="1:14" s="558" customFormat="1" ht="13.5" thickBot="1" x14ac:dyDescent="0.25">
      <c r="A1057" s="439" t="s">
        <v>311</v>
      </c>
      <c r="B1057" s="669"/>
      <c r="D1057" s="884"/>
      <c r="F1057" s="517"/>
      <c r="G1057" s="517"/>
      <c r="H1057" s="517"/>
      <c r="I1057" s="1023" t="s">
        <v>179</v>
      </c>
    </row>
    <row r="1058" spans="1:14" s="107" customFormat="1" ht="20.25" customHeight="1" thickTop="1" thickBot="1" x14ac:dyDescent="0.25">
      <c r="A1058" s="714" t="s">
        <v>692</v>
      </c>
      <c r="B1058" s="717" t="s">
        <v>180</v>
      </c>
      <c r="C1058" s="715" t="s">
        <v>181</v>
      </c>
      <c r="D1058" s="660" t="s">
        <v>783</v>
      </c>
      <c r="E1058" s="718" t="s">
        <v>182</v>
      </c>
      <c r="F1058" s="718" t="s">
        <v>183</v>
      </c>
      <c r="G1058" s="718" t="s">
        <v>985</v>
      </c>
      <c r="H1058" s="718" t="s">
        <v>986</v>
      </c>
      <c r="I1058" s="888" t="s">
        <v>987</v>
      </c>
    </row>
    <row r="1059" spans="1:14" s="386" customFormat="1" ht="13.5" thickTop="1" thickBot="1" x14ac:dyDescent="0.25">
      <c r="A1059" s="1318">
        <v>1</v>
      </c>
      <c r="B1059" s="1319">
        <v>2</v>
      </c>
      <c r="C1059" s="1319">
        <v>3</v>
      </c>
      <c r="D1059" s="1319">
        <v>4</v>
      </c>
      <c r="E1059" s="593">
        <v>5</v>
      </c>
      <c r="F1059" s="1320">
        <v>6</v>
      </c>
      <c r="G1059" s="1320">
        <v>7</v>
      </c>
      <c r="H1059" s="1321">
        <v>8</v>
      </c>
      <c r="I1059" s="1322" t="s">
        <v>848</v>
      </c>
    </row>
    <row r="1060" spans="1:14" s="558" customFormat="1" ht="16.5" thickTop="1" thickBot="1" x14ac:dyDescent="0.3">
      <c r="A1060" s="1330">
        <v>60005100293</v>
      </c>
      <c r="B1060" s="1041">
        <v>3523</v>
      </c>
      <c r="C1060" s="1331">
        <v>6121</v>
      </c>
      <c r="D1060" s="1042">
        <v>14</v>
      </c>
      <c r="E1060" s="1043" t="s">
        <v>671</v>
      </c>
      <c r="F1060" s="960"/>
      <c r="G1060" s="1333">
        <v>5135</v>
      </c>
      <c r="H1060" s="960">
        <v>5112</v>
      </c>
      <c r="I1060" s="1334">
        <f>(H1060/G1060)*100</f>
        <v>99.552093476144108</v>
      </c>
    </row>
    <row r="1061" spans="1:14" s="558" customFormat="1" ht="18" customHeight="1" thickTop="1" thickBot="1" x14ac:dyDescent="0.3">
      <c r="A1061" s="2751" t="s">
        <v>267</v>
      </c>
      <c r="B1061" s="2750"/>
      <c r="C1061" s="2750"/>
      <c r="D1061" s="2750"/>
      <c r="E1061" s="2750"/>
      <c r="F1061" s="943">
        <f>F1060</f>
        <v>0</v>
      </c>
      <c r="G1061" s="943">
        <f>G1060</f>
        <v>5135</v>
      </c>
      <c r="H1061" s="943">
        <f>H1060</f>
        <v>5112</v>
      </c>
      <c r="I1061" s="926">
        <f>(H1061/G1061)*100</f>
        <v>99.552093476144108</v>
      </c>
    </row>
    <row r="1062" spans="1:14" ht="13.5" thickTop="1" x14ac:dyDescent="0.2">
      <c r="K1062" s="984"/>
      <c r="L1062" s="984"/>
      <c r="M1062" s="984"/>
      <c r="N1062" s="439"/>
    </row>
    <row r="1063" spans="1:14" x14ac:dyDescent="0.2">
      <c r="K1063" s="984"/>
      <c r="L1063" s="984"/>
      <c r="M1063" s="984"/>
      <c r="N1063" s="439"/>
    </row>
    <row r="1064" spans="1:14" x14ac:dyDescent="0.2">
      <c r="K1064" s="984"/>
      <c r="L1064" s="984"/>
      <c r="M1064" s="984"/>
      <c r="N1064" s="439"/>
    </row>
    <row r="1065" spans="1:14" x14ac:dyDescent="0.2">
      <c r="K1065" s="984"/>
      <c r="L1065" s="984"/>
      <c r="M1065" s="984"/>
      <c r="N1065" s="439"/>
    </row>
    <row r="1066" spans="1:14" x14ac:dyDescent="0.2">
      <c r="K1066" s="984"/>
      <c r="L1066" s="984"/>
      <c r="M1066" s="984"/>
      <c r="N1066" s="439"/>
    </row>
    <row r="1067" spans="1:14" x14ac:dyDescent="0.2">
      <c r="K1067" s="984"/>
      <c r="L1067" s="984"/>
      <c r="M1067" s="984"/>
      <c r="N1067" s="439"/>
    </row>
    <row r="1068" spans="1:14" x14ac:dyDescent="0.2">
      <c r="K1068" s="984"/>
      <c r="L1068" s="984"/>
      <c r="M1068" s="984"/>
      <c r="N1068" s="439"/>
    </row>
    <row r="1069" spans="1:14" s="558" customFormat="1" ht="13.5" thickBot="1" x14ac:dyDescent="0.25">
      <c r="A1069" s="439" t="s">
        <v>312</v>
      </c>
      <c r="B1069" s="669"/>
      <c r="D1069" s="884"/>
      <c r="F1069" s="517"/>
      <c r="G1069" s="517"/>
      <c r="H1069" s="517"/>
      <c r="I1069" s="1023" t="s">
        <v>179</v>
      </c>
    </row>
    <row r="1070" spans="1:14" s="107" customFormat="1" ht="20.25" customHeight="1" thickTop="1" thickBot="1" x14ac:dyDescent="0.25">
      <c r="A1070" s="714" t="s">
        <v>692</v>
      </c>
      <c r="B1070" s="717" t="s">
        <v>180</v>
      </c>
      <c r="C1070" s="715" t="s">
        <v>181</v>
      </c>
      <c r="D1070" s="660" t="s">
        <v>783</v>
      </c>
      <c r="E1070" s="718" t="s">
        <v>182</v>
      </c>
      <c r="F1070" s="718" t="s">
        <v>183</v>
      </c>
      <c r="G1070" s="718" t="s">
        <v>985</v>
      </c>
      <c r="H1070" s="718" t="s">
        <v>986</v>
      </c>
      <c r="I1070" s="888" t="s">
        <v>987</v>
      </c>
    </row>
    <row r="1071" spans="1:14" s="386" customFormat="1" ht="13.5" thickTop="1" thickBot="1" x14ac:dyDescent="0.25">
      <c r="A1071" s="1318">
        <v>1</v>
      </c>
      <c r="B1071" s="1319">
        <v>2</v>
      </c>
      <c r="C1071" s="1319">
        <v>3</v>
      </c>
      <c r="D1071" s="1319">
        <v>4</v>
      </c>
      <c r="E1071" s="593">
        <v>5</v>
      </c>
      <c r="F1071" s="1320">
        <v>6</v>
      </c>
      <c r="G1071" s="1320">
        <v>7</v>
      </c>
      <c r="H1071" s="1321">
        <v>8</v>
      </c>
      <c r="I1071" s="1322" t="s">
        <v>848</v>
      </c>
    </row>
    <row r="1072" spans="1:14" s="558" customFormat="1" ht="16.5" thickTop="1" thickBot="1" x14ac:dyDescent="0.3">
      <c r="A1072" s="1330">
        <v>60005100294</v>
      </c>
      <c r="B1072" s="1041">
        <v>4322</v>
      </c>
      <c r="C1072" s="1331">
        <v>6121</v>
      </c>
      <c r="D1072" s="1042">
        <v>14</v>
      </c>
      <c r="E1072" s="1043" t="s">
        <v>671</v>
      </c>
      <c r="F1072" s="960"/>
      <c r="G1072" s="1333">
        <v>1971</v>
      </c>
      <c r="H1072" s="960">
        <v>518</v>
      </c>
      <c r="I1072" s="1334">
        <f>(H1072/G1072)*100</f>
        <v>26.281075596144088</v>
      </c>
    </row>
    <row r="1073" spans="1:14" s="558" customFormat="1" ht="18" customHeight="1" thickTop="1" thickBot="1" x14ac:dyDescent="0.3">
      <c r="A1073" s="2751" t="s">
        <v>267</v>
      </c>
      <c r="B1073" s="2750"/>
      <c r="C1073" s="2750"/>
      <c r="D1073" s="2750"/>
      <c r="E1073" s="2750"/>
      <c r="F1073" s="943">
        <f>F1072</f>
        <v>0</v>
      </c>
      <c r="G1073" s="943">
        <f>G1072</f>
        <v>1971</v>
      </c>
      <c r="H1073" s="943">
        <f>H1072</f>
        <v>518</v>
      </c>
      <c r="I1073" s="926">
        <f>(H1073/G1073)*100</f>
        <v>26.281075596144088</v>
      </c>
    </row>
    <row r="1074" spans="1:14" ht="13.5" thickTop="1" x14ac:dyDescent="0.2">
      <c r="K1074" s="984"/>
      <c r="L1074" s="984"/>
      <c r="M1074" s="984"/>
      <c r="N1074" s="439"/>
    </row>
    <row r="1075" spans="1:14" x14ac:dyDescent="0.2">
      <c r="K1075" s="984"/>
      <c r="L1075" s="984"/>
      <c r="M1075" s="984"/>
      <c r="N1075" s="439"/>
    </row>
    <row r="1076" spans="1:14" s="558" customFormat="1" ht="13.5" thickBot="1" x14ac:dyDescent="0.25">
      <c r="A1076" s="439" t="s">
        <v>313</v>
      </c>
      <c r="B1076" s="669"/>
      <c r="D1076" s="884"/>
      <c r="F1076" s="517"/>
      <c r="G1076" s="517"/>
      <c r="H1076" s="517"/>
      <c r="I1076" s="1023" t="s">
        <v>179</v>
      </c>
    </row>
    <row r="1077" spans="1:14" s="107" customFormat="1" ht="20.25" customHeight="1" thickTop="1" thickBot="1" x14ac:dyDescent="0.25">
      <c r="A1077" s="714" t="s">
        <v>692</v>
      </c>
      <c r="B1077" s="717" t="s">
        <v>180</v>
      </c>
      <c r="C1077" s="715" t="s">
        <v>181</v>
      </c>
      <c r="D1077" s="660" t="s">
        <v>783</v>
      </c>
      <c r="E1077" s="718" t="s">
        <v>182</v>
      </c>
      <c r="F1077" s="718" t="s">
        <v>183</v>
      </c>
      <c r="G1077" s="718" t="s">
        <v>985</v>
      </c>
      <c r="H1077" s="718" t="s">
        <v>986</v>
      </c>
      <c r="I1077" s="888" t="s">
        <v>987</v>
      </c>
    </row>
    <row r="1078" spans="1:14" s="386" customFormat="1" ht="13.5" thickTop="1" thickBot="1" x14ac:dyDescent="0.25">
      <c r="A1078" s="1318">
        <v>1</v>
      </c>
      <c r="B1078" s="1319">
        <v>2</v>
      </c>
      <c r="C1078" s="1319">
        <v>3</v>
      </c>
      <c r="D1078" s="1319">
        <v>4</v>
      </c>
      <c r="E1078" s="593">
        <v>5</v>
      </c>
      <c r="F1078" s="1320">
        <v>6</v>
      </c>
      <c r="G1078" s="1320">
        <v>7</v>
      </c>
      <c r="H1078" s="1321">
        <v>8</v>
      </c>
      <c r="I1078" s="1322" t="s">
        <v>848</v>
      </c>
    </row>
    <row r="1079" spans="1:14" s="558" customFormat="1" ht="16.5" thickTop="1" thickBot="1" x14ac:dyDescent="0.3">
      <c r="A1079" s="1330">
        <v>60005100298</v>
      </c>
      <c r="B1079" s="1041">
        <v>3523</v>
      </c>
      <c r="C1079" s="1331">
        <v>6121</v>
      </c>
      <c r="D1079" s="1042">
        <v>14</v>
      </c>
      <c r="E1079" s="1043" t="s">
        <v>671</v>
      </c>
      <c r="F1079" s="960"/>
      <c r="G1079" s="1333">
        <v>500</v>
      </c>
      <c r="H1079" s="960">
        <v>19</v>
      </c>
      <c r="I1079" s="1334">
        <f>(H1079/G1079)*100</f>
        <v>3.8</v>
      </c>
    </row>
    <row r="1080" spans="1:14" s="558" customFormat="1" ht="18" customHeight="1" thickTop="1" thickBot="1" x14ac:dyDescent="0.3">
      <c r="A1080" s="2751" t="s">
        <v>267</v>
      </c>
      <c r="B1080" s="2750"/>
      <c r="C1080" s="2750"/>
      <c r="D1080" s="2750"/>
      <c r="E1080" s="2750"/>
      <c r="F1080" s="943">
        <f>F1079</f>
        <v>0</v>
      </c>
      <c r="G1080" s="943">
        <f>G1079</f>
        <v>500</v>
      </c>
      <c r="H1080" s="943">
        <f>H1079</f>
        <v>19</v>
      </c>
      <c r="I1080" s="926">
        <f>(H1080/G1080)*100</f>
        <v>3.8</v>
      </c>
    </row>
    <row r="1081" spans="1:14" ht="13.5" thickTop="1" x14ac:dyDescent="0.2">
      <c r="K1081" s="984"/>
      <c r="L1081" s="984"/>
      <c r="M1081" s="984"/>
      <c r="N1081" s="439"/>
    </row>
    <row r="1082" spans="1:14" x14ac:dyDescent="0.2">
      <c r="K1082" s="984"/>
      <c r="L1082" s="984"/>
      <c r="M1082" s="984"/>
      <c r="N1082" s="439"/>
    </row>
    <row r="1083" spans="1:14" s="558" customFormat="1" ht="13.5" thickBot="1" x14ac:dyDescent="0.25">
      <c r="A1083" s="439" t="s">
        <v>1307</v>
      </c>
      <c r="B1083" s="669"/>
      <c r="D1083" s="884"/>
      <c r="F1083" s="517"/>
      <c r="G1083" s="517"/>
      <c r="H1083" s="517"/>
      <c r="I1083" s="1023" t="s">
        <v>179</v>
      </c>
    </row>
    <row r="1084" spans="1:14" s="107" customFormat="1" ht="20.25" customHeight="1" thickTop="1" thickBot="1" x14ac:dyDescent="0.25">
      <c r="A1084" s="714" t="s">
        <v>692</v>
      </c>
      <c r="B1084" s="717" t="s">
        <v>180</v>
      </c>
      <c r="C1084" s="715" t="s">
        <v>181</v>
      </c>
      <c r="D1084" s="660" t="s">
        <v>783</v>
      </c>
      <c r="E1084" s="718" t="s">
        <v>182</v>
      </c>
      <c r="F1084" s="718" t="s">
        <v>183</v>
      </c>
      <c r="G1084" s="718" t="s">
        <v>985</v>
      </c>
      <c r="H1084" s="718" t="s">
        <v>986</v>
      </c>
      <c r="I1084" s="888" t="s">
        <v>987</v>
      </c>
    </row>
    <row r="1085" spans="1:14" s="386" customFormat="1" ht="13.5" thickTop="1" thickBot="1" x14ac:dyDescent="0.25">
      <c r="A1085" s="1318">
        <v>1</v>
      </c>
      <c r="B1085" s="1319">
        <v>2</v>
      </c>
      <c r="C1085" s="1319">
        <v>3</v>
      </c>
      <c r="D1085" s="1319">
        <v>4</v>
      </c>
      <c r="E1085" s="593">
        <v>5</v>
      </c>
      <c r="F1085" s="1320">
        <v>6</v>
      </c>
      <c r="G1085" s="1320">
        <v>7</v>
      </c>
      <c r="H1085" s="1321">
        <v>8</v>
      </c>
      <c r="I1085" s="1322" t="s">
        <v>848</v>
      </c>
    </row>
    <row r="1086" spans="1:14" s="558" customFormat="1" ht="16.5" thickTop="1" thickBot="1" x14ac:dyDescent="0.3">
      <c r="A1086" s="1330">
        <v>60005100299</v>
      </c>
      <c r="B1086" s="1041">
        <v>3522</v>
      </c>
      <c r="C1086" s="1331">
        <v>6121</v>
      </c>
      <c r="D1086" s="1042">
        <v>14</v>
      </c>
      <c r="E1086" s="1043" t="s">
        <v>671</v>
      </c>
      <c r="F1086" s="960"/>
      <c r="G1086" s="1333">
        <v>118</v>
      </c>
      <c r="H1086" s="960">
        <v>118</v>
      </c>
      <c r="I1086" s="1334">
        <f>(H1086/G1086)*100</f>
        <v>100</v>
      </c>
    </row>
    <row r="1087" spans="1:14" s="558" customFormat="1" ht="18" customHeight="1" thickTop="1" thickBot="1" x14ac:dyDescent="0.3">
      <c r="A1087" s="2751" t="s">
        <v>267</v>
      </c>
      <c r="B1087" s="2750"/>
      <c r="C1087" s="2750"/>
      <c r="D1087" s="2750"/>
      <c r="E1087" s="2750"/>
      <c r="F1087" s="943">
        <f>F1086</f>
        <v>0</v>
      </c>
      <c r="G1087" s="943">
        <f>G1086</f>
        <v>118</v>
      </c>
      <c r="H1087" s="943">
        <f>H1086</f>
        <v>118</v>
      </c>
      <c r="I1087" s="926">
        <f>(H1087/G1087)*100</f>
        <v>100</v>
      </c>
    </row>
    <row r="1088" spans="1:14" ht="13.5" thickTop="1" x14ac:dyDescent="0.2">
      <c r="K1088" s="984"/>
      <c r="L1088" s="984"/>
      <c r="M1088" s="984"/>
      <c r="N1088" s="439"/>
    </row>
    <row r="1089" spans="1:14" x14ac:dyDescent="0.2">
      <c r="K1089" s="984"/>
      <c r="L1089" s="984"/>
      <c r="M1089" s="984"/>
      <c r="N1089" s="439"/>
    </row>
    <row r="1090" spans="1:14" s="558" customFormat="1" ht="13.5" thickBot="1" x14ac:dyDescent="0.25">
      <c r="A1090" s="439" t="s">
        <v>1308</v>
      </c>
      <c r="B1090" s="669"/>
      <c r="D1090" s="884"/>
      <c r="F1090" s="517"/>
      <c r="G1090" s="517"/>
      <c r="H1090" s="517"/>
      <c r="I1090" s="1023" t="s">
        <v>179</v>
      </c>
    </row>
    <row r="1091" spans="1:14" s="107" customFormat="1" ht="20.25" customHeight="1" thickTop="1" thickBot="1" x14ac:dyDescent="0.25">
      <c r="A1091" s="714" t="s">
        <v>692</v>
      </c>
      <c r="B1091" s="717" t="s">
        <v>180</v>
      </c>
      <c r="C1091" s="715" t="s">
        <v>181</v>
      </c>
      <c r="D1091" s="660" t="s">
        <v>783</v>
      </c>
      <c r="E1091" s="718" t="s">
        <v>182</v>
      </c>
      <c r="F1091" s="718" t="s">
        <v>183</v>
      </c>
      <c r="G1091" s="718" t="s">
        <v>985</v>
      </c>
      <c r="H1091" s="718" t="s">
        <v>986</v>
      </c>
      <c r="I1091" s="888" t="s">
        <v>987</v>
      </c>
    </row>
    <row r="1092" spans="1:14" s="386" customFormat="1" ht="13.5" thickTop="1" thickBot="1" x14ac:dyDescent="0.25">
      <c r="A1092" s="1318">
        <v>1</v>
      </c>
      <c r="B1092" s="1319">
        <v>2</v>
      </c>
      <c r="C1092" s="1319">
        <v>3</v>
      </c>
      <c r="D1092" s="1319">
        <v>4</v>
      </c>
      <c r="E1092" s="593">
        <v>5</v>
      </c>
      <c r="F1092" s="1320">
        <v>6</v>
      </c>
      <c r="G1092" s="1320">
        <v>7</v>
      </c>
      <c r="H1092" s="1321">
        <v>8</v>
      </c>
      <c r="I1092" s="1322" t="s">
        <v>848</v>
      </c>
    </row>
    <row r="1093" spans="1:14" s="558" customFormat="1" ht="16.5" thickTop="1" thickBot="1" x14ac:dyDescent="0.3">
      <c r="A1093" s="1330">
        <v>60005100300</v>
      </c>
      <c r="B1093" s="1041">
        <v>3523</v>
      </c>
      <c r="C1093" s="1331">
        <v>6121</v>
      </c>
      <c r="D1093" s="1042">
        <v>14</v>
      </c>
      <c r="E1093" s="1043" t="s">
        <v>671</v>
      </c>
      <c r="F1093" s="960"/>
      <c r="G1093" s="1333">
        <v>1200</v>
      </c>
      <c r="H1093" s="960">
        <v>1115</v>
      </c>
      <c r="I1093" s="1334">
        <f>(H1093/G1093)*100</f>
        <v>92.916666666666671</v>
      </c>
    </row>
    <row r="1094" spans="1:14" s="558" customFormat="1" ht="18" customHeight="1" thickTop="1" thickBot="1" x14ac:dyDescent="0.3">
      <c r="A1094" s="2751" t="s">
        <v>267</v>
      </c>
      <c r="B1094" s="2750"/>
      <c r="C1094" s="2750"/>
      <c r="D1094" s="2750"/>
      <c r="E1094" s="2750"/>
      <c r="F1094" s="943">
        <f>F1093</f>
        <v>0</v>
      </c>
      <c r="G1094" s="943">
        <f>G1093</f>
        <v>1200</v>
      </c>
      <c r="H1094" s="943">
        <f>H1093</f>
        <v>1115</v>
      </c>
      <c r="I1094" s="926">
        <f>(H1094/G1094)*100</f>
        <v>92.916666666666671</v>
      </c>
    </row>
    <row r="1095" spans="1:14" ht="13.5" thickTop="1" x14ac:dyDescent="0.2">
      <c r="K1095" s="984"/>
      <c r="L1095" s="984"/>
      <c r="M1095" s="984"/>
      <c r="N1095" s="439"/>
    </row>
    <row r="1096" spans="1:14" x14ac:dyDescent="0.2">
      <c r="K1096" s="984"/>
      <c r="L1096" s="984"/>
      <c r="M1096" s="984"/>
      <c r="N1096" s="439"/>
    </row>
    <row r="1097" spans="1:14" s="558" customFormat="1" ht="13.5" thickBot="1" x14ac:dyDescent="0.25">
      <c r="A1097" s="439" t="s">
        <v>1309</v>
      </c>
      <c r="B1097" s="669"/>
      <c r="D1097" s="884"/>
      <c r="F1097" s="517"/>
      <c r="G1097" s="517"/>
      <c r="H1097" s="517"/>
      <c r="I1097" s="1023" t="s">
        <v>179</v>
      </c>
    </row>
    <row r="1098" spans="1:14" s="107" customFormat="1" ht="20.25" customHeight="1" thickTop="1" thickBot="1" x14ac:dyDescent="0.25">
      <c r="A1098" s="714" t="s">
        <v>692</v>
      </c>
      <c r="B1098" s="717" t="s">
        <v>180</v>
      </c>
      <c r="C1098" s="715" t="s">
        <v>181</v>
      </c>
      <c r="D1098" s="660" t="s">
        <v>783</v>
      </c>
      <c r="E1098" s="718" t="s">
        <v>182</v>
      </c>
      <c r="F1098" s="718" t="s">
        <v>183</v>
      </c>
      <c r="G1098" s="718" t="s">
        <v>985</v>
      </c>
      <c r="H1098" s="718" t="s">
        <v>986</v>
      </c>
      <c r="I1098" s="888" t="s">
        <v>987</v>
      </c>
    </row>
    <row r="1099" spans="1:14" s="386" customFormat="1" ht="13.5" thickTop="1" thickBot="1" x14ac:dyDescent="0.25">
      <c r="A1099" s="1318">
        <v>1</v>
      </c>
      <c r="B1099" s="1319">
        <v>2</v>
      </c>
      <c r="C1099" s="1319">
        <v>3</v>
      </c>
      <c r="D1099" s="1319">
        <v>4</v>
      </c>
      <c r="E1099" s="593">
        <v>5</v>
      </c>
      <c r="F1099" s="1320">
        <v>6</v>
      </c>
      <c r="G1099" s="1320">
        <v>7</v>
      </c>
      <c r="H1099" s="1321">
        <v>8</v>
      </c>
      <c r="I1099" s="1322" t="s">
        <v>848</v>
      </c>
    </row>
    <row r="1100" spans="1:14" s="558" customFormat="1" ht="16.5" thickTop="1" thickBot="1" x14ac:dyDescent="0.3">
      <c r="A1100" s="1330">
        <v>60005100301</v>
      </c>
      <c r="B1100" s="1041">
        <v>3523</v>
      </c>
      <c r="C1100" s="1331">
        <v>6121</v>
      </c>
      <c r="D1100" s="1042">
        <v>870</v>
      </c>
      <c r="E1100" s="1043" t="s">
        <v>671</v>
      </c>
      <c r="F1100" s="960"/>
      <c r="G1100" s="1333">
        <v>7196</v>
      </c>
      <c r="H1100" s="960">
        <v>3446</v>
      </c>
      <c r="I1100" s="1334">
        <f>(H1100/G1100)*100</f>
        <v>47.887715397443024</v>
      </c>
    </row>
    <row r="1101" spans="1:14" s="558" customFormat="1" ht="18" customHeight="1" thickTop="1" thickBot="1" x14ac:dyDescent="0.3">
      <c r="A1101" s="2751" t="s">
        <v>267</v>
      </c>
      <c r="B1101" s="2750"/>
      <c r="C1101" s="2750"/>
      <c r="D1101" s="2750"/>
      <c r="E1101" s="2750"/>
      <c r="F1101" s="943">
        <f>F1100</f>
        <v>0</v>
      </c>
      <c r="G1101" s="943">
        <f>G1100</f>
        <v>7196</v>
      </c>
      <c r="H1101" s="943">
        <f>H1100</f>
        <v>3446</v>
      </c>
      <c r="I1101" s="926">
        <f>(H1101/G1101)*100</f>
        <v>47.887715397443024</v>
      </c>
    </row>
    <row r="1102" spans="1:14" ht="13.5" thickTop="1" x14ac:dyDescent="0.2">
      <c r="K1102" s="984"/>
      <c r="L1102" s="984"/>
      <c r="M1102" s="984"/>
      <c r="N1102" s="439"/>
    </row>
    <row r="1103" spans="1:14" x14ac:dyDescent="0.2">
      <c r="K1103" s="984"/>
      <c r="L1103" s="984"/>
      <c r="M1103" s="984"/>
      <c r="N1103" s="439"/>
    </row>
    <row r="1104" spans="1:14" s="558" customFormat="1" ht="13.5" thickBot="1" x14ac:dyDescent="0.25">
      <c r="A1104" s="439" t="s">
        <v>18</v>
      </c>
      <c r="B1104" s="669"/>
      <c r="D1104" s="884"/>
      <c r="F1104" s="517"/>
      <c r="G1104" s="517"/>
      <c r="H1104" s="517"/>
      <c r="I1104" s="1023" t="s">
        <v>179</v>
      </c>
    </row>
    <row r="1105" spans="1:14" s="107" customFormat="1" ht="20.25" customHeight="1" thickTop="1" thickBot="1" x14ac:dyDescent="0.25">
      <c r="A1105" s="714" t="s">
        <v>692</v>
      </c>
      <c r="B1105" s="717" t="s">
        <v>180</v>
      </c>
      <c r="C1105" s="715" t="s">
        <v>181</v>
      </c>
      <c r="D1105" s="660" t="s">
        <v>783</v>
      </c>
      <c r="E1105" s="718" t="s">
        <v>182</v>
      </c>
      <c r="F1105" s="718" t="s">
        <v>183</v>
      </c>
      <c r="G1105" s="718" t="s">
        <v>985</v>
      </c>
      <c r="H1105" s="718" t="s">
        <v>986</v>
      </c>
      <c r="I1105" s="888" t="s">
        <v>987</v>
      </c>
    </row>
    <row r="1106" spans="1:14" s="386" customFormat="1" ht="13.5" thickTop="1" thickBot="1" x14ac:dyDescent="0.25">
      <c r="A1106" s="1318">
        <v>1</v>
      </c>
      <c r="B1106" s="1319">
        <v>2</v>
      </c>
      <c r="C1106" s="1319">
        <v>3</v>
      </c>
      <c r="D1106" s="1319">
        <v>4</v>
      </c>
      <c r="E1106" s="593">
        <v>5</v>
      </c>
      <c r="F1106" s="1320">
        <v>6</v>
      </c>
      <c r="G1106" s="1320">
        <v>7</v>
      </c>
      <c r="H1106" s="1321">
        <v>8</v>
      </c>
      <c r="I1106" s="1322" t="s">
        <v>848</v>
      </c>
    </row>
    <row r="1107" spans="1:14" s="558" customFormat="1" ht="16.5" thickTop="1" thickBot="1" x14ac:dyDescent="0.3">
      <c r="A1107" s="1330">
        <v>60005100302</v>
      </c>
      <c r="B1107" s="1041">
        <v>3522</v>
      </c>
      <c r="C1107" s="1331">
        <v>6121</v>
      </c>
      <c r="D1107" s="1042">
        <v>14</v>
      </c>
      <c r="E1107" s="1043" t="s">
        <v>671</v>
      </c>
      <c r="F1107" s="960"/>
      <c r="G1107" s="1333">
        <v>2079</v>
      </c>
      <c r="H1107" s="960">
        <v>1879</v>
      </c>
      <c r="I1107" s="1334">
        <f>(H1107/G1107)*100</f>
        <v>90.379990379990389</v>
      </c>
    </row>
    <row r="1108" spans="1:14" s="558" customFormat="1" ht="18" customHeight="1" thickTop="1" thickBot="1" x14ac:dyDescent="0.3">
      <c r="A1108" s="2751" t="s">
        <v>267</v>
      </c>
      <c r="B1108" s="2750"/>
      <c r="C1108" s="2750"/>
      <c r="D1108" s="2750"/>
      <c r="E1108" s="2750"/>
      <c r="F1108" s="943">
        <f>F1107</f>
        <v>0</v>
      </c>
      <c r="G1108" s="943">
        <f>G1107</f>
        <v>2079</v>
      </c>
      <c r="H1108" s="943">
        <f>H1107</f>
        <v>1879</v>
      </c>
      <c r="I1108" s="926">
        <f>(H1108/G1108)*100</f>
        <v>90.379990379990389</v>
      </c>
    </row>
    <row r="1109" spans="1:14" ht="13.5" thickTop="1" x14ac:dyDescent="0.2">
      <c r="K1109" s="984"/>
      <c r="L1109" s="984"/>
      <c r="M1109" s="984"/>
      <c r="N1109" s="439"/>
    </row>
    <row r="1110" spans="1:14" x14ac:dyDescent="0.2">
      <c r="K1110" s="984"/>
      <c r="L1110" s="984"/>
      <c r="M1110" s="984"/>
      <c r="N1110" s="439"/>
    </row>
    <row r="1111" spans="1:14" s="558" customFormat="1" ht="13.5" thickBot="1" x14ac:dyDescent="0.25">
      <c r="A1111" s="439" t="s">
        <v>19</v>
      </c>
      <c r="B1111" s="669"/>
      <c r="D1111" s="884"/>
      <c r="F1111" s="517"/>
      <c r="G1111" s="517"/>
      <c r="H1111" s="517"/>
      <c r="I1111" s="1023" t="s">
        <v>179</v>
      </c>
    </row>
    <row r="1112" spans="1:14" s="107" customFormat="1" ht="20.25" customHeight="1" thickTop="1" thickBot="1" x14ac:dyDescent="0.25">
      <c r="A1112" s="714" t="s">
        <v>692</v>
      </c>
      <c r="B1112" s="717" t="s">
        <v>180</v>
      </c>
      <c r="C1112" s="715" t="s">
        <v>181</v>
      </c>
      <c r="D1112" s="660" t="s">
        <v>783</v>
      </c>
      <c r="E1112" s="718" t="s">
        <v>182</v>
      </c>
      <c r="F1112" s="718" t="s">
        <v>183</v>
      </c>
      <c r="G1112" s="718" t="s">
        <v>985</v>
      </c>
      <c r="H1112" s="718" t="s">
        <v>986</v>
      </c>
      <c r="I1112" s="888" t="s">
        <v>987</v>
      </c>
    </row>
    <row r="1113" spans="1:14" s="386" customFormat="1" ht="13.5" thickTop="1" thickBot="1" x14ac:dyDescent="0.25">
      <c r="A1113" s="1318">
        <v>1</v>
      </c>
      <c r="B1113" s="1319">
        <v>2</v>
      </c>
      <c r="C1113" s="1319">
        <v>3</v>
      </c>
      <c r="D1113" s="1319">
        <v>4</v>
      </c>
      <c r="E1113" s="593">
        <v>5</v>
      </c>
      <c r="F1113" s="1320">
        <v>6</v>
      </c>
      <c r="G1113" s="1320">
        <v>7</v>
      </c>
      <c r="H1113" s="1321">
        <v>8</v>
      </c>
      <c r="I1113" s="1322" t="s">
        <v>848</v>
      </c>
    </row>
    <row r="1114" spans="1:14" s="558" customFormat="1" ht="16.5" thickTop="1" thickBot="1" x14ac:dyDescent="0.3">
      <c r="A1114" s="1330">
        <v>60005100303</v>
      </c>
      <c r="B1114" s="1041">
        <v>3522</v>
      </c>
      <c r="C1114" s="1331">
        <v>6121</v>
      </c>
      <c r="D1114" s="1042">
        <v>14</v>
      </c>
      <c r="E1114" s="1043" t="s">
        <v>671</v>
      </c>
      <c r="F1114" s="960"/>
      <c r="G1114" s="1333">
        <v>60</v>
      </c>
      <c r="H1114" s="960">
        <v>60</v>
      </c>
      <c r="I1114" s="1334">
        <f>(H1114/G1114)*100</f>
        <v>100</v>
      </c>
    </row>
    <row r="1115" spans="1:14" s="558" customFormat="1" ht="18" customHeight="1" thickTop="1" thickBot="1" x14ac:dyDescent="0.3">
      <c r="A1115" s="2751" t="s">
        <v>267</v>
      </c>
      <c r="B1115" s="2750"/>
      <c r="C1115" s="2750"/>
      <c r="D1115" s="2750"/>
      <c r="E1115" s="2750"/>
      <c r="F1115" s="943">
        <f>F1114</f>
        <v>0</v>
      </c>
      <c r="G1115" s="943">
        <f>G1114</f>
        <v>60</v>
      </c>
      <c r="H1115" s="943">
        <f>H1114</f>
        <v>60</v>
      </c>
      <c r="I1115" s="926">
        <f>(H1115/G1115)*100</f>
        <v>100</v>
      </c>
    </row>
    <row r="1116" spans="1:14" ht="13.5" thickTop="1" x14ac:dyDescent="0.2">
      <c r="K1116" s="984"/>
      <c r="L1116" s="984"/>
      <c r="M1116" s="984"/>
      <c r="N1116" s="439"/>
    </row>
    <row r="1117" spans="1:14" x14ac:dyDescent="0.2">
      <c r="K1117" s="984"/>
      <c r="L1117" s="984"/>
      <c r="M1117" s="984"/>
      <c r="N1117" s="439"/>
    </row>
    <row r="1118" spans="1:14" s="558" customFormat="1" ht="13.5" thickBot="1" x14ac:dyDescent="0.25">
      <c r="A1118" s="439" t="s">
        <v>20</v>
      </c>
      <c r="B1118" s="669"/>
      <c r="D1118" s="884"/>
      <c r="F1118" s="517"/>
      <c r="G1118" s="517"/>
      <c r="H1118" s="517"/>
      <c r="I1118" s="1023" t="s">
        <v>179</v>
      </c>
    </row>
    <row r="1119" spans="1:14" s="107" customFormat="1" ht="20.25" customHeight="1" thickTop="1" thickBot="1" x14ac:dyDescent="0.25">
      <c r="A1119" s="714" t="s">
        <v>692</v>
      </c>
      <c r="B1119" s="717" t="s">
        <v>180</v>
      </c>
      <c r="C1119" s="715" t="s">
        <v>181</v>
      </c>
      <c r="D1119" s="660" t="s">
        <v>783</v>
      </c>
      <c r="E1119" s="718" t="s">
        <v>182</v>
      </c>
      <c r="F1119" s="718" t="s">
        <v>183</v>
      </c>
      <c r="G1119" s="718" t="s">
        <v>985</v>
      </c>
      <c r="H1119" s="718" t="s">
        <v>986</v>
      </c>
      <c r="I1119" s="888" t="s">
        <v>987</v>
      </c>
    </row>
    <row r="1120" spans="1:14" s="386" customFormat="1" ht="13.5" thickTop="1" thickBot="1" x14ac:dyDescent="0.25">
      <c r="A1120" s="1318">
        <v>1</v>
      </c>
      <c r="B1120" s="1319">
        <v>2</v>
      </c>
      <c r="C1120" s="1319">
        <v>3</v>
      </c>
      <c r="D1120" s="1319">
        <v>4</v>
      </c>
      <c r="E1120" s="593">
        <v>5</v>
      </c>
      <c r="F1120" s="1320">
        <v>6</v>
      </c>
      <c r="G1120" s="1320">
        <v>7</v>
      </c>
      <c r="H1120" s="1321">
        <v>8</v>
      </c>
      <c r="I1120" s="1322" t="s">
        <v>848</v>
      </c>
    </row>
    <row r="1121" spans="1:14" s="558" customFormat="1" ht="16.5" thickTop="1" thickBot="1" x14ac:dyDescent="0.3">
      <c r="A1121" s="1330">
        <v>60005100304</v>
      </c>
      <c r="B1121" s="1041">
        <v>3522</v>
      </c>
      <c r="C1121" s="1331">
        <v>6121</v>
      </c>
      <c r="D1121" s="1042">
        <v>25</v>
      </c>
      <c r="E1121" s="1043" t="s">
        <v>671</v>
      </c>
      <c r="F1121" s="960"/>
      <c r="G1121" s="1333">
        <v>7082</v>
      </c>
      <c r="H1121" s="960">
        <v>7081</v>
      </c>
      <c r="I1121" s="1334">
        <f>(H1121/G1121)*100</f>
        <v>99.985879695001415</v>
      </c>
    </row>
    <row r="1122" spans="1:14" s="558" customFormat="1" ht="18" customHeight="1" thickTop="1" thickBot="1" x14ac:dyDescent="0.3">
      <c r="A1122" s="2751" t="s">
        <v>267</v>
      </c>
      <c r="B1122" s="2750"/>
      <c r="C1122" s="2750"/>
      <c r="D1122" s="2750"/>
      <c r="E1122" s="2750"/>
      <c r="F1122" s="943">
        <f>F1121</f>
        <v>0</v>
      </c>
      <c r="G1122" s="943">
        <f>G1121</f>
        <v>7082</v>
      </c>
      <c r="H1122" s="943">
        <f>H1121</f>
        <v>7081</v>
      </c>
      <c r="I1122" s="926">
        <f>(H1122/G1122)*100</f>
        <v>99.985879695001415</v>
      </c>
    </row>
    <row r="1123" spans="1:14" ht="13.5" thickTop="1" x14ac:dyDescent="0.2">
      <c r="K1123" s="984"/>
      <c r="L1123" s="984"/>
      <c r="M1123" s="984"/>
      <c r="N1123" s="439"/>
    </row>
    <row r="1124" spans="1:14" x14ac:dyDescent="0.2">
      <c r="K1124" s="984"/>
      <c r="L1124" s="984"/>
      <c r="M1124" s="984"/>
      <c r="N1124" s="439"/>
    </row>
    <row r="1125" spans="1:14" s="558" customFormat="1" ht="13.5" thickBot="1" x14ac:dyDescent="0.25">
      <c r="A1125" s="439" t="s">
        <v>21</v>
      </c>
      <c r="B1125" s="669"/>
      <c r="D1125" s="884"/>
      <c r="F1125" s="517"/>
      <c r="G1125" s="517"/>
      <c r="H1125" s="517"/>
      <c r="I1125" s="1023" t="s">
        <v>179</v>
      </c>
    </row>
    <row r="1126" spans="1:14" s="107" customFormat="1" ht="20.25" customHeight="1" thickTop="1" thickBot="1" x14ac:dyDescent="0.25">
      <c r="A1126" s="714" t="s">
        <v>692</v>
      </c>
      <c r="B1126" s="717" t="s">
        <v>180</v>
      </c>
      <c r="C1126" s="715" t="s">
        <v>181</v>
      </c>
      <c r="D1126" s="660" t="s">
        <v>783</v>
      </c>
      <c r="E1126" s="718" t="s">
        <v>182</v>
      </c>
      <c r="F1126" s="718" t="s">
        <v>183</v>
      </c>
      <c r="G1126" s="718" t="s">
        <v>985</v>
      </c>
      <c r="H1126" s="718" t="s">
        <v>986</v>
      </c>
      <c r="I1126" s="888" t="s">
        <v>987</v>
      </c>
    </row>
    <row r="1127" spans="1:14" s="386" customFormat="1" ht="13.5" thickTop="1" thickBot="1" x14ac:dyDescent="0.25">
      <c r="A1127" s="1318">
        <v>1</v>
      </c>
      <c r="B1127" s="1319">
        <v>2</v>
      </c>
      <c r="C1127" s="1319">
        <v>3</v>
      </c>
      <c r="D1127" s="1319">
        <v>4</v>
      </c>
      <c r="E1127" s="593">
        <v>5</v>
      </c>
      <c r="F1127" s="1320">
        <v>6</v>
      </c>
      <c r="G1127" s="1320">
        <v>7</v>
      </c>
      <c r="H1127" s="1321">
        <v>8</v>
      </c>
      <c r="I1127" s="1322" t="s">
        <v>848</v>
      </c>
    </row>
    <row r="1128" spans="1:14" s="558" customFormat="1" ht="16.5" thickTop="1" thickBot="1" x14ac:dyDescent="0.3">
      <c r="A1128" s="1330">
        <v>60005100305</v>
      </c>
      <c r="B1128" s="1041">
        <v>3522</v>
      </c>
      <c r="C1128" s="1331">
        <v>6121</v>
      </c>
      <c r="D1128" s="1042">
        <v>25</v>
      </c>
      <c r="E1128" s="1043" t="s">
        <v>671</v>
      </c>
      <c r="F1128" s="960"/>
      <c r="G1128" s="1333">
        <v>366</v>
      </c>
      <c r="H1128" s="960">
        <v>339</v>
      </c>
      <c r="I1128" s="1334">
        <f>(H1128/G1128)*100</f>
        <v>92.622950819672127</v>
      </c>
    </row>
    <row r="1129" spans="1:14" s="558" customFormat="1" ht="18" customHeight="1" thickTop="1" thickBot="1" x14ac:dyDescent="0.3">
      <c r="A1129" s="2751" t="s">
        <v>267</v>
      </c>
      <c r="B1129" s="2750"/>
      <c r="C1129" s="2750"/>
      <c r="D1129" s="2750"/>
      <c r="E1129" s="2750"/>
      <c r="F1129" s="943">
        <f>F1128</f>
        <v>0</v>
      </c>
      <c r="G1129" s="943">
        <f>G1128</f>
        <v>366</v>
      </c>
      <c r="H1129" s="943">
        <f>H1128</f>
        <v>339</v>
      </c>
      <c r="I1129" s="926">
        <f>(H1129/G1129)*100</f>
        <v>92.622950819672127</v>
      </c>
    </row>
    <row r="1130" spans="1:14" ht="13.5" thickTop="1" x14ac:dyDescent="0.2">
      <c r="K1130" s="984"/>
      <c r="L1130" s="984"/>
      <c r="M1130" s="984"/>
      <c r="N1130" s="439"/>
    </row>
    <row r="1131" spans="1:14" x14ac:dyDescent="0.2">
      <c r="K1131" s="984"/>
      <c r="L1131" s="984"/>
      <c r="M1131" s="984"/>
      <c r="N1131" s="439"/>
    </row>
    <row r="1132" spans="1:14" x14ac:dyDescent="0.2">
      <c r="K1132" s="984"/>
      <c r="L1132" s="984"/>
      <c r="M1132" s="984"/>
      <c r="N1132" s="439"/>
    </row>
    <row r="1133" spans="1:14" x14ac:dyDescent="0.2">
      <c r="K1133" s="984"/>
      <c r="L1133" s="984"/>
      <c r="M1133" s="984"/>
      <c r="N1133" s="439"/>
    </row>
    <row r="1134" spans="1:14" x14ac:dyDescent="0.2">
      <c r="K1134" s="984"/>
      <c r="L1134" s="984"/>
      <c r="M1134" s="984"/>
      <c r="N1134" s="439"/>
    </row>
    <row r="1135" spans="1:14" x14ac:dyDescent="0.2">
      <c r="K1135" s="984"/>
      <c r="L1135" s="984"/>
      <c r="M1135" s="984"/>
      <c r="N1135" s="439"/>
    </row>
    <row r="1136" spans="1:14" s="558" customFormat="1" ht="13.5" thickBot="1" x14ac:dyDescent="0.25">
      <c r="A1136" s="439" t="s">
        <v>228</v>
      </c>
      <c r="B1136" s="669"/>
      <c r="D1136" s="884"/>
      <c r="F1136" s="517"/>
      <c r="G1136" s="517"/>
      <c r="H1136" s="517"/>
      <c r="I1136" s="1023" t="s">
        <v>179</v>
      </c>
    </row>
    <row r="1137" spans="1:14" s="107" customFormat="1" ht="20.25" customHeight="1" thickTop="1" thickBot="1" x14ac:dyDescent="0.25">
      <c r="A1137" s="714" t="s">
        <v>692</v>
      </c>
      <c r="B1137" s="717" t="s">
        <v>180</v>
      </c>
      <c r="C1137" s="715" t="s">
        <v>181</v>
      </c>
      <c r="D1137" s="660" t="s">
        <v>783</v>
      </c>
      <c r="E1137" s="718" t="s">
        <v>182</v>
      </c>
      <c r="F1137" s="718" t="s">
        <v>183</v>
      </c>
      <c r="G1137" s="718" t="s">
        <v>985</v>
      </c>
      <c r="H1137" s="718" t="s">
        <v>986</v>
      </c>
      <c r="I1137" s="888" t="s">
        <v>987</v>
      </c>
    </row>
    <row r="1138" spans="1:14" s="386" customFormat="1" ht="13.5" thickTop="1" thickBot="1" x14ac:dyDescent="0.25">
      <c r="A1138" s="1318">
        <v>1</v>
      </c>
      <c r="B1138" s="1319">
        <v>2</v>
      </c>
      <c r="C1138" s="1319">
        <v>3</v>
      </c>
      <c r="D1138" s="1319">
        <v>4</v>
      </c>
      <c r="E1138" s="593">
        <v>5</v>
      </c>
      <c r="F1138" s="1320">
        <v>6</v>
      </c>
      <c r="G1138" s="1320">
        <v>7</v>
      </c>
      <c r="H1138" s="1321">
        <v>8</v>
      </c>
      <c r="I1138" s="1322" t="s">
        <v>848</v>
      </c>
    </row>
    <row r="1139" spans="1:14" s="558" customFormat="1" ht="16.5" thickTop="1" thickBot="1" x14ac:dyDescent="0.3">
      <c r="A1139" s="1330">
        <v>60005100306</v>
      </c>
      <c r="B1139" s="1041">
        <v>3522</v>
      </c>
      <c r="C1139" s="1331">
        <v>6121</v>
      </c>
      <c r="D1139" s="1042">
        <v>25</v>
      </c>
      <c r="E1139" s="1043" t="s">
        <v>671</v>
      </c>
      <c r="F1139" s="960"/>
      <c r="G1139" s="1333">
        <v>99</v>
      </c>
      <c r="H1139" s="960">
        <v>98</v>
      </c>
      <c r="I1139" s="1334">
        <f>(H1139/G1139)*100</f>
        <v>98.98989898989899</v>
      </c>
    </row>
    <row r="1140" spans="1:14" s="558" customFormat="1" ht="18" customHeight="1" thickTop="1" thickBot="1" x14ac:dyDescent="0.3">
      <c r="A1140" s="2751" t="s">
        <v>267</v>
      </c>
      <c r="B1140" s="2750"/>
      <c r="C1140" s="2750"/>
      <c r="D1140" s="2750"/>
      <c r="E1140" s="2750"/>
      <c r="F1140" s="943">
        <f>F1139</f>
        <v>0</v>
      </c>
      <c r="G1140" s="943">
        <f>G1139</f>
        <v>99</v>
      </c>
      <c r="H1140" s="943">
        <f>H1139</f>
        <v>98</v>
      </c>
      <c r="I1140" s="926">
        <f>(H1140/G1140)*100</f>
        <v>98.98989898989899</v>
      </c>
    </row>
    <row r="1141" spans="1:14" ht="13.5" thickTop="1" x14ac:dyDescent="0.2">
      <c r="K1141" s="984"/>
      <c r="L1141" s="984"/>
      <c r="M1141" s="984"/>
      <c r="N1141" s="439"/>
    </row>
    <row r="1142" spans="1:14" x14ac:dyDescent="0.2">
      <c r="K1142" s="984"/>
      <c r="L1142" s="984"/>
      <c r="M1142" s="984"/>
      <c r="N1142" s="439"/>
    </row>
    <row r="1143" spans="1:14" s="558" customFormat="1" ht="13.5" thickBot="1" x14ac:dyDescent="0.25">
      <c r="A1143" s="439" t="s">
        <v>663</v>
      </c>
      <c r="B1143" s="669"/>
      <c r="D1143" s="884"/>
      <c r="F1143" s="517"/>
      <c r="G1143" s="517"/>
      <c r="H1143" s="517"/>
      <c r="I1143" s="1023" t="s">
        <v>179</v>
      </c>
    </row>
    <row r="1144" spans="1:14" s="107" customFormat="1" ht="20.25" customHeight="1" thickTop="1" thickBot="1" x14ac:dyDescent="0.25">
      <c r="A1144" s="714" t="s">
        <v>692</v>
      </c>
      <c r="B1144" s="717" t="s">
        <v>180</v>
      </c>
      <c r="C1144" s="715" t="s">
        <v>181</v>
      </c>
      <c r="D1144" s="660" t="s">
        <v>783</v>
      </c>
      <c r="E1144" s="718" t="s">
        <v>182</v>
      </c>
      <c r="F1144" s="718" t="s">
        <v>183</v>
      </c>
      <c r="G1144" s="718" t="s">
        <v>985</v>
      </c>
      <c r="H1144" s="718" t="s">
        <v>986</v>
      </c>
      <c r="I1144" s="888" t="s">
        <v>987</v>
      </c>
    </row>
    <row r="1145" spans="1:14" s="386" customFormat="1" ht="13.5" thickTop="1" thickBot="1" x14ac:dyDescent="0.25">
      <c r="A1145" s="1318">
        <v>1</v>
      </c>
      <c r="B1145" s="1319">
        <v>2</v>
      </c>
      <c r="C1145" s="1319">
        <v>3</v>
      </c>
      <c r="D1145" s="1319">
        <v>4</v>
      </c>
      <c r="E1145" s="593">
        <v>5</v>
      </c>
      <c r="F1145" s="1320">
        <v>6</v>
      </c>
      <c r="G1145" s="1320">
        <v>7</v>
      </c>
      <c r="H1145" s="1321">
        <v>8</v>
      </c>
      <c r="I1145" s="1322" t="s">
        <v>848</v>
      </c>
    </row>
    <row r="1146" spans="1:14" s="558" customFormat="1" ht="16.5" thickTop="1" thickBot="1" x14ac:dyDescent="0.3">
      <c r="A1146" s="1330">
        <v>60005100307</v>
      </c>
      <c r="B1146" s="1041">
        <v>3522</v>
      </c>
      <c r="C1146" s="1331">
        <v>6121</v>
      </c>
      <c r="D1146" s="1042">
        <v>25</v>
      </c>
      <c r="E1146" s="1043" t="s">
        <v>671</v>
      </c>
      <c r="F1146" s="960"/>
      <c r="G1146" s="1333">
        <v>171</v>
      </c>
      <c r="H1146" s="960">
        <v>100</v>
      </c>
      <c r="I1146" s="1334">
        <f>(H1146/G1146)*100</f>
        <v>58.479532163742689</v>
      </c>
    </row>
    <row r="1147" spans="1:14" s="558" customFormat="1" ht="18" customHeight="1" thickTop="1" thickBot="1" x14ac:dyDescent="0.3">
      <c r="A1147" s="2751" t="s">
        <v>267</v>
      </c>
      <c r="B1147" s="2750"/>
      <c r="C1147" s="2750"/>
      <c r="D1147" s="2750"/>
      <c r="E1147" s="2750"/>
      <c r="F1147" s="943">
        <f>F1146</f>
        <v>0</v>
      </c>
      <c r="G1147" s="943">
        <f>G1146</f>
        <v>171</v>
      </c>
      <c r="H1147" s="943">
        <f>H1146</f>
        <v>100</v>
      </c>
      <c r="I1147" s="926">
        <f>(H1147/G1147)*100</f>
        <v>58.479532163742689</v>
      </c>
    </row>
    <row r="1148" spans="1:14" ht="13.5" thickTop="1" x14ac:dyDescent="0.2">
      <c r="K1148" s="984"/>
      <c r="L1148" s="984"/>
      <c r="M1148" s="984"/>
      <c r="N1148" s="439"/>
    </row>
    <row r="1149" spans="1:14" x14ac:dyDescent="0.2">
      <c r="K1149" s="984"/>
      <c r="L1149" s="984"/>
      <c r="M1149" s="984"/>
      <c r="N1149" s="439"/>
    </row>
    <row r="1150" spans="1:14" s="558" customFormat="1" ht="13.5" thickBot="1" x14ac:dyDescent="0.25">
      <c r="A1150" s="439" t="s">
        <v>664</v>
      </c>
      <c r="B1150" s="669"/>
      <c r="D1150" s="884"/>
      <c r="F1150" s="517"/>
      <c r="G1150" s="517"/>
      <c r="H1150" s="517"/>
      <c r="I1150" s="1023" t="s">
        <v>179</v>
      </c>
    </row>
    <row r="1151" spans="1:14" s="107" customFormat="1" ht="20.25" customHeight="1" thickTop="1" thickBot="1" x14ac:dyDescent="0.25">
      <c r="A1151" s="714" t="s">
        <v>692</v>
      </c>
      <c r="B1151" s="717" t="s">
        <v>180</v>
      </c>
      <c r="C1151" s="715" t="s">
        <v>181</v>
      </c>
      <c r="D1151" s="660" t="s">
        <v>783</v>
      </c>
      <c r="E1151" s="718" t="s">
        <v>182</v>
      </c>
      <c r="F1151" s="718" t="s">
        <v>183</v>
      </c>
      <c r="G1151" s="718" t="s">
        <v>985</v>
      </c>
      <c r="H1151" s="718" t="s">
        <v>986</v>
      </c>
      <c r="I1151" s="888" t="s">
        <v>987</v>
      </c>
    </row>
    <row r="1152" spans="1:14" s="386" customFormat="1" ht="13.5" thickTop="1" thickBot="1" x14ac:dyDescent="0.25">
      <c r="A1152" s="1318">
        <v>1</v>
      </c>
      <c r="B1152" s="1319">
        <v>2</v>
      </c>
      <c r="C1152" s="1319">
        <v>3</v>
      </c>
      <c r="D1152" s="1319">
        <v>4</v>
      </c>
      <c r="E1152" s="593">
        <v>5</v>
      </c>
      <c r="F1152" s="1320">
        <v>6</v>
      </c>
      <c r="G1152" s="1320">
        <v>7</v>
      </c>
      <c r="H1152" s="1321">
        <v>8</v>
      </c>
      <c r="I1152" s="1322" t="s">
        <v>848</v>
      </c>
    </row>
    <row r="1153" spans="1:14" s="558" customFormat="1" ht="16.5" thickTop="1" thickBot="1" x14ac:dyDescent="0.3">
      <c r="A1153" s="1330">
        <v>60005100308</v>
      </c>
      <c r="B1153" s="1041">
        <v>3522</v>
      </c>
      <c r="C1153" s="1331">
        <v>6121</v>
      </c>
      <c r="D1153" s="1042">
        <v>25</v>
      </c>
      <c r="E1153" s="1043" t="s">
        <v>671</v>
      </c>
      <c r="F1153" s="960"/>
      <c r="G1153" s="1333">
        <v>1698</v>
      </c>
      <c r="H1153" s="960">
        <v>1698</v>
      </c>
      <c r="I1153" s="1334">
        <f>(H1153/G1153)*100</f>
        <v>100</v>
      </c>
    </row>
    <row r="1154" spans="1:14" s="558" customFormat="1" ht="18" customHeight="1" thickTop="1" thickBot="1" x14ac:dyDescent="0.3">
      <c r="A1154" s="2751" t="s">
        <v>267</v>
      </c>
      <c r="B1154" s="2750"/>
      <c r="C1154" s="2750"/>
      <c r="D1154" s="2750"/>
      <c r="E1154" s="2750"/>
      <c r="F1154" s="943">
        <f>F1153</f>
        <v>0</v>
      </c>
      <c r="G1154" s="943">
        <f>G1153</f>
        <v>1698</v>
      </c>
      <c r="H1154" s="943">
        <f>H1153</f>
        <v>1698</v>
      </c>
      <c r="I1154" s="926">
        <f>(H1154/G1154)*100</f>
        <v>100</v>
      </c>
    </row>
    <row r="1155" spans="1:14" ht="13.5" thickTop="1" x14ac:dyDescent="0.2">
      <c r="K1155" s="984"/>
      <c r="L1155" s="984"/>
      <c r="M1155" s="984"/>
      <c r="N1155" s="439"/>
    </row>
    <row r="1156" spans="1:14" x14ac:dyDescent="0.2">
      <c r="K1156" s="984"/>
      <c r="L1156" s="984"/>
      <c r="M1156" s="984"/>
      <c r="N1156" s="439"/>
    </row>
    <row r="1157" spans="1:14" s="558" customFormat="1" ht="13.5" thickBot="1" x14ac:dyDescent="0.25">
      <c r="A1157" s="439" t="s">
        <v>665</v>
      </c>
      <c r="B1157" s="669"/>
      <c r="D1157" s="884"/>
      <c r="F1157" s="517"/>
      <c r="G1157" s="517"/>
      <c r="H1157" s="517"/>
      <c r="I1157" s="1023" t="s">
        <v>179</v>
      </c>
    </row>
    <row r="1158" spans="1:14" s="107" customFormat="1" ht="20.25" customHeight="1" thickTop="1" thickBot="1" x14ac:dyDescent="0.25">
      <c r="A1158" s="714" t="s">
        <v>692</v>
      </c>
      <c r="B1158" s="717" t="s">
        <v>180</v>
      </c>
      <c r="C1158" s="715" t="s">
        <v>181</v>
      </c>
      <c r="D1158" s="660" t="s">
        <v>783</v>
      </c>
      <c r="E1158" s="718" t="s">
        <v>182</v>
      </c>
      <c r="F1158" s="718" t="s">
        <v>183</v>
      </c>
      <c r="G1158" s="718" t="s">
        <v>985</v>
      </c>
      <c r="H1158" s="718" t="s">
        <v>986</v>
      </c>
      <c r="I1158" s="888" t="s">
        <v>987</v>
      </c>
    </row>
    <row r="1159" spans="1:14" s="386" customFormat="1" ht="13.5" thickTop="1" thickBot="1" x14ac:dyDescent="0.25">
      <c r="A1159" s="1318">
        <v>1</v>
      </c>
      <c r="B1159" s="1319">
        <v>2</v>
      </c>
      <c r="C1159" s="1319">
        <v>3</v>
      </c>
      <c r="D1159" s="1319">
        <v>4</v>
      </c>
      <c r="E1159" s="593">
        <v>5</v>
      </c>
      <c r="F1159" s="1320">
        <v>6</v>
      </c>
      <c r="G1159" s="1320">
        <v>7</v>
      </c>
      <c r="H1159" s="1321">
        <v>8</v>
      </c>
      <c r="I1159" s="1322" t="s">
        <v>848</v>
      </c>
    </row>
    <row r="1160" spans="1:14" s="558" customFormat="1" ht="16.5" thickTop="1" thickBot="1" x14ac:dyDescent="0.3">
      <c r="A1160" s="1330">
        <v>60005100309</v>
      </c>
      <c r="B1160" s="1041">
        <v>3522</v>
      </c>
      <c r="C1160" s="1331">
        <v>6121</v>
      </c>
      <c r="D1160" s="1042">
        <v>25</v>
      </c>
      <c r="E1160" s="1043" t="s">
        <v>671</v>
      </c>
      <c r="F1160" s="960"/>
      <c r="G1160" s="1333">
        <v>5429</v>
      </c>
      <c r="H1160" s="960">
        <v>5429</v>
      </c>
      <c r="I1160" s="1334">
        <f>(H1160/G1160)*100</f>
        <v>100</v>
      </c>
    </row>
    <row r="1161" spans="1:14" s="558" customFormat="1" ht="18" customHeight="1" thickTop="1" thickBot="1" x14ac:dyDescent="0.3">
      <c r="A1161" s="2751" t="s">
        <v>267</v>
      </c>
      <c r="B1161" s="2750"/>
      <c r="C1161" s="2750"/>
      <c r="D1161" s="2750"/>
      <c r="E1161" s="2750"/>
      <c r="F1161" s="943">
        <f>F1160</f>
        <v>0</v>
      </c>
      <c r="G1161" s="943">
        <f>G1160</f>
        <v>5429</v>
      </c>
      <c r="H1161" s="943">
        <f>H1160</f>
        <v>5429</v>
      </c>
      <c r="I1161" s="926">
        <f>(H1161/G1161)*100</f>
        <v>100</v>
      </c>
    </row>
    <row r="1162" spans="1:14" ht="13.5" thickTop="1" x14ac:dyDescent="0.2">
      <c r="K1162" s="984"/>
      <c r="L1162" s="984"/>
      <c r="M1162" s="984"/>
      <c r="N1162" s="439"/>
    </row>
    <row r="1163" spans="1:14" x14ac:dyDescent="0.2">
      <c r="K1163" s="984"/>
      <c r="L1163" s="984"/>
      <c r="M1163" s="984"/>
      <c r="N1163" s="439"/>
    </row>
    <row r="1164" spans="1:14" s="558" customFormat="1" ht="13.5" thickBot="1" x14ac:dyDescent="0.25">
      <c r="A1164" s="439" t="s">
        <v>238</v>
      </c>
      <c r="B1164" s="669"/>
      <c r="D1164" s="884"/>
      <c r="F1164" s="517"/>
      <c r="G1164" s="517"/>
      <c r="H1164" s="517"/>
      <c r="I1164" s="1023" t="s">
        <v>179</v>
      </c>
    </row>
    <row r="1165" spans="1:14" s="107" customFormat="1" ht="20.25" customHeight="1" thickTop="1" thickBot="1" x14ac:dyDescent="0.25">
      <c r="A1165" s="714" t="s">
        <v>692</v>
      </c>
      <c r="B1165" s="717" t="s">
        <v>180</v>
      </c>
      <c r="C1165" s="715" t="s">
        <v>181</v>
      </c>
      <c r="D1165" s="660" t="s">
        <v>783</v>
      </c>
      <c r="E1165" s="718" t="s">
        <v>182</v>
      </c>
      <c r="F1165" s="718" t="s">
        <v>183</v>
      </c>
      <c r="G1165" s="718" t="s">
        <v>985</v>
      </c>
      <c r="H1165" s="718" t="s">
        <v>986</v>
      </c>
      <c r="I1165" s="888" t="s">
        <v>987</v>
      </c>
    </row>
    <row r="1166" spans="1:14" s="386" customFormat="1" ht="13.5" thickTop="1" thickBot="1" x14ac:dyDescent="0.25">
      <c r="A1166" s="1318">
        <v>1</v>
      </c>
      <c r="B1166" s="1319">
        <v>2</v>
      </c>
      <c r="C1166" s="1319">
        <v>3</v>
      </c>
      <c r="D1166" s="1319">
        <v>4</v>
      </c>
      <c r="E1166" s="593">
        <v>5</v>
      </c>
      <c r="F1166" s="1320">
        <v>6</v>
      </c>
      <c r="G1166" s="1320">
        <v>7</v>
      </c>
      <c r="H1166" s="1321">
        <v>8</v>
      </c>
      <c r="I1166" s="1322" t="s">
        <v>848</v>
      </c>
    </row>
    <row r="1167" spans="1:14" s="558" customFormat="1" ht="16.5" thickTop="1" thickBot="1" x14ac:dyDescent="0.3">
      <c r="A1167" s="1330">
        <v>60005100310</v>
      </c>
      <c r="B1167" s="1041">
        <v>3522</v>
      </c>
      <c r="C1167" s="1331">
        <v>6121</v>
      </c>
      <c r="D1167" s="1042">
        <v>25</v>
      </c>
      <c r="E1167" s="1043" t="s">
        <v>671</v>
      </c>
      <c r="F1167" s="960"/>
      <c r="G1167" s="1333">
        <v>4115</v>
      </c>
      <c r="H1167" s="960">
        <v>0</v>
      </c>
      <c r="I1167" s="1334">
        <f>(H1167/G1167)*100</f>
        <v>0</v>
      </c>
    </row>
    <row r="1168" spans="1:14" s="558" customFormat="1" ht="18" customHeight="1" thickTop="1" thickBot="1" x14ac:dyDescent="0.3">
      <c r="A1168" s="2751" t="s">
        <v>267</v>
      </c>
      <c r="B1168" s="2750"/>
      <c r="C1168" s="2750"/>
      <c r="D1168" s="2750"/>
      <c r="E1168" s="2750"/>
      <c r="F1168" s="943">
        <f>F1167</f>
        <v>0</v>
      </c>
      <c r="G1168" s="943">
        <f>G1167</f>
        <v>4115</v>
      </c>
      <c r="H1168" s="943">
        <f>H1167</f>
        <v>0</v>
      </c>
      <c r="I1168" s="926">
        <f>(H1168/G1168)*100</f>
        <v>0</v>
      </c>
    </row>
    <row r="1169" spans="1:14" ht="13.5" thickTop="1" x14ac:dyDescent="0.2">
      <c r="K1169" s="984"/>
      <c r="L1169" s="984"/>
      <c r="M1169" s="984"/>
      <c r="N1169" s="439"/>
    </row>
    <row r="1170" spans="1:14" x14ac:dyDescent="0.2">
      <c r="K1170" s="984"/>
      <c r="L1170" s="984"/>
      <c r="M1170" s="984"/>
      <c r="N1170" s="439"/>
    </row>
    <row r="1171" spans="1:14" s="558" customFormat="1" ht="13.5" thickBot="1" x14ac:dyDescent="0.25">
      <c r="A1171" s="439" t="s">
        <v>239</v>
      </c>
      <c r="B1171" s="669"/>
      <c r="D1171" s="884"/>
      <c r="F1171" s="517"/>
      <c r="G1171" s="517"/>
      <c r="H1171" s="517"/>
      <c r="I1171" s="1023" t="s">
        <v>179</v>
      </c>
    </row>
    <row r="1172" spans="1:14" s="107" customFormat="1" ht="20.25" customHeight="1" thickTop="1" thickBot="1" x14ac:dyDescent="0.25">
      <c r="A1172" s="714" t="s">
        <v>692</v>
      </c>
      <c r="B1172" s="717" t="s">
        <v>180</v>
      </c>
      <c r="C1172" s="715" t="s">
        <v>181</v>
      </c>
      <c r="D1172" s="660" t="s">
        <v>783</v>
      </c>
      <c r="E1172" s="718" t="s">
        <v>182</v>
      </c>
      <c r="F1172" s="718" t="s">
        <v>183</v>
      </c>
      <c r="G1172" s="718" t="s">
        <v>985</v>
      </c>
      <c r="H1172" s="718" t="s">
        <v>986</v>
      </c>
      <c r="I1172" s="888" t="s">
        <v>987</v>
      </c>
    </row>
    <row r="1173" spans="1:14" s="386" customFormat="1" ht="13.5" thickTop="1" thickBot="1" x14ac:dyDescent="0.25">
      <c r="A1173" s="1318">
        <v>1</v>
      </c>
      <c r="B1173" s="1319">
        <v>2</v>
      </c>
      <c r="C1173" s="1319">
        <v>3</v>
      </c>
      <c r="D1173" s="1319">
        <v>4</v>
      </c>
      <c r="E1173" s="593">
        <v>5</v>
      </c>
      <c r="F1173" s="1320">
        <v>6</v>
      </c>
      <c r="G1173" s="1320">
        <v>7</v>
      </c>
      <c r="H1173" s="1321">
        <v>8</v>
      </c>
      <c r="I1173" s="1322" t="s">
        <v>848</v>
      </c>
    </row>
    <row r="1174" spans="1:14" s="558" customFormat="1" ht="16.5" thickTop="1" thickBot="1" x14ac:dyDescent="0.3">
      <c r="A1174" s="1330">
        <v>60005100311</v>
      </c>
      <c r="B1174" s="1041">
        <v>3522</v>
      </c>
      <c r="C1174" s="1331">
        <v>6121</v>
      </c>
      <c r="D1174" s="1042">
        <v>25</v>
      </c>
      <c r="E1174" s="1043" t="s">
        <v>671</v>
      </c>
      <c r="F1174" s="960"/>
      <c r="G1174" s="1333">
        <v>843</v>
      </c>
      <c r="H1174" s="960">
        <v>842</v>
      </c>
      <c r="I1174" s="1334">
        <f>(H1174/G1174)*100</f>
        <v>99.881376037959669</v>
      </c>
    </row>
    <row r="1175" spans="1:14" s="558" customFormat="1" ht="18" customHeight="1" thickTop="1" thickBot="1" x14ac:dyDescent="0.3">
      <c r="A1175" s="2751" t="s">
        <v>267</v>
      </c>
      <c r="B1175" s="2750"/>
      <c r="C1175" s="2750"/>
      <c r="D1175" s="2750"/>
      <c r="E1175" s="2750"/>
      <c r="F1175" s="943">
        <f>F1174</f>
        <v>0</v>
      </c>
      <c r="G1175" s="943">
        <f>G1174</f>
        <v>843</v>
      </c>
      <c r="H1175" s="943">
        <f>H1174</f>
        <v>842</v>
      </c>
      <c r="I1175" s="926">
        <f>(H1175/G1175)*100</f>
        <v>99.881376037959669</v>
      </c>
    </row>
    <row r="1176" spans="1:14" ht="13.5" thickTop="1" x14ac:dyDescent="0.2">
      <c r="K1176" s="984"/>
      <c r="L1176" s="984"/>
      <c r="M1176" s="984"/>
      <c r="N1176" s="439"/>
    </row>
    <row r="1177" spans="1:14" x14ac:dyDescent="0.2">
      <c r="K1177" s="984"/>
      <c r="L1177" s="984"/>
      <c r="M1177" s="984"/>
      <c r="N1177" s="439"/>
    </row>
    <row r="1178" spans="1:14" s="558" customFormat="1" ht="13.5" thickBot="1" x14ac:dyDescent="0.25">
      <c r="A1178" s="439" t="s">
        <v>77</v>
      </c>
      <c r="B1178" s="669"/>
      <c r="D1178" s="884"/>
      <c r="F1178" s="517"/>
      <c r="G1178" s="517"/>
      <c r="H1178" s="517"/>
      <c r="I1178" s="1023" t="s">
        <v>179</v>
      </c>
    </row>
    <row r="1179" spans="1:14" s="107" customFormat="1" ht="20.25" customHeight="1" thickTop="1" thickBot="1" x14ac:dyDescent="0.25">
      <c r="A1179" s="714" t="s">
        <v>692</v>
      </c>
      <c r="B1179" s="717" t="s">
        <v>180</v>
      </c>
      <c r="C1179" s="715" t="s">
        <v>181</v>
      </c>
      <c r="D1179" s="660" t="s">
        <v>783</v>
      </c>
      <c r="E1179" s="718" t="s">
        <v>182</v>
      </c>
      <c r="F1179" s="718" t="s">
        <v>183</v>
      </c>
      <c r="G1179" s="718" t="s">
        <v>985</v>
      </c>
      <c r="H1179" s="718" t="s">
        <v>986</v>
      </c>
      <c r="I1179" s="888" t="s">
        <v>987</v>
      </c>
    </row>
    <row r="1180" spans="1:14" s="386" customFormat="1" ht="13.5" thickTop="1" thickBot="1" x14ac:dyDescent="0.25">
      <c r="A1180" s="1318">
        <v>1</v>
      </c>
      <c r="B1180" s="1319">
        <v>2</v>
      </c>
      <c r="C1180" s="1319">
        <v>3</v>
      </c>
      <c r="D1180" s="1319">
        <v>4</v>
      </c>
      <c r="E1180" s="593">
        <v>5</v>
      </c>
      <c r="F1180" s="1320">
        <v>6</v>
      </c>
      <c r="G1180" s="1320">
        <v>7</v>
      </c>
      <c r="H1180" s="1321">
        <v>8</v>
      </c>
      <c r="I1180" s="1322" t="s">
        <v>848</v>
      </c>
    </row>
    <row r="1181" spans="1:14" s="558" customFormat="1" ht="16.5" thickTop="1" thickBot="1" x14ac:dyDescent="0.3">
      <c r="A1181" s="1330">
        <v>60005100312</v>
      </c>
      <c r="B1181" s="1041">
        <v>3522</v>
      </c>
      <c r="C1181" s="1331">
        <v>6121</v>
      </c>
      <c r="D1181" s="1042">
        <v>25</v>
      </c>
      <c r="E1181" s="1043" t="s">
        <v>671</v>
      </c>
      <c r="F1181" s="960"/>
      <c r="G1181" s="1333">
        <v>1549</v>
      </c>
      <c r="H1181" s="960">
        <v>0</v>
      </c>
      <c r="I1181" s="1334">
        <f>(H1181/G1181)*100</f>
        <v>0</v>
      </c>
    </row>
    <row r="1182" spans="1:14" s="558" customFormat="1" ht="18" customHeight="1" thickTop="1" thickBot="1" x14ac:dyDescent="0.3">
      <c r="A1182" s="2751" t="s">
        <v>267</v>
      </c>
      <c r="B1182" s="2750"/>
      <c r="C1182" s="2750"/>
      <c r="D1182" s="2750"/>
      <c r="E1182" s="2750"/>
      <c r="F1182" s="943">
        <f>F1181</f>
        <v>0</v>
      </c>
      <c r="G1182" s="943">
        <f>G1181</f>
        <v>1549</v>
      </c>
      <c r="H1182" s="943">
        <f>H1181</f>
        <v>0</v>
      </c>
      <c r="I1182" s="926">
        <f>(H1182/G1182)*100</f>
        <v>0</v>
      </c>
    </row>
    <row r="1183" spans="1:14" ht="13.5" thickTop="1" x14ac:dyDescent="0.2">
      <c r="K1183" s="984"/>
      <c r="L1183" s="984"/>
      <c r="M1183" s="984"/>
      <c r="N1183" s="439"/>
    </row>
    <row r="1184" spans="1:14" x14ac:dyDescent="0.2">
      <c r="K1184" s="984"/>
      <c r="L1184" s="984"/>
      <c r="M1184" s="984"/>
      <c r="N1184" s="439"/>
    </row>
    <row r="1185" spans="1:14" s="558" customFormat="1" ht="13.5" thickBot="1" x14ac:dyDescent="0.25">
      <c r="A1185" s="439" t="s">
        <v>78</v>
      </c>
      <c r="B1185" s="669"/>
      <c r="D1185" s="884"/>
      <c r="F1185" s="517"/>
      <c r="G1185" s="517"/>
      <c r="H1185" s="517"/>
      <c r="I1185" s="1023" t="s">
        <v>179</v>
      </c>
    </row>
    <row r="1186" spans="1:14" s="107" customFormat="1" ht="20.25" customHeight="1" thickTop="1" thickBot="1" x14ac:dyDescent="0.25">
      <c r="A1186" s="714" t="s">
        <v>692</v>
      </c>
      <c r="B1186" s="717" t="s">
        <v>180</v>
      </c>
      <c r="C1186" s="715" t="s">
        <v>181</v>
      </c>
      <c r="D1186" s="660" t="s">
        <v>783</v>
      </c>
      <c r="E1186" s="718" t="s">
        <v>182</v>
      </c>
      <c r="F1186" s="718" t="s">
        <v>183</v>
      </c>
      <c r="G1186" s="718" t="s">
        <v>985</v>
      </c>
      <c r="H1186" s="718" t="s">
        <v>986</v>
      </c>
      <c r="I1186" s="888" t="s">
        <v>987</v>
      </c>
    </row>
    <row r="1187" spans="1:14" s="386" customFormat="1" ht="13.5" thickTop="1" thickBot="1" x14ac:dyDescent="0.25">
      <c r="A1187" s="1318">
        <v>1</v>
      </c>
      <c r="B1187" s="1319">
        <v>2</v>
      </c>
      <c r="C1187" s="1319">
        <v>3</v>
      </c>
      <c r="D1187" s="1319">
        <v>4</v>
      </c>
      <c r="E1187" s="593">
        <v>5</v>
      </c>
      <c r="F1187" s="1320">
        <v>6</v>
      </c>
      <c r="G1187" s="1320">
        <v>7</v>
      </c>
      <c r="H1187" s="1321">
        <v>8</v>
      </c>
      <c r="I1187" s="1322" t="s">
        <v>848</v>
      </c>
    </row>
    <row r="1188" spans="1:14" s="558" customFormat="1" ht="16.5" thickTop="1" thickBot="1" x14ac:dyDescent="0.3">
      <c r="A1188" s="1330">
        <v>60005100313</v>
      </c>
      <c r="B1188" s="1041">
        <v>3522</v>
      </c>
      <c r="C1188" s="1331">
        <v>6121</v>
      </c>
      <c r="D1188" s="1042">
        <v>25</v>
      </c>
      <c r="E1188" s="1043" t="s">
        <v>671</v>
      </c>
      <c r="F1188" s="960"/>
      <c r="G1188" s="1333">
        <v>380</v>
      </c>
      <c r="H1188" s="960">
        <v>173</v>
      </c>
      <c r="I1188" s="1334">
        <f>(H1188/G1188)*100</f>
        <v>45.526315789473685</v>
      </c>
    </row>
    <row r="1189" spans="1:14" s="558" customFormat="1" ht="18" customHeight="1" thickTop="1" thickBot="1" x14ac:dyDescent="0.3">
      <c r="A1189" s="2751" t="s">
        <v>267</v>
      </c>
      <c r="B1189" s="2750"/>
      <c r="C1189" s="2750"/>
      <c r="D1189" s="2750"/>
      <c r="E1189" s="2750"/>
      <c r="F1189" s="943">
        <f>F1188</f>
        <v>0</v>
      </c>
      <c r="G1189" s="943">
        <f>G1188</f>
        <v>380</v>
      </c>
      <c r="H1189" s="943">
        <f>H1188</f>
        <v>173</v>
      </c>
      <c r="I1189" s="926">
        <f>(H1189/G1189)*100</f>
        <v>45.526315789473685</v>
      </c>
    </row>
    <row r="1190" spans="1:14" ht="13.5" thickTop="1" x14ac:dyDescent="0.2">
      <c r="K1190" s="984"/>
      <c r="L1190" s="984"/>
      <c r="M1190" s="984"/>
      <c r="N1190" s="439"/>
    </row>
    <row r="1191" spans="1:14" x14ac:dyDescent="0.2">
      <c r="K1191" s="984"/>
      <c r="L1191" s="984"/>
      <c r="M1191" s="984"/>
      <c r="N1191" s="439"/>
    </row>
    <row r="1192" spans="1:14" s="558" customFormat="1" ht="13.5" thickBot="1" x14ac:dyDescent="0.25">
      <c r="A1192" s="439" t="s">
        <v>361</v>
      </c>
      <c r="B1192" s="669"/>
      <c r="D1192" s="884"/>
      <c r="F1192" s="517"/>
      <c r="G1192" s="517"/>
      <c r="H1192" s="517"/>
      <c r="I1192" s="1023" t="s">
        <v>179</v>
      </c>
    </row>
    <row r="1193" spans="1:14" s="107" customFormat="1" ht="20.25" customHeight="1" thickTop="1" thickBot="1" x14ac:dyDescent="0.25">
      <c r="A1193" s="714" t="s">
        <v>692</v>
      </c>
      <c r="B1193" s="717" t="s">
        <v>180</v>
      </c>
      <c r="C1193" s="715" t="s">
        <v>181</v>
      </c>
      <c r="D1193" s="660" t="s">
        <v>783</v>
      </c>
      <c r="E1193" s="718" t="s">
        <v>182</v>
      </c>
      <c r="F1193" s="718" t="s">
        <v>183</v>
      </c>
      <c r="G1193" s="718" t="s">
        <v>985</v>
      </c>
      <c r="H1193" s="718" t="s">
        <v>986</v>
      </c>
      <c r="I1193" s="888" t="s">
        <v>987</v>
      </c>
    </row>
    <row r="1194" spans="1:14" s="386" customFormat="1" ht="13.5" thickTop="1" thickBot="1" x14ac:dyDescent="0.25">
      <c r="A1194" s="1318">
        <v>1</v>
      </c>
      <c r="B1194" s="1319">
        <v>2</v>
      </c>
      <c r="C1194" s="1319">
        <v>3</v>
      </c>
      <c r="D1194" s="1319">
        <v>4</v>
      </c>
      <c r="E1194" s="593">
        <v>5</v>
      </c>
      <c r="F1194" s="1320">
        <v>6</v>
      </c>
      <c r="G1194" s="1320">
        <v>7</v>
      </c>
      <c r="H1194" s="1321">
        <v>8</v>
      </c>
      <c r="I1194" s="1322" t="s">
        <v>848</v>
      </c>
    </row>
    <row r="1195" spans="1:14" s="558" customFormat="1" ht="16.5" thickTop="1" thickBot="1" x14ac:dyDescent="0.3">
      <c r="A1195" s="1330">
        <v>60005100339</v>
      </c>
      <c r="B1195" s="1041">
        <v>3522</v>
      </c>
      <c r="C1195" s="1331">
        <v>6121</v>
      </c>
      <c r="D1195" s="1042">
        <v>25</v>
      </c>
      <c r="E1195" s="1043" t="s">
        <v>671</v>
      </c>
      <c r="F1195" s="960"/>
      <c r="G1195" s="1333">
        <v>4918</v>
      </c>
      <c r="H1195" s="960">
        <v>845</v>
      </c>
      <c r="I1195" s="1334">
        <f>(H1195/G1195)*100</f>
        <v>17.181781211874746</v>
      </c>
    </row>
    <row r="1196" spans="1:14" s="558" customFormat="1" ht="18" customHeight="1" thickTop="1" thickBot="1" x14ac:dyDescent="0.3">
      <c r="A1196" s="2751" t="s">
        <v>267</v>
      </c>
      <c r="B1196" s="2750"/>
      <c r="C1196" s="2750"/>
      <c r="D1196" s="2750"/>
      <c r="E1196" s="2750"/>
      <c r="F1196" s="943">
        <f>F1195</f>
        <v>0</v>
      </c>
      <c r="G1196" s="943">
        <f>G1195</f>
        <v>4918</v>
      </c>
      <c r="H1196" s="943">
        <f>H1195</f>
        <v>845</v>
      </c>
      <c r="I1196" s="926">
        <f>(H1196/G1196)*100</f>
        <v>17.181781211874746</v>
      </c>
    </row>
    <row r="1197" spans="1:14" ht="13.5" thickTop="1" x14ac:dyDescent="0.2">
      <c r="K1197" s="984"/>
      <c r="L1197" s="984"/>
      <c r="M1197" s="984"/>
      <c r="N1197" s="439"/>
    </row>
    <row r="1198" spans="1:14" x14ac:dyDescent="0.2">
      <c r="K1198" s="984"/>
      <c r="L1198" s="984"/>
      <c r="M1198" s="984"/>
      <c r="N1198" s="439"/>
    </row>
    <row r="1199" spans="1:14" x14ac:dyDescent="0.2">
      <c r="K1199" s="984"/>
      <c r="L1199" s="984"/>
      <c r="M1199" s="984"/>
      <c r="N1199" s="439"/>
    </row>
    <row r="1200" spans="1:14" x14ac:dyDescent="0.2">
      <c r="K1200" s="984"/>
      <c r="L1200" s="984"/>
      <c r="M1200" s="984"/>
      <c r="N1200" s="439"/>
    </row>
    <row r="1201" spans="1:14" x14ac:dyDescent="0.2">
      <c r="K1201" s="984"/>
      <c r="L1201" s="984"/>
      <c r="M1201" s="984"/>
      <c r="N1201" s="439"/>
    </row>
    <row r="1202" spans="1:14" x14ac:dyDescent="0.2">
      <c r="K1202" s="984"/>
      <c r="L1202" s="984"/>
      <c r="M1202" s="984"/>
      <c r="N1202" s="439"/>
    </row>
    <row r="1203" spans="1:14" s="558" customFormat="1" ht="13.5" thickBot="1" x14ac:dyDescent="0.25">
      <c r="A1203" s="439" t="s">
        <v>362</v>
      </c>
      <c r="B1203" s="669"/>
      <c r="D1203" s="884"/>
      <c r="F1203" s="517"/>
      <c r="G1203" s="517"/>
      <c r="H1203" s="517"/>
      <c r="I1203" s="1023" t="s">
        <v>179</v>
      </c>
    </row>
    <row r="1204" spans="1:14" s="107" customFormat="1" ht="20.25" customHeight="1" thickTop="1" thickBot="1" x14ac:dyDescent="0.25">
      <c r="A1204" s="714" t="s">
        <v>692</v>
      </c>
      <c r="B1204" s="717" t="s">
        <v>180</v>
      </c>
      <c r="C1204" s="715" t="s">
        <v>181</v>
      </c>
      <c r="D1204" s="660" t="s">
        <v>783</v>
      </c>
      <c r="E1204" s="718" t="s">
        <v>182</v>
      </c>
      <c r="F1204" s="718" t="s">
        <v>183</v>
      </c>
      <c r="G1204" s="718" t="s">
        <v>985</v>
      </c>
      <c r="H1204" s="718" t="s">
        <v>986</v>
      </c>
      <c r="I1204" s="888" t="s">
        <v>987</v>
      </c>
    </row>
    <row r="1205" spans="1:14" s="386" customFormat="1" ht="13.5" thickTop="1" thickBot="1" x14ac:dyDescent="0.25">
      <c r="A1205" s="1318">
        <v>1</v>
      </c>
      <c r="B1205" s="1319">
        <v>2</v>
      </c>
      <c r="C1205" s="1319">
        <v>3</v>
      </c>
      <c r="D1205" s="1319">
        <v>4</v>
      </c>
      <c r="E1205" s="593">
        <v>5</v>
      </c>
      <c r="F1205" s="1320">
        <v>6</v>
      </c>
      <c r="G1205" s="1320">
        <v>7</v>
      </c>
      <c r="H1205" s="1321">
        <v>8</v>
      </c>
      <c r="I1205" s="1322" t="s">
        <v>848</v>
      </c>
    </row>
    <row r="1206" spans="1:14" s="558" customFormat="1" ht="16.5" thickTop="1" thickBot="1" x14ac:dyDescent="0.3">
      <c r="A1206" s="1330">
        <v>60005100340</v>
      </c>
      <c r="B1206" s="1041">
        <v>3522</v>
      </c>
      <c r="C1206" s="1331">
        <v>6121</v>
      </c>
      <c r="D1206" s="1042">
        <v>25</v>
      </c>
      <c r="E1206" s="1043" t="s">
        <v>671</v>
      </c>
      <c r="F1206" s="960"/>
      <c r="G1206" s="1333">
        <v>100</v>
      </c>
      <c r="H1206" s="960">
        <v>94</v>
      </c>
      <c r="I1206" s="1334">
        <f>(H1206/G1206)*100</f>
        <v>94</v>
      </c>
    </row>
    <row r="1207" spans="1:14" s="558" customFormat="1" ht="18" customHeight="1" thickTop="1" thickBot="1" x14ac:dyDescent="0.3">
      <c r="A1207" s="2751" t="s">
        <v>267</v>
      </c>
      <c r="B1207" s="2750"/>
      <c r="C1207" s="2750"/>
      <c r="D1207" s="2750"/>
      <c r="E1207" s="2750"/>
      <c r="F1207" s="943">
        <f>F1206</f>
        <v>0</v>
      </c>
      <c r="G1207" s="943">
        <f>G1206</f>
        <v>100</v>
      </c>
      <c r="H1207" s="943">
        <f>H1206</f>
        <v>94</v>
      </c>
      <c r="I1207" s="926">
        <f>(H1207/G1207)*100</f>
        <v>94</v>
      </c>
    </row>
    <row r="1208" spans="1:14" ht="13.5" thickTop="1" x14ac:dyDescent="0.2">
      <c r="K1208" s="984"/>
      <c r="L1208" s="984"/>
      <c r="M1208" s="984"/>
      <c r="N1208" s="439"/>
    </row>
    <row r="1209" spans="1:14" x14ac:dyDescent="0.2">
      <c r="K1209" s="984"/>
      <c r="L1209" s="984"/>
      <c r="M1209" s="984"/>
      <c r="N1209" s="439"/>
    </row>
    <row r="1210" spans="1:14" s="558" customFormat="1" ht="13.5" thickBot="1" x14ac:dyDescent="0.25">
      <c r="A1210" s="439" t="s">
        <v>1199</v>
      </c>
      <c r="B1210" s="669"/>
      <c r="D1210" s="884"/>
      <c r="F1210" s="517"/>
      <c r="G1210" s="517"/>
      <c r="H1210" s="517"/>
      <c r="I1210" s="1023" t="s">
        <v>179</v>
      </c>
    </row>
    <row r="1211" spans="1:14" s="107" customFormat="1" ht="20.25" customHeight="1" thickTop="1" thickBot="1" x14ac:dyDescent="0.25">
      <c r="A1211" s="714" t="s">
        <v>692</v>
      </c>
      <c r="B1211" s="717" t="s">
        <v>180</v>
      </c>
      <c r="C1211" s="715" t="s">
        <v>181</v>
      </c>
      <c r="D1211" s="660" t="s">
        <v>783</v>
      </c>
      <c r="E1211" s="718" t="s">
        <v>182</v>
      </c>
      <c r="F1211" s="718" t="s">
        <v>183</v>
      </c>
      <c r="G1211" s="718" t="s">
        <v>985</v>
      </c>
      <c r="H1211" s="718" t="s">
        <v>986</v>
      </c>
      <c r="I1211" s="888" t="s">
        <v>987</v>
      </c>
    </row>
    <row r="1212" spans="1:14" s="386" customFormat="1" ht="13.5" thickTop="1" thickBot="1" x14ac:dyDescent="0.25">
      <c r="A1212" s="1318">
        <v>1</v>
      </c>
      <c r="B1212" s="1319">
        <v>2</v>
      </c>
      <c r="C1212" s="1319">
        <v>3</v>
      </c>
      <c r="D1212" s="1319">
        <v>4</v>
      </c>
      <c r="E1212" s="593">
        <v>5</v>
      </c>
      <c r="F1212" s="1320">
        <v>6</v>
      </c>
      <c r="G1212" s="1320">
        <v>7</v>
      </c>
      <c r="H1212" s="1321">
        <v>8</v>
      </c>
      <c r="I1212" s="1322" t="s">
        <v>848</v>
      </c>
    </row>
    <row r="1213" spans="1:14" s="558" customFormat="1" ht="16.5" thickTop="1" thickBot="1" x14ac:dyDescent="0.3">
      <c r="A1213" s="1330">
        <v>60005100344</v>
      </c>
      <c r="B1213" s="1041">
        <v>3522</v>
      </c>
      <c r="C1213" s="1331">
        <v>6121</v>
      </c>
      <c r="D1213" s="1042">
        <v>25</v>
      </c>
      <c r="E1213" s="1043" t="s">
        <v>671</v>
      </c>
      <c r="F1213" s="960"/>
      <c r="G1213" s="1333">
        <v>380</v>
      </c>
      <c r="H1213" s="960">
        <v>0</v>
      </c>
      <c r="I1213" s="1334">
        <f>(H1213/G1213)*100</f>
        <v>0</v>
      </c>
    </row>
    <row r="1214" spans="1:14" s="558" customFormat="1" ht="18" customHeight="1" thickTop="1" thickBot="1" x14ac:dyDescent="0.3">
      <c r="A1214" s="2751" t="s">
        <v>267</v>
      </c>
      <c r="B1214" s="2750"/>
      <c r="C1214" s="2750"/>
      <c r="D1214" s="2750"/>
      <c r="E1214" s="2750"/>
      <c r="F1214" s="943">
        <f>F1213</f>
        <v>0</v>
      </c>
      <c r="G1214" s="943">
        <f>G1213</f>
        <v>380</v>
      </c>
      <c r="H1214" s="943">
        <f>H1213</f>
        <v>0</v>
      </c>
      <c r="I1214" s="926">
        <f>(H1214/G1214)*100</f>
        <v>0</v>
      </c>
      <c r="K1214" s="517">
        <f>F1034+F1041+F1049+F1054+F1061+F1073+F1080+F1087+F1094+F1101+F1108+F1115+F1122+F1129+F1140+F1147+F1154+F1161+F1168+F1175+F1182+F1189+F1196+F1207+F1214</f>
        <v>39307</v>
      </c>
      <c r="L1214" s="517">
        <f>G1034+G1041+G1049+G1054+G1061+G1073+G1080+G1087+G1094+G1101+G1108+G1115+G1122+G1129+G1140+G1147+G1154+G1161+G1168+G1175+G1182+G1189+G1196+G1207+G1214</f>
        <v>85331</v>
      </c>
      <c r="M1214" s="517">
        <f>H1034+H1041+H1049+H1054+H1061+H1073+H1080+H1087+H1094+H1101+H1108+H1115+H1122+H1129+H1140+H1147+H1154+H1161+H1168+H1175+H1182+H1189+H1196+H1207+H1214</f>
        <v>68509</v>
      </c>
      <c r="N1214" s="558" t="s">
        <v>1238</v>
      </c>
    </row>
    <row r="1215" spans="1:14" ht="13.5" thickTop="1" x14ac:dyDescent="0.2">
      <c r="K1215" s="984"/>
      <c r="L1215" s="984"/>
      <c r="M1215" s="984"/>
      <c r="N1215" s="439"/>
    </row>
    <row r="1216" spans="1:14" x14ac:dyDescent="0.2">
      <c r="K1216" s="984"/>
      <c r="L1216" s="984"/>
      <c r="M1216" s="984"/>
      <c r="N1216" s="439"/>
    </row>
    <row r="1217" spans="1:15" s="558" customFormat="1" ht="13.5" thickBot="1" x14ac:dyDescent="0.25">
      <c r="A1217" s="439" t="s">
        <v>1200</v>
      </c>
      <c r="B1217" s="669"/>
      <c r="D1217" s="884"/>
      <c r="F1217" s="517"/>
      <c r="G1217" s="517"/>
      <c r="H1217" s="517"/>
      <c r="I1217" s="1023" t="s">
        <v>179</v>
      </c>
    </row>
    <row r="1218" spans="1:15" s="107" customFormat="1" ht="20.25" customHeight="1" thickTop="1" thickBot="1" x14ac:dyDescent="0.25">
      <c r="A1218" s="714" t="s">
        <v>692</v>
      </c>
      <c r="B1218" s="717" t="s">
        <v>180</v>
      </c>
      <c r="C1218" s="715" t="s">
        <v>181</v>
      </c>
      <c r="D1218" s="660" t="s">
        <v>783</v>
      </c>
      <c r="E1218" s="718" t="s">
        <v>182</v>
      </c>
      <c r="F1218" s="718" t="s">
        <v>183</v>
      </c>
      <c r="G1218" s="718" t="s">
        <v>985</v>
      </c>
      <c r="H1218" s="718" t="s">
        <v>986</v>
      </c>
      <c r="I1218" s="888" t="s">
        <v>987</v>
      </c>
    </row>
    <row r="1219" spans="1:15" s="386" customFormat="1" ht="13.5" thickTop="1" thickBot="1" x14ac:dyDescent="0.25">
      <c r="A1219" s="1318">
        <v>1</v>
      </c>
      <c r="B1219" s="1319">
        <v>2</v>
      </c>
      <c r="C1219" s="1319">
        <v>3</v>
      </c>
      <c r="D1219" s="1319">
        <v>4</v>
      </c>
      <c r="E1219" s="593">
        <v>5</v>
      </c>
      <c r="F1219" s="1320">
        <v>6</v>
      </c>
      <c r="G1219" s="1320">
        <v>7</v>
      </c>
      <c r="H1219" s="1321">
        <v>8</v>
      </c>
      <c r="I1219" s="1322" t="s">
        <v>848</v>
      </c>
    </row>
    <row r="1220" spans="1:15" s="558" customFormat="1" ht="16.5" thickTop="1" thickBot="1" x14ac:dyDescent="0.3">
      <c r="A1220" s="1330">
        <v>60008100137</v>
      </c>
      <c r="B1220" s="1041">
        <v>3315</v>
      </c>
      <c r="C1220" s="1331">
        <v>6121</v>
      </c>
      <c r="D1220" s="1042">
        <v>0</v>
      </c>
      <c r="E1220" s="1043" t="s">
        <v>671</v>
      </c>
      <c r="F1220" s="960"/>
      <c r="G1220" s="1333">
        <v>1590</v>
      </c>
      <c r="H1220" s="960">
        <v>248</v>
      </c>
      <c r="I1220" s="1334">
        <f>(H1220/G1220)*100</f>
        <v>15.59748427672956</v>
      </c>
    </row>
    <row r="1221" spans="1:15" s="558" customFormat="1" ht="18" customHeight="1" thickTop="1" thickBot="1" x14ac:dyDescent="0.3">
      <c r="A1221" s="2751" t="s">
        <v>267</v>
      </c>
      <c r="B1221" s="2750"/>
      <c r="C1221" s="2750"/>
      <c r="D1221" s="2750"/>
      <c r="E1221" s="2750"/>
      <c r="F1221" s="943">
        <f>F1220</f>
        <v>0</v>
      </c>
      <c r="G1221" s="943">
        <f>G1220</f>
        <v>1590</v>
      </c>
      <c r="H1221" s="943">
        <f>H1220</f>
        <v>248</v>
      </c>
      <c r="I1221" s="926">
        <f>(H1221/G1221)*100</f>
        <v>15.59748427672956</v>
      </c>
      <c r="K1221" s="517">
        <f>F1221</f>
        <v>0</v>
      </c>
      <c r="L1221" s="517">
        <f>G1221</f>
        <v>1590</v>
      </c>
      <c r="M1221" s="517">
        <f>H1221</f>
        <v>248</v>
      </c>
      <c r="N1221" s="558" t="s">
        <v>1239</v>
      </c>
    </row>
    <row r="1222" spans="1:15" ht="13.5" thickTop="1" x14ac:dyDescent="0.2">
      <c r="K1222" s="984"/>
      <c r="L1222" s="984"/>
      <c r="M1222" s="984"/>
      <c r="N1222" s="439"/>
    </row>
    <row r="1223" spans="1:15" x14ac:dyDescent="0.2">
      <c r="K1223" s="984"/>
      <c r="L1223" s="984"/>
      <c r="M1223" s="984"/>
      <c r="N1223" s="439"/>
    </row>
    <row r="1224" spans="1:15" s="1055" customFormat="1" ht="27.75" customHeight="1" thickBot="1" x14ac:dyDescent="0.4">
      <c r="A1224" s="1050" t="s">
        <v>661</v>
      </c>
      <c r="B1224" s="1051"/>
      <c r="C1224" s="1051"/>
      <c r="D1224" s="1051"/>
      <c r="E1224" s="1052"/>
      <c r="F1224" s="1053">
        <f>K1234</f>
        <v>253286</v>
      </c>
      <c r="G1224" s="1053">
        <f>L1234</f>
        <v>662054</v>
      </c>
      <c r="H1224" s="1053">
        <f>M1234</f>
        <v>597273</v>
      </c>
      <c r="I1224" s="1054">
        <f>(H1224/G1224)*100</f>
        <v>90.21514861325511</v>
      </c>
      <c r="K1224" s="1056"/>
      <c r="L1224" s="1056"/>
      <c r="M1224" s="1056"/>
      <c r="N1224" s="1057"/>
    </row>
    <row r="1225" spans="1:15" ht="13.5" thickTop="1" x14ac:dyDescent="0.2">
      <c r="K1225" s="984"/>
      <c r="L1225" s="984"/>
      <c r="M1225" s="984"/>
    </row>
    <row r="1227" spans="1:15" x14ac:dyDescent="0.2">
      <c r="A1227" s="2791" t="s">
        <v>491</v>
      </c>
      <c r="B1227" s="2724"/>
      <c r="C1227" s="2724"/>
      <c r="D1227" s="2724"/>
      <c r="E1227" s="2724"/>
      <c r="F1227" s="2724"/>
      <c r="G1227" s="2724"/>
      <c r="H1227" s="2724"/>
      <c r="I1227" s="2724"/>
      <c r="K1227" s="984"/>
      <c r="L1227" s="984"/>
      <c r="M1227" s="984"/>
    </row>
    <row r="1228" spans="1:15" s="558" customFormat="1" x14ac:dyDescent="0.2">
      <c r="A1228" s="2724"/>
      <c r="B1228" s="2724"/>
      <c r="C1228" s="2724"/>
      <c r="D1228" s="2724"/>
      <c r="E1228" s="2724"/>
      <c r="F1228" s="2724"/>
      <c r="G1228" s="2724"/>
      <c r="H1228" s="2724"/>
      <c r="I1228" s="2724"/>
      <c r="J1228" s="693"/>
      <c r="K1228" s="979">
        <f>K1027</f>
        <v>106635</v>
      </c>
      <c r="L1228" s="979">
        <f>L1027</f>
        <v>232034</v>
      </c>
      <c r="M1228" s="979">
        <f>M1027</f>
        <v>227096</v>
      </c>
      <c r="N1228" s="439" t="s">
        <v>1237</v>
      </c>
      <c r="O1228" s="107"/>
    </row>
    <row r="1229" spans="1:15" s="558" customFormat="1" x14ac:dyDescent="0.2">
      <c r="A1229" s="1029"/>
      <c r="B1229" s="1030"/>
      <c r="C1229" s="693"/>
      <c r="D1229" s="699"/>
      <c r="E1229" s="693"/>
      <c r="F1229" s="699"/>
      <c r="G1229" s="699"/>
      <c r="H1229" s="699"/>
      <c r="I1229" s="1028"/>
      <c r="J1229" s="693"/>
      <c r="K1229" s="1049">
        <f>K413</f>
        <v>62847</v>
      </c>
      <c r="L1229" s="1049">
        <f>L413</f>
        <v>229852</v>
      </c>
      <c r="M1229" s="1049">
        <f>M413</f>
        <v>210636</v>
      </c>
      <c r="N1229" s="439" t="s">
        <v>1235</v>
      </c>
      <c r="O1229" s="386"/>
    </row>
    <row r="1230" spans="1:15" x14ac:dyDescent="0.2">
      <c r="K1230" s="699">
        <f>K764</f>
        <v>34847</v>
      </c>
      <c r="L1230" s="699">
        <f>L764</f>
        <v>70661</v>
      </c>
      <c r="M1230" s="699">
        <f>M764</f>
        <v>61431</v>
      </c>
      <c r="N1230" s="439" t="s">
        <v>1240</v>
      </c>
    </row>
    <row r="1231" spans="1:15" x14ac:dyDescent="0.2">
      <c r="K1231" s="699">
        <f>K640</f>
        <v>9650</v>
      </c>
      <c r="L1231" s="699">
        <f>L640</f>
        <v>42586</v>
      </c>
      <c r="M1231" s="699">
        <f>M640</f>
        <v>29353</v>
      </c>
      <c r="N1231" s="439" t="s">
        <v>1236</v>
      </c>
    </row>
    <row r="1232" spans="1:15" x14ac:dyDescent="0.2">
      <c r="K1232" s="699">
        <f>K1214</f>
        <v>39307</v>
      </c>
      <c r="L1232" s="699">
        <f>L1214</f>
        <v>85331</v>
      </c>
      <c r="M1232" s="699">
        <f>M1214</f>
        <v>68509</v>
      </c>
      <c r="N1232" s="439" t="s">
        <v>1238</v>
      </c>
    </row>
    <row r="1233" spans="11:15" ht="23.25" x14ac:dyDescent="0.35">
      <c r="K1233" s="1056">
        <f>K1221</f>
        <v>0</v>
      </c>
      <c r="L1233" s="1056">
        <f>L1221</f>
        <v>1590</v>
      </c>
      <c r="M1233" s="1056">
        <f>M1221</f>
        <v>248</v>
      </c>
      <c r="N1233" s="1057" t="s">
        <v>836</v>
      </c>
      <c r="O1233" s="1055"/>
    </row>
    <row r="1234" spans="11:15" x14ac:dyDescent="0.2">
      <c r="K1234" s="984">
        <f>K1228+K1229+K1230+K1231+K1232+K1233</f>
        <v>253286</v>
      </c>
      <c r="L1234" s="984">
        <f>L1228+L1229+L1230+L1231+L1232+L1233</f>
        <v>662054</v>
      </c>
      <c r="M1234" s="984">
        <f>M1228+M1229+M1230+M1231+M1232+M1233</f>
        <v>597273</v>
      </c>
      <c r="N1234" s="439" t="s">
        <v>849</v>
      </c>
    </row>
  </sheetData>
  <mergeCells count="173">
    <mergeCell ref="A1227:I1228"/>
    <mergeCell ref="A1221:E1221"/>
    <mergeCell ref="A1189:E1189"/>
    <mergeCell ref="A1196:E1196"/>
    <mergeCell ref="A1207:E1207"/>
    <mergeCell ref="A1214:E1214"/>
    <mergeCell ref="A1161:E1161"/>
    <mergeCell ref="A1168:E1168"/>
    <mergeCell ref="A1175:E1175"/>
    <mergeCell ref="A1182:E1182"/>
    <mergeCell ref="A1129:E1129"/>
    <mergeCell ref="A1140:E1140"/>
    <mergeCell ref="A1147:E1147"/>
    <mergeCell ref="A1154:E1154"/>
    <mergeCell ref="A1101:E1101"/>
    <mergeCell ref="A1108:E1108"/>
    <mergeCell ref="A1115:E1115"/>
    <mergeCell ref="A1122:E1122"/>
    <mergeCell ref="A1073:E1073"/>
    <mergeCell ref="A1080:E1080"/>
    <mergeCell ref="A1087:E1087"/>
    <mergeCell ref="A1094:E1094"/>
    <mergeCell ref="A967:E967"/>
    <mergeCell ref="A928:E928"/>
    <mergeCell ref="A974:E974"/>
    <mergeCell ref="A981:E981"/>
    <mergeCell ref="A953:E953"/>
    <mergeCell ref="A960:E960"/>
    <mergeCell ref="A939:E939"/>
    <mergeCell ref="A946:E946"/>
    <mergeCell ref="A914:E914"/>
    <mergeCell ref="A921:E921"/>
    <mergeCell ref="A1041:E1041"/>
    <mergeCell ref="A1049:E1049"/>
    <mergeCell ref="A1054:E1054"/>
    <mergeCell ref="A1061:E1061"/>
    <mergeCell ref="A988:E988"/>
    <mergeCell ref="A990:E990"/>
    <mergeCell ref="A1027:E1027"/>
    <mergeCell ref="A1034:E1034"/>
    <mergeCell ref="A997:E997"/>
    <mergeCell ref="A1006:E1006"/>
    <mergeCell ref="A1013:E1013"/>
    <mergeCell ref="A1020:E1020"/>
    <mergeCell ref="A772:E772"/>
    <mergeCell ref="A779:E779"/>
    <mergeCell ref="A746:E746"/>
    <mergeCell ref="A793:E793"/>
    <mergeCell ref="A786:E786"/>
    <mergeCell ref="A764:E764"/>
    <mergeCell ref="A756:E756"/>
    <mergeCell ref="A835:E835"/>
    <mergeCell ref="A843:E843"/>
    <mergeCell ref="A827:E827"/>
    <mergeCell ref="A427:E427"/>
    <mergeCell ref="A434:E434"/>
    <mergeCell ref="A613:E613"/>
    <mergeCell ref="A620:E620"/>
    <mergeCell ref="A627:E627"/>
    <mergeCell ref="A634:E634"/>
    <mergeCell ref="A581:E581"/>
    <mergeCell ref="A589:E589"/>
    <mergeCell ref="A596:E596"/>
    <mergeCell ref="A606:E606"/>
    <mergeCell ref="A553:E553"/>
    <mergeCell ref="A560:E560"/>
    <mergeCell ref="A567:E567"/>
    <mergeCell ref="A574:E574"/>
    <mergeCell ref="A525:E525"/>
    <mergeCell ref="A473:E473"/>
    <mergeCell ref="A483:E483"/>
    <mergeCell ref="A490:E490"/>
    <mergeCell ref="A441:E441"/>
    <mergeCell ref="A448:E448"/>
    <mergeCell ref="A455:E455"/>
    <mergeCell ref="A462:E462"/>
    <mergeCell ref="A476:E476"/>
    <mergeCell ref="A532:E532"/>
    <mergeCell ref="A361:E361"/>
    <mergeCell ref="A379:E379"/>
    <mergeCell ref="A413:E413"/>
    <mergeCell ref="A406:E406"/>
    <mergeCell ref="A387:E387"/>
    <mergeCell ref="A394:E394"/>
    <mergeCell ref="A369:E369"/>
    <mergeCell ref="A371:E371"/>
    <mergeCell ref="A420:E420"/>
    <mergeCell ref="A14:E14"/>
    <mergeCell ref="A33:E33"/>
    <mergeCell ref="A41:E41"/>
    <mergeCell ref="A205:E205"/>
    <mergeCell ref="A163:E163"/>
    <mergeCell ref="A177:E177"/>
    <mergeCell ref="A21:E21"/>
    <mergeCell ref="A86:E86"/>
    <mergeCell ref="A29:E29"/>
    <mergeCell ref="A94:E94"/>
    <mergeCell ref="A101:E101"/>
    <mergeCell ref="A108:E108"/>
    <mergeCell ref="A115:E115"/>
    <mergeCell ref="A48:E48"/>
    <mergeCell ref="A56:E56"/>
    <mergeCell ref="A63:E63"/>
    <mergeCell ref="A72:E72"/>
    <mergeCell ref="A79:E79"/>
    <mergeCell ref="A139:E139"/>
    <mergeCell ref="A146:E146"/>
    <mergeCell ref="A153:E153"/>
    <mergeCell ref="A122:E122"/>
    <mergeCell ref="A129:E129"/>
    <mergeCell ref="A184:E184"/>
    <mergeCell ref="A227:E227"/>
    <mergeCell ref="A230:E230"/>
    <mergeCell ref="A198:E198"/>
    <mergeCell ref="A219:E219"/>
    <mergeCell ref="A160:E160"/>
    <mergeCell ref="A237:E237"/>
    <mergeCell ref="A212:E212"/>
    <mergeCell ref="A170:E170"/>
    <mergeCell ref="A191:E191"/>
    <mergeCell ref="A244:E244"/>
    <mergeCell ref="A346:E346"/>
    <mergeCell ref="A354:E354"/>
    <mergeCell ref="A349:H350"/>
    <mergeCell ref="A329:E329"/>
    <mergeCell ref="A339:E339"/>
    <mergeCell ref="A251:E251"/>
    <mergeCell ref="A322:E322"/>
    <mergeCell ref="A258:E258"/>
    <mergeCell ref="A261:E261"/>
    <mergeCell ref="A272:E272"/>
    <mergeCell ref="A279:E279"/>
    <mergeCell ref="A315:E315"/>
    <mergeCell ref="A286:E286"/>
    <mergeCell ref="A294:E294"/>
    <mergeCell ref="A301:E301"/>
    <mergeCell ref="A308:E308"/>
    <mergeCell ref="A539:E539"/>
    <mergeCell ref="A546:E546"/>
    <mergeCell ref="A497:E497"/>
    <mergeCell ref="A504:E504"/>
    <mergeCell ref="A511:E511"/>
    <mergeCell ref="A518:E518"/>
    <mergeCell ref="A734:E734"/>
    <mergeCell ref="A739:E739"/>
    <mergeCell ref="A748:E748"/>
    <mergeCell ref="A641:E641"/>
    <mergeCell ref="A648:E648"/>
    <mergeCell ref="A655:E655"/>
    <mergeCell ref="A664:E664"/>
    <mergeCell ref="A662:E662"/>
    <mergeCell ref="A673:E673"/>
    <mergeCell ref="A706:E706"/>
    <mergeCell ref="A713:E713"/>
    <mergeCell ref="A720:E720"/>
    <mergeCell ref="A678:E678"/>
    <mergeCell ref="A685:E685"/>
    <mergeCell ref="A692:E692"/>
    <mergeCell ref="A699:E699"/>
    <mergeCell ref="A727:E727"/>
    <mergeCell ref="A864:E864"/>
    <mergeCell ref="A872:E872"/>
    <mergeCell ref="A880:E880"/>
    <mergeCell ref="A888:E888"/>
    <mergeCell ref="A903:E903"/>
    <mergeCell ref="A907:E907"/>
    <mergeCell ref="A800:E800"/>
    <mergeCell ref="A805:E805"/>
    <mergeCell ref="A812:E812"/>
    <mergeCell ref="A820:E820"/>
    <mergeCell ref="A857:E857"/>
    <mergeCell ref="A896:E896"/>
    <mergeCell ref="A850:E850"/>
  </mergeCells>
  <phoneticPr fontId="33" type="noConversion"/>
  <pageMargins left="0.98425196850393704" right="0.98425196850393704" top="0.98425196850393704" bottom="0.98425196850393704" header="0.51181102362204722" footer="0.51181102362204722"/>
  <pageSetup paperSize="9" scale="70" firstPageNumber="30" orientation="portrait" r:id="rId1"/>
  <headerFooter alignWithMargins="0">
    <oddFooter xml:space="preserve">&amp;L&amp;"Arial,Kurzíva"Rada Olomouckého kraje 3.6.2010
4.3.- Rozpočet Olomouckého kraje 2009 - závěrečný  účet
Příloha č. 3: Plnění rozpočtu výdajů Olomouckého kraje k 31.12.2009&amp;R&amp;"Arial,Kurzíva"Strana &amp;P (Celkem 458)
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574"/>
  <sheetViews>
    <sheetView showGridLines="0" view="pageBreakPreview" topLeftCell="A532" zoomScaleNormal="100" zoomScaleSheetLayoutView="100" workbookViewId="0">
      <selection activeCell="A478" sqref="A478"/>
    </sheetView>
  </sheetViews>
  <sheetFormatPr defaultRowHeight="12.75" x14ac:dyDescent="0.2"/>
  <cols>
    <col min="1" max="1" width="5.7109375" style="2130" customWidth="1"/>
    <col min="2" max="2" width="6.7109375" style="2130" customWidth="1"/>
    <col min="3" max="3" width="10.28515625" style="2130" customWidth="1"/>
    <col min="4" max="4" width="46.42578125" style="2131" customWidth="1"/>
    <col min="5" max="5" width="13.85546875" style="2132" customWidth="1"/>
    <col min="6" max="6" width="14.85546875" style="2132" customWidth="1"/>
    <col min="7" max="7" width="13.85546875" style="2132" customWidth="1"/>
    <col min="8" max="8" width="8.5703125" style="2133" customWidth="1"/>
    <col min="9" max="9" width="9.140625" style="2131"/>
    <col min="10" max="12" width="16" style="2131" bestFit="1" customWidth="1"/>
    <col min="13" max="256" width="9.140625" style="2131"/>
    <col min="257" max="257" width="5.7109375" style="2131" customWidth="1"/>
    <col min="258" max="258" width="6.7109375" style="2131" customWidth="1"/>
    <col min="259" max="259" width="10.28515625" style="2131" customWidth="1"/>
    <col min="260" max="260" width="46.42578125" style="2131" customWidth="1"/>
    <col min="261" max="261" width="13.85546875" style="2131" customWidth="1"/>
    <col min="262" max="262" width="14.85546875" style="2131" customWidth="1"/>
    <col min="263" max="263" width="13.85546875" style="2131" customWidth="1"/>
    <col min="264" max="264" width="8.5703125" style="2131" customWidth="1"/>
    <col min="265" max="265" width="9.140625" style="2131"/>
    <col min="266" max="268" width="16" style="2131" bestFit="1" customWidth="1"/>
    <col min="269" max="512" width="9.140625" style="2131"/>
    <col min="513" max="513" width="5.7109375" style="2131" customWidth="1"/>
    <col min="514" max="514" width="6.7109375" style="2131" customWidth="1"/>
    <col min="515" max="515" width="10.28515625" style="2131" customWidth="1"/>
    <col min="516" max="516" width="46.42578125" style="2131" customWidth="1"/>
    <col min="517" max="517" width="13.85546875" style="2131" customWidth="1"/>
    <col min="518" max="518" width="14.85546875" style="2131" customWidth="1"/>
    <col min="519" max="519" width="13.85546875" style="2131" customWidth="1"/>
    <col min="520" max="520" width="8.5703125" style="2131" customWidth="1"/>
    <col min="521" max="521" width="9.140625" style="2131"/>
    <col min="522" max="524" width="16" style="2131" bestFit="1" customWidth="1"/>
    <col min="525" max="768" width="9.140625" style="2131"/>
    <col min="769" max="769" width="5.7109375" style="2131" customWidth="1"/>
    <col min="770" max="770" width="6.7109375" style="2131" customWidth="1"/>
    <col min="771" max="771" width="10.28515625" style="2131" customWidth="1"/>
    <col min="772" max="772" width="46.42578125" style="2131" customWidth="1"/>
    <col min="773" max="773" width="13.85546875" style="2131" customWidth="1"/>
    <col min="774" max="774" width="14.85546875" style="2131" customWidth="1"/>
    <col min="775" max="775" width="13.85546875" style="2131" customWidth="1"/>
    <col min="776" max="776" width="8.5703125" style="2131" customWidth="1"/>
    <col min="777" max="777" width="9.140625" style="2131"/>
    <col min="778" max="780" width="16" style="2131" bestFit="1" customWidth="1"/>
    <col min="781" max="1024" width="9.140625" style="2131"/>
    <col min="1025" max="1025" width="5.7109375" style="2131" customWidth="1"/>
    <col min="1026" max="1026" width="6.7109375" style="2131" customWidth="1"/>
    <col min="1027" max="1027" width="10.28515625" style="2131" customWidth="1"/>
    <col min="1028" max="1028" width="46.42578125" style="2131" customWidth="1"/>
    <col min="1029" max="1029" width="13.85546875" style="2131" customWidth="1"/>
    <col min="1030" max="1030" width="14.85546875" style="2131" customWidth="1"/>
    <col min="1031" max="1031" width="13.85546875" style="2131" customWidth="1"/>
    <col min="1032" max="1032" width="8.5703125" style="2131" customWidth="1"/>
    <col min="1033" max="1033" width="9.140625" style="2131"/>
    <col min="1034" max="1036" width="16" style="2131" bestFit="1" customWidth="1"/>
    <col min="1037" max="1280" width="9.140625" style="2131"/>
    <col min="1281" max="1281" width="5.7109375" style="2131" customWidth="1"/>
    <col min="1282" max="1282" width="6.7109375" style="2131" customWidth="1"/>
    <col min="1283" max="1283" width="10.28515625" style="2131" customWidth="1"/>
    <col min="1284" max="1284" width="46.42578125" style="2131" customWidth="1"/>
    <col min="1285" max="1285" width="13.85546875" style="2131" customWidth="1"/>
    <col min="1286" max="1286" width="14.85546875" style="2131" customWidth="1"/>
    <col min="1287" max="1287" width="13.85546875" style="2131" customWidth="1"/>
    <col min="1288" max="1288" width="8.5703125" style="2131" customWidth="1"/>
    <col min="1289" max="1289" width="9.140625" style="2131"/>
    <col min="1290" max="1292" width="16" style="2131" bestFit="1" customWidth="1"/>
    <col min="1293" max="1536" width="9.140625" style="2131"/>
    <col min="1537" max="1537" width="5.7109375" style="2131" customWidth="1"/>
    <col min="1538" max="1538" width="6.7109375" style="2131" customWidth="1"/>
    <col min="1539" max="1539" width="10.28515625" style="2131" customWidth="1"/>
    <col min="1540" max="1540" width="46.42578125" style="2131" customWidth="1"/>
    <col min="1541" max="1541" width="13.85546875" style="2131" customWidth="1"/>
    <col min="1542" max="1542" width="14.85546875" style="2131" customWidth="1"/>
    <col min="1543" max="1543" width="13.85546875" style="2131" customWidth="1"/>
    <col min="1544" max="1544" width="8.5703125" style="2131" customWidth="1"/>
    <col min="1545" max="1545" width="9.140625" style="2131"/>
    <col min="1546" max="1548" width="16" style="2131" bestFit="1" customWidth="1"/>
    <col min="1549" max="1792" width="9.140625" style="2131"/>
    <col min="1793" max="1793" width="5.7109375" style="2131" customWidth="1"/>
    <col min="1794" max="1794" width="6.7109375" style="2131" customWidth="1"/>
    <col min="1795" max="1795" width="10.28515625" style="2131" customWidth="1"/>
    <col min="1796" max="1796" width="46.42578125" style="2131" customWidth="1"/>
    <col min="1797" max="1797" width="13.85546875" style="2131" customWidth="1"/>
    <col min="1798" max="1798" width="14.85546875" style="2131" customWidth="1"/>
    <col min="1799" max="1799" width="13.85546875" style="2131" customWidth="1"/>
    <col min="1800" max="1800" width="8.5703125" style="2131" customWidth="1"/>
    <col min="1801" max="1801" width="9.140625" style="2131"/>
    <col min="1802" max="1804" width="16" style="2131" bestFit="1" customWidth="1"/>
    <col min="1805" max="2048" width="9.140625" style="2131"/>
    <col min="2049" max="2049" width="5.7109375" style="2131" customWidth="1"/>
    <col min="2050" max="2050" width="6.7109375" style="2131" customWidth="1"/>
    <col min="2051" max="2051" width="10.28515625" style="2131" customWidth="1"/>
    <col min="2052" max="2052" width="46.42578125" style="2131" customWidth="1"/>
    <col min="2053" max="2053" width="13.85546875" style="2131" customWidth="1"/>
    <col min="2054" max="2054" width="14.85546875" style="2131" customWidth="1"/>
    <col min="2055" max="2055" width="13.85546875" style="2131" customWidth="1"/>
    <col min="2056" max="2056" width="8.5703125" style="2131" customWidth="1"/>
    <col min="2057" max="2057" width="9.140625" style="2131"/>
    <col min="2058" max="2060" width="16" style="2131" bestFit="1" customWidth="1"/>
    <col min="2061" max="2304" width="9.140625" style="2131"/>
    <col min="2305" max="2305" width="5.7109375" style="2131" customWidth="1"/>
    <col min="2306" max="2306" width="6.7109375" style="2131" customWidth="1"/>
    <col min="2307" max="2307" width="10.28515625" style="2131" customWidth="1"/>
    <col min="2308" max="2308" width="46.42578125" style="2131" customWidth="1"/>
    <col min="2309" max="2309" width="13.85546875" style="2131" customWidth="1"/>
    <col min="2310" max="2310" width="14.85546875" style="2131" customWidth="1"/>
    <col min="2311" max="2311" width="13.85546875" style="2131" customWidth="1"/>
    <col min="2312" max="2312" width="8.5703125" style="2131" customWidth="1"/>
    <col min="2313" max="2313" width="9.140625" style="2131"/>
    <col min="2314" max="2316" width="16" style="2131" bestFit="1" customWidth="1"/>
    <col min="2317" max="2560" width="9.140625" style="2131"/>
    <col min="2561" max="2561" width="5.7109375" style="2131" customWidth="1"/>
    <col min="2562" max="2562" width="6.7109375" style="2131" customWidth="1"/>
    <col min="2563" max="2563" width="10.28515625" style="2131" customWidth="1"/>
    <col min="2564" max="2564" width="46.42578125" style="2131" customWidth="1"/>
    <col min="2565" max="2565" width="13.85546875" style="2131" customWidth="1"/>
    <col min="2566" max="2566" width="14.85546875" style="2131" customWidth="1"/>
    <col min="2567" max="2567" width="13.85546875" style="2131" customWidth="1"/>
    <col min="2568" max="2568" width="8.5703125" style="2131" customWidth="1"/>
    <col min="2569" max="2569" width="9.140625" style="2131"/>
    <col min="2570" max="2572" width="16" style="2131" bestFit="1" customWidth="1"/>
    <col min="2573" max="2816" width="9.140625" style="2131"/>
    <col min="2817" max="2817" width="5.7109375" style="2131" customWidth="1"/>
    <col min="2818" max="2818" width="6.7109375" style="2131" customWidth="1"/>
    <col min="2819" max="2819" width="10.28515625" style="2131" customWidth="1"/>
    <col min="2820" max="2820" width="46.42578125" style="2131" customWidth="1"/>
    <col min="2821" max="2821" width="13.85546875" style="2131" customWidth="1"/>
    <col min="2822" max="2822" width="14.85546875" style="2131" customWidth="1"/>
    <col min="2823" max="2823" width="13.85546875" style="2131" customWidth="1"/>
    <col min="2824" max="2824" width="8.5703125" style="2131" customWidth="1"/>
    <col min="2825" max="2825" width="9.140625" style="2131"/>
    <col min="2826" max="2828" width="16" style="2131" bestFit="1" customWidth="1"/>
    <col min="2829" max="3072" width="9.140625" style="2131"/>
    <col min="3073" max="3073" width="5.7109375" style="2131" customWidth="1"/>
    <col min="3074" max="3074" width="6.7109375" style="2131" customWidth="1"/>
    <col min="3075" max="3075" width="10.28515625" style="2131" customWidth="1"/>
    <col min="3076" max="3076" width="46.42578125" style="2131" customWidth="1"/>
    <col min="3077" max="3077" width="13.85546875" style="2131" customWidth="1"/>
    <col min="3078" max="3078" width="14.85546875" style="2131" customWidth="1"/>
    <col min="3079" max="3079" width="13.85546875" style="2131" customWidth="1"/>
    <col min="3080" max="3080" width="8.5703125" style="2131" customWidth="1"/>
    <col min="3081" max="3081" width="9.140625" style="2131"/>
    <col min="3082" max="3084" width="16" style="2131" bestFit="1" customWidth="1"/>
    <col min="3085" max="3328" width="9.140625" style="2131"/>
    <col min="3329" max="3329" width="5.7109375" style="2131" customWidth="1"/>
    <col min="3330" max="3330" width="6.7109375" style="2131" customWidth="1"/>
    <col min="3331" max="3331" width="10.28515625" style="2131" customWidth="1"/>
    <col min="3332" max="3332" width="46.42578125" style="2131" customWidth="1"/>
    <col min="3333" max="3333" width="13.85546875" style="2131" customWidth="1"/>
    <col min="3334" max="3334" width="14.85546875" style="2131" customWidth="1"/>
    <col min="3335" max="3335" width="13.85546875" style="2131" customWidth="1"/>
    <col min="3336" max="3336" width="8.5703125" style="2131" customWidth="1"/>
    <col min="3337" max="3337" width="9.140625" style="2131"/>
    <col min="3338" max="3340" width="16" style="2131" bestFit="1" customWidth="1"/>
    <col min="3341" max="3584" width="9.140625" style="2131"/>
    <col min="3585" max="3585" width="5.7109375" style="2131" customWidth="1"/>
    <col min="3586" max="3586" width="6.7109375" style="2131" customWidth="1"/>
    <col min="3587" max="3587" width="10.28515625" style="2131" customWidth="1"/>
    <col min="3588" max="3588" width="46.42578125" style="2131" customWidth="1"/>
    <col min="3589" max="3589" width="13.85546875" style="2131" customWidth="1"/>
    <col min="3590" max="3590" width="14.85546875" style="2131" customWidth="1"/>
    <col min="3591" max="3591" width="13.85546875" style="2131" customWidth="1"/>
    <col min="3592" max="3592" width="8.5703125" style="2131" customWidth="1"/>
    <col min="3593" max="3593" width="9.140625" style="2131"/>
    <col min="3594" max="3596" width="16" style="2131" bestFit="1" customWidth="1"/>
    <col min="3597" max="3840" width="9.140625" style="2131"/>
    <col min="3841" max="3841" width="5.7109375" style="2131" customWidth="1"/>
    <col min="3842" max="3842" width="6.7109375" style="2131" customWidth="1"/>
    <col min="3843" max="3843" width="10.28515625" style="2131" customWidth="1"/>
    <col min="3844" max="3844" width="46.42578125" style="2131" customWidth="1"/>
    <col min="3845" max="3845" width="13.85546875" style="2131" customWidth="1"/>
    <col min="3846" max="3846" width="14.85546875" style="2131" customWidth="1"/>
    <col min="3847" max="3847" width="13.85546875" style="2131" customWidth="1"/>
    <col min="3848" max="3848" width="8.5703125" style="2131" customWidth="1"/>
    <col min="3849" max="3849" width="9.140625" style="2131"/>
    <col min="3850" max="3852" width="16" style="2131" bestFit="1" customWidth="1"/>
    <col min="3853" max="4096" width="9.140625" style="2131"/>
    <col min="4097" max="4097" width="5.7109375" style="2131" customWidth="1"/>
    <col min="4098" max="4098" width="6.7109375" style="2131" customWidth="1"/>
    <col min="4099" max="4099" width="10.28515625" style="2131" customWidth="1"/>
    <col min="4100" max="4100" width="46.42578125" style="2131" customWidth="1"/>
    <col min="4101" max="4101" width="13.85546875" style="2131" customWidth="1"/>
    <col min="4102" max="4102" width="14.85546875" style="2131" customWidth="1"/>
    <col min="4103" max="4103" width="13.85546875" style="2131" customWidth="1"/>
    <col min="4104" max="4104" width="8.5703125" style="2131" customWidth="1"/>
    <col min="4105" max="4105" width="9.140625" style="2131"/>
    <col min="4106" max="4108" width="16" style="2131" bestFit="1" customWidth="1"/>
    <col min="4109" max="4352" width="9.140625" style="2131"/>
    <col min="4353" max="4353" width="5.7109375" style="2131" customWidth="1"/>
    <col min="4354" max="4354" width="6.7109375" style="2131" customWidth="1"/>
    <col min="4355" max="4355" width="10.28515625" style="2131" customWidth="1"/>
    <col min="4356" max="4356" width="46.42578125" style="2131" customWidth="1"/>
    <col min="4357" max="4357" width="13.85546875" style="2131" customWidth="1"/>
    <col min="4358" max="4358" width="14.85546875" style="2131" customWidth="1"/>
    <col min="4359" max="4359" width="13.85546875" style="2131" customWidth="1"/>
    <col min="4360" max="4360" width="8.5703125" style="2131" customWidth="1"/>
    <col min="4361" max="4361" width="9.140625" style="2131"/>
    <col min="4362" max="4364" width="16" style="2131" bestFit="1" customWidth="1"/>
    <col min="4365" max="4608" width="9.140625" style="2131"/>
    <col min="4609" max="4609" width="5.7109375" style="2131" customWidth="1"/>
    <col min="4610" max="4610" width="6.7109375" style="2131" customWidth="1"/>
    <col min="4611" max="4611" width="10.28515625" style="2131" customWidth="1"/>
    <col min="4612" max="4612" width="46.42578125" style="2131" customWidth="1"/>
    <col min="4613" max="4613" width="13.85546875" style="2131" customWidth="1"/>
    <col min="4614" max="4614" width="14.85546875" style="2131" customWidth="1"/>
    <col min="4615" max="4615" width="13.85546875" style="2131" customWidth="1"/>
    <col min="4616" max="4616" width="8.5703125" style="2131" customWidth="1"/>
    <col min="4617" max="4617" width="9.140625" style="2131"/>
    <col min="4618" max="4620" width="16" style="2131" bestFit="1" customWidth="1"/>
    <col min="4621" max="4864" width="9.140625" style="2131"/>
    <col min="4865" max="4865" width="5.7109375" style="2131" customWidth="1"/>
    <col min="4866" max="4866" width="6.7109375" style="2131" customWidth="1"/>
    <col min="4867" max="4867" width="10.28515625" style="2131" customWidth="1"/>
    <col min="4868" max="4868" width="46.42578125" style="2131" customWidth="1"/>
    <col min="4869" max="4869" width="13.85546875" style="2131" customWidth="1"/>
    <col min="4870" max="4870" width="14.85546875" style="2131" customWidth="1"/>
    <col min="4871" max="4871" width="13.85546875" style="2131" customWidth="1"/>
    <col min="4872" max="4872" width="8.5703125" style="2131" customWidth="1"/>
    <col min="4873" max="4873" width="9.140625" style="2131"/>
    <col min="4874" max="4876" width="16" style="2131" bestFit="1" customWidth="1"/>
    <col min="4877" max="5120" width="9.140625" style="2131"/>
    <col min="5121" max="5121" width="5.7109375" style="2131" customWidth="1"/>
    <col min="5122" max="5122" width="6.7109375" style="2131" customWidth="1"/>
    <col min="5123" max="5123" width="10.28515625" style="2131" customWidth="1"/>
    <col min="5124" max="5124" width="46.42578125" style="2131" customWidth="1"/>
    <col min="5125" max="5125" width="13.85546875" style="2131" customWidth="1"/>
    <col min="5126" max="5126" width="14.85546875" style="2131" customWidth="1"/>
    <col min="5127" max="5127" width="13.85546875" style="2131" customWidth="1"/>
    <col min="5128" max="5128" width="8.5703125" style="2131" customWidth="1"/>
    <col min="5129" max="5129" width="9.140625" style="2131"/>
    <col min="5130" max="5132" width="16" style="2131" bestFit="1" customWidth="1"/>
    <col min="5133" max="5376" width="9.140625" style="2131"/>
    <col min="5377" max="5377" width="5.7109375" style="2131" customWidth="1"/>
    <col min="5378" max="5378" width="6.7109375" style="2131" customWidth="1"/>
    <col min="5379" max="5379" width="10.28515625" style="2131" customWidth="1"/>
    <col min="5380" max="5380" width="46.42578125" style="2131" customWidth="1"/>
    <col min="5381" max="5381" width="13.85546875" style="2131" customWidth="1"/>
    <col min="5382" max="5382" width="14.85546875" style="2131" customWidth="1"/>
    <col min="5383" max="5383" width="13.85546875" style="2131" customWidth="1"/>
    <col min="5384" max="5384" width="8.5703125" style="2131" customWidth="1"/>
    <col min="5385" max="5385" width="9.140625" style="2131"/>
    <col min="5386" max="5388" width="16" style="2131" bestFit="1" customWidth="1"/>
    <col min="5389" max="5632" width="9.140625" style="2131"/>
    <col min="5633" max="5633" width="5.7109375" style="2131" customWidth="1"/>
    <col min="5634" max="5634" width="6.7109375" style="2131" customWidth="1"/>
    <col min="5635" max="5635" width="10.28515625" style="2131" customWidth="1"/>
    <col min="5636" max="5636" width="46.42578125" style="2131" customWidth="1"/>
    <col min="5637" max="5637" width="13.85546875" style="2131" customWidth="1"/>
    <col min="5638" max="5638" width="14.85546875" style="2131" customWidth="1"/>
    <col min="5639" max="5639" width="13.85546875" style="2131" customWidth="1"/>
    <col min="5640" max="5640" width="8.5703125" style="2131" customWidth="1"/>
    <col min="5641" max="5641" width="9.140625" style="2131"/>
    <col min="5642" max="5644" width="16" style="2131" bestFit="1" customWidth="1"/>
    <col min="5645" max="5888" width="9.140625" style="2131"/>
    <col min="5889" max="5889" width="5.7109375" style="2131" customWidth="1"/>
    <col min="5890" max="5890" width="6.7109375" style="2131" customWidth="1"/>
    <col min="5891" max="5891" width="10.28515625" style="2131" customWidth="1"/>
    <col min="5892" max="5892" width="46.42578125" style="2131" customWidth="1"/>
    <col min="5893" max="5893" width="13.85546875" style="2131" customWidth="1"/>
    <col min="5894" max="5894" width="14.85546875" style="2131" customWidth="1"/>
    <col min="5895" max="5895" width="13.85546875" style="2131" customWidth="1"/>
    <col min="5896" max="5896" width="8.5703125" style="2131" customWidth="1"/>
    <col min="5897" max="5897" width="9.140625" style="2131"/>
    <col min="5898" max="5900" width="16" style="2131" bestFit="1" customWidth="1"/>
    <col min="5901" max="6144" width="9.140625" style="2131"/>
    <col min="6145" max="6145" width="5.7109375" style="2131" customWidth="1"/>
    <col min="6146" max="6146" width="6.7109375" style="2131" customWidth="1"/>
    <col min="6147" max="6147" width="10.28515625" style="2131" customWidth="1"/>
    <col min="6148" max="6148" width="46.42578125" style="2131" customWidth="1"/>
    <col min="6149" max="6149" width="13.85546875" style="2131" customWidth="1"/>
    <col min="6150" max="6150" width="14.85546875" style="2131" customWidth="1"/>
    <col min="6151" max="6151" width="13.85546875" style="2131" customWidth="1"/>
    <col min="6152" max="6152" width="8.5703125" style="2131" customWidth="1"/>
    <col min="6153" max="6153" width="9.140625" style="2131"/>
    <col min="6154" max="6156" width="16" style="2131" bestFit="1" customWidth="1"/>
    <col min="6157" max="6400" width="9.140625" style="2131"/>
    <col min="6401" max="6401" width="5.7109375" style="2131" customWidth="1"/>
    <col min="6402" max="6402" width="6.7109375" style="2131" customWidth="1"/>
    <col min="6403" max="6403" width="10.28515625" style="2131" customWidth="1"/>
    <col min="6404" max="6404" width="46.42578125" style="2131" customWidth="1"/>
    <col min="6405" max="6405" width="13.85546875" style="2131" customWidth="1"/>
    <col min="6406" max="6406" width="14.85546875" style="2131" customWidth="1"/>
    <col min="6407" max="6407" width="13.85546875" style="2131" customWidth="1"/>
    <col min="6408" max="6408" width="8.5703125" style="2131" customWidth="1"/>
    <col min="6409" max="6409" width="9.140625" style="2131"/>
    <col min="6410" max="6412" width="16" style="2131" bestFit="1" customWidth="1"/>
    <col min="6413" max="6656" width="9.140625" style="2131"/>
    <col min="6657" max="6657" width="5.7109375" style="2131" customWidth="1"/>
    <col min="6658" max="6658" width="6.7109375" style="2131" customWidth="1"/>
    <col min="6659" max="6659" width="10.28515625" style="2131" customWidth="1"/>
    <col min="6660" max="6660" width="46.42578125" style="2131" customWidth="1"/>
    <col min="6661" max="6661" width="13.85546875" style="2131" customWidth="1"/>
    <col min="6662" max="6662" width="14.85546875" style="2131" customWidth="1"/>
    <col min="6663" max="6663" width="13.85546875" style="2131" customWidth="1"/>
    <col min="6664" max="6664" width="8.5703125" style="2131" customWidth="1"/>
    <col min="6665" max="6665" width="9.140625" style="2131"/>
    <col min="6666" max="6668" width="16" style="2131" bestFit="1" customWidth="1"/>
    <col min="6669" max="6912" width="9.140625" style="2131"/>
    <col min="6913" max="6913" width="5.7109375" style="2131" customWidth="1"/>
    <col min="6914" max="6914" width="6.7109375" style="2131" customWidth="1"/>
    <col min="6915" max="6915" width="10.28515625" style="2131" customWidth="1"/>
    <col min="6916" max="6916" width="46.42578125" style="2131" customWidth="1"/>
    <col min="6917" max="6917" width="13.85546875" style="2131" customWidth="1"/>
    <col min="6918" max="6918" width="14.85546875" style="2131" customWidth="1"/>
    <col min="6919" max="6919" width="13.85546875" style="2131" customWidth="1"/>
    <col min="6920" max="6920" width="8.5703125" style="2131" customWidth="1"/>
    <col min="6921" max="6921" width="9.140625" style="2131"/>
    <col min="6922" max="6924" width="16" style="2131" bestFit="1" customWidth="1"/>
    <col min="6925" max="7168" width="9.140625" style="2131"/>
    <col min="7169" max="7169" width="5.7109375" style="2131" customWidth="1"/>
    <col min="7170" max="7170" width="6.7109375" style="2131" customWidth="1"/>
    <col min="7171" max="7171" width="10.28515625" style="2131" customWidth="1"/>
    <col min="7172" max="7172" width="46.42578125" style="2131" customWidth="1"/>
    <col min="7173" max="7173" width="13.85546875" style="2131" customWidth="1"/>
    <col min="7174" max="7174" width="14.85546875" style="2131" customWidth="1"/>
    <col min="7175" max="7175" width="13.85546875" style="2131" customWidth="1"/>
    <col min="7176" max="7176" width="8.5703125" style="2131" customWidth="1"/>
    <col min="7177" max="7177" width="9.140625" style="2131"/>
    <col min="7178" max="7180" width="16" style="2131" bestFit="1" customWidth="1"/>
    <col min="7181" max="7424" width="9.140625" style="2131"/>
    <col min="7425" max="7425" width="5.7109375" style="2131" customWidth="1"/>
    <col min="7426" max="7426" width="6.7109375" style="2131" customWidth="1"/>
    <col min="7427" max="7427" width="10.28515625" style="2131" customWidth="1"/>
    <col min="7428" max="7428" width="46.42578125" style="2131" customWidth="1"/>
    <col min="7429" max="7429" width="13.85546875" style="2131" customWidth="1"/>
    <col min="7430" max="7430" width="14.85546875" style="2131" customWidth="1"/>
    <col min="7431" max="7431" width="13.85546875" style="2131" customWidth="1"/>
    <col min="7432" max="7432" width="8.5703125" style="2131" customWidth="1"/>
    <col min="7433" max="7433" width="9.140625" style="2131"/>
    <col min="7434" max="7436" width="16" style="2131" bestFit="1" customWidth="1"/>
    <col min="7437" max="7680" width="9.140625" style="2131"/>
    <col min="7681" max="7681" width="5.7109375" style="2131" customWidth="1"/>
    <col min="7682" max="7682" width="6.7109375" style="2131" customWidth="1"/>
    <col min="7683" max="7683" width="10.28515625" style="2131" customWidth="1"/>
    <col min="7684" max="7684" width="46.42578125" style="2131" customWidth="1"/>
    <col min="7685" max="7685" width="13.85546875" style="2131" customWidth="1"/>
    <col min="7686" max="7686" width="14.85546875" style="2131" customWidth="1"/>
    <col min="7687" max="7687" width="13.85546875" style="2131" customWidth="1"/>
    <col min="7688" max="7688" width="8.5703125" style="2131" customWidth="1"/>
    <col min="7689" max="7689" width="9.140625" style="2131"/>
    <col min="7690" max="7692" width="16" style="2131" bestFit="1" customWidth="1"/>
    <col min="7693" max="7936" width="9.140625" style="2131"/>
    <col min="7937" max="7937" width="5.7109375" style="2131" customWidth="1"/>
    <col min="7938" max="7938" width="6.7109375" style="2131" customWidth="1"/>
    <col min="7939" max="7939" width="10.28515625" style="2131" customWidth="1"/>
    <col min="7940" max="7940" width="46.42578125" style="2131" customWidth="1"/>
    <col min="7941" max="7941" width="13.85546875" style="2131" customWidth="1"/>
    <col min="7942" max="7942" width="14.85546875" style="2131" customWidth="1"/>
    <col min="7943" max="7943" width="13.85546875" style="2131" customWidth="1"/>
    <col min="7944" max="7944" width="8.5703125" style="2131" customWidth="1"/>
    <col min="7945" max="7945" width="9.140625" style="2131"/>
    <col min="7946" max="7948" width="16" style="2131" bestFit="1" customWidth="1"/>
    <col min="7949" max="8192" width="9.140625" style="2131"/>
    <col min="8193" max="8193" width="5.7109375" style="2131" customWidth="1"/>
    <col min="8194" max="8194" width="6.7109375" style="2131" customWidth="1"/>
    <col min="8195" max="8195" width="10.28515625" style="2131" customWidth="1"/>
    <col min="8196" max="8196" width="46.42578125" style="2131" customWidth="1"/>
    <col min="8197" max="8197" width="13.85546875" style="2131" customWidth="1"/>
    <col min="8198" max="8198" width="14.85546875" style="2131" customWidth="1"/>
    <col min="8199" max="8199" width="13.85546875" style="2131" customWidth="1"/>
    <col min="8200" max="8200" width="8.5703125" style="2131" customWidth="1"/>
    <col min="8201" max="8201" width="9.140625" style="2131"/>
    <col min="8202" max="8204" width="16" style="2131" bestFit="1" customWidth="1"/>
    <col min="8205" max="8448" width="9.140625" style="2131"/>
    <col min="8449" max="8449" width="5.7109375" style="2131" customWidth="1"/>
    <col min="8450" max="8450" width="6.7109375" style="2131" customWidth="1"/>
    <col min="8451" max="8451" width="10.28515625" style="2131" customWidth="1"/>
    <col min="8452" max="8452" width="46.42578125" style="2131" customWidth="1"/>
    <col min="8453" max="8453" width="13.85546875" style="2131" customWidth="1"/>
    <col min="8454" max="8454" width="14.85546875" style="2131" customWidth="1"/>
    <col min="8455" max="8455" width="13.85546875" style="2131" customWidth="1"/>
    <col min="8456" max="8456" width="8.5703125" style="2131" customWidth="1"/>
    <col min="8457" max="8457" width="9.140625" style="2131"/>
    <col min="8458" max="8460" width="16" style="2131" bestFit="1" customWidth="1"/>
    <col min="8461" max="8704" width="9.140625" style="2131"/>
    <col min="8705" max="8705" width="5.7109375" style="2131" customWidth="1"/>
    <col min="8706" max="8706" width="6.7109375" style="2131" customWidth="1"/>
    <col min="8707" max="8707" width="10.28515625" style="2131" customWidth="1"/>
    <col min="8708" max="8708" width="46.42578125" style="2131" customWidth="1"/>
    <col min="8709" max="8709" width="13.85546875" style="2131" customWidth="1"/>
    <col min="8710" max="8710" width="14.85546875" style="2131" customWidth="1"/>
    <col min="8711" max="8711" width="13.85546875" style="2131" customWidth="1"/>
    <col min="8712" max="8712" width="8.5703125" style="2131" customWidth="1"/>
    <col min="8713" max="8713" width="9.140625" style="2131"/>
    <col min="8714" max="8716" width="16" style="2131" bestFit="1" customWidth="1"/>
    <col min="8717" max="8960" width="9.140625" style="2131"/>
    <col min="8961" max="8961" width="5.7109375" style="2131" customWidth="1"/>
    <col min="8962" max="8962" width="6.7109375" style="2131" customWidth="1"/>
    <col min="8963" max="8963" width="10.28515625" style="2131" customWidth="1"/>
    <col min="8964" max="8964" width="46.42578125" style="2131" customWidth="1"/>
    <col min="8965" max="8965" width="13.85546875" style="2131" customWidth="1"/>
    <col min="8966" max="8966" width="14.85546875" style="2131" customWidth="1"/>
    <col min="8967" max="8967" width="13.85546875" style="2131" customWidth="1"/>
    <col min="8968" max="8968" width="8.5703125" style="2131" customWidth="1"/>
    <col min="8969" max="8969" width="9.140625" style="2131"/>
    <col min="8970" max="8972" width="16" style="2131" bestFit="1" customWidth="1"/>
    <col min="8973" max="9216" width="9.140625" style="2131"/>
    <col min="9217" max="9217" width="5.7109375" style="2131" customWidth="1"/>
    <col min="9218" max="9218" width="6.7109375" style="2131" customWidth="1"/>
    <col min="9219" max="9219" width="10.28515625" style="2131" customWidth="1"/>
    <col min="9220" max="9220" width="46.42578125" style="2131" customWidth="1"/>
    <col min="9221" max="9221" width="13.85546875" style="2131" customWidth="1"/>
    <col min="9222" max="9222" width="14.85546875" style="2131" customWidth="1"/>
    <col min="9223" max="9223" width="13.85546875" style="2131" customWidth="1"/>
    <col min="9224" max="9224" width="8.5703125" style="2131" customWidth="1"/>
    <col min="9225" max="9225" width="9.140625" style="2131"/>
    <col min="9226" max="9228" width="16" style="2131" bestFit="1" customWidth="1"/>
    <col min="9229" max="9472" width="9.140625" style="2131"/>
    <col min="9473" max="9473" width="5.7109375" style="2131" customWidth="1"/>
    <col min="9474" max="9474" width="6.7109375" style="2131" customWidth="1"/>
    <col min="9475" max="9475" width="10.28515625" style="2131" customWidth="1"/>
    <col min="9476" max="9476" width="46.42578125" style="2131" customWidth="1"/>
    <col min="9477" max="9477" width="13.85546875" style="2131" customWidth="1"/>
    <col min="9478" max="9478" width="14.85546875" style="2131" customWidth="1"/>
    <col min="9479" max="9479" width="13.85546875" style="2131" customWidth="1"/>
    <col min="9480" max="9480" width="8.5703125" style="2131" customWidth="1"/>
    <col min="9481" max="9481" width="9.140625" style="2131"/>
    <col min="9482" max="9484" width="16" style="2131" bestFit="1" customWidth="1"/>
    <col min="9485" max="9728" width="9.140625" style="2131"/>
    <col min="9729" max="9729" width="5.7109375" style="2131" customWidth="1"/>
    <col min="9730" max="9730" width="6.7109375" style="2131" customWidth="1"/>
    <col min="9731" max="9731" width="10.28515625" style="2131" customWidth="1"/>
    <col min="9732" max="9732" width="46.42578125" style="2131" customWidth="1"/>
    <col min="9733" max="9733" width="13.85546875" style="2131" customWidth="1"/>
    <col min="9734" max="9734" width="14.85546875" style="2131" customWidth="1"/>
    <col min="9735" max="9735" width="13.85546875" style="2131" customWidth="1"/>
    <col min="9736" max="9736" width="8.5703125" style="2131" customWidth="1"/>
    <col min="9737" max="9737" width="9.140625" style="2131"/>
    <col min="9738" max="9740" width="16" style="2131" bestFit="1" customWidth="1"/>
    <col min="9741" max="9984" width="9.140625" style="2131"/>
    <col min="9985" max="9985" width="5.7109375" style="2131" customWidth="1"/>
    <col min="9986" max="9986" width="6.7109375" style="2131" customWidth="1"/>
    <col min="9987" max="9987" width="10.28515625" style="2131" customWidth="1"/>
    <col min="9988" max="9988" width="46.42578125" style="2131" customWidth="1"/>
    <col min="9989" max="9989" width="13.85546875" style="2131" customWidth="1"/>
    <col min="9990" max="9990" width="14.85546875" style="2131" customWidth="1"/>
    <col min="9991" max="9991" width="13.85546875" style="2131" customWidth="1"/>
    <col min="9992" max="9992" width="8.5703125" style="2131" customWidth="1"/>
    <col min="9993" max="9993" width="9.140625" style="2131"/>
    <col min="9994" max="9996" width="16" style="2131" bestFit="1" customWidth="1"/>
    <col min="9997" max="10240" width="9.140625" style="2131"/>
    <col min="10241" max="10241" width="5.7109375" style="2131" customWidth="1"/>
    <col min="10242" max="10242" width="6.7109375" style="2131" customWidth="1"/>
    <col min="10243" max="10243" width="10.28515625" style="2131" customWidth="1"/>
    <col min="10244" max="10244" width="46.42578125" style="2131" customWidth="1"/>
    <col min="10245" max="10245" width="13.85546875" style="2131" customWidth="1"/>
    <col min="10246" max="10246" width="14.85546875" style="2131" customWidth="1"/>
    <col min="10247" max="10247" width="13.85546875" style="2131" customWidth="1"/>
    <col min="10248" max="10248" width="8.5703125" style="2131" customWidth="1"/>
    <col min="10249" max="10249" width="9.140625" style="2131"/>
    <col min="10250" max="10252" width="16" style="2131" bestFit="1" customWidth="1"/>
    <col min="10253" max="10496" width="9.140625" style="2131"/>
    <col min="10497" max="10497" width="5.7109375" style="2131" customWidth="1"/>
    <col min="10498" max="10498" width="6.7109375" style="2131" customWidth="1"/>
    <col min="10499" max="10499" width="10.28515625" style="2131" customWidth="1"/>
    <col min="10500" max="10500" width="46.42578125" style="2131" customWidth="1"/>
    <col min="10501" max="10501" width="13.85546875" style="2131" customWidth="1"/>
    <col min="10502" max="10502" width="14.85546875" style="2131" customWidth="1"/>
    <col min="10503" max="10503" width="13.85546875" style="2131" customWidth="1"/>
    <col min="10504" max="10504" width="8.5703125" style="2131" customWidth="1"/>
    <col min="10505" max="10505" width="9.140625" style="2131"/>
    <col min="10506" max="10508" width="16" style="2131" bestFit="1" customWidth="1"/>
    <col min="10509" max="10752" width="9.140625" style="2131"/>
    <col min="10753" max="10753" width="5.7109375" style="2131" customWidth="1"/>
    <col min="10754" max="10754" width="6.7109375" style="2131" customWidth="1"/>
    <col min="10755" max="10755" width="10.28515625" style="2131" customWidth="1"/>
    <col min="10756" max="10756" width="46.42578125" style="2131" customWidth="1"/>
    <col min="10757" max="10757" width="13.85546875" style="2131" customWidth="1"/>
    <col min="10758" max="10758" width="14.85546875" style="2131" customWidth="1"/>
    <col min="10759" max="10759" width="13.85546875" style="2131" customWidth="1"/>
    <col min="10760" max="10760" width="8.5703125" style="2131" customWidth="1"/>
    <col min="10761" max="10761" width="9.140625" style="2131"/>
    <col min="10762" max="10764" width="16" style="2131" bestFit="1" customWidth="1"/>
    <col min="10765" max="11008" width="9.140625" style="2131"/>
    <col min="11009" max="11009" width="5.7109375" style="2131" customWidth="1"/>
    <col min="11010" max="11010" width="6.7109375" style="2131" customWidth="1"/>
    <col min="11011" max="11011" width="10.28515625" style="2131" customWidth="1"/>
    <col min="11012" max="11012" width="46.42578125" style="2131" customWidth="1"/>
    <col min="11013" max="11013" width="13.85546875" style="2131" customWidth="1"/>
    <col min="11014" max="11014" width="14.85546875" style="2131" customWidth="1"/>
    <col min="11015" max="11015" width="13.85546875" style="2131" customWidth="1"/>
    <col min="11016" max="11016" width="8.5703125" style="2131" customWidth="1"/>
    <col min="11017" max="11017" width="9.140625" style="2131"/>
    <col min="11018" max="11020" width="16" style="2131" bestFit="1" customWidth="1"/>
    <col min="11021" max="11264" width="9.140625" style="2131"/>
    <col min="11265" max="11265" width="5.7109375" style="2131" customWidth="1"/>
    <col min="11266" max="11266" width="6.7109375" style="2131" customWidth="1"/>
    <col min="11267" max="11267" width="10.28515625" style="2131" customWidth="1"/>
    <col min="11268" max="11268" width="46.42578125" style="2131" customWidth="1"/>
    <col min="11269" max="11269" width="13.85546875" style="2131" customWidth="1"/>
    <col min="11270" max="11270" width="14.85546875" style="2131" customWidth="1"/>
    <col min="11271" max="11271" width="13.85546875" style="2131" customWidth="1"/>
    <col min="11272" max="11272" width="8.5703125" style="2131" customWidth="1"/>
    <col min="11273" max="11273" width="9.140625" style="2131"/>
    <col min="11274" max="11276" width="16" style="2131" bestFit="1" customWidth="1"/>
    <col min="11277" max="11520" width="9.140625" style="2131"/>
    <col min="11521" max="11521" width="5.7109375" style="2131" customWidth="1"/>
    <col min="11522" max="11522" width="6.7109375" style="2131" customWidth="1"/>
    <col min="11523" max="11523" width="10.28515625" style="2131" customWidth="1"/>
    <col min="11524" max="11524" width="46.42578125" style="2131" customWidth="1"/>
    <col min="11525" max="11525" width="13.85546875" style="2131" customWidth="1"/>
    <col min="11526" max="11526" width="14.85546875" style="2131" customWidth="1"/>
    <col min="11527" max="11527" width="13.85546875" style="2131" customWidth="1"/>
    <col min="11528" max="11528" width="8.5703125" style="2131" customWidth="1"/>
    <col min="11529" max="11529" width="9.140625" style="2131"/>
    <col min="11530" max="11532" width="16" style="2131" bestFit="1" customWidth="1"/>
    <col min="11533" max="11776" width="9.140625" style="2131"/>
    <col min="11777" max="11777" width="5.7109375" style="2131" customWidth="1"/>
    <col min="11778" max="11778" width="6.7109375" style="2131" customWidth="1"/>
    <col min="11779" max="11779" width="10.28515625" style="2131" customWidth="1"/>
    <col min="11780" max="11780" width="46.42578125" style="2131" customWidth="1"/>
    <col min="11781" max="11781" width="13.85546875" style="2131" customWidth="1"/>
    <col min="11782" max="11782" width="14.85546875" style="2131" customWidth="1"/>
    <col min="11783" max="11783" width="13.85546875" style="2131" customWidth="1"/>
    <col min="11784" max="11784" width="8.5703125" style="2131" customWidth="1"/>
    <col min="11785" max="11785" width="9.140625" style="2131"/>
    <col min="11786" max="11788" width="16" style="2131" bestFit="1" customWidth="1"/>
    <col min="11789" max="12032" width="9.140625" style="2131"/>
    <col min="12033" max="12033" width="5.7109375" style="2131" customWidth="1"/>
    <col min="12034" max="12034" width="6.7109375" style="2131" customWidth="1"/>
    <col min="12035" max="12035" width="10.28515625" style="2131" customWidth="1"/>
    <col min="12036" max="12036" width="46.42578125" style="2131" customWidth="1"/>
    <col min="12037" max="12037" width="13.85546875" style="2131" customWidth="1"/>
    <col min="12038" max="12038" width="14.85546875" style="2131" customWidth="1"/>
    <col min="12039" max="12039" width="13.85546875" style="2131" customWidth="1"/>
    <col min="12040" max="12040" width="8.5703125" style="2131" customWidth="1"/>
    <col min="12041" max="12041" width="9.140625" style="2131"/>
    <col min="12042" max="12044" width="16" style="2131" bestFit="1" customWidth="1"/>
    <col min="12045" max="12288" width="9.140625" style="2131"/>
    <col min="12289" max="12289" width="5.7109375" style="2131" customWidth="1"/>
    <col min="12290" max="12290" width="6.7109375" style="2131" customWidth="1"/>
    <col min="12291" max="12291" width="10.28515625" style="2131" customWidth="1"/>
    <col min="12292" max="12292" width="46.42578125" style="2131" customWidth="1"/>
    <col min="12293" max="12293" width="13.85546875" style="2131" customWidth="1"/>
    <col min="12294" max="12294" width="14.85546875" style="2131" customWidth="1"/>
    <col min="12295" max="12295" width="13.85546875" style="2131" customWidth="1"/>
    <col min="12296" max="12296" width="8.5703125" style="2131" customWidth="1"/>
    <col min="12297" max="12297" width="9.140625" style="2131"/>
    <col min="12298" max="12300" width="16" style="2131" bestFit="1" customWidth="1"/>
    <col min="12301" max="12544" width="9.140625" style="2131"/>
    <col min="12545" max="12545" width="5.7109375" style="2131" customWidth="1"/>
    <col min="12546" max="12546" width="6.7109375" style="2131" customWidth="1"/>
    <col min="12547" max="12547" width="10.28515625" style="2131" customWidth="1"/>
    <col min="12548" max="12548" width="46.42578125" style="2131" customWidth="1"/>
    <col min="12549" max="12549" width="13.85546875" style="2131" customWidth="1"/>
    <col min="12550" max="12550" width="14.85546875" style="2131" customWidth="1"/>
    <col min="12551" max="12551" width="13.85546875" style="2131" customWidth="1"/>
    <col min="12552" max="12552" width="8.5703125" style="2131" customWidth="1"/>
    <col min="12553" max="12553" width="9.140625" style="2131"/>
    <col min="12554" max="12556" width="16" style="2131" bestFit="1" customWidth="1"/>
    <col min="12557" max="12800" width="9.140625" style="2131"/>
    <col min="12801" max="12801" width="5.7109375" style="2131" customWidth="1"/>
    <col min="12802" max="12802" width="6.7109375" style="2131" customWidth="1"/>
    <col min="12803" max="12803" width="10.28515625" style="2131" customWidth="1"/>
    <col min="12804" max="12804" width="46.42578125" style="2131" customWidth="1"/>
    <col min="12805" max="12805" width="13.85546875" style="2131" customWidth="1"/>
    <col min="12806" max="12806" width="14.85546875" style="2131" customWidth="1"/>
    <col min="12807" max="12807" width="13.85546875" style="2131" customWidth="1"/>
    <col min="12808" max="12808" width="8.5703125" style="2131" customWidth="1"/>
    <col min="12809" max="12809" width="9.140625" style="2131"/>
    <col min="12810" max="12812" width="16" style="2131" bestFit="1" customWidth="1"/>
    <col min="12813" max="13056" width="9.140625" style="2131"/>
    <col min="13057" max="13057" width="5.7109375" style="2131" customWidth="1"/>
    <col min="13058" max="13058" width="6.7109375" style="2131" customWidth="1"/>
    <col min="13059" max="13059" width="10.28515625" style="2131" customWidth="1"/>
    <col min="13060" max="13060" width="46.42578125" style="2131" customWidth="1"/>
    <col min="13061" max="13061" width="13.85546875" style="2131" customWidth="1"/>
    <col min="13062" max="13062" width="14.85546875" style="2131" customWidth="1"/>
    <col min="13063" max="13063" width="13.85546875" style="2131" customWidth="1"/>
    <col min="13064" max="13064" width="8.5703125" style="2131" customWidth="1"/>
    <col min="13065" max="13065" width="9.140625" style="2131"/>
    <col min="13066" max="13068" width="16" style="2131" bestFit="1" customWidth="1"/>
    <col min="13069" max="13312" width="9.140625" style="2131"/>
    <col min="13313" max="13313" width="5.7109375" style="2131" customWidth="1"/>
    <col min="13314" max="13314" width="6.7109375" style="2131" customWidth="1"/>
    <col min="13315" max="13315" width="10.28515625" style="2131" customWidth="1"/>
    <col min="13316" max="13316" width="46.42578125" style="2131" customWidth="1"/>
    <col min="13317" max="13317" width="13.85546875" style="2131" customWidth="1"/>
    <col min="13318" max="13318" width="14.85546875" style="2131" customWidth="1"/>
    <col min="13319" max="13319" width="13.85546875" style="2131" customWidth="1"/>
    <col min="13320" max="13320" width="8.5703125" style="2131" customWidth="1"/>
    <col min="13321" max="13321" width="9.140625" style="2131"/>
    <col min="13322" max="13324" width="16" style="2131" bestFit="1" customWidth="1"/>
    <col min="13325" max="13568" width="9.140625" style="2131"/>
    <col min="13569" max="13569" width="5.7109375" style="2131" customWidth="1"/>
    <col min="13570" max="13570" width="6.7109375" style="2131" customWidth="1"/>
    <col min="13571" max="13571" width="10.28515625" style="2131" customWidth="1"/>
    <col min="13572" max="13572" width="46.42578125" style="2131" customWidth="1"/>
    <col min="13573" max="13573" width="13.85546875" style="2131" customWidth="1"/>
    <col min="13574" max="13574" width="14.85546875" style="2131" customWidth="1"/>
    <col min="13575" max="13575" width="13.85546875" style="2131" customWidth="1"/>
    <col min="13576" max="13576" width="8.5703125" style="2131" customWidth="1"/>
    <col min="13577" max="13577" width="9.140625" style="2131"/>
    <col min="13578" max="13580" width="16" style="2131" bestFit="1" customWidth="1"/>
    <col min="13581" max="13824" width="9.140625" style="2131"/>
    <col min="13825" max="13825" width="5.7109375" style="2131" customWidth="1"/>
    <col min="13826" max="13826" width="6.7109375" style="2131" customWidth="1"/>
    <col min="13827" max="13827" width="10.28515625" style="2131" customWidth="1"/>
    <col min="13828" max="13828" width="46.42578125" style="2131" customWidth="1"/>
    <col min="13829" max="13829" width="13.85546875" style="2131" customWidth="1"/>
    <col min="13830" max="13830" width="14.85546875" style="2131" customWidth="1"/>
    <col min="13831" max="13831" width="13.85546875" style="2131" customWidth="1"/>
    <col min="13832" max="13832" width="8.5703125" style="2131" customWidth="1"/>
    <col min="13833" max="13833" width="9.140625" style="2131"/>
    <col min="13834" max="13836" width="16" style="2131" bestFit="1" customWidth="1"/>
    <col min="13837" max="14080" width="9.140625" style="2131"/>
    <col min="14081" max="14081" width="5.7109375" style="2131" customWidth="1"/>
    <col min="14082" max="14082" width="6.7109375" style="2131" customWidth="1"/>
    <col min="14083" max="14083" width="10.28515625" style="2131" customWidth="1"/>
    <col min="14084" max="14084" width="46.42578125" style="2131" customWidth="1"/>
    <col min="14085" max="14085" width="13.85546875" style="2131" customWidth="1"/>
    <col min="14086" max="14086" width="14.85546875" style="2131" customWidth="1"/>
    <col min="14087" max="14087" width="13.85546875" style="2131" customWidth="1"/>
    <col min="14088" max="14088" width="8.5703125" style="2131" customWidth="1"/>
    <col min="14089" max="14089" width="9.140625" style="2131"/>
    <col min="14090" max="14092" width="16" style="2131" bestFit="1" customWidth="1"/>
    <col min="14093" max="14336" width="9.140625" style="2131"/>
    <col min="14337" max="14337" width="5.7109375" style="2131" customWidth="1"/>
    <col min="14338" max="14338" width="6.7109375" style="2131" customWidth="1"/>
    <col min="14339" max="14339" width="10.28515625" style="2131" customWidth="1"/>
    <col min="14340" max="14340" width="46.42578125" style="2131" customWidth="1"/>
    <col min="14341" max="14341" width="13.85546875" style="2131" customWidth="1"/>
    <col min="14342" max="14342" width="14.85546875" style="2131" customWidth="1"/>
    <col min="14343" max="14343" width="13.85546875" style="2131" customWidth="1"/>
    <col min="14344" max="14344" width="8.5703125" style="2131" customWidth="1"/>
    <col min="14345" max="14345" width="9.140625" style="2131"/>
    <col min="14346" max="14348" width="16" style="2131" bestFit="1" customWidth="1"/>
    <col min="14349" max="14592" width="9.140625" style="2131"/>
    <col min="14593" max="14593" width="5.7109375" style="2131" customWidth="1"/>
    <col min="14594" max="14594" width="6.7109375" style="2131" customWidth="1"/>
    <col min="14595" max="14595" width="10.28515625" style="2131" customWidth="1"/>
    <col min="14596" max="14596" width="46.42578125" style="2131" customWidth="1"/>
    <col min="14597" max="14597" width="13.85546875" style="2131" customWidth="1"/>
    <col min="14598" max="14598" width="14.85546875" style="2131" customWidth="1"/>
    <col min="14599" max="14599" width="13.85546875" style="2131" customWidth="1"/>
    <col min="14600" max="14600" width="8.5703125" style="2131" customWidth="1"/>
    <col min="14601" max="14601" width="9.140625" style="2131"/>
    <col min="14602" max="14604" width="16" style="2131" bestFit="1" customWidth="1"/>
    <col min="14605" max="14848" width="9.140625" style="2131"/>
    <col min="14849" max="14849" width="5.7109375" style="2131" customWidth="1"/>
    <col min="14850" max="14850" width="6.7109375" style="2131" customWidth="1"/>
    <col min="14851" max="14851" width="10.28515625" style="2131" customWidth="1"/>
    <col min="14852" max="14852" width="46.42578125" style="2131" customWidth="1"/>
    <col min="14853" max="14853" width="13.85546875" style="2131" customWidth="1"/>
    <col min="14854" max="14854" width="14.85546875" style="2131" customWidth="1"/>
    <col min="14855" max="14855" width="13.85546875" style="2131" customWidth="1"/>
    <col min="14856" max="14856" width="8.5703125" style="2131" customWidth="1"/>
    <col min="14857" max="14857" width="9.140625" style="2131"/>
    <col min="14858" max="14860" width="16" style="2131" bestFit="1" customWidth="1"/>
    <col min="14861" max="15104" width="9.140625" style="2131"/>
    <col min="15105" max="15105" width="5.7109375" style="2131" customWidth="1"/>
    <col min="15106" max="15106" width="6.7109375" style="2131" customWidth="1"/>
    <col min="15107" max="15107" width="10.28515625" style="2131" customWidth="1"/>
    <col min="15108" max="15108" width="46.42578125" style="2131" customWidth="1"/>
    <col min="15109" max="15109" width="13.85546875" style="2131" customWidth="1"/>
    <col min="15110" max="15110" width="14.85546875" style="2131" customWidth="1"/>
    <col min="15111" max="15111" width="13.85546875" style="2131" customWidth="1"/>
    <col min="15112" max="15112" width="8.5703125" style="2131" customWidth="1"/>
    <col min="15113" max="15113" width="9.140625" style="2131"/>
    <col min="15114" max="15116" width="16" style="2131" bestFit="1" customWidth="1"/>
    <col min="15117" max="15360" width="9.140625" style="2131"/>
    <col min="15361" max="15361" width="5.7109375" style="2131" customWidth="1"/>
    <col min="15362" max="15362" width="6.7109375" style="2131" customWidth="1"/>
    <col min="15363" max="15363" width="10.28515625" style="2131" customWidth="1"/>
    <col min="15364" max="15364" width="46.42578125" style="2131" customWidth="1"/>
    <col min="15365" max="15365" width="13.85546875" style="2131" customWidth="1"/>
    <col min="15366" max="15366" width="14.85546875" style="2131" customWidth="1"/>
    <col min="15367" max="15367" width="13.85546875" style="2131" customWidth="1"/>
    <col min="15368" max="15368" width="8.5703125" style="2131" customWidth="1"/>
    <col min="15369" max="15369" width="9.140625" style="2131"/>
    <col min="15370" max="15372" width="16" style="2131" bestFit="1" customWidth="1"/>
    <col min="15373" max="15616" width="9.140625" style="2131"/>
    <col min="15617" max="15617" width="5.7109375" style="2131" customWidth="1"/>
    <col min="15618" max="15618" width="6.7109375" style="2131" customWidth="1"/>
    <col min="15619" max="15619" width="10.28515625" style="2131" customWidth="1"/>
    <col min="15620" max="15620" width="46.42578125" style="2131" customWidth="1"/>
    <col min="15621" max="15621" width="13.85546875" style="2131" customWidth="1"/>
    <col min="15622" max="15622" width="14.85546875" style="2131" customWidth="1"/>
    <col min="15623" max="15623" width="13.85546875" style="2131" customWidth="1"/>
    <col min="15624" max="15624" width="8.5703125" style="2131" customWidth="1"/>
    <col min="15625" max="15625" width="9.140625" style="2131"/>
    <col min="15626" max="15628" width="16" style="2131" bestFit="1" customWidth="1"/>
    <col min="15629" max="15872" width="9.140625" style="2131"/>
    <col min="15873" max="15873" width="5.7109375" style="2131" customWidth="1"/>
    <col min="15874" max="15874" width="6.7109375" style="2131" customWidth="1"/>
    <col min="15875" max="15875" width="10.28515625" style="2131" customWidth="1"/>
    <col min="15876" max="15876" width="46.42578125" style="2131" customWidth="1"/>
    <col min="15877" max="15877" width="13.85546875" style="2131" customWidth="1"/>
    <col min="15878" max="15878" width="14.85546875" style="2131" customWidth="1"/>
    <col min="15879" max="15879" width="13.85546875" style="2131" customWidth="1"/>
    <col min="15880" max="15880" width="8.5703125" style="2131" customWidth="1"/>
    <col min="15881" max="15881" width="9.140625" style="2131"/>
    <col min="15882" max="15884" width="16" style="2131" bestFit="1" customWidth="1"/>
    <col min="15885" max="16128" width="9.140625" style="2131"/>
    <col min="16129" max="16129" width="5.7109375" style="2131" customWidth="1"/>
    <col min="16130" max="16130" width="6.7109375" style="2131" customWidth="1"/>
    <col min="16131" max="16131" width="10.28515625" style="2131" customWidth="1"/>
    <col min="16132" max="16132" width="46.42578125" style="2131" customWidth="1"/>
    <col min="16133" max="16133" width="13.85546875" style="2131" customWidth="1"/>
    <col min="16134" max="16134" width="14.85546875" style="2131" customWidth="1"/>
    <col min="16135" max="16135" width="13.85546875" style="2131" customWidth="1"/>
    <col min="16136" max="16136" width="8.5703125" style="2131" customWidth="1"/>
    <col min="16137" max="16137" width="9.140625" style="2131"/>
    <col min="16138" max="16140" width="16" style="2131" bestFit="1" customWidth="1"/>
    <col min="16141" max="16384" width="9.140625" style="2131"/>
  </cols>
  <sheetData>
    <row r="1" spans="1:9" s="1791" customFormat="1" ht="18.75" thickBot="1" x14ac:dyDescent="0.3">
      <c r="A1" s="1944" t="s">
        <v>897</v>
      </c>
      <c r="B1" s="1943"/>
      <c r="C1" s="2126"/>
      <c r="D1" s="1942"/>
      <c r="E1" s="1867"/>
      <c r="F1" s="1865"/>
      <c r="G1" s="2808" t="s">
        <v>140</v>
      </c>
      <c r="H1" s="2809"/>
      <c r="I1" s="1796"/>
    </row>
    <row r="2" spans="1:9" s="1791" customFormat="1" ht="12.75" customHeight="1" x14ac:dyDescent="0.25">
      <c r="A2" s="1936"/>
      <c r="B2" s="1870"/>
      <c r="C2" s="2127"/>
      <c r="D2" s="1935"/>
      <c r="E2" s="1867"/>
      <c r="F2" s="1867"/>
      <c r="G2" s="1866"/>
      <c r="H2" s="2128"/>
      <c r="I2" s="1796"/>
    </row>
    <row r="3" spans="1:9" s="1791" customFormat="1" ht="12.75" customHeight="1" x14ac:dyDescent="0.25">
      <c r="A3" s="1939" t="s">
        <v>404</v>
      </c>
      <c r="B3" s="1870"/>
      <c r="C3" s="2129" t="s">
        <v>379</v>
      </c>
      <c r="D3" s="1938"/>
      <c r="E3" s="1867"/>
      <c r="F3" s="1866"/>
      <c r="G3" s="1865"/>
      <c r="H3" s="2128"/>
    </row>
    <row r="4" spans="1:9" s="1791" customFormat="1" ht="12.75" customHeight="1" x14ac:dyDescent="0.25">
      <c r="A4" s="1936"/>
      <c r="B4" s="1870"/>
      <c r="C4" s="2129" t="s">
        <v>380</v>
      </c>
      <c r="D4" s="1796"/>
      <c r="E4" s="1867"/>
      <c r="F4" s="1866"/>
      <c r="G4" s="1865"/>
      <c r="H4" s="2128"/>
    </row>
    <row r="5" spans="1:9" hidden="1" x14ac:dyDescent="0.2"/>
    <row r="6" spans="1:9" ht="18" x14ac:dyDescent="0.25">
      <c r="A6" s="2134" t="s">
        <v>846</v>
      </c>
    </row>
    <row r="7" spans="1:9" ht="12" customHeight="1" x14ac:dyDescent="0.25">
      <c r="A7" s="2135"/>
    </row>
    <row r="8" spans="1:9" ht="17.25" customHeight="1" x14ac:dyDescent="0.2">
      <c r="A8" s="2802" t="s">
        <v>1777</v>
      </c>
      <c r="B8" s="2802"/>
      <c r="C8" s="2802"/>
      <c r="D8" s="2802"/>
      <c r="E8" s="2802"/>
      <c r="F8" s="2802"/>
      <c r="G8" s="2802"/>
      <c r="H8" s="2802"/>
    </row>
    <row r="9" spans="1:9" s="1849" customFormat="1" ht="12" x14ac:dyDescent="0.2">
      <c r="A9" s="2802"/>
      <c r="B9" s="2802"/>
      <c r="C9" s="2802"/>
      <c r="D9" s="2802"/>
      <c r="E9" s="2802"/>
      <c r="F9" s="2802"/>
      <c r="G9" s="2802"/>
      <c r="H9" s="2802"/>
    </row>
    <row r="10" spans="1:9" s="1849" customFormat="1" ht="15.75" thickBot="1" x14ac:dyDescent="0.3">
      <c r="A10" s="2136" t="s">
        <v>381</v>
      </c>
      <c r="B10" s="2137"/>
      <c r="C10" s="2137"/>
      <c r="D10" s="2137"/>
      <c r="E10" s="2137"/>
      <c r="F10" s="2137"/>
      <c r="G10" s="2137"/>
      <c r="H10" s="2133" t="s">
        <v>179</v>
      </c>
    </row>
    <row r="11" spans="1:9" s="1849" customFormat="1" ht="25.5" thickTop="1" thickBot="1" x14ac:dyDescent="0.25">
      <c r="A11" s="2138" t="s">
        <v>180</v>
      </c>
      <c r="B11" s="2139" t="s">
        <v>847</v>
      </c>
      <c r="C11" s="2139" t="s">
        <v>414</v>
      </c>
      <c r="D11" s="2140" t="s">
        <v>182</v>
      </c>
      <c r="E11" s="2141" t="s">
        <v>700</v>
      </c>
      <c r="F11" s="2141" t="s">
        <v>701</v>
      </c>
      <c r="G11" s="2142" t="s">
        <v>986</v>
      </c>
      <c r="H11" s="2143" t="s">
        <v>987</v>
      </c>
    </row>
    <row r="12" spans="1:9" s="1849" customFormat="1" ht="13.5" thickTop="1" thickBot="1" x14ac:dyDescent="0.25">
      <c r="A12" s="1854">
        <v>1</v>
      </c>
      <c r="B12" s="1853">
        <v>2</v>
      </c>
      <c r="C12" s="1853">
        <v>3</v>
      </c>
      <c r="D12" s="1853">
        <v>4</v>
      </c>
      <c r="E12" s="2144">
        <v>5</v>
      </c>
      <c r="F12" s="2144">
        <v>6</v>
      </c>
      <c r="G12" s="2145">
        <v>7</v>
      </c>
      <c r="H12" s="2146" t="s">
        <v>61</v>
      </c>
    </row>
    <row r="13" spans="1:9" s="1849" customFormat="1" ht="16.5" thickTop="1" thickBot="1" x14ac:dyDescent="0.3">
      <c r="A13" s="2147">
        <v>3121</v>
      </c>
      <c r="B13" s="2148">
        <v>6121</v>
      </c>
      <c r="C13" s="2149"/>
      <c r="D13" s="2150" t="s">
        <v>671</v>
      </c>
      <c r="E13" s="2151">
        <v>0</v>
      </c>
      <c r="F13" s="2152">
        <v>1</v>
      </c>
      <c r="G13" s="2151">
        <v>0</v>
      </c>
      <c r="H13" s="2153">
        <f>G13/F13*100</f>
        <v>0</v>
      </c>
    </row>
    <row r="14" spans="1:9" s="1849" customFormat="1" ht="16.5" hidden="1" thickTop="1" thickBot="1" x14ac:dyDescent="0.3">
      <c r="A14" s="2147">
        <v>3122</v>
      </c>
      <c r="B14" s="2148">
        <v>6121</v>
      </c>
      <c r="C14" s="2148"/>
      <c r="D14" s="2150" t="s">
        <v>671</v>
      </c>
      <c r="E14" s="2154">
        <v>0</v>
      </c>
      <c r="F14" s="2155">
        <v>0</v>
      </c>
      <c r="G14" s="2155">
        <v>0</v>
      </c>
      <c r="H14" s="2156" t="e">
        <f>G14/F14*100</f>
        <v>#DIV/0!</v>
      </c>
    </row>
    <row r="15" spans="1:9" s="1849" customFormat="1" ht="16.5" thickTop="1" thickBot="1" x14ac:dyDescent="0.3">
      <c r="A15" s="2806" t="s">
        <v>849</v>
      </c>
      <c r="B15" s="2807"/>
      <c r="C15" s="2807"/>
      <c r="D15" s="2807"/>
      <c r="E15" s="2152">
        <f>SUM(E13:E14)</f>
        <v>0</v>
      </c>
      <c r="F15" s="2155">
        <f>SUM(F13:F14)</f>
        <v>1</v>
      </c>
      <c r="G15" s="2152">
        <f>SUM(G13:G14)</f>
        <v>0</v>
      </c>
      <c r="H15" s="2157">
        <f>G15/F15*100</f>
        <v>0</v>
      </c>
    </row>
    <row r="16" spans="1:9" ht="15.75" thickTop="1" x14ac:dyDescent="0.25">
      <c r="A16" s="2158"/>
      <c r="B16" s="2158"/>
      <c r="C16" s="2158"/>
      <c r="D16" s="2158"/>
      <c r="E16" s="2159"/>
      <c r="F16" s="2159"/>
      <c r="G16" s="2159"/>
      <c r="H16" s="2160"/>
    </row>
    <row r="17" spans="1:8" ht="15" x14ac:dyDescent="0.25">
      <c r="A17" s="2136" t="s">
        <v>1228</v>
      </c>
    </row>
    <row r="18" spans="1:8" s="1849" customFormat="1" ht="15.75" thickBot="1" x14ac:dyDescent="0.3">
      <c r="A18" s="2136" t="s">
        <v>1229</v>
      </c>
      <c r="B18" s="2130"/>
      <c r="C18" s="2130"/>
      <c r="D18" s="2131"/>
      <c r="E18" s="2132"/>
      <c r="F18" s="2132"/>
      <c r="G18" s="2132"/>
      <c r="H18" s="2133" t="s">
        <v>1379</v>
      </c>
    </row>
    <row r="19" spans="1:8" s="1849" customFormat="1" ht="25.5" thickTop="1" thickBot="1" x14ac:dyDescent="0.25">
      <c r="A19" s="2138" t="s">
        <v>180</v>
      </c>
      <c r="B19" s="2139" t="s">
        <v>847</v>
      </c>
      <c r="C19" s="2139" t="s">
        <v>414</v>
      </c>
      <c r="D19" s="2140" t="s">
        <v>182</v>
      </c>
      <c r="E19" s="2141" t="s">
        <v>700</v>
      </c>
      <c r="F19" s="2141" t="s">
        <v>701</v>
      </c>
      <c r="G19" s="2142" t="s">
        <v>986</v>
      </c>
      <c r="H19" s="2143" t="s">
        <v>987</v>
      </c>
    </row>
    <row r="20" spans="1:8" s="1849" customFormat="1" ht="13.5" thickTop="1" thickBot="1" x14ac:dyDescent="0.25">
      <c r="A20" s="1854">
        <v>1</v>
      </c>
      <c r="B20" s="1853">
        <v>2</v>
      </c>
      <c r="C20" s="1853">
        <v>3</v>
      </c>
      <c r="D20" s="1853">
        <v>4</v>
      </c>
      <c r="E20" s="2144">
        <v>5</v>
      </c>
      <c r="F20" s="2144">
        <v>6</v>
      </c>
      <c r="G20" s="2145">
        <v>7</v>
      </c>
      <c r="H20" s="2146" t="s">
        <v>61</v>
      </c>
    </row>
    <row r="21" spans="1:8" s="1849" customFormat="1" ht="16.5" thickTop="1" thickBot="1" x14ac:dyDescent="0.3">
      <c r="A21" s="2147">
        <v>3122</v>
      </c>
      <c r="B21" s="2148">
        <v>6121</v>
      </c>
      <c r="C21" s="2148"/>
      <c r="D21" s="2150" t="s">
        <v>671</v>
      </c>
      <c r="E21" s="2151">
        <v>0</v>
      </c>
      <c r="F21" s="2152">
        <v>30</v>
      </c>
      <c r="G21" s="2152">
        <v>17</v>
      </c>
      <c r="H21" s="2153">
        <f>G21/F21*100</f>
        <v>56.666666666666664</v>
      </c>
    </row>
    <row r="22" spans="1:8" s="1849" customFormat="1" ht="16.5" thickTop="1" thickBot="1" x14ac:dyDescent="0.3">
      <c r="A22" s="2806" t="s">
        <v>849</v>
      </c>
      <c r="B22" s="2807"/>
      <c r="C22" s="2807"/>
      <c r="D22" s="2807"/>
      <c r="E22" s="2152">
        <f>SUM(E21:E21)</f>
        <v>0</v>
      </c>
      <c r="F22" s="2155">
        <f>SUM(F21:F21)</f>
        <v>30</v>
      </c>
      <c r="G22" s="2155">
        <f>SUM(G21:G21)</f>
        <v>17</v>
      </c>
      <c r="H22" s="2157">
        <f>G22/F22*100</f>
        <v>56.666666666666664</v>
      </c>
    </row>
    <row r="23" spans="1:8" ht="15" customHeight="1" thickTop="1" x14ac:dyDescent="0.25">
      <c r="A23" s="2134"/>
    </row>
    <row r="24" spans="1:8" ht="15" x14ac:dyDescent="0.25">
      <c r="A24" s="2136" t="s">
        <v>1230</v>
      </c>
    </row>
    <row r="25" spans="1:8" s="1849" customFormat="1" ht="15.75" thickBot="1" x14ac:dyDescent="0.3">
      <c r="A25" s="2136" t="s">
        <v>1231</v>
      </c>
      <c r="B25" s="2130"/>
      <c r="C25" s="2130"/>
      <c r="D25" s="2131"/>
      <c r="E25" s="2132"/>
      <c r="F25" s="2132"/>
      <c r="G25" s="2132"/>
      <c r="H25" s="2161" t="s">
        <v>179</v>
      </c>
    </row>
    <row r="26" spans="1:8" s="1849" customFormat="1" ht="25.5" thickTop="1" thickBot="1" x14ac:dyDescent="0.25">
      <c r="A26" s="2138" t="s">
        <v>180</v>
      </c>
      <c r="B26" s="2139" t="s">
        <v>847</v>
      </c>
      <c r="C26" s="2139" t="s">
        <v>414</v>
      </c>
      <c r="D26" s="2140" t="s">
        <v>182</v>
      </c>
      <c r="E26" s="2141" t="s">
        <v>700</v>
      </c>
      <c r="F26" s="2141" t="s">
        <v>701</v>
      </c>
      <c r="G26" s="2142" t="s">
        <v>986</v>
      </c>
      <c r="H26" s="2143" t="s">
        <v>987</v>
      </c>
    </row>
    <row r="27" spans="1:8" s="1849" customFormat="1" ht="13.5" thickTop="1" thickBot="1" x14ac:dyDescent="0.25">
      <c r="A27" s="1854">
        <v>1</v>
      </c>
      <c r="B27" s="1853">
        <v>2</v>
      </c>
      <c r="C27" s="1853">
        <v>3</v>
      </c>
      <c r="D27" s="1853">
        <v>4</v>
      </c>
      <c r="E27" s="2144">
        <v>5</v>
      </c>
      <c r="F27" s="2144">
        <v>6</v>
      </c>
      <c r="G27" s="2145">
        <v>7</v>
      </c>
      <c r="H27" s="2146" t="s">
        <v>61</v>
      </c>
    </row>
    <row r="28" spans="1:8" s="1849" customFormat="1" ht="16.5" thickTop="1" thickBot="1" x14ac:dyDescent="0.3">
      <c r="A28" s="2147">
        <v>3122</v>
      </c>
      <c r="B28" s="2148">
        <v>6121</v>
      </c>
      <c r="C28" s="2148"/>
      <c r="D28" s="2150" t="s">
        <v>671</v>
      </c>
      <c r="E28" s="2151">
        <v>0</v>
      </c>
      <c r="F28" s="2152">
        <v>275</v>
      </c>
      <c r="G28" s="2152">
        <v>75</v>
      </c>
      <c r="H28" s="2156">
        <f>G28/F28*100</f>
        <v>27.27272727272727</v>
      </c>
    </row>
    <row r="29" spans="1:8" s="1849" customFormat="1" ht="16.5" thickTop="1" thickBot="1" x14ac:dyDescent="0.3">
      <c r="A29" s="2806" t="s">
        <v>849</v>
      </c>
      <c r="B29" s="2807"/>
      <c r="C29" s="2807"/>
      <c r="D29" s="2807"/>
      <c r="E29" s="2152">
        <f>SUM(E28)</f>
        <v>0</v>
      </c>
      <c r="F29" s="2155">
        <f>SUM(F28:F28)</f>
        <v>275</v>
      </c>
      <c r="G29" s="2155">
        <f>SUM(G28:G28)</f>
        <v>75</v>
      </c>
      <c r="H29" s="2157">
        <f>G29/F29*100</f>
        <v>27.27272727272727</v>
      </c>
    </row>
    <row r="30" spans="1:8" s="1849" customFormat="1" ht="18.75" thickTop="1" x14ac:dyDescent="0.25">
      <c r="A30" s="2134"/>
      <c r="B30" s="2130"/>
      <c r="C30" s="2130"/>
      <c r="D30" s="2131"/>
      <c r="E30" s="2132"/>
      <c r="F30" s="2132"/>
      <c r="G30" s="2132"/>
      <c r="H30" s="2133"/>
    </row>
    <row r="31" spans="1:8" s="1849" customFormat="1" ht="15" x14ac:dyDescent="0.25">
      <c r="A31" s="2136" t="s">
        <v>1232</v>
      </c>
      <c r="B31" s="2130"/>
      <c r="C31" s="2130"/>
      <c r="D31" s="2131"/>
      <c r="E31" s="2132"/>
      <c r="F31" s="2132"/>
      <c r="G31" s="2132"/>
      <c r="H31" s="2133"/>
    </row>
    <row r="32" spans="1:8" s="1849" customFormat="1" ht="15.75" thickBot="1" x14ac:dyDescent="0.3">
      <c r="A32" s="2136" t="s">
        <v>1233</v>
      </c>
      <c r="B32" s="2130"/>
      <c r="C32" s="2130"/>
      <c r="D32" s="2131"/>
      <c r="E32" s="2132"/>
      <c r="F32" s="2132"/>
      <c r="G32" s="2132"/>
      <c r="H32" s="2133" t="s">
        <v>1379</v>
      </c>
    </row>
    <row r="33" spans="1:9" s="1849" customFormat="1" ht="25.5" thickTop="1" thickBot="1" x14ac:dyDescent="0.25">
      <c r="A33" s="2138" t="s">
        <v>180</v>
      </c>
      <c r="B33" s="2139" t="s">
        <v>847</v>
      </c>
      <c r="C33" s="2139" t="s">
        <v>414</v>
      </c>
      <c r="D33" s="2140" t="s">
        <v>182</v>
      </c>
      <c r="E33" s="2141" t="s">
        <v>700</v>
      </c>
      <c r="F33" s="2141" t="s">
        <v>701</v>
      </c>
      <c r="G33" s="2142" t="s">
        <v>986</v>
      </c>
      <c r="H33" s="2143" t="s">
        <v>987</v>
      </c>
    </row>
    <row r="34" spans="1:9" s="1849" customFormat="1" ht="13.5" thickTop="1" thickBot="1" x14ac:dyDescent="0.25">
      <c r="A34" s="1854">
        <v>1</v>
      </c>
      <c r="B34" s="1853">
        <v>2</v>
      </c>
      <c r="C34" s="1853">
        <v>3</v>
      </c>
      <c r="D34" s="1853">
        <v>4</v>
      </c>
      <c r="E34" s="2144">
        <v>5</v>
      </c>
      <c r="F34" s="2144">
        <v>6</v>
      </c>
      <c r="G34" s="2145">
        <v>7</v>
      </c>
      <c r="H34" s="2146" t="s">
        <v>61</v>
      </c>
    </row>
    <row r="35" spans="1:9" ht="15.75" thickTop="1" x14ac:dyDescent="0.25">
      <c r="A35" s="2147">
        <v>3121</v>
      </c>
      <c r="B35" s="2148">
        <v>5166</v>
      </c>
      <c r="C35" s="2149"/>
      <c r="D35" s="2150" t="s">
        <v>677</v>
      </c>
      <c r="E35" s="2151">
        <v>0</v>
      </c>
      <c r="F35" s="2151">
        <v>14</v>
      </c>
      <c r="G35" s="2151">
        <v>0</v>
      </c>
      <c r="H35" s="2153">
        <f>G35/F35*100</f>
        <v>0</v>
      </c>
    </row>
    <row r="36" spans="1:9" ht="15.75" thickBot="1" x14ac:dyDescent="0.3">
      <c r="A36" s="2147">
        <v>3122</v>
      </c>
      <c r="B36" s="2148">
        <v>5166</v>
      </c>
      <c r="C36" s="2162"/>
      <c r="D36" s="2150" t="s">
        <v>677</v>
      </c>
      <c r="E36" s="2155">
        <v>0</v>
      </c>
      <c r="F36" s="2155">
        <v>14</v>
      </c>
      <c r="G36" s="2155">
        <v>0</v>
      </c>
      <c r="H36" s="2163">
        <f>G36/F36*100</f>
        <v>0</v>
      </c>
    </row>
    <row r="37" spans="1:9" ht="16.5" thickTop="1" thickBot="1" x14ac:dyDescent="0.3">
      <c r="A37" s="2806" t="s">
        <v>849</v>
      </c>
      <c r="B37" s="2807"/>
      <c r="C37" s="2807"/>
      <c r="D37" s="2807"/>
      <c r="E37" s="2152">
        <f>SUM(E35:E36)</f>
        <v>0</v>
      </c>
      <c r="F37" s="2152">
        <f>SUM(F35:F36)</f>
        <v>28</v>
      </c>
      <c r="G37" s="2152">
        <f>SUM(G35:G36)</f>
        <v>0</v>
      </c>
      <c r="H37" s="2157">
        <f>G37/F37*100</f>
        <v>0</v>
      </c>
    </row>
    <row r="38" spans="1:9" ht="15.75" thickTop="1" x14ac:dyDescent="0.25">
      <c r="A38" s="2158"/>
      <c r="B38" s="2158"/>
      <c r="C38" s="2158"/>
      <c r="D38" s="2158"/>
      <c r="E38" s="2159"/>
      <c r="F38" s="2159"/>
      <c r="G38" s="2159"/>
      <c r="H38" s="2160"/>
    </row>
    <row r="39" spans="1:9" s="2164" customFormat="1" ht="30" customHeight="1" x14ac:dyDescent="0.25">
      <c r="A39" s="2802" t="s">
        <v>82</v>
      </c>
      <c r="B39" s="2802"/>
      <c r="C39" s="2802"/>
      <c r="D39" s="2802"/>
      <c r="E39" s="2802"/>
      <c r="F39" s="2802"/>
      <c r="G39" s="2802"/>
      <c r="H39" s="2802"/>
      <c r="I39" s="2137"/>
    </row>
    <row r="40" spans="1:9" s="2164" customFormat="1" ht="15.75" thickBot="1" x14ac:dyDescent="0.3">
      <c r="A40" s="2136" t="s">
        <v>83</v>
      </c>
      <c r="B40" s="2130"/>
      <c r="C40" s="2130"/>
      <c r="D40" s="2130"/>
      <c r="E40" s="2131"/>
      <c r="F40" s="2165"/>
      <c r="G40" s="2165"/>
      <c r="H40" s="2161" t="s">
        <v>179</v>
      </c>
      <c r="I40" s="2131"/>
    </row>
    <row r="41" spans="1:9" s="2164" customFormat="1" ht="25.5" thickTop="1" thickBot="1" x14ac:dyDescent="0.3">
      <c r="A41" s="2138" t="s">
        <v>180</v>
      </c>
      <c r="B41" s="2139" t="s">
        <v>847</v>
      </c>
      <c r="C41" s="2139" t="s">
        <v>414</v>
      </c>
      <c r="D41" s="2140" t="s">
        <v>182</v>
      </c>
      <c r="E41" s="2141" t="s">
        <v>700</v>
      </c>
      <c r="F41" s="2141" t="s">
        <v>701</v>
      </c>
      <c r="G41" s="2142" t="s">
        <v>986</v>
      </c>
      <c r="H41" s="2143" t="s">
        <v>987</v>
      </c>
    </row>
    <row r="42" spans="1:9" s="1849" customFormat="1" ht="13.5" thickTop="1" thickBot="1" x14ac:dyDescent="0.25">
      <c r="A42" s="1854">
        <v>1</v>
      </c>
      <c r="B42" s="1853">
        <v>2</v>
      </c>
      <c r="C42" s="1853">
        <v>3</v>
      </c>
      <c r="D42" s="1853">
        <v>4</v>
      </c>
      <c r="E42" s="2144">
        <v>5</v>
      </c>
      <c r="F42" s="2144">
        <v>6</v>
      </c>
      <c r="G42" s="2145">
        <v>7</v>
      </c>
      <c r="H42" s="2146" t="s">
        <v>61</v>
      </c>
    </row>
    <row r="43" spans="1:9" ht="16.5" thickTop="1" thickBot="1" x14ac:dyDescent="0.3">
      <c r="A43" s="2147">
        <v>3122</v>
      </c>
      <c r="B43" s="2148">
        <v>6121</v>
      </c>
      <c r="C43" s="2148"/>
      <c r="D43" s="2150" t="s">
        <v>671</v>
      </c>
      <c r="E43" s="2152">
        <v>0</v>
      </c>
      <c r="F43" s="2152">
        <v>35</v>
      </c>
      <c r="G43" s="2152">
        <v>35</v>
      </c>
      <c r="H43" s="2153">
        <f>G43/F43*100</f>
        <v>100</v>
      </c>
    </row>
    <row r="44" spans="1:9" s="1849" customFormat="1" ht="16.5" thickTop="1" thickBot="1" x14ac:dyDescent="0.3">
      <c r="A44" s="2806" t="s">
        <v>849</v>
      </c>
      <c r="B44" s="2807"/>
      <c r="C44" s="2807"/>
      <c r="D44" s="2807"/>
      <c r="E44" s="2155">
        <f>SUM(E43:E43)</f>
        <v>0</v>
      </c>
      <c r="F44" s="2155">
        <f>SUM(F43:F43)</f>
        <v>35</v>
      </c>
      <c r="G44" s="2155">
        <f>SUM(G43:G43)</f>
        <v>35</v>
      </c>
      <c r="H44" s="2157">
        <f>G44/F44*100</f>
        <v>100</v>
      </c>
    </row>
    <row r="45" spans="1:9" s="1849" customFormat="1" ht="18.75" thickTop="1" x14ac:dyDescent="0.25">
      <c r="A45" s="2134"/>
      <c r="B45" s="2130"/>
      <c r="C45" s="2130"/>
      <c r="D45" s="2131"/>
      <c r="E45" s="2132"/>
      <c r="F45" s="2132"/>
      <c r="G45" s="2132"/>
      <c r="H45" s="2133"/>
    </row>
    <row r="46" spans="1:9" s="1849" customFormat="1" ht="15" x14ac:dyDescent="0.25">
      <c r="A46" s="2802" t="s">
        <v>84</v>
      </c>
      <c r="B46" s="2802"/>
      <c r="C46" s="2802"/>
      <c r="D46" s="2802"/>
      <c r="E46" s="2802"/>
      <c r="F46" s="2802"/>
      <c r="G46" s="2802"/>
      <c r="H46" s="2802"/>
    </row>
    <row r="47" spans="1:9" s="1849" customFormat="1" ht="15.75" thickBot="1" x14ac:dyDescent="0.3">
      <c r="A47" s="2136" t="s">
        <v>85</v>
      </c>
      <c r="B47" s="2130"/>
      <c r="C47" s="2130"/>
      <c r="D47" s="2131"/>
      <c r="E47" s="2132"/>
      <c r="F47" s="2132"/>
      <c r="G47" s="2132"/>
      <c r="H47" s="2133" t="s">
        <v>1379</v>
      </c>
    </row>
    <row r="48" spans="1:9" s="1849" customFormat="1" ht="25.5" thickTop="1" thickBot="1" x14ac:dyDescent="0.25">
      <c r="A48" s="2138" t="s">
        <v>180</v>
      </c>
      <c r="B48" s="2139" t="s">
        <v>847</v>
      </c>
      <c r="C48" s="2139" t="s">
        <v>414</v>
      </c>
      <c r="D48" s="2140" t="s">
        <v>182</v>
      </c>
      <c r="E48" s="2141" t="s">
        <v>700</v>
      </c>
      <c r="F48" s="2141" t="s">
        <v>701</v>
      </c>
      <c r="G48" s="2142" t="s">
        <v>986</v>
      </c>
      <c r="H48" s="2143" t="s">
        <v>987</v>
      </c>
    </row>
    <row r="49" spans="1:8" s="1849" customFormat="1" ht="13.5" thickTop="1" thickBot="1" x14ac:dyDescent="0.25">
      <c r="A49" s="1854">
        <v>1</v>
      </c>
      <c r="B49" s="1853">
        <v>2</v>
      </c>
      <c r="C49" s="1853">
        <v>3</v>
      </c>
      <c r="D49" s="1853">
        <v>4</v>
      </c>
      <c r="E49" s="2144">
        <v>5</v>
      </c>
      <c r="F49" s="2144">
        <v>6</v>
      </c>
      <c r="G49" s="2145">
        <v>7</v>
      </c>
      <c r="H49" s="2146" t="s">
        <v>61</v>
      </c>
    </row>
    <row r="50" spans="1:8" s="1849" customFormat="1" ht="16.5" thickTop="1" thickBot="1" x14ac:dyDescent="0.3">
      <c r="A50" s="2147">
        <v>3122</v>
      </c>
      <c r="B50" s="2148">
        <v>6121</v>
      </c>
      <c r="C50" s="2148"/>
      <c r="D50" s="2150" t="s">
        <v>671</v>
      </c>
      <c r="E50" s="2151">
        <v>0</v>
      </c>
      <c r="F50" s="2152">
        <v>14</v>
      </c>
      <c r="G50" s="2152">
        <v>14</v>
      </c>
      <c r="H50" s="2153">
        <f>G50/F50*100</f>
        <v>100</v>
      </c>
    </row>
    <row r="51" spans="1:8" s="1849" customFormat="1" ht="16.5" thickTop="1" thickBot="1" x14ac:dyDescent="0.3">
      <c r="A51" s="2806" t="s">
        <v>849</v>
      </c>
      <c r="B51" s="2807"/>
      <c r="C51" s="2807"/>
      <c r="D51" s="2807"/>
      <c r="E51" s="2152">
        <f>SUM(E50:E50)</f>
        <v>0</v>
      </c>
      <c r="F51" s="2155">
        <f>SUM(F50:F50)</f>
        <v>14</v>
      </c>
      <c r="G51" s="2155">
        <f>SUM(G50:G50)</f>
        <v>14</v>
      </c>
      <c r="H51" s="2157">
        <f>G51/F51*100</f>
        <v>100</v>
      </c>
    </row>
    <row r="52" spans="1:8" s="1849" customFormat="1" ht="18.75" thickTop="1" x14ac:dyDescent="0.25">
      <c r="A52" s="2134"/>
      <c r="B52" s="2130"/>
      <c r="C52" s="2130"/>
      <c r="D52" s="2131"/>
      <c r="E52" s="2132"/>
      <c r="F52" s="2132"/>
      <c r="G52" s="2132"/>
      <c r="H52" s="2133"/>
    </row>
    <row r="53" spans="1:8" s="1849" customFormat="1" ht="15" x14ac:dyDescent="0.25">
      <c r="A53" s="2802" t="s">
        <v>86</v>
      </c>
      <c r="B53" s="2802"/>
      <c r="C53" s="2802"/>
      <c r="D53" s="2802"/>
      <c r="E53" s="2802"/>
      <c r="F53" s="2802"/>
      <c r="G53" s="2802"/>
      <c r="H53" s="2802"/>
    </row>
    <row r="54" spans="1:8" s="1849" customFormat="1" ht="15.75" thickBot="1" x14ac:dyDescent="0.3">
      <c r="A54" s="2136" t="s">
        <v>87</v>
      </c>
      <c r="B54" s="2130"/>
      <c r="C54" s="2130"/>
      <c r="D54" s="2131"/>
      <c r="E54" s="2132"/>
      <c r="F54" s="2132"/>
      <c r="G54" s="2132"/>
      <c r="H54" s="2133" t="s">
        <v>1379</v>
      </c>
    </row>
    <row r="55" spans="1:8" s="1849" customFormat="1" ht="25.5" thickTop="1" thickBot="1" x14ac:dyDescent="0.25">
      <c r="A55" s="2138" t="s">
        <v>180</v>
      </c>
      <c r="B55" s="2139" t="s">
        <v>847</v>
      </c>
      <c r="C55" s="2139" t="s">
        <v>414</v>
      </c>
      <c r="D55" s="2140" t="s">
        <v>182</v>
      </c>
      <c r="E55" s="2141" t="s">
        <v>700</v>
      </c>
      <c r="F55" s="2141" t="s">
        <v>701</v>
      </c>
      <c r="G55" s="2142" t="s">
        <v>986</v>
      </c>
      <c r="H55" s="2143" t="s">
        <v>987</v>
      </c>
    </row>
    <row r="56" spans="1:8" s="1849" customFormat="1" ht="13.5" thickTop="1" thickBot="1" x14ac:dyDescent="0.25">
      <c r="A56" s="1854">
        <v>1</v>
      </c>
      <c r="B56" s="1853">
        <v>2</v>
      </c>
      <c r="C56" s="1853">
        <v>3</v>
      </c>
      <c r="D56" s="1853">
        <v>4</v>
      </c>
      <c r="E56" s="2144">
        <v>5</v>
      </c>
      <c r="F56" s="2144">
        <v>6</v>
      </c>
      <c r="G56" s="2145">
        <v>7</v>
      </c>
      <c r="H56" s="2146" t="s">
        <v>61</v>
      </c>
    </row>
    <row r="57" spans="1:8" s="1849" customFormat="1" ht="16.5" thickTop="1" thickBot="1" x14ac:dyDescent="0.3">
      <c r="A57" s="2147">
        <v>3122</v>
      </c>
      <c r="B57" s="2148">
        <v>6121</v>
      </c>
      <c r="C57" s="2148"/>
      <c r="D57" s="2150" t="s">
        <v>671</v>
      </c>
      <c r="E57" s="2151">
        <v>0</v>
      </c>
      <c r="F57" s="2152">
        <v>47</v>
      </c>
      <c r="G57" s="2152">
        <v>47</v>
      </c>
      <c r="H57" s="2153">
        <f>G57/F57*100</f>
        <v>100</v>
      </c>
    </row>
    <row r="58" spans="1:8" s="1849" customFormat="1" ht="16.5" thickTop="1" thickBot="1" x14ac:dyDescent="0.3">
      <c r="A58" s="2806" t="s">
        <v>849</v>
      </c>
      <c r="B58" s="2807"/>
      <c r="C58" s="2807"/>
      <c r="D58" s="2807"/>
      <c r="E58" s="2152">
        <f>SUM(E57:E57)</f>
        <v>0</v>
      </c>
      <c r="F58" s="2155">
        <f>SUM(F57:F57)</f>
        <v>47</v>
      </c>
      <c r="G58" s="2155">
        <f>SUM(G57:G57)</f>
        <v>47</v>
      </c>
      <c r="H58" s="2157">
        <f>G58/F58*100</f>
        <v>100</v>
      </c>
    </row>
    <row r="59" spans="1:8" s="1849" customFormat="1" ht="18.75" thickTop="1" x14ac:dyDescent="0.25">
      <c r="A59" s="2134"/>
      <c r="B59" s="2130"/>
      <c r="C59" s="2130"/>
      <c r="D59" s="2131"/>
      <c r="E59" s="2132"/>
      <c r="F59" s="2132"/>
      <c r="G59" s="2132"/>
      <c r="H59" s="2133"/>
    </row>
    <row r="60" spans="1:8" ht="15" x14ac:dyDescent="0.25">
      <c r="A60" s="2136" t="s">
        <v>90</v>
      </c>
    </row>
    <row r="61" spans="1:8" ht="15.75" thickBot="1" x14ac:dyDescent="0.3">
      <c r="A61" s="2136" t="s">
        <v>91</v>
      </c>
      <c r="H61" s="2133" t="s">
        <v>1379</v>
      </c>
    </row>
    <row r="62" spans="1:8" ht="25.5" thickTop="1" thickBot="1" x14ac:dyDescent="0.25">
      <c r="A62" s="2138" t="s">
        <v>180</v>
      </c>
      <c r="B62" s="2139" t="s">
        <v>847</v>
      </c>
      <c r="C62" s="2139" t="s">
        <v>414</v>
      </c>
      <c r="D62" s="2140" t="s">
        <v>182</v>
      </c>
      <c r="E62" s="2141" t="s">
        <v>700</v>
      </c>
      <c r="F62" s="2141" t="s">
        <v>701</v>
      </c>
      <c r="G62" s="2142" t="s">
        <v>986</v>
      </c>
      <c r="H62" s="2143" t="s">
        <v>987</v>
      </c>
    </row>
    <row r="63" spans="1:8" s="1849" customFormat="1" ht="13.5" thickTop="1" thickBot="1" x14ac:dyDescent="0.25">
      <c r="A63" s="1854">
        <v>1</v>
      </c>
      <c r="B63" s="1853">
        <v>2</v>
      </c>
      <c r="C63" s="1853">
        <v>3</v>
      </c>
      <c r="D63" s="1853">
        <v>4</v>
      </c>
      <c r="E63" s="2144">
        <v>5</v>
      </c>
      <c r="F63" s="2144">
        <v>6</v>
      </c>
      <c r="G63" s="2145">
        <v>7</v>
      </c>
      <c r="H63" s="2146" t="s">
        <v>61</v>
      </c>
    </row>
    <row r="64" spans="1:8" ht="16.5" thickTop="1" thickBot="1" x14ac:dyDescent="0.3">
      <c r="A64" s="2166">
        <v>3121</v>
      </c>
      <c r="B64" s="2162">
        <v>6121</v>
      </c>
      <c r="C64" s="2162"/>
      <c r="D64" s="2167" t="s">
        <v>671</v>
      </c>
      <c r="E64" s="2151">
        <v>0</v>
      </c>
      <c r="F64" s="2155">
        <v>220</v>
      </c>
      <c r="G64" s="2155">
        <v>117</v>
      </c>
      <c r="H64" s="2156">
        <f>G64/F64*100</f>
        <v>53.181818181818187</v>
      </c>
    </row>
    <row r="65" spans="1:9" ht="16.5" thickTop="1" thickBot="1" x14ac:dyDescent="0.3">
      <c r="A65" s="2806" t="s">
        <v>849</v>
      </c>
      <c r="B65" s="2807"/>
      <c r="C65" s="2807"/>
      <c r="D65" s="2807"/>
      <c r="E65" s="2152">
        <f>SUM(E64:E64)</f>
        <v>0</v>
      </c>
      <c r="F65" s="2155">
        <f>SUM(F64:F64)</f>
        <v>220</v>
      </c>
      <c r="G65" s="2155">
        <f>SUM(G64:G64)</f>
        <v>117</v>
      </c>
      <c r="H65" s="2157">
        <f>G65/F65*100</f>
        <v>53.181818181818187</v>
      </c>
    </row>
    <row r="66" spans="1:9" ht="18.75" thickTop="1" x14ac:dyDescent="0.25">
      <c r="A66" s="2134"/>
    </row>
    <row r="67" spans="1:9" ht="15" x14ac:dyDescent="0.25">
      <c r="A67" s="2136" t="s">
        <v>921</v>
      </c>
      <c r="B67" s="2168"/>
      <c r="C67" s="2168"/>
      <c r="D67" s="2168"/>
      <c r="E67" s="2168"/>
      <c r="F67" s="2168"/>
      <c r="G67" s="2168"/>
      <c r="H67" s="2168"/>
      <c r="I67" s="2168"/>
    </row>
    <row r="68" spans="1:9" ht="15.75" thickBot="1" x14ac:dyDescent="0.3">
      <c r="A68" s="2136" t="s">
        <v>922</v>
      </c>
      <c r="D68" s="2130"/>
      <c r="E68" s="2131"/>
      <c r="F68" s="2165"/>
      <c r="G68" s="2165"/>
      <c r="H68" s="2161" t="s">
        <v>179</v>
      </c>
    </row>
    <row r="69" spans="1:9" ht="25.5" thickTop="1" thickBot="1" x14ac:dyDescent="0.25">
      <c r="A69" s="2138" t="s">
        <v>180</v>
      </c>
      <c r="B69" s="2139" t="s">
        <v>847</v>
      </c>
      <c r="C69" s="2139" t="s">
        <v>414</v>
      </c>
      <c r="D69" s="2140" t="s">
        <v>182</v>
      </c>
      <c r="E69" s="2141" t="s">
        <v>700</v>
      </c>
      <c r="F69" s="2141" t="s">
        <v>701</v>
      </c>
      <c r="G69" s="2142" t="s">
        <v>986</v>
      </c>
      <c r="H69" s="2143" t="s">
        <v>987</v>
      </c>
    </row>
    <row r="70" spans="1:9" s="1849" customFormat="1" ht="13.5" thickTop="1" thickBot="1" x14ac:dyDescent="0.25">
      <c r="A70" s="1854">
        <v>1</v>
      </c>
      <c r="B70" s="1853">
        <v>2</v>
      </c>
      <c r="C70" s="1853">
        <v>3</v>
      </c>
      <c r="D70" s="1853">
        <v>4</v>
      </c>
      <c r="E70" s="2144">
        <v>5</v>
      </c>
      <c r="F70" s="2144">
        <v>6</v>
      </c>
      <c r="G70" s="2145">
        <v>7</v>
      </c>
      <c r="H70" s="2146" t="s">
        <v>61</v>
      </c>
    </row>
    <row r="71" spans="1:9" ht="16.5" thickTop="1" thickBot="1" x14ac:dyDescent="0.3">
      <c r="A71" s="2166">
        <v>3122</v>
      </c>
      <c r="B71" s="2149">
        <v>6121</v>
      </c>
      <c r="C71" s="2149"/>
      <c r="D71" s="2169" t="s">
        <v>671</v>
      </c>
      <c r="E71" s="2170">
        <v>0</v>
      </c>
      <c r="F71" s="2155">
        <v>32</v>
      </c>
      <c r="G71" s="2155">
        <v>32</v>
      </c>
      <c r="H71" s="2156">
        <f>G71/F71*100</f>
        <v>100</v>
      </c>
    </row>
    <row r="72" spans="1:9" ht="16.5" thickTop="1" thickBot="1" x14ac:dyDescent="0.3">
      <c r="A72" s="2806" t="s">
        <v>849</v>
      </c>
      <c r="B72" s="2807"/>
      <c r="C72" s="2807"/>
      <c r="D72" s="2807"/>
      <c r="E72" s="2152">
        <f>SUM(E71:E71)</f>
        <v>0</v>
      </c>
      <c r="F72" s="2155">
        <f>SUM(F71:F71)</f>
        <v>32</v>
      </c>
      <c r="G72" s="2155">
        <f>SUM(G71:G71)</f>
        <v>32</v>
      </c>
      <c r="H72" s="2157">
        <f>G72/F72*100</f>
        <v>100</v>
      </c>
    </row>
    <row r="73" spans="1:9" ht="18.75" thickTop="1" x14ac:dyDescent="0.25">
      <c r="A73" s="2134"/>
    </row>
    <row r="74" spans="1:9" ht="13.5" x14ac:dyDescent="0.25">
      <c r="A74" s="2802" t="s">
        <v>1929</v>
      </c>
      <c r="B74" s="2803"/>
      <c r="C74" s="2803"/>
      <c r="D74" s="2803"/>
      <c r="E74" s="2803"/>
      <c r="F74" s="2803"/>
      <c r="G74" s="2803"/>
      <c r="H74" s="2803"/>
      <c r="I74" s="2803"/>
    </row>
    <row r="75" spans="1:9" ht="15.75" thickBot="1" x14ac:dyDescent="0.3">
      <c r="A75" s="2136" t="s">
        <v>99</v>
      </c>
      <c r="D75" s="2130"/>
      <c r="E75" s="2131"/>
      <c r="F75" s="2165"/>
      <c r="G75" s="2165"/>
      <c r="H75" s="2161" t="s">
        <v>179</v>
      </c>
    </row>
    <row r="76" spans="1:9" ht="25.5" thickTop="1" thickBot="1" x14ac:dyDescent="0.25">
      <c r="A76" s="2138" t="s">
        <v>180</v>
      </c>
      <c r="B76" s="2139" t="s">
        <v>847</v>
      </c>
      <c r="C76" s="2139" t="s">
        <v>414</v>
      </c>
      <c r="D76" s="2140" t="s">
        <v>182</v>
      </c>
      <c r="E76" s="2171" t="s">
        <v>700</v>
      </c>
      <c r="F76" s="2171" t="s">
        <v>701</v>
      </c>
      <c r="G76" s="2172" t="s">
        <v>986</v>
      </c>
      <c r="H76" s="2173" t="s">
        <v>987</v>
      </c>
    </row>
    <row r="77" spans="1:9" s="1849" customFormat="1" ht="13.5" thickTop="1" thickBot="1" x14ac:dyDescent="0.25">
      <c r="A77" s="1854">
        <v>1</v>
      </c>
      <c r="B77" s="1853">
        <v>2</v>
      </c>
      <c r="C77" s="1853">
        <v>3</v>
      </c>
      <c r="D77" s="1853">
        <v>4</v>
      </c>
      <c r="E77" s="2144">
        <v>5</v>
      </c>
      <c r="F77" s="2144">
        <v>6</v>
      </c>
      <c r="G77" s="2145">
        <v>7</v>
      </c>
      <c r="H77" s="2146" t="s">
        <v>61</v>
      </c>
    </row>
    <row r="78" spans="1:9" ht="16.5" thickTop="1" thickBot="1" x14ac:dyDescent="0.3">
      <c r="A78" s="2166">
        <v>3123</v>
      </c>
      <c r="B78" s="2149">
        <v>6121</v>
      </c>
      <c r="C78" s="2149"/>
      <c r="D78" s="2174" t="s">
        <v>671</v>
      </c>
      <c r="E78" s="2170">
        <v>0</v>
      </c>
      <c r="F78" s="2155">
        <v>302</v>
      </c>
      <c r="G78" s="2155">
        <v>102</v>
      </c>
      <c r="H78" s="2156">
        <f>G78/F78*100</f>
        <v>33.774834437086092</v>
      </c>
    </row>
    <row r="79" spans="1:9" ht="16.5" thickTop="1" thickBot="1" x14ac:dyDescent="0.3">
      <c r="A79" s="2175" t="s">
        <v>849</v>
      </c>
      <c r="B79" s="2176"/>
      <c r="C79" s="2176"/>
      <c r="D79" s="2177"/>
      <c r="E79" s="2152">
        <f>SUM(E78:E78)</f>
        <v>0</v>
      </c>
      <c r="F79" s="2155">
        <f>SUM(F78:F78)</f>
        <v>302</v>
      </c>
      <c r="G79" s="2155">
        <f>SUM(G78:G78)</f>
        <v>102</v>
      </c>
      <c r="H79" s="2157">
        <f>G79/F79*100</f>
        <v>33.774834437086092</v>
      </c>
    </row>
    <row r="80" spans="1:9" ht="18.75" thickTop="1" x14ac:dyDescent="0.25">
      <c r="A80" s="2134"/>
      <c r="D80" s="2130"/>
      <c r="E80" s="2131"/>
      <c r="F80" s="2165"/>
      <c r="G80" s="2165"/>
      <c r="H80" s="2165"/>
    </row>
    <row r="81" spans="1:9" ht="17.25" customHeight="1" x14ac:dyDescent="0.25">
      <c r="A81" s="2802" t="s">
        <v>100</v>
      </c>
      <c r="B81" s="2803"/>
      <c r="C81" s="2803"/>
      <c r="D81" s="2803"/>
      <c r="E81" s="2803"/>
      <c r="F81" s="2803"/>
      <c r="G81" s="2803"/>
      <c r="H81" s="2803"/>
      <c r="I81" s="2803"/>
    </row>
    <row r="82" spans="1:9" ht="15.75" thickBot="1" x14ac:dyDescent="0.3">
      <c r="A82" s="2136" t="s">
        <v>101</v>
      </c>
      <c r="D82" s="2130"/>
      <c r="E82" s="2131"/>
      <c r="F82" s="2165"/>
      <c r="G82" s="2165"/>
      <c r="H82" s="2161" t="s">
        <v>179</v>
      </c>
    </row>
    <row r="83" spans="1:9" ht="25.5" thickTop="1" thickBot="1" x14ac:dyDescent="0.25">
      <c r="A83" s="2138" t="s">
        <v>180</v>
      </c>
      <c r="B83" s="2139" t="s">
        <v>847</v>
      </c>
      <c r="C83" s="2139" t="s">
        <v>783</v>
      </c>
      <c r="D83" s="2140" t="s">
        <v>182</v>
      </c>
      <c r="E83" s="2171" t="s">
        <v>700</v>
      </c>
      <c r="F83" s="2171" t="s">
        <v>701</v>
      </c>
      <c r="G83" s="2172" t="s">
        <v>986</v>
      </c>
      <c r="H83" s="2173" t="s">
        <v>987</v>
      </c>
    </row>
    <row r="84" spans="1:9" s="1849" customFormat="1" ht="13.5" thickTop="1" thickBot="1" x14ac:dyDescent="0.25">
      <c r="A84" s="1854">
        <v>1</v>
      </c>
      <c r="B84" s="1853">
        <v>2</v>
      </c>
      <c r="C84" s="1853">
        <v>3</v>
      </c>
      <c r="D84" s="1853">
        <v>4</v>
      </c>
      <c r="E84" s="2144">
        <v>5</v>
      </c>
      <c r="F84" s="2144">
        <v>6</v>
      </c>
      <c r="G84" s="2145">
        <v>7</v>
      </c>
      <c r="H84" s="2146" t="s">
        <v>61</v>
      </c>
    </row>
    <row r="85" spans="1:9" ht="16.5" thickTop="1" thickBot="1" x14ac:dyDescent="0.3">
      <c r="A85" s="2166">
        <v>3122</v>
      </c>
      <c r="B85" s="2149">
        <v>6121</v>
      </c>
      <c r="C85" s="2149"/>
      <c r="D85" s="2174" t="s">
        <v>671</v>
      </c>
      <c r="E85" s="2170">
        <v>0</v>
      </c>
      <c r="F85" s="2155">
        <v>48</v>
      </c>
      <c r="G85" s="2155">
        <v>48</v>
      </c>
      <c r="H85" s="2156">
        <f>G85/F85*100</f>
        <v>100</v>
      </c>
    </row>
    <row r="86" spans="1:9" ht="16.5" thickTop="1" thickBot="1" x14ac:dyDescent="0.3">
      <c r="A86" s="2175" t="s">
        <v>849</v>
      </c>
      <c r="B86" s="2176"/>
      <c r="C86" s="2176"/>
      <c r="D86" s="2177"/>
      <c r="E86" s="2152">
        <f>SUM(E85:E85)</f>
        <v>0</v>
      </c>
      <c r="F86" s="2155">
        <f>SUM(F85:F85)</f>
        <v>48</v>
      </c>
      <c r="G86" s="2155">
        <f>SUM(G85:G85)</f>
        <v>48</v>
      </c>
      <c r="H86" s="2157">
        <f>G86/F86*100</f>
        <v>100</v>
      </c>
    </row>
    <row r="87" spans="1:9" ht="18.75" thickTop="1" x14ac:dyDescent="0.25">
      <c r="A87" s="2134"/>
      <c r="D87" s="2130"/>
      <c r="E87" s="2131"/>
      <c r="F87" s="2165"/>
      <c r="G87" s="2165"/>
      <c r="H87" s="2165"/>
    </row>
    <row r="88" spans="1:9" ht="13.5" x14ac:dyDescent="0.25">
      <c r="A88" s="2802" t="s">
        <v>102</v>
      </c>
      <c r="B88" s="2803"/>
      <c r="C88" s="2803"/>
      <c r="D88" s="2803"/>
      <c r="E88" s="2803"/>
      <c r="F88" s="2803"/>
      <c r="G88" s="2803"/>
      <c r="H88" s="2803"/>
      <c r="I88" s="2803"/>
    </row>
    <row r="89" spans="1:9" ht="15.75" thickBot="1" x14ac:dyDescent="0.3">
      <c r="A89" s="2136" t="s">
        <v>103</v>
      </c>
      <c r="D89" s="2130"/>
      <c r="E89" s="2131"/>
      <c r="F89" s="2165"/>
      <c r="G89" s="2165"/>
      <c r="H89" s="2161" t="s">
        <v>179</v>
      </c>
    </row>
    <row r="90" spans="1:9" ht="25.5" thickTop="1" thickBot="1" x14ac:dyDescent="0.25">
      <c r="A90" s="2138" t="s">
        <v>180</v>
      </c>
      <c r="B90" s="2139" t="s">
        <v>847</v>
      </c>
      <c r="C90" s="2139" t="s">
        <v>414</v>
      </c>
      <c r="D90" s="2140" t="s">
        <v>182</v>
      </c>
      <c r="E90" s="2171" t="s">
        <v>700</v>
      </c>
      <c r="F90" s="2171" t="s">
        <v>701</v>
      </c>
      <c r="G90" s="2172" t="s">
        <v>986</v>
      </c>
      <c r="H90" s="2173" t="s">
        <v>987</v>
      </c>
    </row>
    <row r="91" spans="1:9" s="1849" customFormat="1" ht="13.5" thickTop="1" thickBot="1" x14ac:dyDescent="0.25">
      <c r="A91" s="1854">
        <v>1</v>
      </c>
      <c r="B91" s="1853">
        <v>2</v>
      </c>
      <c r="C91" s="1853">
        <v>3</v>
      </c>
      <c r="D91" s="1853">
        <v>4</v>
      </c>
      <c r="E91" s="2144">
        <v>5</v>
      </c>
      <c r="F91" s="2144">
        <v>6</v>
      </c>
      <c r="G91" s="2145">
        <v>7</v>
      </c>
      <c r="H91" s="2146" t="s">
        <v>61</v>
      </c>
    </row>
    <row r="92" spans="1:9" ht="16.5" thickTop="1" thickBot="1" x14ac:dyDescent="0.3">
      <c r="A92" s="2166">
        <v>3122</v>
      </c>
      <c r="B92" s="2149">
        <v>6121</v>
      </c>
      <c r="C92" s="2149"/>
      <c r="D92" s="2174" t="s">
        <v>671</v>
      </c>
      <c r="E92" s="2170">
        <v>0</v>
      </c>
      <c r="F92" s="2151">
        <v>36</v>
      </c>
      <c r="G92" s="2152">
        <v>36</v>
      </c>
      <c r="H92" s="2156">
        <f>G92/F92*100</f>
        <v>100</v>
      </c>
    </row>
    <row r="93" spans="1:9" ht="16.5" thickTop="1" thickBot="1" x14ac:dyDescent="0.3">
      <c r="A93" s="2175" t="s">
        <v>849</v>
      </c>
      <c r="B93" s="2176"/>
      <c r="C93" s="2176"/>
      <c r="D93" s="2177"/>
      <c r="E93" s="2152">
        <f>SUM(E92:E92)</f>
        <v>0</v>
      </c>
      <c r="F93" s="2152">
        <f>SUM(F92:F92)</f>
        <v>36</v>
      </c>
      <c r="G93" s="2155">
        <f>SUM(G92:G92)</f>
        <v>36</v>
      </c>
      <c r="H93" s="2157">
        <f>G93/F93*100</f>
        <v>100</v>
      </c>
    </row>
    <row r="94" spans="1:9" ht="18.75" thickTop="1" x14ac:dyDescent="0.25">
      <c r="A94" s="2134"/>
      <c r="D94" s="2130"/>
      <c r="E94" s="2131"/>
      <c r="F94" s="2165"/>
      <c r="G94" s="2165"/>
      <c r="H94" s="2165"/>
    </row>
    <row r="95" spans="1:9" ht="13.5" x14ac:dyDescent="0.25">
      <c r="A95" s="2802" t="s">
        <v>104</v>
      </c>
      <c r="B95" s="2803"/>
      <c r="C95" s="2803"/>
      <c r="D95" s="2803"/>
      <c r="E95" s="2803"/>
      <c r="F95" s="2803"/>
      <c r="G95" s="2803"/>
      <c r="H95" s="2803"/>
      <c r="I95" s="2803"/>
    </row>
    <row r="96" spans="1:9" ht="15.75" thickBot="1" x14ac:dyDescent="0.3">
      <c r="A96" s="2136" t="s">
        <v>105</v>
      </c>
      <c r="D96" s="2130"/>
      <c r="E96" s="2131"/>
      <c r="F96" s="2165"/>
      <c r="G96" s="2165"/>
      <c r="H96" s="2161" t="s">
        <v>179</v>
      </c>
    </row>
    <row r="97" spans="1:9" ht="25.5" thickTop="1" thickBot="1" x14ac:dyDescent="0.25">
      <c r="A97" s="2138" t="s">
        <v>180</v>
      </c>
      <c r="B97" s="2139" t="s">
        <v>847</v>
      </c>
      <c r="C97" s="2139" t="s">
        <v>414</v>
      </c>
      <c r="D97" s="2140" t="s">
        <v>182</v>
      </c>
      <c r="E97" s="2171" t="s">
        <v>700</v>
      </c>
      <c r="F97" s="2171" t="s">
        <v>701</v>
      </c>
      <c r="G97" s="2172" t="s">
        <v>986</v>
      </c>
      <c r="H97" s="2173" t="s">
        <v>987</v>
      </c>
    </row>
    <row r="98" spans="1:9" s="1849" customFormat="1" ht="13.5" thickTop="1" thickBot="1" x14ac:dyDescent="0.25">
      <c r="A98" s="1854">
        <v>1</v>
      </c>
      <c r="B98" s="1853">
        <v>2</v>
      </c>
      <c r="C98" s="1853">
        <v>3</v>
      </c>
      <c r="D98" s="1853">
        <v>4</v>
      </c>
      <c r="E98" s="2144">
        <v>5</v>
      </c>
      <c r="F98" s="2144">
        <v>6</v>
      </c>
      <c r="G98" s="2145">
        <v>7</v>
      </c>
      <c r="H98" s="2146" t="s">
        <v>61</v>
      </c>
    </row>
    <row r="99" spans="1:9" ht="15.75" thickTop="1" x14ac:dyDescent="0.25">
      <c r="A99" s="2166">
        <v>3121</v>
      </c>
      <c r="B99" s="2149">
        <v>6121</v>
      </c>
      <c r="C99" s="2149"/>
      <c r="D99" s="2174" t="s">
        <v>671</v>
      </c>
      <c r="E99" s="2170">
        <v>0</v>
      </c>
      <c r="F99" s="2154">
        <v>165</v>
      </c>
      <c r="G99" s="2154">
        <v>0</v>
      </c>
      <c r="H99" s="2156">
        <f>G99/F99*100</f>
        <v>0</v>
      </c>
    </row>
    <row r="100" spans="1:9" ht="15.75" thickBot="1" x14ac:dyDescent="0.3">
      <c r="A100" s="2178">
        <v>3122</v>
      </c>
      <c r="B100" s="2162">
        <v>6121</v>
      </c>
      <c r="C100" s="2179"/>
      <c r="D100" s="2180" t="s">
        <v>671</v>
      </c>
      <c r="E100" s="2181"/>
      <c r="F100" s="2155">
        <v>75</v>
      </c>
      <c r="G100" s="2155">
        <v>40</v>
      </c>
      <c r="H100" s="2156">
        <f>G100/F100*100</f>
        <v>53.333333333333336</v>
      </c>
    </row>
    <row r="101" spans="1:9" ht="16.5" thickTop="1" thickBot="1" x14ac:dyDescent="0.3">
      <c r="A101" s="2175" t="s">
        <v>849</v>
      </c>
      <c r="B101" s="2176"/>
      <c r="C101" s="2176"/>
      <c r="D101" s="2177"/>
      <c r="E101" s="2152">
        <f>SUM(E99:E100)</f>
        <v>0</v>
      </c>
      <c r="F101" s="2152">
        <f>SUM(F99:F100)</f>
        <v>240</v>
      </c>
      <c r="G101" s="2152">
        <f>SUM(G99:G100)</f>
        <v>40</v>
      </c>
      <c r="H101" s="2157">
        <f>G101/F101*100</f>
        <v>16.666666666666664</v>
      </c>
    </row>
    <row r="102" spans="1:9" ht="18.75" thickTop="1" x14ac:dyDescent="0.25">
      <c r="A102" s="2134"/>
      <c r="D102" s="2130"/>
      <c r="E102" s="2131"/>
      <c r="F102" s="2165"/>
      <c r="G102" s="2165"/>
      <c r="H102" s="2165"/>
    </row>
    <row r="103" spans="1:9" ht="13.5" x14ac:dyDescent="0.25">
      <c r="A103" s="2802" t="s">
        <v>106</v>
      </c>
      <c r="B103" s="2803"/>
      <c r="C103" s="2803"/>
      <c r="D103" s="2803"/>
      <c r="E103" s="2803"/>
      <c r="F103" s="2803"/>
      <c r="G103" s="2803"/>
      <c r="H103" s="2803"/>
      <c r="I103" s="2803"/>
    </row>
    <row r="104" spans="1:9" ht="15.75" thickBot="1" x14ac:dyDescent="0.3">
      <c r="A104" s="2136" t="s">
        <v>107</v>
      </c>
      <c r="D104" s="2130"/>
      <c r="E104" s="2131"/>
      <c r="F104" s="2165"/>
      <c r="G104" s="2165"/>
      <c r="H104" s="2161" t="s">
        <v>179</v>
      </c>
    </row>
    <row r="105" spans="1:9" ht="25.5" thickTop="1" thickBot="1" x14ac:dyDescent="0.25">
      <c r="A105" s="2138" t="s">
        <v>180</v>
      </c>
      <c r="B105" s="2139" t="s">
        <v>847</v>
      </c>
      <c r="C105" s="2139" t="s">
        <v>414</v>
      </c>
      <c r="D105" s="2140" t="s">
        <v>182</v>
      </c>
      <c r="E105" s="2171" t="s">
        <v>700</v>
      </c>
      <c r="F105" s="2171" t="s">
        <v>701</v>
      </c>
      <c r="G105" s="2172" t="s">
        <v>986</v>
      </c>
      <c r="H105" s="2173" t="s">
        <v>987</v>
      </c>
    </row>
    <row r="106" spans="1:9" s="1849" customFormat="1" ht="13.5" thickTop="1" thickBot="1" x14ac:dyDescent="0.25">
      <c r="A106" s="1854">
        <v>1</v>
      </c>
      <c r="B106" s="1853">
        <v>2</v>
      </c>
      <c r="C106" s="1853">
        <v>3</v>
      </c>
      <c r="D106" s="1853">
        <v>4</v>
      </c>
      <c r="E106" s="2144">
        <v>5</v>
      </c>
      <c r="F106" s="2144">
        <v>6</v>
      </c>
      <c r="G106" s="2145">
        <v>7</v>
      </c>
      <c r="H106" s="2146" t="s">
        <v>61</v>
      </c>
    </row>
    <row r="107" spans="1:9" s="2185" customFormat="1" ht="16.5" thickTop="1" thickBot="1" x14ac:dyDescent="0.25">
      <c r="A107" s="2182">
        <v>3122</v>
      </c>
      <c r="B107" s="2183">
        <v>6121</v>
      </c>
      <c r="C107" s="2183"/>
      <c r="D107" s="2174" t="s">
        <v>671</v>
      </c>
      <c r="E107" s="2181">
        <v>0</v>
      </c>
      <c r="F107" s="2184">
        <v>57</v>
      </c>
      <c r="G107" s="2184">
        <v>57</v>
      </c>
      <c r="H107" s="2156">
        <f>G107/F107*100</f>
        <v>100</v>
      </c>
    </row>
    <row r="108" spans="1:9" ht="16.5" thickTop="1" thickBot="1" x14ac:dyDescent="0.3">
      <c r="A108" s="2175" t="s">
        <v>849</v>
      </c>
      <c r="B108" s="2176"/>
      <c r="C108" s="2176"/>
      <c r="D108" s="2177"/>
      <c r="E108" s="2152">
        <f>SUM(E107:E107)</f>
        <v>0</v>
      </c>
      <c r="F108" s="2152">
        <f>SUM(F107:F107)</f>
        <v>57</v>
      </c>
      <c r="G108" s="2152">
        <f>SUM(G107:G107)</f>
        <v>57</v>
      </c>
      <c r="H108" s="2157">
        <f>G108/F108*100</f>
        <v>100</v>
      </c>
    </row>
    <row r="109" spans="1:9" ht="18.75" thickTop="1" x14ac:dyDescent="0.25">
      <c r="A109" s="2134"/>
      <c r="D109" s="2130"/>
      <c r="E109" s="2131"/>
      <c r="F109" s="2165"/>
      <c r="G109" s="2165"/>
      <c r="H109" s="2165"/>
    </row>
    <row r="110" spans="1:9" ht="13.5" x14ac:dyDescent="0.25">
      <c r="A110" s="2802" t="s">
        <v>1930</v>
      </c>
      <c r="B110" s="2803"/>
      <c r="C110" s="2803"/>
      <c r="D110" s="2803"/>
      <c r="E110" s="2803"/>
      <c r="F110" s="2803"/>
      <c r="G110" s="2803"/>
      <c r="H110" s="2803"/>
      <c r="I110" s="2803"/>
    </row>
    <row r="111" spans="1:9" ht="15.75" thickBot="1" x14ac:dyDescent="0.3">
      <c r="A111" s="2136" t="s">
        <v>108</v>
      </c>
      <c r="D111" s="2130"/>
      <c r="E111" s="2131"/>
      <c r="F111" s="2165"/>
      <c r="G111" s="2165"/>
      <c r="H111" s="2161" t="s">
        <v>179</v>
      </c>
    </row>
    <row r="112" spans="1:9" ht="25.5" thickTop="1" thickBot="1" x14ac:dyDescent="0.25">
      <c r="A112" s="2138" t="s">
        <v>180</v>
      </c>
      <c r="B112" s="2139" t="s">
        <v>847</v>
      </c>
      <c r="C112" s="2139" t="s">
        <v>414</v>
      </c>
      <c r="D112" s="2140" t="s">
        <v>182</v>
      </c>
      <c r="E112" s="2171" t="s">
        <v>700</v>
      </c>
      <c r="F112" s="2171" t="s">
        <v>701</v>
      </c>
      <c r="G112" s="2172" t="s">
        <v>986</v>
      </c>
      <c r="H112" s="2173" t="s">
        <v>987</v>
      </c>
    </row>
    <row r="113" spans="1:9" s="1849" customFormat="1" ht="13.5" thickTop="1" thickBot="1" x14ac:dyDescent="0.25">
      <c r="A113" s="1854">
        <v>1</v>
      </c>
      <c r="B113" s="1853">
        <v>2</v>
      </c>
      <c r="C113" s="1853">
        <v>3</v>
      </c>
      <c r="D113" s="1853">
        <v>4</v>
      </c>
      <c r="E113" s="2144">
        <v>5</v>
      </c>
      <c r="F113" s="2144">
        <v>6</v>
      </c>
      <c r="G113" s="2145">
        <v>7</v>
      </c>
      <c r="H113" s="2146" t="s">
        <v>61</v>
      </c>
    </row>
    <row r="114" spans="1:9" ht="16.5" thickTop="1" thickBot="1" x14ac:dyDescent="0.3">
      <c r="A114" s="2186">
        <v>3122</v>
      </c>
      <c r="B114" s="2162">
        <v>6121</v>
      </c>
      <c r="C114" s="2148"/>
      <c r="D114" s="2174" t="s">
        <v>671</v>
      </c>
      <c r="E114" s="2154">
        <v>0</v>
      </c>
      <c r="F114" s="2155">
        <v>25</v>
      </c>
      <c r="G114" s="2155">
        <v>25</v>
      </c>
      <c r="H114" s="2156">
        <f>G114/F114*100</f>
        <v>100</v>
      </c>
    </row>
    <row r="115" spans="1:9" ht="16.5" thickTop="1" thickBot="1" x14ac:dyDescent="0.3">
      <c r="A115" s="2175" t="s">
        <v>849</v>
      </c>
      <c r="B115" s="2176"/>
      <c r="C115" s="2176"/>
      <c r="D115" s="2177"/>
      <c r="E115" s="2152">
        <f>SUM(E114:E114)</f>
        <v>0</v>
      </c>
      <c r="F115" s="2155">
        <f>SUM(F114:F114)</f>
        <v>25</v>
      </c>
      <c r="G115" s="2155">
        <f>SUM(G114:G114)</f>
        <v>25</v>
      </c>
      <c r="H115" s="2157">
        <f>G115/F115*100</f>
        <v>100</v>
      </c>
    </row>
    <row r="116" spans="1:9" ht="18.75" thickTop="1" x14ac:dyDescent="0.25">
      <c r="A116" s="2134"/>
      <c r="D116" s="2130"/>
      <c r="E116" s="2131"/>
      <c r="F116" s="2165"/>
      <c r="G116" s="2165"/>
      <c r="H116" s="2165"/>
    </row>
    <row r="117" spans="1:9" ht="13.5" x14ac:dyDescent="0.25">
      <c r="A117" s="2802" t="s">
        <v>109</v>
      </c>
      <c r="B117" s="2803"/>
      <c r="C117" s="2803"/>
      <c r="D117" s="2803"/>
      <c r="E117" s="2803"/>
      <c r="F117" s="2803"/>
      <c r="G117" s="2803"/>
      <c r="H117" s="2803"/>
      <c r="I117" s="2803"/>
    </row>
    <row r="118" spans="1:9" ht="15.75" thickBot="1" x14ac:dyDescent="0.3">
      <c r="A118" s="2136" t="s">
        <v>110</v>
      </c>
      <c r="D118" s="2130"/>
      <c r="E118" s="2131"/>
      <c r="F118" s="2165"/>
      <c r="G118" s="2165"/>
      <c r="H118" s="2161" t="s">
        <v>179</v>
      </c>
    </row>
    <row r="119" spans="1:9" ht="25.5" thickTop="1" thickBot="1" x14ac:dyDescent="0.25">
      <c r="A119" s="2138" t="s">
        <v>180</v>
      </c>
      <c r="B119" s="2139" t="s">
        <v>847</v>
      </c>
      <c r="C119" s="2139" t="s">
        <v>414</v>
      </c>
      <c r="D119" s="2140" t="s">
        <v>182</v>
      </c>
      <c r="E119" s="2171" t="s">
        <v>700</v>
      </c>
      <c r="F119" s="2171" t="s">
        <v>701</v>
      </c>
      <c r="G119" s="2172" t="s">
        <v>986</v>
      </c>
      <c r="H119" s="2173" t="s">
        <v>987</v>
      </c>
    </row>
    <row r="120" spans="1:9" s="1849" customFormat="1" ht="13.5" thickTop="1" thickBot="1" x14ac:dyDescent="0.25">
      <c r="A120" s="1854">
        <v>1</v>
      </c>
      <c r="B120" s="1853">
        <v>2</v>
      </c>
      <c r="C120" s="1853">
        <v>3</v>
      </c>
      <c r="D120" s="1853">
        <v>4</v>
      </c>
      <c r="E120" s="2144">
        <v>5</v>
      </c>
      <c r="F120" s="2144">
        <v>6</v>
      </c>
      <c r="G120" s="2145">
        <v>7</v>
      </c>
      <c r="H120" s="2146" t="s">
        <v>61</v>
      </c>
    </row>
    <row r="121" spans="1:9" ht="16.5" thickTop="1" thickBot="1" x14ac:dyDescent="0.3">
      <c r="A121" s="2166">
        <v>3122</v>
      </c>
      <c r="B121" s="2149">
        <v>6121</v>
      </c>
      <c r="C121" s="2149"/>
      <c r="D121" s="2174" t="s">
        <v>671</v>
      </c>
      <c r="E121" s="2154">
        <v>0</v>
      </c>
      <c r="F121" s="2155">
        <v>204</v>
      </c>
      <c r="G121" s="2155">
        <v>54</v>
      </c>
      <c r="H121" s="2156">
        <f>G121/F121*100</f>
        <v>26.47058823529412</v>
      </c>
    </row>
    <row r="122" spans="1:9" ht="16.5" thickTop="1" thickBot="1" x14ac:dyDescent="0.3">
      <c r="A122" s="2175" t="s">
        <v>849</v>
      </c>
      <c r="B122" s="2176"/>
      <c r="C122" s="2176"/>
      <c r="D122" s="2177"/>
      <c r="E122" s="2152">
        <f>SUM(E121:E121)</f>
        <v>0</v>
      </c>
      <c r="F122" s="2155">
        <f>SUM(F121:F121)</f>
        <v>204</v>
      </c>
      <c r="G122" s="2155">
        <f>SUM(G121:G121)</f>
        <v>54</v>
      </c>
      <c r="H122" s="2157">
        <f>G122/F122*100</f>
        <v>26.47058823529412</v>
      </c>
    </row>
    <row r="123" spans="1:9" ht="18.75" thickTop="1" x14ac:dyDescent="0.25">
      <c r="A123" s="2134"/>
      <c r="D123" s="2130"/>
      <c r="E123" s="2131"/>
      <c r="F123" s="2165"/>
      <c r="G123" s="2165"/>
      <c r="H123" s="2165"/>
    </row>
    <row r="124" spans="1:9" ht="13.5" customHeight="1" x14ac:dyDescent="0.25">
      <c r="A124" s="2802" t="s">
        <v>111</v>
      </c>
      <c r="B124" s="2803"/>
      <c r="C124" s="2803"/>
      <c r="D124" s="2803"/>
      <c r="E124" s="2803"/>
      <c r="F124" s="2803"/>
      <c r="G124" s="2803"/>
      <c r="H124" s="2803"/>
      <c r="I124" s="2803"/>
    </row>
    <row r="125" spans="1:9" ht="15.75" thickBot="1" x14ac:dyDescent="0.3">
      <c r="A125" s="2136" t="s">
        <v>112</v>
      </c>
      <c r="D125" s="2130"/>
      <c r="E125" s="2131"/>
      <c r="F125" s="2165"/>
      <c r="G125" s="2165"/>
      <c r="H125" s="2161" t="s">
        <v>179</v>
      </c>
    </row>
    <row r="126" spans="1:9" ht="25.5" thickTop="1" thickBot="1" x14ac:dyDescent="0.25">
      <c r="A126" s="2138" t="s">
        <v>180</v>
      </c>
      <c r="B126" s="2139" t="s">
        <v>847</v>
      </c>
      <c r="C126" s="2139" t="s">
        <v>414</v>
      </c>
      <c r="D126" s="2140" t="s">
        <v>182</v>
      </c>
      <c r="E126" s="2171" t="s">
        <v>700</v>
      </c>
      <c r="F126" s="2171" t="s">
        <v>701</v>
      </c>
      <c r="G126" s="2172" t="s">
        <v>986</v>
      </c>
      <c r="H126" s="2173" t="s">
        <v>987</v>
      </c>
    </row>
    <row r="127" spans="1:9" s="1849" customFormat="1" ht="13.5" thickTop="1" thickBot="1" x14ac:dyDescent="0.25">
      <c r="A127" s="1854">
        <v>1</v>
      </c>
      <c r="B127" s="1853">
        <v>2</v>
      </c>
      <c r="C127" s="1853">
        <v>3</v>
      </c>
      <c r="D127" s="1853">
        <v>4</v>
      </c>
      <c r="E127" s="2144">
        <v>5</v>
      </c>
      <c r="F127" s="2144">
        <v>6</v>
      </c>
      <c r="G127" s="2145">
        <v>7</v>
      </c>
      <c r="H127" s="2146" t="s">
        <v>61</v>
      </c>
    </row>
    <row r="128" spans="1:9" ht="16.5" thickTop="1" thickBot="1" x14ac:dyDescent="0.3">
      <c r="A128" s="2166">
        <v>3122</v>
      </c>
      <c r="B128" s="2149">
        <v>6121</v>
      </c>
      <c r="C128" s="2149"/>
      <c r="D128" s="2174" t="s">
        <v>671</v>
      </c>
      <c r="E128" s="2154">
        <v>0</v>
      </c>
      <c r="F128" s="2155">
        <v>194</v>
      </c>
      <c r="G128" s="2155">
        <v>44</v>
      </c>
      <c r="H128" s="2156">
        <f>G128/F128*100</f>
        <v>22.680412371134022</v>
      </c>
    </row>
    <row r="129" spans="1:9" ht="16.5" thickTop="1" thickBot="1" x14ac:dyDescent="0.3">
      <c r="A129" s="2175" t="s">
        <v>849</v>
      </c>
      <c r="B129" s="2176"/>
      <c r="C129" s="2176"/>
      <c r="D129" s="2177"/>
      <c r="E129" s="2152">
        <f>SUM(E128:E128)</f>
        <v>0</v>
      </c>
      <c r="F129" s="2155">
        <f>SUM(F128:F128)</f>
        <v>194</v>
      </c>
      <c r="G129" s="2155">
        <f>SUM(G128:G128)</f>
        <v>44</v>
      </c>
      <c r="H129" s="2157">
        <f>G129/F129*100</f>
        <v>22.680412371134022</v>
      </c>
    </row>
    <row r="130" spans="1:9" ht="18.75" thickTop="1" x14ac:dyDescent="0.25">
      <c r="A130" s="2134"/>
      <c r="D130" s="2130"/>
      <c r="E130" s="2131"/>
      <c r="F130" s="2165"/>
      <c r="G130" s="2165"/>
      <c r="H130" s="2165"/>
    </row>
    <row r="131" spans="1:9" ht="13.5" x14ac:dyDescent="0.25">
      <c r="A131" s="2802" t="s">
        <v>113</v>
      </c>
      <c r="B131" s="2803"/>
      <c r="C131" s="2803"/>
      <c r="D131" s="2803"/>
      <c r="E131" s="2803"/>
      <c r="F131" s="2803"/>
      <c r="G131" s="2803"/>
      <c r="H131" s="2803"/>
      <c r="I131" s="2803"/>
    </row>
    <row r="132" spans="1:9" ht="15.75" thickBot="1" x14ac:dyDescent="0.3">
      <c r="A132" s="2136" t="s">
        <v>114</v>
      </c>
      <c r="D132" s="2130"/>
      <c r="E132" s="2131"/>
      <c r="F132" s="2165"/>
      <c r="G132" s="2165"/>
      <c r="H132" s="2161" t="s">
        <v>179</v>
      </c>
    </row>
    <row r="133" spans="1:9" ht="25.5" thickTop="1" thickBot="1" x14ac:dyDescent="0.25">
      <c r="A133" s="2138" t="s">
        <v>180</v>
      </c>
      <c r="B133" s="2139" t="s">
        <v>847</v>
      </c>
      <c r="C133" s="2139" t="s">
        <v>414</v>
      </c>
      <c r="D133" s="2140" t="s">
        <v>182</v>
      </c>
      <c r="E133" s="2171" t="s">
        <v>700</v>
      </c>
      <c r="F133" s="2171" t="s">
        <v>701</v>
      </c>
      <c r="G133" s="2172" t="s">
        <v>986</v>
      </c>
      <c r="H133" s="2173" t="s">
        <v>987</v>
      </c>
    </row>
    <row r="134" spans="1:9" s="1849" customFormat="1" ht="13.5" thickTop="1" thickBot="1" x14ac:dyDescent="0.25">
      <c r="A134" s="1854">
        <v>1</v>
      </c>
      <c r="B134" s="1853">
        <v>2</v>
      </c>
      <c r="C134" s="1853">
        <v>3</v>
      </c>
      <c r="D134" s="1853">
        <v>4</v>
      </c>
      <c r="E134" s="2144">
        <v>5</v>
      </c>
      <c r="F134" s="2144">
        <v>6</v>
      </c>
      <c r="G134" s="2145">
        <v>7</v>
      </c>
      <c r="H134" s="2146" t="s">
        <v>61</v>
      </c>
    </row>
    <row r="135" spans="1:9" ht="16.5" thickTop="1" thickBot="1" x14ac:dyDescent="0.3">
      <c r="A135" s="2187">
        <v>3122</v>
      </c>
      <c r="B135" s="2149">
        <v>6121</v>
      </c>
      <c r="C135" s="2149"/>
      <c r="D135" s="2174" t="s">
        <v>671</v>
      </c>
      <c r="E135" s="2154">
        <v>0</v>
      </c>
      <c r="F135" s="2188">
        <v>44</v>
      </c>
      <c r="G135" s="2188">
        <v>44</v>
      </c>
      <c r="H135" s="2156">
        <f>G135/F135*100</f>
        <v>100</v>
      </c>
    </row>
    <row r="136" spans="1:9" ht="16.5" thickTop="1" thickBot="1" x14ac:dyDescent="0.3">
      <c r="A136" s="2175" t="s">
        <v>849</v>
      </c>
      <c r="B136" s="2176"/>
      <c r="C136" s="2176"/>
      <c r="D136" s="2177"/>
      <c r="E136" s="2152">
        <f>SUM(E135:E135)</f>
        <v>0</v>
      </c>
      <c r="F136" s="2155">
        <f>SUM(F135:F135)</f>
        <v>44</v>
      </c>
      <c r="G136" s="2155">
        <f>SUM(G135:G135)</f>
        <v>44</v>
      </c>
      <c r="H136" s="2157">
        <f>G136/F136*100</f>
        <v>100</v>
      </c>
    </row>
    <row r="137" spans="1:9" ht="18.75" thickTop="1" x14ac:dyDescent="0.25">
      <c r="A137" s="2134"/>
      <c r="D137" s="2130"/>
      <c r="E137" s="2131"/>
      <c r="F137" s="2165"/>
      <c r="G137" s="2165"/>
      <c r="H137" s="2165"/>
    </row>
    <row r="138" spans="1:9" ht="13.5" customHeight="1" x14ac:dyDescent="0.25">
      <c r="A138" s="2136" t="s">
        <v>115</v>
      </c>
      <c r="B138" s="2168"/>
      <c r="C138" s="2168"/>
      <c r="D138" s="2168"/>
      <c r="E138" s="2168"/>
      <c r="F138" s="2168"/>
      <c r="G138" s="2168"/>
      <c r="H138" s="2168"/>
      <c r="I138" s="2168"/>
    </row>
    <row r="139" spans="1:9" ht="15.75" thickBot="1" x14ac:dyDescent="0.3">
      <c r="A139" s="2136" t="s">
        <v>116</v>
      </c>
      <c r="D139" s="2130"/>
      <c r="E139" s="2131"/>
      <c r="F139" s="2165"/>
      <c r="G139" s="2165"/>
      <c r="H139" s="2161" t="s">
        <v>179</v>
      </c>
    </row>
    <row r="140" spans="1:9" ht="25.5" thickTop="1" thickBot="1" x14ac:dyDescent="0.25">
      <c r="A140" s="2138" t="s">
        <v>180</v>
      </c>
      <c r="B140" s="2139" t="s">
        <v>847</v>
      </c>
      <c r="C140" s="2139" t="s">
        <v>414</v>
      </c>
      <c r="D140" s="2140" t="s">
        <v>182</v>
      </c>
      <c r="E140" s="2171" t="s">
        <v>700</v>
      </c>
      <c r="F140" s="2171" t="s">
        <v>701</v>
      </c>
      <c r="G140" s="2172" t="s">
        <v>986</v>
      </c>
      <c r="H140" s="2173" t="s">
        <v>987</v>
      </c>
    </row>
    <row r="141" spans="1:9" s="1849" customFormat="1" ht="13.5" thickTop="1" thickBot="1" x14ac:dyDescent="0.25">
      <c r="A141" s="1854">
        <v>1</v>
      </c>
      <c r="B141" s="1853">
        <v>2</v>
      </c>
      <c r="C141" s="1853">
        <v>3</v>
      </c>
      <c r="D141" s="1853">
        <v>4</v>
      </c>
      <c r="E141" s="2144">
        <v>5</v>
      </c>
      <c r="F141" s="2144">
        <v>6</v>
      </c>
      <c r="G141" s="2145">
        <v>7</v>
      </c>
      <c r="H141" s="2146" t="s">
        <v>61</v>
      </c>
    </row>
    <row r="142" spans="1:9" ht="16.5" thickTop="1" thickBot="1" x14ac:dyDescent="0.3">
      <c r="A142" s="2187">
        <v>3113</v>
      </c>
      <c r="B142" s="2149">
        <v>6121</v>
      </c>
      <c r="C142" s="2149"/>
      <c r="D142" s="2174" t="s">
        <v>671</v>
      </c>
      <c r="E142" s="2154">
        <v>0</v>
      </c>
      <c r="F142" s="2188">
        <v>75</v>
      </c>
      <c r="G142" s="2188">
        <v>20</v>
      </c>
      <c r="H142" s="2156">
        <f>G142/F142*100</f>
        <v>26.666666666666668</v>
      </c>
    </row>
    <row r="143" spans="1:9" ht="16.5" thickTop="1" thickBot="1" x14ac:dyDescent="0.3">
      <c r="A143" s="2175" t="s">
        <v>849</v>
      </c>
      <c r="B143" s="2176"/>
      <c r="C143" s="2176"/>
      <c r="D143" s="2177"/>
      <c r="E143" s="2152">
        <f>SUM(E142:E142)</f>
        <v>0</v>
      </c>
      <c r="F143" s="2155">
        <f>SUM(F142:F142)</f>
        <v>75</v>
      </c>
      <c r="G143" s="2155">
        <f>SUM(G142:G142)</f>
        <v>20</v>
      </c>
      <c r="H143" s="2157">
        <f>G143/F143*100</f>
        <v>26.666666666666668</v>
      </c>
    </row>
    <row r="144" spans="1:9" ht="15.75" thickTop="1" x14ac:dyDescent="0.25">
      <c r="A144" s="2189"/>
      <c r="B144" s="2189"/>
      <c r="C144" s="2189"/>
      <c r="D144" s="2189"/>
      <c r="E144" s="2159"/>
      <c r="F144" s="2159"/>
      <c r="G144" s="2159"/>
      <c r="H144" s="2190"/>
    </row>
    <row r="145" spans="1:8" ht="15" x14ac:dyDescent="0.25">
      <c r="A145" s="2136" t="s">
        <v>117</v>
      </c>
      <c r="B145" s="2168"/>
      <c r="C145" s="2168"/>
      <c r="D145" s="2168"/>
      <c r="E145" s="2168"/>
      <c r="F145" s="2168"/>
      <c r="G145" s="2168"/>
      <c r="H145" s="2168"/>
    </row>
    <row r="146" spans="1:8" ht="15.75" thickBot="1" x14ac:dyDescent="0.3">
      <c r="A146" s="2136" t="s">
        <v>118</v>
      </c>
      <c r="D146" s="2130"/>
      <c r="E146" s="2131"/>
      <c r="F146" s="2165"/>
      <c r="G146" s="2165"/>
      <c r="H146" s="2161" t="s">
        <v>179</v>
      </c>
    </row>
    <row r="147" spans="1:8" ht="25.5" thickTop="1" thickBot="1" x14ac:dyDescent="0.25">
      <c r="A147" s="2138" t="s">
        <v>180</v>
      </c>
      <c r="B147" s="2139" t="s">
        <v>847</v>
      </c>
      <c r="C147" s="2139" t="s">
        <v>414</v>
      </c>
      <c r="D147" s="2140" t="s">
        <v>182</v>
      </c>
      <c r="E147" s="2171" t="s">
        <v>700</v>
      </c>
      <c r="F147" s="2171" t="s">
        <v>701</v>
      </c>
      <c r="G147" s="2172" t="s">
        <v>986</v>
      </c>
      <c r="H147" s="2173" t="s">
        <v>987</v>
      </c>
    </row>
    <row r="148" spans="1:8" ht="14.25" thickTop="1" thickBot="1" x14ac:dyDescent="0.25">
      <c r="A148" s="1854">
        <v>1</v>
      </c>
      <c r="B148" s="1853">
        <v>2</v>
      </c>
      <c r="C148" s="1853">
        <v>3</v>
      </c>
      <c r="D148" s="1853">
        <v>4</v>
      </c>
      <c r="E148" s="2144">
        <v>5</v>
      </c>
      <c r="F148" s="2144">
        <v>6</v>
      </c>
      <c r="G148" s="2145">
        <v>7</v>
      </c>
      <c r="H148" s="2146" t="s">
        <v>61</v>
      </c>
    </row>
    <row r="149" spans="1:8" ht="16.5" thickTop="1" thickBot="1" x14ac:dyDescent="0.3">
      <c r="A149" s="2187">
        <v>3121</v>
      </c>
      <c r="B149" s="2149">
        <v>6121</v>
      </c>
      <c r="C149" s="2149"/>
      <c r="D149" s="2174" t="s">
        <v>671</v>
      </c>
      <c r="E149" s="2154">
        <v>0</v>
      </c>
      <c r="F149" s="2188">
        <v>200</v>
      </c>
      <c r="G149" s="2188">
        <v>100</v>
      </c>
      <c r="H149" s="2156">
        <f>G149/F149*100</f>
        <v>50</v>
      </c>
    </row>
    <row r="150" spans="1:8" ht="16.5" thickTop="1" thickBot="1" x14ac:dyDescent="0.3">
      <c r="A150" s="2175" t="s">
        <v>849</v>
      </c>
      <c r="B150" s="2176"/>
      <c r="C150" s="2176"/>
      <c r="D150" s="2177"/>
      <c r="E150" s="2152">
        <f>SUM(E149:E149)</f>
        <v>0</v>
      </c>
      <c r="F150" s="2155">
        <f>SUM(F149:F149)</f>
        <v>200</v>
      </c>
      <c r="G150" s="2155">
        <f>SUM(G149:G149)</f>
        <v>100</v>
      </c>
      <c r="H150" s="2157">
        <f>G150/F150*100</f>
        <v>50</v>
      </c>
    </row>
    <row r="151" spans="1:8" ht="15.75" thickTop="1" x14ac:dyDescent="0.25">
      <c r="A151" s="2189"/>
      <c r="B151" s="2189"/>
      <c r="C151" s="2189"/>
      <c r="D151" s="2189"/>
      <c r="E151" s="2159"/>
      <c r="F151" s="2159"/>
      <c r="G151" s="2159"/>
      <c r="H151" s="2190"/>
    </row>
    <row r="152" spans="1:8" ht="15" x14ac:dyDescent="0.25">
      <c r="A152" s="2136" t="s">
        <v>1434</v>
      </c>
      <c r="B152" s="2168"/>
      <c r="C152" s="2168"/>
      <c r="D152" s="2168"/>
      <c r="E152" s="2168"/>
      <c r="F152" s="2168"/>
      <c r="G152" s="2168"/>
      <c r="H152" s="2168"/>
    </row>
    <row r="153" spans="1:8" ht="15.75" thickBot="1" x14ac:dyDescent="0.3">
      <c r="A153" s="2136" t="s">
        <v>1435</v>
      </c>
      <c r="D153" s="2130"/>
      <c r="E153" s="2131"/>
      <c r="F153" s="2165"/>
      <c r="G153" s="2165"/>
      <c r="H153" s="2161" t="s">
        <v>179</v>
      </c>
    </row>
    <row r="154" spans="1:8" ht="25.5" thickTop="1" thickBot="1" x14ac:dyDescent="0.25">
      <c r="A154" s="2138" t="s">
        <v>180</v>
      </c>
      <c r="B154" s="2139" t="s">
        <v>847</v>
      </c>
      <c r="C154" s="2139" t="s">
        <v>414</v>
      </c>
      <c r="D154" s="2140" t="s">
        <v>182</v>
      </c>
      <c r="E154" s="2171" t="s">
        <v>700</v>
      </c>
      <c r="F154" s="2171" t="s">
        <v>701</v>
      </c>
      <c r="G154" s="2172" t="s">
        <v>986</v>
      </c>
      <c r="H154" s="2173" t="s">
        <v>987</v>
      </c>
    </row>
    <row r="155" spans="1:8" ht="14.25" thickTop="1" thickBot="1" x14ac:dyDescent="0.25">
      <c r="A155" s="1854">
        <v>1</v>
      </c>
      <c r="B155" s="1853">
        <v>2</v>
      </c>
      <c r="C155" s="1853">
        <v>3</v>
      </c>
      <c r="D155" s="1853">
        <v>4</v>
      </c>
      <c r="E155" s="2144">
        <v>5</v>
      </c>
      <c r="F155" s="2144">
        <v>6</v>
      </c>
      <c r="G155" s="2145">
        <v>7</v>
      </c>
      <c r="H155" s="2146" t="s">
        <v>61</v>
      </c>
    </row>
    <row r="156" spans="1:8" ht="16.5" thickTop="1" thickBot="1" x14ac:dyDescent="0.3">
      <c r="A156" s="2187">
        <v>3122</v>
      </c>
      <c r="B156" s="2149">
        <v>6121</v>
      </c>
      <c r="C156" s="2149"/>
      <c r="D156" s="2174" t="s">
        <v>671</v>
      </c>
      <c r="E156" s="2154">
        <v>0</v>
      </c>
      <c r="F156" s="2188">
        <v>53</v>
      </c>
      <c r="G156" s="2188">
        <v>53</v>
      </c>
      <c r="H156" s="2156">
        <f>G156/F156*100</f>
        <v>100</v>
      </c>
    </row>
    <row r="157" spans="1:8" ht="16.5" thickTop="1" thickBot="1" x14ac:dyDescent="0.3">
      <c r="A157" s="2175" t="s">
        <v>849</v>
      </c>
      <c r="B157" s="2176"/>
      <c r="C157" s="2176"/>
      <c r="D157" s="2177"/>
      <c r="E157" s="2152">
        <f>SUM(E156:E156)</f>
        <v>0</v>
      </c>
      <c r="F157" s="2155">
        <f>SUM(F156:F156)</f>
        <v>53</v>
      </c>
      <c r="G157" s="2155">
        <f>SUM(G156:G156)</f>
        <v>53</v>
      </c>
      <c r="H157" s="2157">
        <f>G157/F157*100</f>
        <v>100</v>
      </c>
    </row>
    <row r="158" spans="1:8" ht="15.75" thickTop="1" x14ac:dyDescent="0.25">
      <c r="A158" s="2189"/>
      <c r="B158" s="2189"/>
      <c r="C158" s="2189"/>
      <c r="D158" s="2189"/>
      <c r="E158" s="2159"/>
      <c r="F158" s="2159"/>
      <c r="G158" s="2159"/>
      <c r="H158" s="2190"/>
    </row>
    <row r="159" spans="1:8" ht="15" x14ac:dyDescent="0.25">
      <c r="A159" s="2136" t="s">
        <v>1436</v>
      </c>
      <c r="B159" s="2168"/>
      <c r="C159" s="2168"/>
      <c r="D159" s="2168"/>
      <c r="E159" s="2168"/>
      <c r="F159" s="2168"/>
      <c r="G159" s="2168"/>
      <c r="H159" s="2168"/>
    </row>
    <row r="160" spans="1:8" ht="15.75" thickBot="1" x14ac:dyDescent="0.3">
      <c r="A160" s="2136" t="s">
        <v>1437</v>
      </c>
      <c r="D160" s="2130"/>
      <c r="E160" s="2131"/>
      <c r="F160" s="2165"/>
      <c r="G160" s="2165"/>
      <c r="H160" s="2161" t="s">
        <v>179</v>
      </c>
    </row>
    <row r="161" spans="1:8" ht="25.5" thickTop="1" thickBot="1" x14ac:dyDescent="0.25">
      <c r="A161" s="2138" t="s">
        <v>180</v>
      </c>
      <c r="B161" s="2139" t="s">
        <v>847</v>
      </c>
      <c r="C161" s="2139" t="s">
        <v>414</v>
      </c>
      <c r="D161" s="2140" t="s">
        <v>182</v>
      </c>
      <c r="E161" s="2171" t="s">
        <v>700</v>
      </c>
      <c r="F161" s="2171" t="s">
        <v>701</v>
      </c>
      <c r="G161" s="2172" t="s">
        <v>986</v>
      </c>
      <c r="H161" s="2173" t="s">
        <v>987</v>
      </c>
    </row>
    <row r="162" spans="1:8" ht="14.25" thickTop="1" thickBot="1" x14ac:dyDescent="0.25">
      <c r="A162" s="1854">
        <v>1</v>
      </c>
      <c r="B162" s="1853">
        <v>2</v>
      </c>
      <c r="C162" s="1853">
        <v>3</v>
      </c>
      <c r="D162" s="1853">
        <v>4</v>
      </c>
      <c r="E162" s="2144">
        <v>5</v>
      </c>
      <c r="F162" s="2144">
        <v>6</v>
      </c>
      <c r="G162" s="2145">
        <v>7</v>
      </c>
      <c r="H162" s="2146" t="s">
        <v>61</v>
      </c>
    </row>
    <row r="163" spans="1:8" ht="16.5" thickTop="1" thickBot="1" x14ac:dyDescent="0.3">
      <c r="A163" s="2187">
        <v>3122</v>
      </c>
      <c r="B163" s="2149">
        <v>6121</v>
      </c>
      <c r="C163" s="2149"/>
      <c r="D163" s="2174" t="s">
        <v>671</v>
      </c>
      <c r="E163" s="2154">
        <v>0</v>
      </c>
      <c r="F163" s="2188">
        <v>24</v>
      </c>
      <c r="G163" s="2188">
        <v>24</v>
      </c>
      <c r="H163" s="2156">
        <f>G163/F163*100</f>
        <v>100</v>
      </c>
    </row>
    <row r="164" spans="1:8" ht="16.5" thickTop="1" thickBot="1" x14ac:dyDescent="0.3">
      <c r="A164" s="2175" t="s">
        <v>849</v>
      </c>
      <c r="B164" s="2176"/>
      <c r="C164" s="2176"/>
      <c r="D164" s="2177"/>
      <c r="E164" s="2152">
        <f>SUM(E163:E163)</f>
        <v>0</v>
      </c>
      <c r="F164" s="2155">
        <f>SUM(F163:F163)</f>
        <v>24</v>
      </c>
      <c r="G164" s="2155">
        <f>SUM(G163:G163)</f>
        <v>24</v>
      </c>
      <c r="H164" s="2157">
        <f>G164/F164*100</f>
        <v>100</v>
      </c>
    </row>
    <row r="165" spans="1:8" ht="15.75" thickTop="1" x14ac:dyDescent="0.25">
      <c r="A165" s="2189"/>
      <c r="B165" s="2189"/>
      <c r="C165" s="2189"/>
      <c r="D165" s="2189"/>
      <c r="E165" s="2159"/>
      <c r="F165" s="2159"/>
      <c r="G165" s="2159"/>
      <c r="H165" s="2190"/>
    </row>
    <row r="166" spans="1:8" ht="15" x14ac:dyDescent="0.25">
      <c r="A166" s="2136" t="s">
        <v>1438</v>
      </c>
      <c r="B166" s="2168"/>
      <c r="C166" s="2168"/>
      <c r="D166" s="2168"/>
      <c r="E166" s="2168"/>
      <c r="F166" s="2168"/>
      <c r="G166" s="2168"/>
      <c r="H166" s="2168"/>
    </row>
    <row r="167" spans="1:8" ht="15.75" thickBot="1" x14ac:dyDescent="0.3">
      <c r="A167" s="2136" t="s">
        <v>1439</v>
      </c>
      <c r="D167" s="2130"/>
      <c r="E167" s="2131"/>
      <c r="F167" s="2165"/>
      <c r="G167" s="2165"/>
      <c r="H167" s="2161" t="s">
        <v>179</v>
      </c>
    </row>
    <row r="168" spans="1:8" ht="25.5" thickTop="1" thickBot="1" x14ac:dyDescent="0.25">
      <c r="A168" s="2138" t="s">
        <v>180</v>
      </c>
      <c r="B168" s="2139" t="s">
        <v>847</v>
      </c>
      <c r="C168" s="2139" t="s">
        <v>414</v>
      </c>
      <c r="D168" s="2140" t="s">
        <v>182</v>
      </c>
      <c r="E168" s="2171" t="s">
        <v>700</v>
      </c>
      <c r="F168" s="2171" t="s">
        <v>701</v>
      </c>
      <c r="G168" s="2172" t="s">
        <v>986</v>
      </c>
      <c r="H168" s="2173" t="s">
        <v>987</v>
      </c>
    </row>
    <row r="169" spans="1:8" ht="14.25" thickTop="1" thickBot="1" x14ac:dyDescent="0.25">
      <c r="A169" s="1854">
        <v>1</v>
      </c>
      <c r="B169" s="1853">
        <v>2</v>
      </c>
      <c r="C169" s="1853">
        <v>3</v>
      </c>
      <c r="D169" s="1853">
        <v>4</v>
      </c>
      <c r="E169" s="2144">
        <v>5</v>
      </c>
      <c r="F169" s="2144">
        <v>6</v>
      </c>
      <c r="G169" s="2145">
        <v>7</v>
      </c>
      <c r="H169" s="2146" t="s">
        <v>61</v>
      </c>
    </row>
    <row r="170" spans="1:8" ht="16.5" thickTop="1" thickBot="1" x14ac:dyDescent="0.3">
      <c r="A170" s="2187">
        <v>3121</v>
      </c>
      <c r="B170" s="2149">
        <v>6121</v>
      </c>
      <c r="C170" s="2149"/>
      <c r="D170" s="2174" t="s">
        <v>671</v>
      </c>
      <c r="E170" s="2154">
        <v>0</v>
      </c>
      <c r="F170" s="2188">
        <v>37</v>
      </c>
      <c r="G170" s="2188">
        <v>37</v>
      </c>
      <c r="H170" s="2156">
        <f>G170/F170*100</f>
        <v>100</v>
      </c>
    </row>
    <row r="171" spans="1:8" ht="16.5" thickTop="1" thickBot="1" x14ac:dyDescent="0.3">
      <c r="A171" s="2175" t="s">
        <v>849</v>
      </c>
      <c r="B171" s="2176"/>
      <c r="C171" s="2176"/>
      <c r="D171" s="2177"/>
      <c r="E171" s="2152">
        <f>SUM(E170:E170)</f>
        <v>0</v>
      </c>
      <c r="F171" s="2155">
        <f>SUM(F170:F170)</f>
        <v>37</v>
      </c>
      <c r="G171" s="2155">
        <f>SUM(G170:G170)</f>
        <v>37</v>
      </c>
      <c r="H171" s="2157">
        <f>G171/F171*100</f>
        <v>100</v>
      </c>
    </row>
    <row r="172" spans="1:8" ht="15.75" thickTop="1" x14ac:dyDescent="0.25">
      <c r="A172" s="2189"/>
      <c r="B172" s="2189"/>
      <c r="C172" s="2189"/>
      <c r="D172" s="2189"/>
      <c r="E172" s="2159"/>
      <c r="F172" s="2159"/>
      <c r="G172" s="2159"/>
      <c r="H172" s="2190"/>
    </row>
    <row r="173" spans="1:8" ht="15" x14ac:dyDescent="0.25">
      <c r="A173" s="2136" t="s">
        <v>1440</v>
      </c>
      <c r="B173" s="2168"/>
      <c r="C173" s="2168"/>
      <c r="D173" s="2168"/>
      <c r="E173" s="2168"/>
      <c r="F173" s="2168"/>
      <c r="G173" s="2168"/>
      <c r="H173" s="2168"/>
    </row>
    <row r="174" spans="1:8" ht="15.75" thickBot="1" x14ac:dyDescent="0.3">
      <c r="A174" s="2136" t="s">
        <v>1441</v>
      </c>
      <c r="D174" s="2130"/>
      <c r="E174" s="2131"/>
      <c r="F174" s="2165"/>
      <c r="G174" s="2165"/>
      <c r="H174" s="2161" t="s">
        <v>179</v>
      </c>
    </row>
    <row r="175" spans="1:8" ht="25.5" thickTop="1" thickBot="1" x14ac:dyDescent="0.25">
      <c r="A175" s="2138" t="s">
        <v>180</v>
      </c>
      <c r="B175" s="2139" t="s">
        <v>847</v>
      </c>
      <c r="C175" s="2139" t="s">
        <v>414</v>
      </c>
      <c r="D175" s="2140" t="s">
        <v>182</v>
      </c>
      <c r="E175" s="2171" t="s">
        <v>700</v>
      </c>
      <c r="F175" s="2171" t="s">
        <v>701</v>
      </c>
      <c r="G175" s="2172" t="s">
        <v>986</v>
      </c>
      <c r="H175" s="2173" t="s">
        <v>987</v>
      </c>
    </row>
    <row r="176" spans="1:8" ht="14.25" thickTop="1" thickBot="1" x14ac:dyDescent="0.25">
      <c r="A176" s="1854">
        <v>1</v>
      </c>
      <c r="B176" s="1853">
        <v>2</v>
      </c>
      <c r="C176" s="1853">
        <v>3</v>
      </c>
      <c r="D176" s="1853">
        <v>4</v>
      </c>
      <c r="E176" s="2144">
        <v>5</v>
      </c>
      <c r="F176" s="2144">
        <v>6</v>
      </c>
      <c r="G176" s="2145">
        <v>7</v>
      </c>
      <c r="H176" s="2146" t="s">
        <v>61</v>
      </c>
    </row>
    <row r="177" spans="1:8" ht="16.5" thickTop="1" thickBot="1" x14ac:dyDescent="0.3">
      <c r="A177" s="2187">
        <v>3122</v>
      </c>
      <c r="B177" s="2149">
        <v>6121</v>
      </c>
      <c r="C177" s="2149"/>
      <c r="D177" s="2174" t="s">
        <v>671</v>
      </c>
      <c r="E177" s="2154">
        <v>0</v>
      </c>
      <c r="F177" s="2188">
        <v>217</v>
      </c>
      <c r="G177" s="2188">
        <v>117</v>
      </c>
      <c r="H177" s="2156">
        <f>G177/F177*100</f>
        <v>53.917050691244242</v>
      </c>
    </row>
    <row r="178" spans="1:8" ht="16.5" thickTop="1" thickBot="1" x14ac:dyDescent="0.3">
      <c r="A178" s="2175" t="s">
        <v>849</v>
      </c>
      <c r="B178" s="2176"/>
      <c r="C178" s="2176"/>
      <c r="D178" s="2177"/>
      <c r="E178" s="2152">
        <f>SUM(E177:E177)</f>
        <v>0</v>
      </c>
      <c r="F178" s="2155">
        <f>SUM(F177:F177)</f>
        <v>217</v>
      </c>
      <c r="G178" s="2155">
        <f>SUM(G177:G177)</f>
        <v>117</v>
      </c>
      <c r="H178" s="2157">
        <f>G178/F178*100</f>
        <v>53.917050691244242</v>
      </c>
    </row>
    <row r="179" spans="1:8" ht="15.75" thickTop="1" x14ac:dyDescent="0.25">
      <c r="A179" s="2189"/>
      <c r="B179" s="2189"/>
      <c r="C179" s="2189"/>
      <c r="D179" s="2189"/>
      <c r="E179" s="2159"/>
      <c r="F179" s="2159"/>
      <c r="G179" s="2159"/>
      <c r="H179" s="2190"/>
    </row>
    <row r="180" spans="1:8" ht="15" x14ac:dyDescent="0.25">
      <c r="A180" s="2136" t="s">
        <v>1442</v>
      </c>
      <c r="B180" s="2168"/>
      <c r="C180" s="2168"/>
      <c r="D180" s="2168"/>
      <c r="E180" s="2168"/>
      <c r="F180" s="2168"/>
      <c r="G180" s="2168"/>
      <c r="H180" s="2168"/>
    </row>
    <row r="181" spans="1:8" ht="15.75" thickBot="1" x14ac:dyDescent="0.3">
      <c r="A181" s="2136" t="s">
        <v>1443</v>
      </c>
      <c r="D181" s="2130"/>
      <c r="E181" s="2131"/>
      <c r="F181" s="2165"/>
      <c r="G181" s="2165"/>
      <c r="H181" s="2161" t="s">
        <v>179</v>
      </c>
    </row>
    <row r="182" spans="1:8" ht="25.5" thickTop="1" thickBot="1" x14ac:dyDescent="0.25">
      <c r="A182" s="2138" t="s">
        <v>180</v>
      </c>
      <c r="B182" s="2139" t="s">
        <v>847</v>
      </c>
      <c r="C182" s="2139" t="s">
        <v>414</v>
      </c>
      <c r="D182" s="2140" t="s">
        <v>182</v>
      </c>
      <c r="E182" s="2171" t="s">
        <v>700</v>
      </c>
      <c r="F182" s="2171" t="s">
        <v>701</v>
      </c>
      <c r="G182" s="2172" t="s">
        <v>986</v>
      </c>
      <c r="H182" s="2173" t="s">
        <v>987</v>
      </c>
    </row>
    <row r="183" spans="1:8" ht="14.25" thickTop="1" thickBot="1" x14ac:dyDescent="0.25">
      <c r="A183" s="1854">
        <v>1</v>
      </c>
      <c r="B183" s="1853">
        <v>2</v>
      </c>
      <c r="C183" s="1853">
        <v>3</v>
      </c>
      <c r="D183" s="1853">
        <v>4</v>
      </c>
      <c r="E183" s="2144">
        <v>5</v>
      </c>
      <c r="F183" s="2144">
        <v>6</v>
      </c>
      <c r="G183" s="2145">
        <v>7</v>
      </c>
      <c r="H183" s="2146" t="s">
        <v>61</v>
      </c>
    </row>
    <row r="184" spans="1:8" ht="16.5" thickTop="1" thickBot="1" x14ac:dyDescent="0.3">
      <c r="A184" s="2187">
        <v>3122</v>
      </c>
      <c r="B184" s="2149">
        <v>6121</v>
      </c>
      <c r="C184" s="2149"/>
      <c r="D184" s="2174" t="s">
        <v>671</v>
      </c>
      <c r="E184" s="2154">
        <v>0</v>
      </c>
      <c r="F184" s="2188">
        <v>166</v>
      </c>
      <c r="G184" s="2188">
        <v>29</v>
      </c>
      <c r="H184" s="2156">
        <f>G184/F184*100</f>
        <v>17.46987951807229</v>
      </c>
    </row>
    <row r="185" spans="1:8" ht="16.5" thickTop="1" thickBot="1" x14ac:dyDescent="0.3">
      <c r="A185" s="2175" t="s">
        <v>849</v>
      </c>
      <c r="B185" s="2176"/>
      <c r="C185" s="2176"/>
      <c r="D185" s="2177"/>
      <c r="E185" s="2152">
        <f>SUM(E184:E184)</f>
        <v>0</v>
      </c>
      <c r="F185" s="2155">
        <f>SUM(F184:F184)</f>
        <v>166</v>
      </c>
      <c r="G185" s="2155">
        <f>SUM(G184:G184)</f>
        <v>29</v>
      </c>
      <c r="H185" s="2157">
        <f>G185/F185*100</f>
        <v>17.46987951807229</v>
      </c>
    </row>
    <row r="186" spans="1:8" ht="15.75" thickTop="1" x14ac:dyDescent="0.25">
      <c r="A186" s="2189"/>
      <c r="B186" s="2189"/>
      <c r="C186" s="2189"/>
      <c r="D186" s="2189"/>
      <c r="E186" s="2159"/>
      <c r="F186" s="2159"/>
      <c r="G186" s="2159"/>
      <c r="H186" s="2190"/>
    </row>
    <row r="187" spans="1:8" ht="15" x14ac:dyDescent="0.25">
      <c r="A187" s="2136" t="s">
        <v>1444</v>
      </c>
      <c r="B187" s="2168"/>
      <c r="C187" s="2168"/>
      <c r="D187" s="2168"/>
      <c r="E187" s="2168"/>
      <c r="F187" s="2168"/>
      <c r="G187" s="2168"/>
      <c r="H187" s="2168"/>
    </row>
    <row r="188" spans="1:8" ht="15.75" thickBot="1" x14ac:dyDescent="0.3">
      <c r="A188" s="2136" t="s">
        <v>1445</v>
      </c>
      <c r="D188" s="2130"/>
      <c r="E188" s="2131"/>
      <c r="F188" s="2165"/>
      <c r="G188" s="2165"/>
      <c r="H188" s="2161" t="s">
        <v>179</v>
      </c>
    </row>
    <row r="189" spans="1:8" ht="25.5" thickTop="1" thickBot="1" x14ac:dyDescent="0.25">
      <c r="A189" s="2138" t="s">
        <v>180</v>
      </c>
      <c r="B189" s="2139" t="s">
        <v>847</v>
      </c>
      <c r="C189" s="2139" t="s">
        <v>414</v>
      </c>
      <c r="D189" s="2140" t="s">
        <v>182</v>
      </c>
      <c r="E189" s="2171" t="s">
        <v>700</v>
      </c>
      <c r="F189" s="2171" t="s">
        <v>701</v>
      </c>
      <c r="G189" s="2172" t="s">
        <v>986</v>
      </c>
      <c r="H189" s="2173" t="s">
        <v>987</v>
      </c>
    </row>
    <row r="190" spans="1:8" ht="14.25" thickTop="1" thickBot="1" x14ac:dyDescent="0.25">
      <c r="A190" s="1854">
        <v>1</v>
      </c>
      <c r="B190" s="1853">
        <v>2</v>
      </c>
      <c r="C190" s="1853">
        <v>3</v>
      </c>
      <c r="D190" s="1853">
        <v>4</v>
      </c>
      <c r="E190" s="2144">
        <v>5</v>
      </c>
      <c r="F190" s="2144">
        <v>6</v>
      </c>
      <c r="G190" s="2145">
        <v>7</v>
      </c>
      <c r="H190" s="2146" t="s">
        <v>61</v>
      </c>
    </row>
    <row r="191" spans="1:8" ht="16.5" thickTop="1" thickBot="1" x14ac:dyDescent="0.3">
      <c r="A191" s="2187">
        <v>3122</v>
      </c>
      <c r="B191" s="2149">
        <v>6121</v>
      </c>
      <c r="C191" s="2149"/>
      <c r="D191" s="2174" t="s">
        <v>671</v>
      </c>
      <c r="E191" s="2154">
        <v>0</v>
      </c>
      <c r="F191" s="2188">
        <v>129</v>
      </c>
      <c r="G191" s="2188">
        <v>14</v>
      </c>
      <c r="H191" s="2156">
        <f>G191/F191*100</f>
        <v>10.852713178294573</v>
      </c>
    </row>
    <row r="192" spans="1:8" ht="16.5" thickTop="1" thickBot="1" x14ac:dyDescent="0.3">
      <c r="A192" s="2175" t="s">
        <v>849</v>
      </c>
      <c r="B192" s="2176"/>
      <c r="C192" s="2176"/>
      <c r="D192" s="2177"/>
      <c r="E192" s="2152">
        <f>SUM(E191:E191)</f>
        <v>0</v>
      </c>
      <c r="F192" s="2155">
        <f>SUM(F191:F191)</f>
        <v>129</v>
      </c>
      <c r="G192" s="2155">
        <f>SUM(G191:G191)</f>
        <v>14</v>
      </c>
      <c r="H192" s="2157">
        <f>G192/F192*100</f>
        <v>10.852713178294573</v>
      </c>
    </row>
    <row r="193" spans="1:8" ht="15.75" thickTop="1" x14ac:dyDescent="0.25">
      <c r="A193" s="2189"/>
      <c r="B193" s="2189"/>
      <c r="C193" s="2189"/>
      <c r="D193" s="2189"/>
      <c r="E193" s="2159"/>
      <c r="F193" s="2159"/>
      <c r="G193" s="2159"/>
      <c r="H193" s="2190"/>
    </row>
    <row r="194" spans="1:8" ht="15" x14ac:dyDescent="0.25">
      <c r="A194" s="2136" t="s">
        <v>126</v>
      </c>
      <c r="B194" s="2168"/>
      <c r="C194" s="2168"/>
      <c r="D194" s="2168"/>
      <c r="E194" s="2168"/>
      <c r="F194" s="2168"/>
      <c r="G194" s="2168"/>
      <c r="H194" s="2168"/>
    </row>
    <row r="195" spans="1:8" ht="15.75" thickBot="1" x14ac:dyDescent="0.3">
      <c r="A195" s="2136" t="s">
        <v>127</v>
      </c>
      <c r="D195" s="2130"/>
      <c r="E195" s="2131"/>
      <c r="F195" s="2165"/>
      <c r="G195" s="2165"/>
      <c r="H195" s="2161" t="s">
        <v>179</v>
      </c>
    </row>
    <row r="196" spans="1:8" ht="25.5" thickTop="1" thickBot="1" x14ac:dyDescent="0.25">
      <c r="A196" s="2138" t="s">
        <v>180</v>
      </c>
      <c r="B196" s="2139" t="s">
        <v>847</v>
      </c>
      <c r="C196" s="2139" t="s">
        <v>414</v>
      </c>
      <c r="D196" s="2140" t="s">
        <v>182</v>
      </c>
      <c r="E196" s="2171" t="s">
        <v>700</v>
      </c>
      <c r="F196" s="2171" t="s">
        <v>701</v>
      </c>
      <c r="G196" s="2172" t="s">
        <v>986</v>
      </c>
      <c r="H196" s="2173" t="s">
        <v>987</v>
      </c>
    </row>
    <row r="197" spans="1:8" ht="14.25" thickTop="1" thickBot="1" x14ac:dyDescent="0.25">
      <c r="A197" s="1854">
        <v>1</v>
      </c>
      <c r="B197" s="1853">
        <v>2</v>
      </c>
      <c r="C197" s="1853">
        <v>3</v>
      </c>
      <c r="D197" s="1853">
        <v>4</v>
      </c>
      <c r="E197" s="2144">
        <v>5</v>
      </c>
      <c r="F197" s="2144">
        <v>6</v>
      </c>
      <c r="G197" s="2145">
        <v>7</v>
      </c>
      <c r="H197" s="2146" t="s">
        <v>61</v>
      </c>
    </row>
    <row r="198" spans="1:8" ht="16.5" thickTop="1" thickBot="1" x14ac:dyDescent="0.3">
      <c r="A198" s="2187">
        <v>3122</v>
      </c>
      <c r="B198" s="2149">
        <v>6121</v>
      </c>
      <c r="C198" s="2149"/>
      <c r="D198" s="2174" t="s">
        <v>671</v>
      </c>
      <c r="E198" s="2154">
        <v>0</v>
      </c>
      <c r="F198" s="2188">
        <v>119</v>
      </c>
      <c r="G198" s="2188">
        <v>119</v>
      </c>
      <c r="H198" s="2156">
        <f>G198/F198*100</f>
        <v>100</v>
      </c>
    </row>
    <row r="199" spans="1:8" ht="16.5" thickTop="1" thickBot="1" x14ac:dyDescent="0.3">
      <c r="A199" s="2175" t="s">
        <v>849</v>
      </c>
      <c r="B199" s="2176"/>
      <c r="C199" s="2176"/>
      <c r="D199" s="2177"/>
      <c r="E199" s="2152">
        <f>SUM(E198:E198)</f>
        <v>0</v>
      </c>
      <c r="F199" s="2155">
        <f>SUM(F198:F198)</f>
        <v>119</v>
      </c>
      <c r="G199" s="2155">
        <f>SUM(G198:G198)</f>
        <v>119</v>
      </c>
      <c r="H199" s="2157">
        <f>G199/F199*100</f>
        <v>100</v>
      </c>
    </row>
    <row r="200" spans="1:8" ht="15.75" thickTop="1" x14ac:dyDescent="0.25">
      <c r="A200" s="2189"/>
      <c r="B200" s="2189"/>
      <c r="C200" s="2189"/>
      <c r="D200" s="2189"/>
      <c r="E200" s="2159"/>
      <c r="F200" s="2159"/>
      <c r="G200" s="2159"/>
      <c r="H200" s="2190"/>
    </row>
    <row r="201" spans="1:8" ht="15" hidden="1" x14ac:dyDescent="0.25">
      <c r="A201" s="2136" t="s">
        <v>128</v>
      </c>
      <c r="B201" s="2168"/>
      <c r="C201" s="2168"/>
      <c r="D201" s="2168"/>
      <c r="E201" s="2168"/>
      <c r="F201" s="2168"/>
      <c r="G201" s="2168"/>
      <c r="H201" s="2168"/>
    </row>
    <row r="202" spans="1:8" ht="15" hidden="1" x14ac:dyDescent="0.25">
      <c r="A202" s="2136" t="s">
        <v>129</v>
      </c>
      <c r="D202" s="2130"/>
      <c r="E202" s="2131"/>
      <c r="F202" s="2165"/>
      <c r="G202" s="2165"/>
      <c r="H202" s="2131" t="s">
        <v>179</v>
      </c>
    </row>
    <row r="203" spans="1:8" ht="25.5" hidden="1" thickTop="1" thickBot="1" x14ac:dyDescent="0.25">
      <c r="A203" s="2138" t="s">
        <v>180</v>
      </c>
      <c r="B203" s="2139" t="s">
        <v>847</v>
      </c>
      <c r="C203" s="2139" t="s">
        <v>414</v>
      </c>
      <c r="D203" s="2140" t="s">
        <v>182</v>
      </c>
      <c r="E203" s="2171" t="s">
        <v>700</v>
      </c>
      <c r="F203" s="2171" t="s">
        <v>701</v>
      </c>
      <c r="G203" s="2172" t="s">
        <v>986</v>
      </c>
      <c r="H203" s="2173" t="s">
        <v>987</v>
      </c>
    </row>
    <row r="204" spans="1:8" ht="14.25" hidden="1" thickTop="1" thickBot="1" x14ac:dyDescent="0.25">
      <c r="A204" s="1854">
        <v>1</v>
      </c>
      <c r="B204" s="1853">
        <v>2</v>
      </c>
      <c r="C204" s="1853">
        <v>3</v>
      </c>
      <c r="D204" s="1853">
        <v>4</v>
      </c>
      <c r="E204" s="2144">
        <v>5</v>
      </c>
      <c r="F204" s="2144">
        <v>6</v>
      </c>
      <c r="G204" s="2145">
        <v>7</v>
      </c>
      <c r="H204" s="2191" t="s">
        <v>61</v>
      </c>
    </row>
    <row r="205" spans="1:8" ht="16.5" hidden="1" thickTop="1" thickBot="1" x14ac:dyDescent="0.3">
      <c r="A205" s="2187">
        <v>3122</v>
      </c>
      <c r="B205" s="2149">
        <v>6121</v>
      </c>
      <c r="C205" s="2149"/>
      <c r="D205" s="2174" t="s">
        <v>671</v>
      </c>
      <c r="E205" s="2154">
        <v>0</v>
      </c>
      <c r="F205" s="2188">
        <v>0</v>
      </c>
      <c r="G205" s="2188">
        <v>0</v>
      </c>
      <c r="H205" s="2192" t="e">
        <f>G205/F205*100</f>
        <v>#DIV/0!</v>
      </c>
    </row>
    <row r="206" spans="1:8" ht="16.5" hidden="1" thickTop="1" thickBot="1" x14ac:dyDescent="0.3">
      <c r="A206" s="2175" t="s">
        <v>849</v>
      </c>
      <c r="B206" s="2176"/>
      <c r="C206" s="2176"/>
      <c r="D206" s="2177"/>
      <c r="E206" s="2152">
        <f>SUM(E205:E205)</f>
        <v>0</v>
      </c>
      <c r="F206" s="2155">
        <f>SUM(F205:F205)</f>
        <v>0</v>
      </c>
      <c r="G206" s="2155">
        <f>SUM(G205:G205)</f>
        <v>0</v>
      </c>
      <c r="H206" s="2157" t="e">
        <f>G206/F206*100</f>
        <v>#DIV/0!</v>
      </c>
    </row>
    <row r="207" spans="1:8" ht="15" hidden="1" x14ac:dyDescent="0.25">
      <c r="A207" s="2189"/>
      <c r="B207" s="2189"/>
      <c r="C207" s="2189"/>
      <c r="D207" s="2189"/>
      <c r="E207" s="2159"/>
      <c r="F207" s="2159"/>
      <c r="G207" s="2159"/>
      <c r="H207" s="2190"/>
    </row>
    <row r="208" spans="1:8" ht="15" x14ac:dyDescent="0.25">
      <c r="A208" s="2136" t="s">
        <v>130</v>
      </c>
      <c r="B208" s="2168"/>
      <c r="C208" s="2168"/>
      <c r="D208" s="2168"/>
      <c r="E208" s="2168"/>
      <c r="F208" s="2168"/>
      <c r="G208" s="2168"/>
      <c r="H208" s="2168"/>
    </row>
    <row r="209" spans="1:8" ht="15.75" thickBot="1" x14ac:dyDescent="0.3">
      <c r="A209" s="2136" t="s">
        <v>131</v>
      </c>
      <c r="D209" s="2130"/>
      <c r="E209" s="2131"/>
      <c r="F209" s="2165"/>
      <c r="G209" s="2165"/>
      <c r="H209" s="2161" t="s">
        <v>179</v>
      </c>
    </row>
    <row r="210" spans="1:8" ht="25.5" thickTop="1" thickBot="1" x14ac:dyDescent="0.25">
      <c r="A210" s="2138" t="s">
        <v>180</v>
      </c>
      <c r="B210" s="2139" t="s">
        <v>847</v>
      </c>
      <c r="C210" s="2139" t="s">
        <v>414</v>
      </c>
      <c r="D210" s="2140" t="s">
        <v>182</v>
      </c>
      <c r="E210" s="2171" t="s">
        <v>700</v>
      </c>
      <c r="F210" s="2171" t="s">
        <v>701</v>
      </c>
      <c r="G210" s="2172" t="s">
        <v>986</v>
      </c>
      <c r="H210" s="2173" t="s">
        <v>987</v>
      </c>
    </row>
    <row r="211" spans="1:8" ht="14.25" thickTop="1" thickBot="1" x14ac:dyDescent="0.25">
      <c r="A211" s="1854">
        <v>1</v>
      </c>
      <c r="B211" s="1853">
        <v>2</v>
      </c>
      <c r="C211" s="1853">
        <v>3</v>
      </c>
      <c r="D211" s="1853">
        <v>4</v>
      </c>
      <c r="E211" s="2144">
        <v>5</v>
      </c>
      <c r="F211" s="2144">
        <v>6</v>
      </c>
      <c r="G211" s="2145">
        <v>7</v>
      </c>
      <c r="H211" s="2146" t="s">
        <v>61</v>
      </c>
    </row>
    <row r="212" spans="1:8" ht="16.5" thickTop="1" thickBot="1" x14ac:dyDescent="0.3">
      <c r="A212" s="2187">
        <v>3122</v>
      </c>
      <c r="B212" s="2149">
        <v>6121</v>
      </c>
      <c r="C212" s="2149"/>
      <c r="D212" s="2174" t="s">
        <v>671</v>
      </c>
      <c r="E212" s="2154">
        <v>0</v>
      </c>
      <c r="F212" s="2188">
        <v>171</v>
      </c>
      <c r="G212" s="2188">
        <v>171</v>
      </c>
      <c r="H212" s="2156">
        <f>G212/F212*100</f>
        <v>100</v>
      </c>
    </row>
    <row r="213" spans="1:8" ht="16.5" thickTop="1" thickBot="1" x14ac:dyDescent="0.3">
      <c r="A213" s="2175" t="s">
        <v>849</v>
      </c>
      <c r="B213" s="2176"/>
      <c r="C213" s="2176"/>
      <c r="D213" s="2177"/>
      <c r="E213" s="2152">
        <f>SUM(E212:E212)</f>
        <v>0</v>
      </c>
      <c r="F213" s="2155">
        <f>SUM(F212:F212)</f>
        <v>171</v>
      </c>
      <c r="G213" s="2155">
        <f>SUM(G212:G212)</f>
        <v>171</v>
      </c>
      <c r="H213" s="2157">
        <f>G213/F213*100</f>
        <v>100</v>
      </c>
    </row>
    <row r="214" spans="1:8" ht="15.75" thickTop="1" x14ac:dyDescent="0.25">
      <c r="A214" s="2189"/>
      <c r="B214" s="2189"/>
      <c r="C214" s="2189"/>
      <c r="D214" s="2189"/>
      <c r="E214" s="2159"/>
      <c r="F214" s="2159"/>
      <c r="G214" s="2159"/>
      <c r="H214" s="2190"/>
    </row>
    <row r="215" spans="1:8" ht="15" x14ac:dyDescent="0.25">
      <c r="A215" s="2136" t="s">
        <v>1778</v>
      </c>
      <c r="B215" s="2168"/>
      <c r="C215" s="2168"/>
      <c r="D215" s="2168"/>
      <c r="E215" s="2168"/>
      <c r="F215" s="2168"/>
      <c r="G215" s="2168"/>
      <c r="H215" s="2168"/>
    </row>
    <row r="216" spans="1:8" ht="15.75" thickBot="1" x14ac:dyDescent="0.3">
      <c r="A216" s="2136" t="s">
        <v>1779</v>
      </c>
      <c r="D216" s="2130"/>
      <c r="E216" s="2131"/>
      <c r="F216" s="2165"/>
      <c r="G216" s="2165"/>
      <c r="H216" s="2161" t="s">
        <v>179</v>
      </c>
    </row>
    <row r="217" spans="1:8" ht="25.5" thickTop="1" thickBot="1" x14ac:dyDescent="0.25">
      <c r="A217" s="2138" t="s">
        <v>180</v>
      </c>
      <c r="B217" s="2139" t="s">
        <v>847</v>
      </c>
      <c r="C217" s="2139" t="s">
        <v>414</v>
      </c>
      <c r="D217" s="2140" t="s">
        <v>182</v>
      </c>
      <c r="E217" s="2171" t="s">
        <v>700</v>
      </c>
      <c r="F217" s="2171" t="s">
        <v>701</v>
      </c>
      <c r="G217" s="2172" t="s">
        <v>986</v>
      </c>
      <c r="H217" s="2173" t="s">
        <v>987</v>
      </c>
    </row>
    <row r="218" spans="1:8" ht="14.25" thickTop="1" thickBot="1" x14ac:dyDescent="0.25">
      <c r="A218" s="1854">
        <v>1</v>
      </c>
      <c r="B218" s="1853">
        <v>2</v>
      </c>
      <c r="C218" s="1853">
        <v>3</v>
      </c>
      <c r="D218" s="1853">
        <v>4</v>
      </c>
      <c r="E218" s="2144">
        <v>5</v>
      </c>
      <c r="F218" s="2144">
        <v>6</v>
      </c>
      <c r="G218" s="2145">
        <v>7</v>
      </c>
      <c r="H218" s="2146" t="s">
        <v>61</v>
      </c>
    </row>
    <row r="219" spans="1:8" ht="16.5" thickTop="1" thickBot="1" x14ac:dyDescent="0.3">
      <c r="A219" s="2187">
        <v>3122</v>
      </c>
      <c r="B219" s="2149">
        <v>6121</v>
      </c>
      <c r="C219" s="2149"/>
      <c r="D219" s="2174" t="s">
        <v>671</v>
      </c>
      <c r="E219" s="2154">
        <v>0</v>
      </c>
      <c r="F219" s="2188">
        <v>121</v>
      </c>
      <c r="G219" s="2188">
        <v>121</v>
      </c>
      <c r="H219" s="2156">
        <f>G219/F219*100</f>
        <v>100</v>
      </c>
    </row>
    <row r="220" spans="1:8" ht="16.5" thickTop="1" thickBot="1" x14ac:dyDescent="0.3">
      <c r="A220" s="2175" t="s">
        <v>849</v>
      </c>
      <c r="B220" s="2176"/>
      <c r="C220" s="2176"/>
      <c r="D220" s="2177"/>
      <c r="E220" s="2152">
        <f>SUM(E219:E219)</f>
        <v>0</v>
      </c>
      <c r="F220" s="2155">
        <f>SUM(F219:F219)</f>
        <v>121</v>
      </c>
      <c r="G220" s="2155">
        <f>SUM(G219:G219)</f>
        <v>121</v>
      </c>
      <c r="H220" s="2157">
        <f>G220/F220*100</f>
        <v>100</v>
      </c>
    </row>
    <row r="221" spans="1:8" ht="15.75" thickTop="1" x14ac:dyDescent="0.25">
      <c r="A221" s="2189"/>
      <c r="B221" s="2189"/>
      <c r="C221" s="2189"/>
      <c r="D221" s="2189"/>
      <c r="E221" s="2159"/>
      <c r="F221" s="2159"/>
      <c r="G221" s="2159"/>
      <c r="H221" s="2190"/>
    </row>
    <row r="222" spans="1:8" ht="15" x14ac:dyDescent="0.25">
      <c r="A222" s="2136" t="s">
        <v>1780</v>
      </c>
      <c r="B222" s="2168"/>
      <c r="C222" s="2168"/>
      <c r="D222" s="2168"/>
      <c r="E222" s="2168"/>
      <c r="F222" s="2168"/>
      <c r="G222" s="2168"/>
      <c r="H222" s="2168"/>
    </row>
    <row r="223" spans="1:8" ht="15.75" thickBot="1" x14ac:dyDescent="0.3">
      <c r="A223" s="2136" t="s">
        <v>1781</v>
      </c>
      <c r="D223" s="2130"/>
      <c r="E223" s="2131"/>
      <c r="F223" s="2165"/>
      <c r="G223" s="2165"/>
      <c r="H223" s="2161" t="s">
        <v>179</v>
      </c>
    </row>
    <row r="224" spans="1:8" ht="25.5" thickTop="1" thickBot="1" x14ac:dyDescent="0.25">
      <c r="A224" s="2138" t="s">
        <v>180</v>
      </c>
      <c r="B224" s="2139" t="s">
        <v>847</v>
      </c>
      <c r="C224" s="2139" t="s">
        <v>414</v>
      </c>
      <c r="D224" s="2140" t="s">
        <v>182</v>
      </c>
      <c r="E224" s="2171" t="s">
        <v>700</v>
      </c>
      <c r="F224" s="2171" t="s">
        <v>701</v>
      </c>
      <c r="G224" s="2172" t="s">
        <v>986</v>
      </c>
      <c r="H224" s="2173" t="s">
        <v>987</v>
      </c>
    </row>
    <row r="225" spans="1:8" ht="14.25" thickTop="1" thickBot="1" x14ac:dyDescent="0.25">
      <c r="A225" s="1854">
        <v>1</v>
      </c>
      <c r="B225" s="1853">
        <v>2</v>
      </c>
      <c r="C225" s="1853">
        <v>3</v>
      </c>
      <c r="D225" s="1853">
        <v>4</v>
      </c>
      <c r="E225" s="2144">
        <v>5</v>
      </c>
      <c r="F225" s="2144">
        <v>6</v>
      </c>
      <c r="G225" s="2145">
        <v>7</v>
      </c>
      <c r="H225" s="2146" t="s">
        <v>61</v>
      </c>
    </row>
    <row r="226" spans="1:8" ht="16.5" thickTop="1" thickBot="1" x14ac:dyDescent="0.3">
      <c r="A226" s="2187">
        <v>3122</v>
      </c>
      <c r="B226" s="2149">
        <v>6121</v>
      </c>
      <c r="C226" s="2149"/>
      <c r="D226" s="2174" t="s">
        <v>671</v>
      </c>
      <c r="E226" s="2154">
        <v>0</v>
      </c>
      <c r="F226" s="2188">
        <v>357</v>
      </c>
      <c r="G226" s="2188">
        <v>324</v>
      </c>
      <c r="H226" s="2156">
        <f>G226/F226*100</f>
        <v>90.756302521008408</v>
      </c>
    </row>
    <row r="227" spans="1:8" ht="16.5" thickTop="1" thickBot="1" x14ac:dyDescent="0.3">
      <c r="A227" s="2175" t="s">
        <v>849</v>
      </c>
      <c r="B227" s="2176"/>
      <c r="C227" s="2176"/>
      <c r="D227" s="2177"/>
      <c r="E227" s="2152">
        <f>SUM(E226:E226)</f>
        <v>0</v>
      </c>
      <c r="F227" s="2155">
        <f>SUM(F226:F226)</f>
        <v>357</v>
      </c>
      <c r="G227" s="2155">
        <f>SUM(G226:G226)</f>
        <v>324</v>
      </c>
      <c r="H227" s="2157">
        <f>G227/F227*100</f>
        <v>90.756302521008408</v>
      </c>
    </row>
    <row r="228" spans="1:8" ht="15.75" thickTop="1" x14ac:dyDescent="0.25">
      <c r="A228" s="2189"/>
      <c r="B228" s="2189"/>
      <c r="C228" s="2189"/>
      <c r="D228" s="2189"/>
      <c r="E228" s="2159"/>
      <c r="F228" s="2159"/>
      <c r="G228" s="2159"/>
      <c r="H228" s="2190"/>
    </row>
    <row r="229" spans="1:8" ht="15" x14ac:dyDescent="0.25">
      <c r="A229" s="2136" t="s">
        <v>1782</v>
      </c>
      <c r="B229" s="2168"/>
      <c r="C229" s="2168"/>
      <c r="D229" s="2168"/>
      <c r="E229" s="2168"/>
      <c r="F229" s="2168"/>
      <c r="G229" s="2168"/>
      <c r="H229" s="2168"/>
    </row>
    <row r="230" spans="1:8" ht="15.75" thickBot="1" x14ac:dyDescent="0.3">
      <c r="A230" s="2136" t="s">
        <v>1783</v>
      </c>
      <c r="D230" s="2130"/>
      <c r="E230" s="2131"/>
      <c r="F230" s="2165"/>
      <c r="G230" s="2165"/>
      <c r="H230" s="2131" t="s">
        <v>179</v>
      </c>
    </row>
    <row r="231" spans="1:8" ht="25.5" thickTop="1" thickBot="1" x14ac:dyDescent="0.25">
      <c r="A231" s="2138" t="s">
        <v>180</v>
      </c>
      <c r="B231" s="2139" t="s">
        <v>847</v>
      </c>
      <c r="C231" s="2139" t="s">
        <v>414</v>
      </c>
      <c r="D231" s="2140" t="s">
        <v>182</v>
      </c>
      <c r="E231" s="2171" t="s">
        <v>700</v>
      </c>
      <c r="F231" s="2171" t="s">
        <v>701</v>
      </c>
      <c r="G231" s="2172" t="s">
        <v>986</v>
      </c>
      <c r="H231" s="2173" t="s">
        <v>987</v>
      </c>
    </row>
    <row r="232" spans="1:8" ht="14.25" thickTop="1" thickBot="1" x14ac:dyDescent="0.25">
      <c r="A232" s="1854">
        <v>1</v>
      </c>
      <c r="B232" s="1853">
        <v>2</v>
      </c>
      <c r="C232" s="1853">
        <v>3</v>
      </c>
      <c r="D232" s="1853">
        <v>4</v>
      </c>
      <c r="E232" s="2144">
        <v>5</v>
      </c>
      <c r="F232" s="2144">
        <v>6</v>
      </c>
      <c r="G232" s="2145">
        <v>7</v>
      </c>
      <c r="H232" s="2146" t="s">
        <v>61</v>
      </c>
    </row>
    <row r="233" spans="1:8" ht="16.5" thickTop="1" thickBot="1" x14ac:dyDescent="0.3">
      <c r="A233" s="2187">
        <v>3122</v>
      </c>
      <c r="B233" s="2149">
        <v>6122</v>
      </c>
      <c r="C233" s="2149"/>
      <c r="D233" s="2174" t="s">
        <v>672</v>
      </c>
      <c r="E233" s="2154">
        <v>0</v>
      </c>
      <c r="F233" s="2188">
        <v>130</v>
      </c>
      <c r="G233" s="2188">
        <v>119</v>
      </c>
      <c r="H233" s="2156">
        <f>G233/F233*100</f>
        <v>91.538461538461533</v>
      </c>
    </row>
    <row r="234" spans="1:8" ht="16.5" thickTop="1" thickBot="1" x14ac:dyDescent="0.3">
      <c r="A234" s="2175" t="s">
        <v>849</v>
      </c>
      <c r="B234" s="2176"/>
      <c r="C234" s="2176"/>
      <c r="D234" s="2177"/>
      <c r="E234" s="2152">
        <f>SUM(E233:E233)</f>
        <v>0</v>
      </c>
      <c r="F234" s="2155">
        <f>SUM(F233:F233)</f>
        <v>130</v>
      </c>
      <c r="G234" s="2155">
        <f>SUM(G233:G233)</f>
        <v>119</v>
      </c>
      <c r="H234" s="2157">
        <f>G234/F234*100</f>
        <v>91.538461538461533</v>
      </c>
    </row>
    <row r="235" spans="1:8" ht="15.75" thickTop="1" x14ac:dyDescent="0.25">
      <c r="A235" s="2189"/>
      <c r="B235" s="2189"/>
      <c r="C235" s="2189"/>
      <c r="D235" s="2189"/>
      <c r="E235" s="2159"/>
      <c r="F235" s="2159"/>
      <c r="G235" s="2159"/>
      <c r="H235" s="2190"/>
    </row>
    <row r="236" spans="1:8" ht="15" x14ac:dyDescent="0.25">
      <c r="A236" s="2136" t="s">
        <v>1784</v>
      </c>
      <c r="B236" s="2168"/>
      <c r="C236" s="2168"/>
      <c r="D236" s="2168"/>
      <c r="E236" s="2168"/>
      <c r="F236" s="2168"/>
      <c r="G236" s="2168"/>
      <c r="H236" s="2168"/>
    </row>
    <row r="237" spans="1:8" ht="15.75" thickBot="1" x14ac:dyDescent="0.3">
      <c r="A237" s="2136" t="s">
        <v>1785</v>
      </c>
      <c r="D237" s="2130"/>
      <c r="E237" s="2131"/>
      <c r="F237" s="2165"/>
      <c r="G237" s="2165"/>
      <c r="H237" s="2161" t="s">
        <v>179</v>
      </c>
    </row>
    <row r="238" spans="1:8" ht="25.5" thickTop="1" thickBot="1" x14ac:dyDescent="0.25">
      <c r="A238" s="2138" t="s">
        <v>180</v>
      </c>
      <c r="B238" s="2139" t="s">
        <v>847</v>
      </c>
      <c r="C238" s="2139" t="s">
        <v>414</v>
      </c>
      <c r="D238" s="2140" t="s">
        <v>182</v>
      </c>
      <c r="E238" s="2171" t="s">
        <v>700</v>
      </c>
      <c r="F238" s="2171" t="s">
        <v>701</v>
      </c>
      <c r="G238" s="2172" t="s">
        <v>986</v>
      </c>
      <c r="H238" s="2173" t="s">
        <v>987</v>
      </c>
    </row>
    <row r="239" spans="1:8" ht="14.25" thickTop="1" thickBot="1" x14ac:dyDescent="0.25">
      <c r="A239" s="1854">
        <v>1</v>
      </c>
      <c r="B239" s="1853">
        <v>2</v>
      </c>
      <c r="C239" s="1853">
        <v>3</v>
      </c>
      <c r="D239" s="1853">
        <v>4</v>
      </c>
      <c r="E239" s="2144">
        <v>5</v>
      </c>
      <c r="F239" s="2144">
        <v>6</v>
      </c>
      <c r="G239" s="2145">
        <v>7</v>
      </c>
      <c r="H239" s="2146" t="s">
        <v>61</v>
      </c>
    </row>
    <row r="240" spans="1:8" ht="16.5" thickTop="1" thickBot="1" x14ac:dyDescent="0.3">
      <c r="A240" s="2187">
        <v>3122</v>
      </c>
      <c r="B240" s="2149">
        <v>6122</v>
      </c>
      <c r="C240" s="2149"/>
      <c r="D240" s="2174" t="s">
        <v>672</v>
      </c>
      <c r="E240" s="2154">
        <v>0</v>
      </c>
      <c r="F240" s="2188">
        <v>120</v>
      </c>
      <c r="G240" s="2188">
        <v>119</v>
      </c>
      <c r="H240" s="2156">
        <f>G240/F240*100</f>
        <v>99.166666666666671</v>
      </c>
    </row>
    <row r="241" spans="1:8" ht="16.5" thickTop="1" thickBot="1" x14ac:dyDescent="0.3">
      <c r="A241" s="2175" t="s">
        <v>849</v>
      </c>
      <c r="B241" s="2176"/>
      <c r="C241" s="2176"/>
      <c r="D241" s="2177"/>
      <c r="E241" s="2152">
        <f>SUM(E240:E240)</f>
        <v>0</v>
      </c>
      <c r="F241" s="2155">
        <f>SUM(F240:F240)</f>
        <v>120</v>
      </c>
      <c r="G241" s="2155">
        <f>SUM(G240:G240)</f>
        <v>119</v>
      </c>
      <c r="H241" s="2157">
        <f>G241/F241*100</f>
        <v>99.166666666666671</v>
      </c>
    </row>
    <row r="242" spans="1:8" ht="15.75" thickTop="1" x14ac:dyDescent="0.25">
      <c r="A242" s="2189"/>
      <c r="B242" s="2189"/>
      <c r="C242" s="2189"/>
      <c r="D242" s="2189"/>
      <c r="E242" s="2159"/>
      <c r="F242" s="2159"/>
      <c r="G242" s="2159"/>
      <c r="H242" s="2190"/>
    </row>
    <row r="243" spans="1:8" ht="15" x14ac:dyDescent="0.25">
      <c r="A243" s="2136" t="s">
        <v>1786</v>
      </c>
      <c r="B243" s="2168"/>
      <c r="C243" s="2168"/>
      <c r="D243" s="2168"/>
      <c r="E243" s="2168"/>
      <c r="F243" s="2168"/>
      <c r="G243" s="2168"/>
      <c r="H243" s="2168"/>
    </row>
    <row r="244" spans="1:8" ht="15.75" thickBot="1" x14ac:dyDescent="0.3">
      <c r="A244" s="2136" t="s">
        <v>1787</v>
      </c>
      <c r="D244" s="2130"/>
      <c r="E244" s="2131"/>
      <c r="F244" s="2165"/>
      <c r="G244" s="2165"/>
      <c r="H244" s="2161" t="s">
        <v>179</v>
      </c>
    </row>
    <row r="245" spans="1:8" ht="25.5" thickTop="1" thickBot="1" x14ac:dyDescent="0.25">
      <c r="A245" s="2138" t="s">
        <v>180</v>
      </c>
      <c r="B245" s="2139" t="s">
        <v>847</v>
      </c>
      <c r="C245" s="2139" t="s">
        <v>414</v>
      </c>
      <c r="D245" s="2140" t="s">
        <v>182</v>
      </c>
      <c r="E245" s="2171" t="s">
        <v>700</v>
      </c>
      <c r="F245" s="2171" t="s">
        <v>701</v>
      </c>
      <c r="G245" s="2172" t="s">
        <v>986</v>
      </c>
      <c r="H245" s="2173" t="s">
        <v>987</v>
      </c>
    </row>
    <row r="246" spans="1:8" ht="14.25" thickTop="1" thickBot="1" x14ac:dyDescent="0.25">
      <c r="A246" s="1854">
        <v>1</v>
      </c>
      <c r="B246" s="1853">
        <v>2</v>
      </c>
      <c r="C246" s="1853">
        <v>3</v>
      </c>
      <c r="D246" s="1853">
        <v>4</v>
      </c>
      <c r="E246" s="2144">
        <v>5</v>
      </c>
      <c r="F246" s="2144">
        <v>6</v>
      </c>
      <c r="G246" s="2145">
        <v>7</v>
      </c>
      <c r="H246" s="2146" t="s">
        <v>61</v>
      </c>
    </row>
    <row r="247" spans="1:8" ht="16.5" thickTop="1" thickBot="1" x14ac:dyDescent="0.3">
      <c r="A247" s="2187">
        <v>3122</v>
      </c>
      <c r="B247" s="2149">
        <v>6122</v>
      </c>
      <c r="C247" s="2149"/>
      <c r="D247" s="2174" t="s">
        <v>672</v>
      </c>
      <c r="E247" s="2154">
        <v>0</v>
      </c>
      <c r="F247" s="2188">
        <v>150</v>
      </c>
      <c r="G247" s="2188">
        <v>119</v>
      </c>
      <c r="H247" s="2156">
        <f>G247/F247*100</f>
        <v>79.333333333333329</v>
      </c>
    </row>
    <row r="248" spans="1:8" ht="16.5" thickTop="1" thickBot="1" x14ac:dyDescent="0.3">
      <c r="A248" s="2175" t="s">
        <v>849</v>
      </c>
      <c r="B248" s="2176"/>
      <c r="C248" s="2176"/>
      <c r="D248" s="2177"/>
      <c r="E248" s="2152">
        <f>SUM(E247:E247)</f>
        <v>0</v>
      </c>
      <c r="F248" s="2155">
        <f>SUM(F247:F247)</f>
        <v>150</v>
      </c>
      <c r="G248" s="2155">
        <f>SUM(G247:G247)</f>
        <v>119</v>
      </c>
      <c r="H248" s="2157">
        <f>G248/F248*100</f>
        <v>79.333333333333329</v>
      </c>
    </row>
    <row r="249" spans="1:8" ht="15.75" thickTop="1" x14ac:dyDescent="0.25">
      <c r="A249" s="2189"/>
      <c r="B249" s="2189"/>
      <c r="C249" s="2189"/>
      <c r="D249" s="2189"/>
      <c r="E249" s="2159"/>
      <c r="F249" s="2159"/>
      <c r="G249" s="2159"/>
      <c r="H249" s="2190"/>
    </row>
    <row r="250" spans="1:8" ht="15" x14ac:dyDescent="0.25">
      <c r="A250" s="2136" t="s">
        <v>1788</v>
      </c>
      <c r="B250" s="2168"/>
      <c r="C250" s="2168"/>
      <c r="D250" s="2168"/>
      <c r="E250" s="2168"/>
      <c r="F250" s="2168"/>
      <c r="G250" s="2168"/>
      <c r="H250" s="2168"/>
    </row>
    <row r="251" spans="1:8" ht="15.75" thickBot="1" x14ac:dyDescent="0.3">
      <c r="A251" s="2136" t="s">
        <v>1789</v>
      </c>
      <c r="D251" s="2130"/>
      <c r="E251" s="2131"/>
      <c r="F251" s="2165"/>
      <c r="G251" s="2165"/>
      <c r="H251" s="2161" t="s">
        <v>179</v>
      </c>
    </row>
    <row r="252" spans="1:8" ht="25.5" thickTop="1" thickBot="1" x14ac:dyDescent="0.25">
      <c r="A252" s="2138" t="s">
        <v>180</v>
      </c>
      <c r="B252" s="2139" t="s">
        <v>847</v>
      </c>
      <c r="C252" s="2139" t="s">
        <v>414</v>
      </c>
      <c r="D252" s="2140" t="s">
        <v>182</v>
      </c>
      <c r="E252" s="2171" t="s">
        <v>700</v>
      </c>
      <c r="F252" s="2171" t="s">
        <v>701</v>
      </c>
      <c r="G252" s="2172" t="s">
        <v>986</v>
      </c>
      <c r="H252" s="2173" t="s">
        <v>987</v>
      </c>
    </row>
    <row r="253" spans="1:8" ht="14.25" thickTop="1" thickBot="1" x14ac:dyDescent="0.25">
      <c r="A253" s="1854">
        <v>1</v>
      </c>
      <c r="B253" s="1853">
        <v>2</v>
      </c>
      <c r="C253" s="1853">
        <v>3</v>
      </c>
      <c r="D253" s="1853">
        <v>4</v>
      </c>
      <c r="E253" s="2144">
        <v>5</v>
      </c>
      <c r="F253" s="2144">
        <v>6</v>
      </c>
      <c r="G253" s="2145">
        <v>7</v>
      </c>
      <c r="H253" s="2146" t="s">
        <v>61</v>
      </c>
    </row>
    <row r="254" spans="1:8" ht="16.5" thickTop="1" thickBot="1" x14ac:dyDescent="0.3">
      <c r="A254" s="2187">
        <v>3122</v>
      </c>
      <c r="B254" s="2149">
        <v>6122</v>
      </c>
      <c r="C254" s="2149"/>
      <c r="D254" s="2174" t="s">
        <v>672</v>
      </c>
      <c r="E254" s="2154">
        <v>0</v>
      </c>
      <c r="F254" s="2188">
        <v>120</v>
      </c>
      <c r="G254" s="2188">
        <v>60</v>
      </c>
      <c r="H254" s="2156">
        <f>G254/F254*100</f>
        <v>50</v>
      </c>
    </row>
    <row r="255" spans="1:8" ht="16.5" thickTop="1" thickBot="1" x14ac:dyDescent="0.3">
      <c r="A255" s="2175" t="s">
        <v>849</v>
      </c>
      <c r="B255" s="2176"/>
      <c r="C255" s="2176"/>
      <c r="D255" s="2177"/>
      <c r="E255" s="2152">
        <f>SUM(E254:E254)</f>
        <v>0</v>
      </c>
      <c r="F255" s="2155">
        <f>SUM(F254:F254)</f>
        <v>120</v>
      </c>
      <c r="G255" s="2155">
        <f>SUM(G254:G254)</f>
        <v>60</v>
      </c>
      <c r="H255" s="2157">
        <f>G255/F255*100</f>
        <v>50</v>
      </c>
    </row>
    <row r="256" spans="1:8" ht="15.75" thickTop="1" x14ac:dyDescent="0.25">
      <c r="A256" s="2189"/>
      <c r="B256" s="2189"/>
      <c r="C256" s="2189"/>
      <c r="D256" s="2189"/>
      <c r="E256" s="2159"/>
      <c r="F256" s="2159"/>
      <c r="G256" s="2159"/>
      <c r="H256" s="2190"/>
    </row>
    <row r="257" spans="1:8" ht="15" x14ac:dyDescent="0.25">
      <c r="A257" s="2136" t="s">
        <v>1790</v>
      </c>
      <c r="B257" s="2168"/>
      <c r="C257" s="2168"/>
      <c r="D257" s="2168"/>
      <c r="E257" s="2168"/>
      <c r="F257" s="2168"/>
      <c r="G257" s="2168"/>
      <c r="H257" s="2168"/>
    </row>
    <row r="258" spans="1:8" ht="15.75" thickBot="1" x14ac:dyDescent="0.3">
      <c r="A258" s="2136" t="s">
        <v>1791</v>
      </c>
      <c r="D258" s="2130"/>
      <c r="E258" s="2131"/>
      <c r="F258" s="2165"/>
      <c r="G258" s="2165"/>
      <c r="H258" s="2161" t="s">
        <v>179</v>
      </c>
    </row>
    <row r="259" spans="1:8" ht="25.5" thickTop="1" thickBot="1" x14ac:dyDescent="0.25">
      <c r="A259" s="2138" t="s">
        <v>180</v>
      </c>
      <c r="B259" s="2139" t="s">
        <v>847</v>
      </c>
      <c r="C259" s="2139" t="s">
        <v>414</v>
      </c>
      <c r="D259" s="2140" t="s">
        <v>182</v>
      </c>
      <c r="E259" s="2171" t="s">
        <v>700</v>
      </c>
      <c r="F259" s="2171" t="s">
        <v>701</v>
      </c>
      <c r="G259" s="2172" t="s">
        <v>986</v>
      </c>
      <c r="H259" s="2173" t="s">
        <v>987</v>
      </c>
    </row>
    <row r="260" spans="1:8" ht="14.25" thickTop="1" thickBot="1" x14ac:dyDescent="0.25">
      <c r="A260" s="1854">
        <v>1</v>
      </c>
      <c r="B260" s="1853">
        <v>2</v>
      </c>
      <c r="C260" s="1853">
        <v>3</v>
      </c>
      <c r="D260" s="1853">
        <v>4</v>
      </c>
      <c r="E260" s="2144">
        <v>5</v>
      </c>
      <c r="F260" s="2144">
        <v>6</v>
      </c>
      <c r="G260" s="2145">
        <v>7</v>
      </c>
      <c r="H260" s="2146" t="s">
        <v>61</v>
      </c>
    </row>
    <row r="261" spans="1:8" ht="16.5" thickTop="1" thickBot="1" x14ac:dyDescent="0.3">
      <c r="A261" s="2187">
        <v>4357</v>
      </c>
      <c r="B261" s="2149">
        <v>6121</v>
      </c>
      <c r="C261" s="2149"/>
      <c r="D261" s="2174" t="s">
        <v>671</v>
      </c>
      <c r="E261" s="2154">
        <v>0</v>
      </c>
      <c r="F261" s="2188">
        <v>250</v>
      </c>
      <c r="G261" s="2188">
        <v>140</v>
      </c>
      <c r="H261" s="2156">
        <f>G261/F261*100</f>
        <v>56.000000000000007</v>
      </c>
    </row>
    <row r="262" spans="1:8" ht="16.5" thickTop="1" thickBot="1" x14ac:dyDescent="0.3">
      <c r="A262" s="2175" t="s">
        <v>849</v>
      </c>
      <c r="B262" s="2176"/>
      <c r="C262" s="2176"/>
      <c r="D262" s="2177"/>
      <c r="E262" s="2152">
        <f>SUM(E261:E261)</f>
        <v>0</v>
      </c>
      <c r="F262" s="2155">
        <f>SUM(F261:F261)</f>
        <v>250</v>
      </c>
      <c r="G262" s="2155">
        <f>SUM(G261:G261)</f>
        <v>140</v>
      </c>
      <c r="H262" s="2157">
        <f>G262/F262*100</f>
        <v>56.000000000000007</v>
      </c>
    </row>
    <row r="263" spans="1:8" ht="15.75" thickTop="1" x14ac:dyDescent="0.25">
      <c r="A263" s="2189"/>
      <c r="B263" s="2189"/>
      <c r="C263" s="2189"/>
      <c r="D263" s="2189"/>
      <c r="E263" s="2159"/>
      <c r="F263" s="2159"/>
      <c r="G263" s="2159"/>
      <c r="H263" s="2190"/>
    </row>
    <row r="264" spans="1:8" ht="15" x14ac:dyDescent="0.25">
      <c r="A264" s="2136" t="s">
        <v>544</v>
      </c>
      <c r="B264" s="2168"/>
      <c r="C264" s="2168"/>
      <c r="D264" s="2168"/>
      <c r="E264" s="2168"/>
      <c r="F264" s="2168"/>
      <c r="G264" s="2168"/>
      <c r="H264" s="2168"/>
    </row>
    <row r="265" spans="1:8" ht="15.75" thickBot="1" x14ac:dyDescent="0.3">
      <c r="A265" s="2136" t="s">
        <v>545</v>
      </c>
      <c r="D265" s="2130"/>
      <c r="E265" s="2131"/>
      <c r="F265" s="2165"/>
      <c r="G265" s="2165"/>
      <c r="H265" s="2161" t="s">
        <v>179</v>
      </c>
    </row>
    <row r="266" spans="1:8" ht="25.5" thickTop="1" thickBot="1" x14ac:dyDescent="0.25">
      <c r="A266" s="2138" t="s">
        <v>180</v>
      </c>
      <c r="B266" s="2139" t="s">
        <v>847</v>
      </c>
      <c r="C266" s="2139" t="s">
        <v>414</v>
      </c>
      <c r="D266" s="2140" t="s">
        <v>182</v>
      </c>
      <c r="E266" s="2171" t="s">
        <v>700</v>
      </c>
      <c r="F266" s="2171" t="s">
        <v>701</v>
      </c>
      <c r="G266" s="2172" t="s">
        <v>986</v>
      </c>
      <c r="H266" s="2173" t="s">
        <v>987</v>
      </c>
    </row>
    <row r="267" spans="1:8" ht="14.25" thickTop="1" thickBot="1" x14ac:dyDescent="0.25">
      <c r="A267" s="1854">
        <v>1</v>
      </c>
      <c r="B267" s="1853">
        <v>2</v>
      </c>
      <c r="C267" s="1853">
        <v>3</v>
      </c>
      <c r="D267" s="1853">
        <v>4</v>
      </c>
      <c r="E267" s="2144">
        <v>5</v>
      </c>
      <c r="F267" s="2144">
        <v>6</v>
      </c>
      <c r="G267" s="2145">
        <v>7</v>
      </c>
      <c r="H267" s="2146" t="s">
        <v>61</v>
      </c>
    </row>
    <row r="268" spans="1:8" ht="16.5" thickTop="1" thickBot="1" x14ac:dyDescent="0.3">
      <c r="A268" s="2187">
        <v>4357</v>
      </c>
      <c r="B268" s="2149">
        <v>6121</v>
      </c>
      <c r="C268" s="2149"/>
      <c r="D268" s="2174" t="s">
        <v>671</v>
      </c>
      <c r="E268" s="2154">
        <v>0</v>
      </c>
      <c r="F268" s="2188">
        <v>354</v>
      </c>
      <c r="G268" s="2188">
        <v>354</v>
      </c>
      <c r="H268" s="2156">
        <f>G268/F268*100</f>
        <v>100</v>
      </c>
    </row>
    <row r="269" spans="1:8" ht="16.5" thickTop="1" thickBot="1" x14ac:dyDescent="0.3">
      <c r="A269" s="2175" t="s">
        <v>849</v>
      </c>
      <c r="B269" s="2176"/>
      <c r="C269" s="2176"/>
      <c r="D269" s="2177"/>
      <c r="E269" s="2152">
        <f>SUM(E268:E268)</f>
        <v>0</v>
      </c>
      <c r="F269" s="2155">
        <f>SUM(F268:F268)</f>
        <v>354</v>
      </c>
      <c r="G269" s="2155">
        <f>SUM(G268:G268)</f>
        <v>354</v>
      </c>
      <c r="H269" s="2157">
        <f>G269/F269*100</f>
        <v>100</v>
      </c>
    </row>
    <row r="270" spans="1:8" ht="15.75" thickTop="1" x14ac:dyDescent="0.25">
      <c r="A270" s="2189"/>
      <c r="B270" s="2189"/>
      <c r="C270" s="2189"/>
      <c r="D270" s="2189"/>
      <c r="E270" s="2159"/>
      <c r="F270" s="2159"/>
      <c r="G270" s="2159"/>
      <c r="H270" s="2190"/>
    </row>
    <row r="271" spans="1:8" ht="17.25" customHeight="1" x14ac:dyDescent="0.2">
      <c r="A271" s="2804" t="s">
        <v>546</v>
      </c>
      <c r="B271" s="2805"/>
      <c r="C271" s="2805"/>
      <c r="D271" s="2805"/>
      <c r="E271" s="2805"/>
      <c r="F271" s="2805"/>
      <c r="G271" s="2805"/>
      <c r="H271" s="2805"/>
    </row>
    <row r="272" spans="1:8" x14ac:dyDescent="0.2">
      <c r="A272" s="2805"/>
      <c r="B272" s="2805"/>
      <c r="C272" s="2805"/>
      <c r="D272" s="2805"/>
      <c r="E272" s="2805"/>
      <c r="F272" s="2805"/>
      <c r="G272" s="2805"/>
      <c r="H272" s="2805"/>
    </row>
    <row r="273" spans="1:11" ht="15.75" thickBot="1" x14ac:dyDescent="0.3">
      <c r="A273" s="2136" t="s">
        <v>547</v>
      </c>
      <c r="D273" s="2130"/>
      <c r="E273" s="2131"/>
      <c r="F273" s="2165"/>
      <c r="G273" s="2165"/>
      <c r="H273" s="2161" t="s">
        <v>179</v>
      </c>
    </row>
    <row r="274" spans="1:11" ht="25.5" thickTop="1" thickBot="1" x14ac:dyDescent="0.25">
      <c r="A274" s="2138" t="s">
        <v>180</v>
      </c>
      <c r="B274" s="2139" t="s">
        <v>847</v>
      </c>
      <c r="C274" s="2139" t="s">
        <v>414</v>
      </c>
      <c r="D274" s="2140" t="s">
        <v>182</v>
      </c>
      <c r="E274" s="2171" t="s">
        <v>700</v>
      </c>
      <c r="F274" s="2171" t="s">
        <v>701</v>
      </c>
      <c r="G274" s="2172" t="s">
        <v>986</v>
      </c>
      <c r="H274" s="2173" t="s">
        <v>987</v>
      </c>
    </row>
    <row r="275" spans="1:11" ht="14.25" thickTop="1" thickBot="1" x14ac:dyDescent="0.25">
      <c r="A275" s="1854">
        <v>1</v>
      </c>
      <c r="B275" s="1853">
        <v>2</v>
      </c>
      <c r="C275" s="1853">
        <v>3</v>
      </c>
      <c r="D275" s="1853">
        <v>4</v>
      </c>
      <c r="E275" s="2144">
        <v>5</v>
      </c>
      <c r="F275" s="2144">
        <v>6</v>
      </c>
      <c r="G275" s="2145">
        <v>7</v>
      </c>
      <c r="H275" s="2146" t="s">
        <v>61</v>
      </c>
      <c r="K275" s="2193"/>
    </row>
    <row r="276" spans="1:11" ht="15.75" thickTop="1" x14ac:dyDescent="0.25">
      <c r="A276" s="2194">
        <v>4357</v>
      </c>
      <c r="B276" s="2148">
        <v>5169</v>
      </c>
      <c r="C276" s="2148"/>
      <c r="D276" s="2174" t="s">
        <v>955</v>
      </c>
      <c r="E276" s="2154">
        <v>0</v>
      </c>
      <c r="F276" s="2195">
        <v>10</v>
      </c>
      <c r="G276" s="2196">
        <v>2</v>
      </c>
      <c r="H276" s="2156">
        <f>G276/F276*100</f>
        <v>20</v>
      </c>
    </row>
    <row r="277" spans="1:11" ht="15.75" thickBot="1" x14ac:dyDescent="0.3">
      <c r="A277" s="2197">
        <v>4357</v>
      </c>
      <c r="B277" s="2162">
        <v>6121</v>
      </c>
      <c r="C277" s="2162"/>
      <c r="D277" s="2174" t="s">
        <v>671</v>
      </c>
      <c r="E277" s="2154">
        <v>0</v>
      </c>
      <c r="F277" s="2188">
        <v>40</v>
      </c>
      <c r="G277" s="2188">
        <v>22</v>
      </c>
      <c r="H277" s="2156">
        <f>G277/F277*100</f>
        <v>55.000000000000007</v>
      </c>
    </row>
    <row r="278" spans="1:11" ht="16.5" thickTop="1" thickBot="1" x14ac:dyDescent="0.3">
      <c r="A278" s="2175" t="s">
        <v>849</v>
      </c>
      <c r="B278" s="2176"/>
      <c r="C278" s="2176"/>
      <c r="D278" s="2177"/>
      <c r="E278" s="2152">
        <f>SUM(E277:E277)</f>
        <v>0</v>
      </c>
      <c r="F278" s="2155">
        <f>SUM(F276:F277)</f>
        <v>50</v>
      </c>
      <c r="G278" s="2155">
        <f>SUM(G276:G277)</f>
        <v>24</v>
      </c>
      <c r="H278" s="2157">
        <f>G278/F278*100</f>
        <v>48</v>
      </c>
    </row>
    <row r="279" spans="1:11" ht="15.75" thickTop="1" x14ac:dyDescent="0.25">
      <c r="A279" s="2189"/>
      <c r="B279" s="2189"/>
      <c r="C279" s="2189"/>
      <c r="D279" s="2189"/>
      <c r="E279" s="2159"/>
      <c r="F279" s="2159"/>
      <c r="G279" s="2159"/>
      <c r="H279" s="2190"/>
    </row>
    <row r="280" spans="1:11" ht="15" x14ac:dyDescent="0.25">
      <c r="A280" s="2136" t="s">
        <v>548</v>
      </c>
      <c r="B280" s="2168"/>
      <c r="C280" s="2168"/>
      <c r="D280" s="2168"/>
      <c r="E280" s="2168"/>
      <c r="F280" s="2168"/>
      <c r="G280" s="2168"/>
      <c r="H280" s="2168"/>
    </row>
    <row r="281" spans="1:11" ht="15.75" thickBot="1" x14ac:dyDescent="0.3">
      <c r="A281" s="2136" t="s">
        <v>391</v>
      </c>
      <c r="D281" s="2130"/>
      <c r="E281" s="2131"/>
      <c r="F281" s="2165"/>
      <c r="G281" s="2165"/>
      <c r="H281" s="2161" t="s">
        <v>179</v>
      </c>
    </row>
    <row r="282" spans="1:11" ht="25.5" thickTop="1" thickBot="1" x14ac:dyDescent="0.25">
      <c r="A282" s="2138" t="s">
        <v>180</v>
      </c>
      <c r="B282" s="2139" t="s">
        <v>847</v>
      </c>
      <c r="C282" s="2139" t="s">
        <v>414</v>
      </c>
      <c r="D282" s="2140" t="s">
        <v>182</v>
      </c>
      <c r="E282" s="2171" t="s">
        <v>700</v>
      </c>
      <c r="F282" s="2171" t="s">
        <v>701</v>
      </c>
      <c r="G282" s="2172" t="s">
        <v>986</v>
      </c>
      <c r="H282" s="2173" t="s">
        <v>987</v>
      </c>
    </row>
    <row r="283" spans="1:11" ht="14.25" thickTop="1" thickBot="1" x14ac:dyDescent="0.25">
      <c r="A283" s="1854">
        <v>1</v>
      </c>
      <c r="B283" s="1853">
        <v>2</v>
      </c>
      <c r="C283" s="1853">
        <v>3</v>
      </c>
      <c r="D283" s="1853">
        <v>4</v>
      </c>
      <c r="E283" s="2144">
        <v>5</v>
      </c>
      <c r="F283" s="2144">
        <v>6</v>
      </c>
      <c r="G283" s="2145">
        <v>7</v>
      </c>
      <c r="H283" s="2146" t="s">
        <v>61</v>
      </c>
    </row>
    <row r="284" spans="1:11" ht="16.5" thickTop="1" thickBot="1" x14ac:dyDescent="0.3">
      <c r="A284" s="2187">
        <v>4351</v>
      </c>
      <c r="B284" s="2149">
        <v>6121</v>
      </c>
      <c r="C284" s="2149"/>
      <c r="D284" s="2174" t="s">
        <v>671</v>
      </c>
      <c r="E284" s="2154">
        <v>0</v>
      </c>
      <c r="F284" s="2188">
        <v>350</v>
      </c>
      <c r="G284" s="2188">
        <v>0</v>
      </c>
      <c r="H284" s="2156">
        <f>G284/F284*100</f>
        <v>0</v>
      </c>
    </row>
    <row r="285" spans="1:11" ht="16.5" thickTop="1" thickBot="1" x14ac:dyDescent="0.3">
      <c r="A285" s="2175" t="s">
        <v>849</v>
      </c>
      <c r="B285" s="2176"/>
      <c r="C285" s="2176"/>
      <c r="D285" s="2177"/>
      <c r="E285" s="2152">
        <f>SUM(E284:E284)</f>
        <v>0</v>
      </c>
      <c r="F285" s="2155">
        <f>SUM(F284:F284)</f>
        <v>350</v>
      </c>
      <c r="G285" s="2155">
        <f>SUM(G284:G284)</f>
        <v>0</v>
      </c>
      <c r="H285" s="2157">
        <f>G285/F285*100</f>
        <v>0</v>
      </c>
    </row>
    <row r="286" spans="1:11" ht="15.75" thickTop="1" x14ac:dyDescent="0.25">
      <c r="A286" s="2189"/>
      <c r="B286" s="2189"/>
      <c r="C286" s="2189"/>
      <c r="D286" s="2189"/>
      <c r="E286" s="2159"/>
      <c r="F286" s="2159"/>
      <c r="G286" s="2159"/>
      <c r="H286" s="2190"/>
    </row>
    <row r="287" spans="1:11" ht="15" x14ac:dyDescent="0.25">
      <c r="A287" s="2136" t="s">
        <v>1792</v>
      </c>
      <c r="B287" s="2168"/>
      <c r="C287" s="2168"/>
      <c r="D287" s="2168"/>
      <c r="E287" s="2168"/>
      <c r="F287" s="2168"/>
      <c r="G287" s="2168"/>
      <c r="H287" s="2168"/>
    </row>
    <row r="288" spans="1:11" ht="15.75" thickBot="1" x14ac:dyDescent="0.3">
      <c r="A288" s="2136" t="s">
        <v>1793</v>
      </c>
      <c r="D288" s="2130"/>
      <c r="E288" s="2131"/>
      <c r="F288" s="2165"/>
      <c r="G288" s="2165"/>
      <c r="H288" s="2161" t="s">
        <v>179</v>
      </c>
    </row>
    <row r="289" spans="1:8" ht="25.5" thickTop="1" thickBot="1" x14ac:dyDescent="0.25">
      <c r="A289" s="2138" t="s">
        <v>180</v>
      </c>
      <c r="B289" s="2139" t="s">
        <v>847</v>
      </c>
      <c r="C289" s="2139" t="s">
        <v>414</v>
      </c>
      <c r="D289" s="2140" t="s">
        <v>182</v>
      </c>
      <c r="E289" s="2171" t="s">
        <v>700</v>
      </c>
      <c r="F289" s="2171" t="s">
        <v>701</v>
      </c>
      <c r="G289" s="2172" t="s">
        <v>986</v>
      </c>
      <c r="H289" s="2173" t="s">
        <v>987</v>
      </c>
    </row>
    <row r="290" spans="1:8" ht="14.25" thickTop="1" thickBot="1" x14ac:dyDescent="0.25">
      <c r="A290" s="1854">
        <v>1</v>
      </c>
      <c r="B290" s="1853">
        <v>2</v>
      </c>
      <c r="C290" s="1853">
        <v>3</v>
      </c>
      <c r="D290" s="1853">
        <v>4</v>
      </c>
      <c r="E290" s="2144">
        <v>5</v>
      </c>
      <c r="F290" s="2144">
        <v>6</v>
      </c>
      <c r="G290" s="2145">
        <v>7</v>
      </c>
      <c r="H290" s="2146" t="s">
        <v>61</v>
      </c>
    </row>
    <row r="291" spans="1:8" ht="16.5" thickTop="1" thickBot="1" x14ac:dyDescent="0.3">
      <c r="A291" s="2187">
        <v>4357</v>
      </c>
      <c r="B291" s="2149">
        <v>6121</v>
      </c>
      <c r="C291" s="2149"/>
      <c r="D291" s="2174" t="s">
        <v>671</v>
      </c>
      <c r="E291" s="2154">
        <v>0</v>
      </c>
      <c r="F291" s="2188">
        <v>150</v>
      </c>
      <c r="G291" s="2188">
        <v>54</v>
      </c>
      <c r="H291" s="2156">
        <f>G291/F291*100</f>
        <v>36</v>
      </c>
    </row>
    <row r="292" spans="1:8" ht="16.5" thickTop="1" thickBot="1" x14ac:dyDescent="0.3">
      <c r="A292" s="2175" t="s">
        <v>849</v>
      </c>
      <c r="B292" s="2176"/>
      <c r="C292" s="2176"/>
      <c r="D292" s="2177"/>
      <c r="E292" s="2152">
        <f>SUM(E291:E291)</f>
        <v>0</v>
      </c>
      <c r="F292" s="2155">
        <f>SUM(F291:F291)</f>
        <v>150</v>
      </c>
      <c r="G292" s="2155">
        <f>SUM(G291:G291)</f>
        <v>54</v>
      </c>
      <c r="H292" s="2157">
        <f>G292/F292*100</f>
        <v>36</v>
      </c>
    </row>
    <row r="293" spans="1:8" ht="15.75" thickTop="1" x14ac:dyDescent="0.25">
      <c r="A293" s="2189"/>
      <c r="B293" s="2189"/>
      <c r="C293" s="2189"/>
      <c r="D293" s="2189"/>
      <c r="E293" s="2159"/>
      <c r="F293" s="2159"/>
      <c r="G293" s="2159"/>
      <c r="H293" s="2190"/>
    </row>
    <row r="294" spans="1:8" ht="15" hidden="1" x14ac:dyDescent="0.25">
      <c r="A294" s="2136" t="s">
        <v>551</v>
      </c>
      <c r="B294" s="2198"/>
      <c r="C294" s="2198"/>
      <c r="D294" s="2198"/>
      <c r="E294" s="2198"/>
      <c r="F294" s="2198"/>
      <c r="G294" s="2198"/>
      <c r="H294" s="2198"/>
    </row>
    <row r="295" spans="1:8" ht="15" hidden="1" x14ac:dyDescent="0.25">
      <c r="A295" s="2136" t="s">
        <v>552</v>
      </c>
      <c r="D295" s="2130"/>
      <c r="E295" s="2131"/>
      <c r="F295" s="2165"/>
      <c r="G295" s="2165"/>
      <c r="H295" s="2131" t="s">
        <v>179</v>
      </c>
    </row>
    <row r="296" spans="1:8" ht="25.5" hidden="1" thickTop="1" thickBot="1" x14ac:dyDescent="0.25">
      <c r="A296" s="2138" t="s">
        <v>180</v>
      </c>
      <c r="B296" s="2139" t="s">
        <v>847</v>
      </c>
      <c r="C296" s="2139" t="s">
        <v>414</v>
      </c>
      <c r="D296" s="2140" t="s">
        <v>182</v>
      </c>
      <c r="E296" s="2171" t="s">
        <v>700</v>
      </c>
      <c r="F296" s="2171" t="s">
        <v>701</v>
      </c>
      <c r="G296" s="2172" t="s">
        <v>986</v>
      </c>
      <c r="H296" s="2173" t="s">
        <v>987</v>
      </c>
    </row>
    <row r="297" spans="1:8" ht="14.25" hidden="1" thickTop="1" thickBot="1" x14ac:dyDescent="0.25">
      <c r="A297" s="1854">
        <v>1</v>
      </c>
      <c r="B297" s="1853">
        <v>2</v>
      </c>
      <c r="C297" s="1853">
        <v>3</v>
      </c>
      <c r="D297" s="1853">
        <v>4</v>
      </c>
      <c r="E297" s="2144">
        <v>5</v>
      </c>
      <c r="F297" s="2144">
        <v>6</v>
      </c>
      <c r="G297" s="2145">
        <v>7</v>
      </c>
      <c r="H297" s="2191" t="s">
        <v>61</v>
      </c>
    </row>
    <row r="298" spans="1:8" ht="16.5" hidden="1" thickTop="1" thickBot="1" x14ac:dyDescent="0.3">
      <c r="A298" s="2187">
        <v>4357</v>
      </c>
      <c r="B298" s="2149">
        <v>6121</v>
      </c>
      <c r="C298" s="2149"/>
      <c r="D298" s="2174" t="s">
        <v>671</v>
      </c>
      <c r="E298" s="2154">
        <v>0</v>
      </c>
      <c r="F298" s="2188">
        <v>0</v>
      </c>
      <c r="G298" s="2188">
        <v>0</v>
      </c>
      <c r="H298" s="2192" t="e">
        <f>G298/F298*100</f>
        <v>#DIV/0!</v>
      </c>
    </row>
    <row r="299" spans="1:8" ht="16.5" hidden="1" thickTop="1" thickBot="1" x14ac:dyDescent="0.3">
      <c r="A299" s="2175" t="s">
        <v>849</v>
      </c>
      <c r="B299" s="2176"/>
      <c r="C299" s="2176"/>
      <c r="D299" s="2177"/>
      <c r="E299" s="2152">
        <f>SUM(E298:E298)</f>
        <v>0</v>
      </c>
      <c r="F299" s="2155">
        <f>SUM(F298:F298)</f>
        <v>0</v>
      </c>
      <c r="G299" s="2155">
        <f>SUM(G298:G298)</f>
        <v>0</v>
      </c>
      <c r="H299" s="2157" t="e">
        <f>G299/F299*100</f>
        <v>#DIV/0!</v>
      </c>
    </row>
    <row r="300" spans="1:8" ht="15" hidden="1" x14ac:dyDescent="0.25">
      <c r="A300" s="2189"/>
      <c r="B300" s="2189"/>
      <c r="C300" s="2189"/>
      <c r="D300" s="2189"/>
      <c r="E300" s="2159"/>
      <c r="F300" s="2159"/>
      <c r="G300" s="2159"/>
      <c r="H300" s="2190"/>
    </row>
    <row r="301" spans="1:8" ht="15" x14ac:dyDescent="0.25">
      <c r="A301" s="2136" t="s">
        <v>1826</v>
      </c>
      <c r="B301" s="2168"/>
      <c r="C301" s="2168"/>
      <c r="D301" s="2168"/>
      <c r="E301" s="2168"/>
      <c r="F301" s="2168"/>
      <c r="G301" s="2168"/>
      <c r="H301" s="2168"/>
    </row>
    <row r="302" spans="1:8" ht="15.75" thickBot="1" x14ac:dyDescent="0.3">
      <c r="A302" s="2136" t="s">
        <v>553</v>
      </c>
      <c r="D302" s="2130"/>
      <c r="E302" s="2131"/>
      <c r="F302" s="2165"/>
      <c r="G302" s="2165"/>
      <c r="H302" s="2161" t="s">
        <v>179</v>
      </c>
    </row>
    <row r="303" spans="1:8" ht="25.5" thickTop="1" thickBot="1" x14ac:dyDescent="0.25">
      <c r="A303" s="2138" t="s">
        <v>180</v>
      </c>
      <c r="B303" s="2139" t="s">
        <v>847</v>
      </c>
      <c r="C303" s="2139" t="s">
        <v>414</v>
      </c>
      <c r="D303" s="2140" t="s">
        <v>182</v>
      </c>
      <c r="E303" s="2171" t="s">
        <v>700</v>
      </c>
      <c r="F303" s="2171" t="s">
        <v>701</v>
      </c>
      <c r="G303" s="2172" t="s">
        <v>986</v>
      </c>
      <c r="H303" s="2173" t="s">
        <v>987</v>
      </c>
    </row>
    <row r="304" spans="1:8" ht="14.25" thickTop="1" thickBot="1" x14ac:dyDescent="0.25">
      <c r="A304" s="1854">
        <v>1</v>
      </c>
      <c r="B304" s="1853">
        <v>2</v>
      </c>
      <c r="C304" s="1853">
        <v>3</v>
      </c>
      <c r="D304" s="1853">
        <v>4</v>
      </c>
      <c r="E304" s="2144">
        <v>5</v>
      </c>
      <c r="F304" s="2144">
        <v>6</v>
      </c>
      <c r="G304" s="2145">
        <v>7</v>
      </c>
      <c r="H304" s="2146" t="s">
        <v>61</v>
      </c>
    </row>
    <row r="305" spans="1:8" ht="15.75" thickTop="1" x14ac:dyDescent="0.25">
      <c r="A305" s="2187">
        <v>4357</v>
      </c>
      <c r="B305" s="2149">
        <v>5166</v>
      </c>
      <c r="C305" s="2149"/>
      <c r="D305" s="2174" t="s">
        <v>677</v>
      </c>
      <c r="E305" s="2154">
        <v>0</v>
      </c>
      <c r="F305" s="2195">
        <v>50</v>
      </c>
      <c r="G305" s="2196">
        <v>50</v>
      </c>
      <c r="H305" s="2156">
        <f>G305/F305*100</f>
        <v>100</v>
      </c>
    </row>
    <row r="306" spans="1:8" ht="15.75" thickBot="1" x14ac:dyDescent="0.3">
      <c r="A306" s="2197">
        <v>4357</v>
      </c>
      <c r="B306" s="2162">
        <v>6121</v>
      </c>
      <c r="C306" s="2162"/>
      <c r="D306" s="2174" t="s">
        <v>671</v>
      </c>
      <c r="E306" s="2154">
        <v>0</v>
      </c>
      <c r="F306" s="2188">
        <v>4514</v>
      </c>
      <c r="G306" s="2188">
        <v>4475</v>
      </c>
      <c r="H306" s="2156">
        <f>G306/F306*100</f>
        <v>99.1360212671688</v>
      </c>
    </row>
    <row r="307" spans="1:8" ht="16.5" thickTop="1" thickBot="1" x14ac:dyDescent="0.3">
      <c r="A307" s="2175" t="s">
        <v>849</v>
      </c>
      <c r="B307" s="2176"/>
      <c r="C307" s="2176"/>
      <c r="D307" s="2177"/>
      <c r="E307" s="2152">
        <f>SUM(E306:E306)</f>
        <v>0</v>
      </c>
      <c r="F307" s="2155">
        <f>SUM(F305:F306)</f>
        <v>4564</v>
      </c>
      <c r="G307" s="2155">
        <f>SUM(G305:G306)</f>
        <v>4525</v>
      </c>
      <c r="H307" s="2157">
        <f>G307/F307*100</f>
        <v>99.145486415425069</v>
      </c>
    </row>
    <row r="308" spans="1:8" ht="15.75" thickTop="1" x14ac:dyDescent="0.25">
      <c r="A308" s="2189"/>
      <c r="B308" s="2189"/>
      <c r="C308" s="2189"/>
      <c r="D308" s="2189"/>
      <c r="E308" s="2159"/>
      <c r="F308" s="2159"/>
      <c r="G308" s="2159"/>
      <c r="H308" s="2190"/>
    </row>
    <row r="309" spans="1:8" ht="15" hidden="1" x14ac:dyDescent="0.25">
      <c r="A309" s="2136" t="s">
        <v>554</v>
      </c>
      <c r="B309" s="2168"/>
      <c r="C309" s="2168"/>
      <c r="D309" s="2168"/>
      <c r="E309" s="2168"/>
      <c r="F309" s="2168"/>
      <c r="G309" s="2168"/>
      <c r="H309" s="2168"/>
    </row>
    <row r="310" spans="1:8" ht="15" hidden="1" x14ac:dyDescent="0.25">
      <c r="A310" s="2136" t="s">
        <v>555</v>
      </c>
      <c r="D310" s="2130"/>
      <c r="E310" s="2131"/>
      <c r="F310" s="2165"/>
      <c r="G310" s="2165"/>
      <c r="H310" s="2131" t="s">
        <v>179</v>
      </c>
    </row>
    <row r="311" spans="1:8" ht="25.5" hidden="1" thickTop="1" thickBot="1" x14ac:dyDescent="0.25">
      <c r="A311" s="2138" t="s">
        <v>180</v>
      </c>
      <c r="B311" s="2139" t="s">
        <v>847</v>
      </c>
      <c r="C311" s="2139" t="s">
        <v>414</v>
      </c>
      <c r="D311" s="2140" t="s">
        <v>182</v>
      </c>
      <c r="E311" s="2171" t="s">
        <v>700</v>
      </c>
      <c r="F311" s="2171" t="s">
        <v>701</v>
      </c>
      <c r="G311" s="2172" t="s">
        <v>986</v>
      </c>
      <c r="H311" s="2173" t="s">
        <v>987</v>
      </c>
    </row>
    <row r="312" spans="1:8" ht="14.25" hidden="1" thickTop="1" thickBot="1" x14ac:dyDescent="0.25">
      <c r="A312" s="1854">
        <v>1</v>
      </c>
      <c r="B312" s="1853">
        <v>2</v>
      </c>
      <c r="C312" s="1853">
        <v>3</v>
      </c>
      <c r="D312" s="1853">
        <v>4</v>
      </c>
      <c r="E312" s="2144">
        <v>5</v>
      </c>
      <c r="F312" s="2144">
        <v>6</v>
      </c>
      <c r="G312" s="2145">
        <v>7</v>
      </c>
      <c r="H312" s="2191" t="s">
        <v>61</v>
      </c>
    </row>
    <row r="313" spans="1:8" ht="16.5" hidden="1" thickTop="1" thickBot="1" x14ac:dyDescent="0.3">
      <c r="A313" s="2187">
        <v>4357</v>
      </c>
      <c r="B313" s="2149">
        <v>6121</v>
      </c>
      <c r="C313" s="2149"/>
      <c r="D313" s="2174" t="s">
        <v>671</v>
      </c>
      <c r="E313" s="2154">
        <v>0</v>
      </c>
      <c r="F313" s="2188">
        <v>0</v>
      </c>
      <c r="G313" s="2188">
        <v>0</v>
      </c>
      <c r="H313" s="2192" t="e">
        <f>G313/F313*100</f>
        <v>#DIV/0!</v>
      </c>
    </row>
    <row r="314" spans="1:8" ht="16.5" hidden="1" thickTop="1" thickBot="1" x14ac:dyDescent="0.3">
      <c r="A314" s="2175" t="s">
        <v>849</v>
      </c>
      <c r="B314" s="2176"/>
      <c r="C314" s="2176"/>
      <c r="D314" s="2177"/>
      <c r="E314" s="2152">
        <f>SUM(E313:E313)</f>
        <v>0</v>
      </c>
      <c r="F314" s="2155">
        <f>SUM(F313:F313)</f>
        <v>0</v>
      </c>
      <c r="G314" s="2155">
        <f>SUM(G313:G313)</f>
        <v>0</v>
      </c>
      <c r="H314" s="2157" t="e">
        <f>G314/F314*100</f>
        <v>#DIV/0!</v>
      </c>
    </row>
    <row r="315" spans="1:8" ht="15" hidden="1" x14ac:dyDescent="0.25">
      <c r="A315" s="2189"/>
      <c r="B315" s="2189"/>
      <c r="C315" s="2189"/>
      <c r="D315" s="2189"/>
      <c r="E315" s="2159"/>
      <c r="F315" s="2159"/>
      <c r="G315" s="2159"/>
      <c r="H315" s="2190"/>
    </row>
    <row r="316" spans="1:8" ht="15" x14ac:dyDescent="0.25">
      <c r="A316" s="2136" t="s">
        <v>556</v>
      </c>
      <c r="B316" s="2168"/>
      <c r="C316" s="2168"/>
      <c r="D316" s="2168"/>
      <c r="E316" s="2168"/>
      <c r="F316" s="2168"/>
      <c r="G316" s="2168"/>
      <c r="H316" s="2168"/>
    </row>
    <row r="317" spans="1:8" ht="15.75" thickBot="1" x14ac:dyDescent="0.3">
      <c r="A317" s="2136" t="s">
        <v>557</v>
      </c>
      <c r="D317" s="2130"/>
      <c r="E317" s="2131"/>
      <c r="F317" s="2165"/>
      <c r="G317" s="2165"/>
      <c r="H317" s="2161" t="s">
        <v>179</v>
      </c>
    </row>
    <row r="318" spans="1:8" ht="25.5" thickTop="1" thickBot="1" x14ac:dyDescent="0.25">
      <c r="A318" s="2138" t="s">
        <v>180</v>
      </c>
      <c r="B318" s="2139" t="s">
        <v>847</v>
      </c>
      <c r="C318" s="2139" t="s">
        <v>414</v>
      </c>
      <c r="D318" s="2140" t="s">
        <v>182</v>
      </c>
      <c r="E318" s="2171" t="s">
        <v>700</v>
      </c>
      <c r="F318" s="2171" t="s">
        <v>701</v>
      </c>
      <c r="G318" s="2172" t="s">
        <v>986</v>
      </c>
      <c r="H318" s="2173" t="s">
        <v>987</v>
      </c>
    </row>
    <row r="319" spans="1:8" ht="14.25" thickTop="1" thickBot="1" x14ac:dyDescent="0.25">
      <c r="A319" s="1854">
        <v>1</v>
      </c>
      <c r="B319" s="1853">
        <v>2</v>
      </c>
      <c r="C319" s="1853">
        <v>3</v>
      </c>
      <c r="D319" s="1853">
        <v>4</v>
      </c>
      <c r="E319" s="2144">
        <v>5</v>
      </c>
      <c r="F319" s="2144">
        <v>6</v>
      </c>
      <c r="G319" s="2145">
        <v>7</v>
      </c>
      <c r="H319" s="2146" t="s">
        <v>61</v>
      </c>
    </row>
    <row r="320" spans="1:8" ht="16.5" thickTop="1" thickBot="1" x14ac:dyDescent="0.3">
      <c r="A320" s="2187">
        <v>4357</v>
      </c>
      <c r="B320" s="2149">
        <v>6121</v>
      </c>
      <c r="C320" s="2149"/>
      <c r="D320" s="2174" t="s">
        <v>671</v>
      </c>
      <c r="E320" s="2154">
        <v>0</v>
      </c>
      <c r="F320" s="2188">
        <v>219</v>
      </c>
      <c r="G320" s="2188">
        <v>19</v>
      </c>
      <c r="H320" s="2156">
        <f>G320/F320*100</f>
        <v>8.6757990867579906</v>
      </c>
    </row>
    <row r="321" spans="1:8" ht="16.5" thickTop="1" thickBot="1" x14ac:dyDescent="0.3">
      <c r="A321" s="2175" t="s">
        <v>849</v>
      </c>
      <c r="B321" s="2176"/>
      <c r="C321" s="2176"/>
      <c r="D321" s="2177"/>
      <c r="E321" s="2152">
        <f>SUM(E320:E320)</f>
        <v>0</v>
      </c>
      <c r="F321" s="2155">
        <f>SUM(F320:F320)</f>
        <v>219</v>
      </c>
      <c r="G321" s="2155">
        <f>SUM(G320:G320)</f>
        <v>19</v>
      </c>
      <c r="H321" s="2157">
        <f>G321/F321*100</f>
        <v>8.6757990867579906</v>
      </c>
    </row>
    <row r="322" spans="1:8" ht="15.75" thickTop="1" x14ac:dyDescent="0.25">
      <c r="A322" s="2189"/>
      <c r="B322" s="2189"/>
      <c r="C322" s="2189"/>
      <c r="D322" s="2189"/>
      <c r="E322" s="2159"/>
      <c r="F322" s="2159"/>
      <c r="G322" s="2159"/>
      <c r="H322" s="2190"/>
    </row>
    <row r="323" spans="1:8" ht="15" x14ac:dyDescent="0.25">
      <c r="A323" s="2136" t="s">
        <v>558</v>
      </c>
      <c r="B323" s="2168"/>
      <c r="C323" s="2168"/>
      <c r="D323" s="2168"/>
      <c r="E323" s="2168"/>
      <c r="F323" s="2168"/>
      <c r="G323" s="2168"/>
      <c r="H323" s="2168"/>
    </row>
    <row r="324" spans="1:8" ht="15.75" thickBot="1" x14ac:dyDescent="0.3">
      <c r="A324" s="2136" t="s">
        <v>559</v>
      </c>
      <c r="D324" s="2130"/>
      <c r="E324" s="2131"/>
      <c r="F324" s="2165"/>
      <c r="G324" s="2165"/>
      <c r="H324" s="2161" t="s">
        <v>179</v>
      </c>
    </row>
    <row r="325" spans="1:8" ht="25.5" thickTop="1" thickBot="1" x14ac:dyDescent="0.25">
      <c r="A325" s="2138" t="s">
        <v>180</v>
      </c>
      <c r="B325" s="2139" t="s">
        <v>847</v>
      </c>
      <c r="C325" s="2139" t="s">
        <v>414</v>
      </c>
      <c r="D325" s="2140" t="s">
        <v>182</v>
      </c>
      <c r="E325" s="2171" t="s">
        <v>700</v>
      </c>
      <c r="F325" s="2171" t="s">
        <v>701</v>
      </c>
      <c r="G325" s="2172" t="s">
        <v>986</v>
      </c>
      <c r="H325" s="2173" t="s">
        <v>987</v>
      </c>
    </row>
    <row r="326" spans="1:8" ht="14.25" thickTop="1" thickBot="1" x14ac:dyDescent="0.25">
      <c r="A326" s="1854">
        <v>1</v>
      </c>
      <c r="B326" s="1853">
        <v>2</v>
      </c>
      <c r="C326" s="1853">
        <v>3</v>
      </c>
      <c r="D326" s="1853">
        <v>4</v>
      </c>
      <c r="E326" s="2144">
        <v>5</v>
      </c>
      <c r="F326" s="2144">
        <v>6</v>
      </c>
      <c r="G326" s="2145">
        <v>7</v>
      </c>
      <c r="H326" s="2146" t="s">
        <v>61</v>
      </c>
    </row>
    <row r="327" spans="1:8" ht="16.5" thickTop="1" thickBot="1" x14ac:dyDescent="0.3">
      <c r="A327" s="2187">
        <v>4357</v>
      </c>
      <c r="B327" s="2149">
        <v>6121</v>
      </c>
      <c r="C327" s="2149"/>
      <c r="D327" s="2174" t="s">
        <v>671</v>
      </c>
      <c r="E327" s="2154">
        <v>0</v>
      </c>
      <c r="F327" s="2188">
        <v>270</v>
      </c>
      <c r="G327" s="2188">
        <v>70</v>
      </c>
      <c r="H327" s="2156">
        <f>G327/F327*100</f>
        <v>25.925925925925924</v>
      </c>
    </row>
    <row r="328" spans="1:8" ht="16.5" thickTop="1" thickBot="1" x14ac:dyDescent="0.3">
      <c r="A328" s="2175" t="s">
        <v>849</v>
      </c>
      <c r="B328" s="2176"/>
      <c r="C328" s="2176"/>
      <c r="D328" s="2177"/>
      <c r="E328" s="2152">
        <f>SUM(E327:E327)</f>
        <v>0</v>
      </c>
      <c r="F328" s="2155">
        <f>SUM(F327:F327)</f>
        <v>270</v>
      </c>
      <c r="G328" s="2155">
        <f>SUM(G327:G327)</f>
        <v>70</v>
      </c>
      <c r="H328" s="2157">
        <f>G328/F328*100</f>
        <v>25.925925925925924</v>
      </c>
    </row>
    <row r="329" spans="1:8" ht="15.75" thickTop="1" x14ac:dyDescent="0.25">
      <c r="A329" s="2189"/>
      <c r="B329" s="2189"/>
      <c r="C329" s="2189"/>
      <c r="D329" s="2189"/>
      <c r="E329" s="2159"/>
      <c r="F329" s="2159"/>
      <c r="G329" s="2159"/>
      <c r="H329" s="2190"/>
    </row>
    <row r="330" spans="1:8" ht="15" x14ac:dyDescent="0.25">
      <c r="A330" s="2136" t="s">
        <v>560</v>
      </c>
      <c r="B330" s="2168"/>
      <c r="C330" s="2168"/>
      <c r="D330" s="2168"/>
      <c r="E330" s="2168"/>
      <c r="F330" s="2168"/>
      <c r="G330" s="2168"/>
      <c r="H330" s="2168"/>
    </row>
    <row r="331" spans="1:8" ht="15.75" thickBot="1" x14ac:dyDescent="0.3">
      <c r="A331" s="2136" t="s">
        <v>561</v>
      </c>
      <c r="D331" s="2130"/>
      <c r="E331" s="2131"/>
      <c r="F331" s="2165"/>
      <c r="G331" s="2165"/>
      <c r="H331" s="2161" t="s">
        <v>179</v>
      </c>
    </row>
    <row r="332" spans="1:8" ht="25.5" thickTop="1" thickBot="1" x14ac:dyDescent="0.25">
      <c r="A332" s="2138" t="s">
        <v>180</v>
      </c>
      <c r="B332" s="2139" t="s">
        <v>847</v>
      </c>
      <c r="C332" s="2139" t="s">
        <v>414</v>
      </c>
      <c r="D332" s="2140" t="s">
        <v>182</v>
      </c>
      <c r="E332" s="2171" t="s">
        <v>700</v>
      </c>
      <c r="F332" s="2171" t="s">
        <v>701</v>
      </c>
      <c r="G332" s="2172" t="s">
        <v>986</v>
      </c>
      <c r="H332" s="2173" t="s">
        <v>987</v>
      </c>
    </row>
    <row r="333" spans="1:8" ht="14.25" thickTop="1" thickBot="1" x14ac:dyDescent="0.25">
      <c r="A333" s="1854">
        <v>1</v>
      </c>
      <c r="B333" s="1853">
        <v>2</v>
      </c>
      <c r="C333" s="1853">
        <v>3</v>
      </c>
      <c r="D333" s="1853">
        <v>4</v>
      </c>
      <c r="E333" s="2144">
        <v>5</v>
      </c>
      <c r="F333" s="2144">
        <v>6</v>
      </c>
      <c r="G333" s="2145">
        <v>7</v>
      </c>
      <c r="H333" s="2146" t="s">
        <v>61</v>
      </c>
    </row>
    <row r="334" spans="1:8" ht="16.5" thickTop="1" thickBot="1" x14ac:dyDescent="0.3">
      <c r="A334" s="2187">
        <v>4357</v>
      </c>
      <c r="B334" s="2149">
        <v>6121</v>
      </c>
      <c r="C334" s="2149"/>
      <c r="D334" s="2174" t="s">
        <v>671</v>
      </c>
      <c r="E334" s="2154">
        <v>0</v>
      </c>
      <c r="F334" s="2188">
        <v>230</v>
      </c>
      <c r="G334" s="2188">
        <v>30</v>
      </c>
      <c r="H334" s="2156">
        <f>G334/F334*100</f>
        <v>13.043478260869565</v>
      </c>
    </row>
    <row r="335" spans="1:8" ht="16.5" thickTop="1" thickBot="1" x14ac:dyDescent="0.3">
      <c r="A335" s="2175" t="s">
        <v>849</v>
      </c>
      <c r="B335" s="2176"/>
      <c r="C335" s="2176"/>
      <c r="D335" s="2177"/>
      <c r="E335" s="2152">
        <f>SUM(E334:E334)</f>
        <v>0</v>
      </c>
      <c r="F335" s="2155">
        <f>SUM(F334:F334)</f>
        <v>230</v>
      </c>
      <c r="G335" s="2155">
        <f>SUM(G334:G334)</f>
        <v>30</v>
      </c>
      <c r="H335" s="2157">
        <f>G335/F335*100</f>
        <v>13.043478260869565</v>
      </c>
    </row>
    <row r="336" spans="1:8" ht="15.75" thickTop="1" x14ac:dyDescent="0.25">
      <c r="A336" s="2189"/>
      <c r="B336" s="2189"/>
      <c r="C336" s="2189"/>
      <c r="D336" s="2189"/>
      <c r="E336" s="2159"/>
      <c r="F336" s="2159"/>
      <c r="G336" s="2159"/>
      <c r="H336" s="2190"/>
    </row>
    <row r="337" spans="1:8" ht="15" x14ac:dyDescent="0.25">
      <c r="A337" s="2136" t="s">
        <v>562</v>
      </c>
      <c r="B337" s="2168"/>
      <c r="C337" s="2168"/>
      <c r="D337" s="2168"/>
      <c r="E337" s="2168"/>
      <c r="F337" s="2168"/>
      <c r="G337" s="2168"/>
      <c r="H337" s="2168"/>
    </row>
    <row r="338" spans="1:8" ht="15.75" thickBot="1" x14ac:dyDescent="0.3">
      <c r="A338" s="2136" t="s">
        <v>563</v>
      </c>
      <c r="D338" s="2130"/>
      <c r="E338" s="2131"/>
      <c r="F338" s="2165"/>
      <c r="G338" s="2165"/>
      <c r="H338" s="2161" t="s">
        <v>179</v>
      </c>
    </row>
    <row r="339" spans="1:8" ht="25.5" thickTop="1" thickBot="1" x14ac:dyDescent="0.25">
      <c r="A339" s="2138" t="s">
        <v>180</v>
      </c>
      <c r="B339" s="2139" t="s">
        <v>847</v>
      </c>
      <c r="C339" s="2139" t="s">
        <v>414</v>
      </c>
      <c r="D339" s="2140" t="s">
        <v>182</v>
      </c>
      <c r="E339" s="2171" t="s">
        <v>700</v>
      </c>
      <c r="F339" s="2171" t="s">
        <v>701</v>
      </c>
      <c r="G339" s="2172" t="s">
        <v>986</v>
      </c>
      <c r="H339" s="2173" t="s">
        <v>987</v>
      </c>
    </row>
    <row r="340" spans="1:8" ht="14.25" thickTop="1" thickBot="1" x14ac:dyDescent="0.25">
      <c r="A340" s="1854">
        <v>1</v>
      </c>
      <c r="B340" s="1853">
        <v>2</v>
      </c>
      <c r="C340" s="1853">
        <v>3</v>
      </c>
      <c r="D340" s="1853">
        <v>4</v>
      </c>
      <c r="E340" s="2144">
        <v>5</v>
      </c>
      <c r="F340" s="2144">
        <v>6</v>
      </c>
      <c r="G340" s="2145">
        <v>7</v>
      </c>
      <c r="H340" s="2146" t="s">
        <v>61</v>
      </c>
    </row>
    <row r="341" spans="1:8" ht="16.5" thickTop="1" thickBot="1" x14ac:dyDescent="0.3">
      <c r="A341" s="2187">
        <v>4357</v>
      </c>
      <c r="B341" s="2149">
        <v>6121</v>
      </c>
      <c r="C341" s="2149"/>
      <c r="D341" s="2174" t="s">
        <v>671</v>
      </c>
      <c r="E341" s="2154">
        <v>0</v>
      </c>
      <c r="F341" s="2188">
        <v>258</v>
      </c>
      <c r="G341" s="2188">
        <v>58</v>
      </c>
      <c r="H341" s="2156">
        <f>G341/F341*100</f>
        <v>22.480620155038761</v>
      </c>
    </row>
    <row r="342" spans="1:8" ht="16.5" thickTop="1" thickBot="1" x14ac:dyDescent="0.3">
      <c r="A342" s="2175" t="s">
        <v>849</v>
      </c>
      <c r="B342" s="2176"/>
      <c r="C342" s="2176"/>
      <c r="D342" s="2177"/>
      <c r="E342" s="2152">
        <f>SUM(E341:E341)</f>
        <v>0</v>
      </c>
      <c r="F342" s="2155">
        <f>SUM(F341:F341)</f>
        <v>258</v>
      </c>
      <c r="G342" s="2155">
        <f>SUM(G341:G341)</f>
        <v>58</v>
      </c>
      <c r="H342" s="2157">
        <f>G342/F342*100</f>
        <v>22.480620155038761</v>
      </c>
    </row>
    <row r="343" spans="1:8" ht="15.75" thickTop="1" x14ac:dyDescent="0.25">
      <c r="A343" s="2189"/>
      <c r="B343" s="2189"/>
      <c r="C343" s="2189"/>
      <c r="D343" s="2189"/>
      <c r="E343" s="2159"/>
      <c r="F343" s="2159"/>
      <c r="G343" s="2159"/>
      <c r="H343" s="2190"/>
    </row>
    <row r="344" spans="1:8" ht="15" x14ac:dyDescent="0.25">
      <c r="A344" s="2136" t="s">
        <v>1794</v>
      </c>
      <c r="B344" s="2168"/>
      <c r="C344" s="2168"/>
      <c r="D344" s="2168"/>
      <c r="E344" s="2168"/>
      <c r="F344" s="2168"/>
      <c r="G344" s="2168"/>
      <c r="H344" s="2168"/>
    </row>
    <row r="345" spans="1:8" ht="15.75" thickBot="1" x14ac:dyDescent="0.3">
      <c r="A345" s="2136" t="s">
        <v>1795</v>
      </c>
      <c r="D345" s="2130"/>
      <c r="E345" s="2131"/>
      <c r="F345" s="2165"/>
      <c r="G345" s="2165"/>
      <c r="H345" s="2161" t="s">
        <v>179</v>
      </c>
    </row>
    <row r="346" spans="1:8" ht="25.5" thickTop="1" thickBot="1" x14ac:dyDescent="0.25">
      <c r="A346" s="2138" t="s">
        <v>180</v>
      </c>
      <c r="B346" s="2139" t="s">
        <v>847</v>
      </c>
      <c r="C346" s="2139" t="s">
        <v>414</v>
      </c>
      <c r="D346" s="2140" t="s">
        <v>182</v>
      </c>
      <c r="E346" s="2171" t="s">
        <v>700</v>
      </c>
      <c r="F346" s="2171" t="s">
        <v>701</v>
      </c>
      <c r="G346" s="2172" t="s">
        <v>986</v>
      </c>
      <c r="H346" s="2173" t="s">
        <v>987</v>
      </c>
    </row>
    <row r="347" spans="1:8" ht="14.25" thickTop="1" thickBot="1" x14ac:dyDescent="0.25">
      <c r="A347" s="1854">
        <v>1</v>
      </c>
      <c r="B347" s="1853">
        <v>2</v>
      </c>
      <c r="C347" s="1853">
        <v>3</v>
      </c>
      <c r="D347" s="1853">
        <v>4</v>
      </c>
      <c r="E347" s="2144">
        <v>5</v>
      </c>
      <c r="F347" s="2144">
        <v>6</v>
      </c>
      <c r="G347" s="2145">
        <v>7</v>
      </c>
      <c r="H347" s="2146" t="s">
        <v>61</v>
      </c>
    </row>
    <row r="348" spans="1:8" ht="16.5" thickTop="1" thickBot="1" x14ac:dyDescent="0.3">
      <c r="A348" s="2187">
        <v>4357</v>
      </c>
      <c r="B348" s="2149">
        <v>6121</v>
      </c>
      <c r="C348" s="2149"/>
      <c r="D348" s="2174" t="s">
        <v>671</v>
      </c>
      <c r="E348" s="2154">
        <v>0</v>
      </c>
      <c r="F348" s="2188">
        <v>100</v>
      </c>
      <c r="G348" s="2188">
        <v>89</v>
      </c>
      <c r="H348" s="2156">
        <f>G348/F348*100</f>
        <v>89</v>
      </c>
    </row>
    <row r="349" spans="1:8" ht="16.5" thickTop="1" thickBot="1" x14ac:dyDescent="0.3">
      <c r="A349" s="2175" t="s">
        <v>849</v>
      </c>
      <c r="B349" s="2176"/>
      <c r="C349" s="2176"/>
      <c r="D349" s="2177"/>
      <c r="E349" s="2152">
        <f>SUM(E348:E348)</f>
        <v>0</v>
      </c>
      <c r="F349" s="2155">
        <f>SUM(F348:F348)</f>
        <v>100</v>
      </c>
      <c r="G349" s="2155">
        <f>SUM(G348:G348)</f>
        <v>89</v>
      </c>
      <c r="H349" s="2157">
        <f>G349/F349*100</f>
        <v>89</v>
      </c>
    </row>
    <row r="350" spans="1:8" ht="15.75" thickTop="1" x14ac:dyDescent="0.25">
      <c r="A350" s="2189"/>
      <c r="B350" s="2189"/>
      <c r="C350" s="2189"/>
      <c r="D350" s="2189"/>
      <c r="E350" s="2159"/>
      <c r="F350" s="2159"/>
      <c r="G350" s="2159"/>
      <c r="H350" s="2190"/>
    </row>
    <row r="351" spans="1:8" ht="15" x14ac:dyDescent="0.25">
      <c r="A351" s="2136" t="s">
        <v>1796</v>
      </c>
      <c r="B351" s="2168"/>
      <c r="C351" s="2168"/>
      <c r="D351" s="2168"/>
      <c r="E351" s="2168"/>
      <c r="F351" s="2168"/>
      <c r="G351" s="2168"/>
      <c r="H351" s="2168"/>
    </row>
    <row r="352" spans="1:8" ht="15.75" thickBot="1" x14ac:dyDescent="0.3">
      <c r="A352" s="2136" t="s">
        <v>1797</v>
      </c>
      <c r="D352" s="2130"/>
      <c r="E352" s="2131"/>
      <c r="F352" s="2165"/>
      <c r="G352" s="2165"/>
      <c r="H352" s="2161" t="s">
        <v>179</v>
      </c>
    </row>
    <row r="353" spans="1:8" ht="25.5" thickTop="1" thickBot="1" x14ac:dyDescent="0.25">
      <c r="A353" s="2138" t="s">
        <v>180</v>
      </c>
      <c r="B353" s="2139" t="s">
        <v>847</v>
      </c>
      <c r="C353" s="2139" t="s">
        <v>414</v>
      </c>
      <c r="D353" s="2140" t="s">
        <v>182</v>
      </c>
      <c r="E353" s="2171" t="s">
        <v>700</v>
      </c>
      <c r="F353" s="2171" t="s">
        <v>701</v>
      </c>
      <c r="G353" s="2172" t="s">
        <v>986</v>
      </c>
      <c r="H353" s="2173" t="s">
        <v>987</v>
      </c>
    </row>
    <row r="354" spans="1:8" ht="14.25" thickTop="1" thickBot="1" x14ac:dyDescent="0.25">
      <c r="A354" s="1854">
        <v>1</v>
      </c>
      <c r="B354" s="1853">
        <v>2</v>
      </c>
      <c r="C354" s="1853">
        <v>3</v>
      </c>
      <c r="D354" s="1853">
        <v>4</v>
      </c>
      <c r="E354" s="2144">
        <v>5</v>
      </c>
      <c r="F354" s="2144">
        <v>6</v>
      </c>
      <c r="G354" s="2145">
        <v>7</v>
      </c>
      <c r="H354" s="2146" t="s">
        <v>61</v>
      </c>
    </row>
    <row r="355" spans="1:8" ht="16.5" thickTop="1" thickBot="1" x14ac:dyDescent="0.3">
      <c r="A355" s="2187">
        <v>4357</v>
      </c>
      <c r="B355" s="2149">
        <v>6121</v>
      </c>
      <c r="C355" s="2149"/>
      <c r="D355" s="2174" t="s">
        <v>671</v>
      </c>
      <c r="E355" s="2154">
        <v>0</v>
      </c>
      <c r="F355" s="2188">
        <v>232</v>
      </c>
      <c r="G355" s="2188">
        <v>32</v>
      </c>
      <c r="H355" s="2156">
        <f>G355/F355*100</f>
        <v>13.793103448275861</v>
      </c>
    </row>
    <row r="356" spans="1:8" ht="16.5" thickTop="1" thickBot="1" x14ac:dyDescent="0.3">
      <c r="A356" s="2175" t="s">
        <v>849</v>
      </c>
      <c r="B356" s="2176"/>
      <c r="C356" s="2176"/>
      <c r="D356" s="2177"/>
      <c r="E356" s="2152">
        <f>SUM(E355:E355)</f>
        <v>0</v>
      </c>
      <c r="F356" s="2155">
        <f>SUM(F355:F355)</f>
        <v>232</v>
      </c>
      <c r="G356" s="2155">
        <f>SUM(G355:G355)</f>
        <v>32</v>
      </c>
      <c r="H356" s="2157">
        <f>G356/F356*100</f>
        <v>13.793103448275861</v>
      </c>
    </row>
    <row r="357" spans="1:8" ht="15.75" thickTop="1" x14ac:dyDescent="0.25">
      <c r="A357" s="2189"/>
      <c r="B357" s="2189"/>
      <c r="C357" s="2189"/>
      <c r="D357" s="2189"/>
      <c r="E357" s="2159"/>
      <c r="F357" s="2159"/>
      <c r="G357" s="2159"/>
      <c r="H357" s="2190"/>
    </row>
    <row r="358" spans="1:8" ht="15" x14ac:dyDescent="0.25">
      <c r="A358" s="2136" t="s">
        <v>1798</v>
      </c>
      <c r="B358" s="2168"/>
      <c r="C358" s="2168"/>
      <c r="D358" s="2168"/>
      <c r="E358" s="2168"/>
      <c r="F358" s="2168"/>
      <c r="G358" s="2168"/>
      <c r="H358" s="2168"/>
    </row>
    <row r="359" spans="1:8" ht="15.75" thickBot="1" x14ac:dyDescent="0.3">
      <c r="A359" s="2136" t="s">
        <v>1799</v>
      </c>
      <c r="D359" s="2130"/>
      <c r="E359" s="2131"/>
      <c r="F359" s="2165"/>
      <c r="G359" s="2165"/>
      <c r="H359" s="2161" t="s">
        <v>179</v>
      </c>
    </row>
    <row r="360" spans="1:8" ht="25.5" thickTop="1" thickBot="1" x14ac:dyDescent="0.25">
      <c r="A360" s="2138" t="s">
        <v>180</v>
      </c>
      <c r="B360" s="2139" t="s">
        <v>847</v>
      </c>
      <c r="C360" s="2139" t="s">
        <v>414</v>
      </c>
      <c r="D360" s="2140" t="s">
        <v>182</v>
      </c>
      <c r="E360" s="2171" t="s">
        <v>700</v>
      </c>
      <c r="F360" s="2171" t="s">
        <v>701</v>
      </c>
      <c r="G360" s="2172" t="s">
        <v>986</v>
      </c>
      <c r="H360" s="2173" t="s">
        <v>987</v>
      </c>
    </row>
    <row r="361" spans="1:8" ht="14.25" thickTop="1" thickBot="1" x14ac:dyDescent="0.25">
      <c r="A361" s="1854">
        <v>1</v>
      </c>
      <c r="B361" s="1853">
        <v>2</v>
      </c>
      <c r="C361" s="1853">
        <v>3</v>
      </c>
      <c r="D361" s="1853">
        <v>4</v>
      </c>
      <c r="E361" s="2144">
        <v>5</v>
      </c>
      <c r="F361" s="2144">
        <v>6</v>
      </c>
      <c r="G361" s="2145">
        <v>7</v>
      </c>
      <c r="H361" s="2146" t="s">
        <v>61</v>
      </c>
    </row>
    <row r="362" spans="1:8" ht="15.75" thickTop="1" x14ac:dyDescent="0.25">
      <c r="A362" s="2187">
        <v>4399</v>
      </c>
      <c r="B362" s="2149">
        <v>5139</v>
      </c>
      <c r="C362" s="2149"/>
      <c r="D362" s="2174" t="s">
        <v>295</v>
      </c>
      <c r="E362" s="2154">
        <v>50</v>
      </c>
      <c r="F362" s="2195">
        <v>0</v>
      </c>
      <c r="G362" s="2195">
        <v>0</v>
      </c>
      <c r="H362" s="2156">
        <v>0</v>
      </c>
    </row>
    <row r="363" spans="1:8" ht="15.75" thickBot="1" x14ac:dyDescent="0.3">
      <c r="A363" s="2199">
        <v>4399</v>
      </c>
      <c r="B363" s="2162">
        <v>5169</v>
      </c>
      <c r="C363" s="2179"/>
      <c r="D363" s="2180" t="s">
        <v>955</v>
      </c>
      <c r="E363" s="2154">
        <v>50</v>
      </c>
      <c r="F363" s="2188">
        <v>0</v>
      </c>
      <c r="G363" s="2188">
        <v>0</v>
      </c>
      <c r="H363" s="2156">
        <v>0</v>
      </c>
    </row>
    <row r="364" spans="1:8" ht="16.5" thickTop="1" thickBot="1" x14ac:dyDescent="0.3">
      <c r="A364" s="2175" t="s">
        <v>849</v>
      </c>
      <c r="B364" s="2176"/>
      <c r="C364" s="2176"/>
      <c r="D364" s="2177"/>
      <c r="E364" s="2152">
        <f>SUM(E362:E363)</f>
        <v>100</v>
      </c>
      <c r="F364" s="2152">
        <f>SUM(F362:F363)</f>
        <v>0</v>
      </c>
      <c r="G364" s="2152">
        <f>SUM(G362:G363)</f>
        <v>0</v>
      </c>
      <c r="H364" s="2157">
        <v>0</v>
      </c>
    </row>
    <row r="365" spans="1:8" ht="15.75" thickTop="1" x14ac:dyDescent="0.25">
      <c r="A365" s="2189"/>
      <c r="B365" s="2189"/>
      <c r="C365" s="2189"/>
      <c r="D365" s="2189"/>
      <c r="E365" s="2159"/>
      <c r="F365" s="2159"/>
      <c r="G365" s="2159"/>
      <c r="H365" s="2190"/>
    </row>
    <row r="366" spans="1:8" ht="15" x14ac:dyDescent="0.25">
      <c r="A366" s="2136" t="s">
        <v>1569</v>
      </c>
      <c r="B366" s="2168"/>
      <c r="C366" s="2168"/>
      <c r="D366" s="2168"/>
      <c r="E366" s="2168"/>
      <c r="F366" s="2168"/>
      <c r="G366" s="2168"/>
      <c r="H366" s="2168"/>
    </row>
    <row r="367" spans="1:8" ht="15.75" thickBot="1" x14ac:dyDescent="0.3">
      <c r="A367" s="2136" t="s">
        <v>1568</v>
      </c>
      <c r="D367" s="2130"/>
      <c r="E367" s="2131"/>
      <c r="F367" s="2165"/>
      <c r="G367" s="2165"/>
      <c r="H367" s="2161" t="s">
        <v>179</v>
      </c>
    </row>
    <row r="368" spans="1:8" ht="25.5" thickTop="1" thickBot="1" x14ac:dyDescent="0.25">
      <c r="A368" s="2138" t="s">
        <v>180</v>
      </c>
      <c r="B368" s="2139" t="s">
        <v>847</v>
      </c>
      <c r="C368" s="2139" t="s">
        <v>414</v>
      </c>
      <c r="D368" s="2140" t="s">
        <v>182</v>
      </c>
      <c r="E368" s="2171" t="s">
        <v>700</v>
      </c>
      <c r="F368" s="2171" t="s">
        <v>701</v>
      </c>
      <c r="G368" s="2172" t="s">
        <v>986</v>
      </c>
      <c r="H368" s="2173" t="s">
        <v>987</v>
      </c>
    </row>
    <row r="369" spans="1:8" ht="14.25" thickTop="1" thickBot="1" x14ac:dyDescent="0.25">
      <c r="A369" s="1854">
        <v>1</v>
      </c>
      <c r="B369" s="1853">
        <v>2</v>
      </c>
      <c r="C369" s="1853">
        <v>3</v>
      </c>
      <c r="D369" s="1853">
        <v>4</v>
      </c>
      <c r="E369" s="2144">
        <v>5</v>
      </c>
      <c r="F369" s="2144">
        <v>6</v>
      </c>
      <c r="G369" s="2145">
        <v>7</v>
      </c>
      <c r="H369" s="2146" t="s">
        <v>61</v>
      </c>
    </row>
    <row r="370" spans="1:8" ht="16.5" thickTop="1" thickBot="1" x14ac:dyDescent="0.3">
      <c r="A370" s="2187">
        <v>4372</v>
      </c>
      <c r="B370" s="2149">
        <v>6121</v>
      </c>
      <c r="C370" s="2149"/>
      <c r="D370" s="2174" t="s">
        <v>671</v>
      </c>
      <c r="E370" s="2154">
        <v>0</v>
      </c>
      <c r="F370" s="2188">
        <v>71</v>
      </c>
      <c r="G370" s="2188">
        <v>71</v>
      </c>
      <c r="H370" s="2156">
        <f>G370/F370*100</f>
        <v>100</v>
      </c>
    </row>
    <row r="371" spans="1:8" ht="16.5" thickTop="1" thickBot="1" x14ac:dyDescent="0.3">
      <c r="A371" s="2175" t="s">
        <v>849</v>
      </c>
      <c r="B371" s="2176"/>
      <c r="C371" s="2176"/>
      <c r="D371" s="2177"/>
      <c r="E371" s="2152">
        <f>SUM(E370:E370)</f>
        <v>0</v>
      </c>
      <c r="F371" s="2155">
        <f>SUM(F370:F370)</f>
        <v>71</v>
      </c>
      <c r="G371" s="2155">
        <f>SUM(G370:G370)</f>
        <v>71</v>
      </c>
      <c r="H371" s="2157">
        <f>G371/F371*100</f>
        <v>100</v>
      </c>
    </row>
    <row r="372" spans="1:8" ht="15.75" thickTop="1" x14ac:dyDescent="0.25">
      <c r="A372" s="2189"/>
      <c r="B372" s="2189"/>
      <c r="C372" s="2189"/>
      <c r="D372" s="2189"/>
      <c r="E372" s="2159"/>
      <c r="F372" s="2159"/>
      <c r="G372" s="2159"/>
      <c r="H372" s="2190"/>
    </row>
    <row r="373" spans="1:8" ht="15" x14ac:dyDescent="0.25">
      <c r="A373" s="2136" t="s">
        <v>1800</v>
      </c>
      <c r="B373" s="2168"/>
      <c r="C373" s="2168"/>
      <c r="D373" s="2168"/>
      <c r="E373" s="2168"/>
      <c r="F373" s="2168"/>
      <c r="G373" s="2168"/>
      <c r="H373" s="2168"/>
    </row>
    <row r="374" spans="1:8" ht="15.75" thickBot="1" x14ac:dyDescent="0.3">
      <c r="A374" s="2136" t="s">
        <v>1801</v>
      </c>
      <c r="D374" s="2130"/>
      <c r="E374" s="2131"/>
      <c r="F374" s="2165"/>
      <c r="G374" s="2165"/>
      <c r="H374" s="2161" t="s">
        <v>179</v>
      </c>
    </row>
    <row r="375" spans="1:8" ht="25.5" thickTop="1" thickBot="1" x14ac:dyDescent="0.25">
      <c r="A375" s="2138" t="s">
        <v>180</v>
      </c>
      <c r="B375" s="2139" t="s">
        <v>847</v>
      </c>
      <c r="C375" s="2139" t="s">
        <v>414</v>
      </c>
      <c r="D375" s="2140" t="s">
        <v>182</v>
      </c>
      <c r="E375" s="2171" t="s">
        <v>700</v>
      </c>
      <c r="F375" s="2171" t="s">
        <v>701</v>
      </c>
      <c r="G375" s="2172" t="s">
        <v>986</v>
      </c>
      <c r="H375" s="2173" t="s">
        <v>987</v>
      </c>
    </row>
    <row r="376" spans="1:8" ht="14.25" thickTop="1" thickBot="1" x14ac:dyDescent="0.25">
      <c r="A376" s="1854">
        <v>1</v>
      </c>
      <c r="B376" s="1853">
        <v>2</v>
      </c>
      <c r="C376" s="1853">
        <v>3</v>
      </c>
      <c r="D376" s="1853">
        <v>4</v>
      </c>
      <c r="E376" s="2144">
        <v>5</v>
      </c>
      <c r="F376" s="2144">
        <v>6</v>
      </c>
      <c r="G376" s="2145">
        <v>7</v>
      </c>
      <c r="H376" s="2146" t="s">
        <v>61</v>
      </c>
    </row>
    <row r="377" spans="1:8" ht="16.5" thickTop="1" thickBot="1" x14ac:dyDescent="0.3">
      <c r="A377" s="2187">
        <v>4356</v>
      </c>
      <c r="B377" s="2149">
        <v>6121</v>
      </c>
      <c r="C377" s="2149"/>
      <c r="D377" s="2174" t="s">
        <v>671</v>
      </c>
      <c r="E377" s="2154">
        <v>0</v>
      </c>
      <c r="F377" s="2188">
        <v>130</v>
      </c>
      <c r="G377" s="2188">
        <v>84</v>
      </c>
      <c r="H377" s="2156">
        <f>G377/F377*100</f>
        <v>64.615384615384613</v>
      </c>
    </row>
    <row r="378" spans="1:8" ht="16.5" thickTop="1" thickBot="1" x14ac:dyDescent="0.3">
      <c r="A378" s="2175" t="s">
        <v>849</v>
      </c>
      <c r="B378" s="2176"/>
      <c r="C378" s="2176"/>
      <c r="D378" s="2177"/>
      <c r="E378" s="2152">
        <f>SUM(E377:E377)</f>
        <v>0</v>
      </c>
      <c r="F378" s="2155">
        <f>SUM(F377:F377)</f>
        <v>130</v>
      </c>
      <c r="G378" s="2155">
        <f>SUM(G377:G377)</f>
        <v>84</v>
      </c>
      <c r="H378" s="2157">
        <f>G378/F378*100</f>
        <v>64.615384615384613</v>
      </c>
    </row>
    <row r="379" spans="1:8" ht="15.75" thickTop="1" x14ac:dyDescent="0.25">
      <c r="A379" s="2189"/>
      <c r="B379" s="2189"/>
      <c r="C379" s="2189"/>
      <c r="D379" s="2189"/>
      <c r="E379" s="2159"/>
      <c r="F379" s="2159"/>
      <c r="G379" s="2159"/>
      <c r="H379" s="2190"/>
    </row>
    <row r="380" spans="1:8" ht="15" x14ac:dyDescent="0.25">
      <c r="A380" s="2136" t="s">
        <v>1802</v>
      </c>
      <c r="B380" s="2168"/>
      <c r="C380" s="2168"/>
      <c r="D380" s="2168"/>
      <c r="E380" s="2168"/>
      <c r="F380" s="2168"/>
      <c r="G380" s="2168"/>
      <c r="H380" s="2168"/>
    </row>
    <row r="381" spans="1:8" ht="15.75" thickBot="1" x14ac:dyDescent="0.3">
      <c r="A381" s="2136" t="s">
        <v>1803</v>
      </c>
      <c r="D381" s="2130"/>
      <c r="E381" s="2131"/>
      <c r="F381" s="2165"/>
      <c r="G381" s="2165"/>
      <c r="H381" s="2161" t="s">
        <v>179</v>
      </c>
    </row>
    <row r="382" spans="1:8" ht="25.5" thickTop="1" thickBot="1" x14ac:dyDescent="0.25">
      <c r="A382" s="2138" t="s">
        <v>180</v>
      </c>
      <c r="B382" s="2139" t="s">
        <v>847</v>
      </c>
      <c r="C382" s="2139" t="s">
        <v>414</v>
      </c>
      <c r="D382" s="2140" t="s">
        <v>182</v>
      </c>
      <c r="E382" s="2171" t="s">
        <v>700</v>
      </c>
      <c r="F382" s="2171" t="s">
        <v>701</v>
      </c>
      <c r="G382" s="2172" t="s">
        <v>986</v>
      </c>
      <c r="H382" s="2173" t="s">
        <v>987</v>
      </c>
    </row>
    <row r="383" spans="1:8" ht="14.25" thickTop="1" thickBot="1" x14ac:dyDescent="0.25">
      <c r="A383" s="1854">
        <v>1</v>
      </c>
      <c r="B383" s="1853">
        <v>2</v>
      </c>
      <c r="C383" s="1853">
        <v>3</v>
      </c>
      <c r="D383" s="1853">
        <v>4</v>
      </c>
      <c r="E383" s="2144">
        <v>5</v>
      </c>
      <c r="F383" s="2144">
        <v>6</v>
      </c>
      <c r="G383" s="2145">
        <v>7</v>
      </c>
      <c r="H383" s="2146" t="s">
        <v>61</v>
      </c>
    </row>
    <row r="384" spans="1:8" ht="16.5" thickTop="1" thickBot="1" x14ac:dyDescent="0.3">
      <c r="A384" s="2187">
        <v>4379</v>
      </c>
      <c r="B384" s="2149">
        <v>5166</v>
      </c>
      <c r="C384" s="2149"/>
      <c r="D384" s="2174" t="s">
        <v>677</v>
      </c>
      <c r="E384" s="2154">
        <v>0</v>
      </c>
      <c r="F384" s="2188">
        <v>240</v>
      </c>
      <c r="G384" s="2188">
        <v>0</v>
      </c>
      <c r="H384" s="2156">
        <f>G384/F384*100</f>
        <v>0</v>
      </c>
    </row>
    <row r="385" spans="1:10" ht="16.5" thickTop="1" thickBot="1" x14ac:dyDescent="0.3">
      <c r="A385" s="2175" t="s">
        <v>849</v>
      </c>
      <c r="B385" s="2176"/>
      <c r="C385" s="2176"/>
      <c r="D385" s="2177"/>
      <c r="E385" s="2152">
        <f>SUM(E384:E384)</f>
        <v>0</v>
      </c>
      <c r="F385" s="2155">
        <f>SUM(F384:F384)</f>
        <v>240</v>
      </c>
      <c r="G385" s="2155">
        <f>SUM(G384:G384)</f>
        <v>0</v>
      </c>
      <c r="H385" s="2157">
        <f>G385/F385*100</f>
        <v>0</v>
      </c>
    </row>
    <row r="386" spans="1:10" ht="15.75" thickTop="1" x14ac:dyDescent="0.25">
      <c r="A386" s="2189"/>
      <c r="B386" s="2189"/>
      <c r="C386" s="2189"/>
      <c r="D386" s="2189"/>
      <c r="E386" s="2159"/>
      <c r="F386" s="2159"/>
      <c r="G386" s="2159"/>
      <c r="H386" s="2190"/>
    </row>
    <row r="387" spans="1:10" ht="15" x14ac:dyDescent="0.25">
      <c r="A387" s="2136" t="s">
        <v>1446</v>
      </c>
      <c r="B387" s="2168"/>
      <c r="C387" s="2168"/>
      <c r="D387" s="2168"/>
      <c r="E387" s="2168"/>
      <c r="F387" s="2168"/>
      <c r="G387" s="2168"/>
      <c r="H387" s="2168"/>
    </row>
    <row r="388" spans="1:10" ht="15.75" thickBot="1" x14ac:dyDescent="0.3">
      <c r="A388" s="2136" t="s">
        <v>1447</v>
      </c>
      <c r="D388" s="2130"/>
      <c r="E388" s="2131"/>
      <c r="F388" s="2165"/>
      <c r="G388" s="2165"/>
      <c r="H388" s="2161" t="s">
        <v>179</v>
      </c>
    </row>
    <row r="389" spans="1:10" ht="25.5" thickTop="1" thickBot="1" x14ac:dyDescent="0.25">
      <c r="A389" s="2138" t="s">
        <v>180</v>
      </c>
      <c r="B389" s="2139" t="s">
        <v>847</v>
      </c>
      <c r="C389" s="2139" t="s">
        <v>414</v>
      </c>
      <c r="D389" s="2140" t="s">
        <v>182</v>
      </c>
      <c r="E389" s="2171" t="s">
        <v>700</v>
      </c>
      <c r="F389" s="2171" t="s">
        <v>701</v>
      </c>
      <c r="G389" s="2172" t="s">
        <v>986</v>
      </c>
      <c r="H389" s="2173" t="s">
        <v>987</v>
      </c>
    </row>
    <row r="390" spans="1:10" ht="14.25" thickTop="1" thickBot="1" x14ac:dyDescent="0.25">
      <c r="A390" s="1854">
        <v>1</v>
      </c>
      <c r="B390" s="1853">
        <v>2</v>
      </c>
      <c r="C390" s="1853">
        <v>3</v>
      </c>
      <c r="D390" s="1853">
        <v>4</v>
      </c>
      <c r="E390" s="2144">
        <v>5</v>
      </c>
      <c r="F390" s="2144">
        <v>6</v>
      </c>
      <c r="G390" s="2145">
        <v>7</v>
      </c>
      <c r="H390" s="2146" t="s">
        <v>61</v>
      </c>
    </row>
    <row r="391" spans="1:10" ht="16.5" thickTop="1" thickBot="1" x14ac:dyDescent="0.3">
      <c r="A391" s="2197">
        <v>3315</v>
      </c>
      <c r="B391" s="2162">
        <v>6121</v>
      </c>
      <c r="C391" s="2162"/>
      <c r="D391" s="2174" t="s">
        <v>671</v>
      </c>
      <c r="E391" s="2154">
        <v>0</v>
      </c>
      <c r="F391" s="2188">
        <v>1325</v>
      </c>
      <c r="G391" s="2188">
        <v>1325</v>
      </c>
      <c r="H391" s="2156">
        <f>G391/F391*100</f>
        <v>100</v>
      </c>
      <c r="J391" s="2193"/>
    </row>
    <row r="392" spans="1:10" ht="16.5" thickTop="1" thickBot="1" x14ac:dyDescent="0.3">
      <c r="A392" s="2175" t="s">
        <v>849</v>
      </c>
      <c r="B392" s="2176"/>
      <c r="C392" s="2176"/>
      <c r="D392" s="2177"/>
      <c r="E392" s="2152">
        <f>SUM(E391:E391)</f>
        <v>0</v>
      </c>
      <c r="F392" s="2155">
        <f>SUM(F391:F391)</f>
        <v>1325</v>
      </c>
      <c r="G392" s="2155">
        <f>SUM(G391:G391)</f>
        <v>1325</v>
      </c>
      <c r="H392" s="2157">
        <f>G392/F392*100</f>
        <v>100</v>
      </c>
    </row>
    <row r="393" spans="1:10" ht="15.75" thickTop="1" x14ac:dyDescent="0.25">
      <c r="A393" s="2189"/>
      <c r="B393" s="2189"/>
      <c r="C393" s="2189"/>
      <c r="D393" s="2189"/>
      <c r="E393" s="2159"/>
      <c r="F393" s="2159"/>
      <c r="G393" s="2159"/>
      <c r="H393" s="2190"/>
    </row>
    <row r="394" spans="1:10" ht="15" x14ac:dyDescent="0.25">
      <c r="A394" s="2136" t="s">
        <v>1804</v>
      </c>
      <c r="B394" s="2168"/>
      <c r="C394" s="2168"/>
      <c r="D394" s="2168"/>
      <c r="E394" s="2168"/>
      <c r="F394" s="2168"/>
      <c r="G394" s="2168"/>
      <c r="H394" s="2168"/>
    </row>
    <row r="395" spans="1:10" ht="15.75" thickBot="1" x14ac:dyDescent="0.3">
      <c r="A395" s="2136" t="s">
        <v>1805</v>
      </c>
      <c r="D395" s="2130"/>
      <c r="E395" s="2131"/>
      <c r="F395" s="2165"/>
      <c r="G395" s="2165"/>
      <c r="H395" s="2161" t="s">
        <v>179</v>
      </c>
    </row>
    <row r="396" spans="1:10" ht="25.5" thickTop="1" thickBot="1" x14ac:dyDescent="0.25">
      <c r="A396" s="2138" t="s">
        <v>180</v>
      </c>
      <c r="B396" s="2139" t="s">
        <v>847</v>
      </c>
      <c r="C396" s="2139" t="s">
        <v>414</v>
      </c>
      <c r="D396" s="2140" t="s">
        <v>182</v>
      </c>
      <c r="E396" s="2171" t="s">
        <v>700</v>
      </c>
      <c r="F396" s="2171" t="s">
        <v>701</v>
      </c>
      <c r="G396" s="2172" t="s">
        <v>986</v>
      </c>
      <c r="H396" s="2173" t="s">
        <v>987</v>
      </c>
    </row>
    <row r="397" spans="1:10" ht="14.25" thickTop="1" thickBot="1" x14ac:dyDescent="0.25">
      <c r="A397" s="1854">
        <v>1</v>
      </c>
      <c r="B397" s="1853">
        <v>2</v>
      </c>
      <c r="C397" s="1853">
        <v>3</v>
      </c>
      <c r="D397" s="1853">
        <v>4</v>
      </c>
      <c r="E397" s="2144">
        <v>5</v>
      </c>
      <c r="F397" s="2144">
        <v>6</v>
      </c>
      <c r="G397" s="2145">
        <v>7</v>
      </c>
      <c r="H397" s="2146" t="s">
        <v>61</v>
      </c>
    </row>
    <row r="398" spans="1:10" ht="16.5" thickTop="1" thickBot="1" x14ac:dyDescent="0.3">
      <c r="A398" s="2197">
        <v>3315</v>
      </c>
      <c r="B398" s="2162">
        <v>5169</v>
      </c>
      <c r="C398" s="2162"/>
      <c r="D398" s="2174" t="s">
        <v>955</v>
      </c>
      <c r="E398" s="2154">
        <v>318</v>
      </c>
      <c r="F398" s="2188">
        <v>318</v>
      </c>
      <c r="G398" s="2188">
        <v>0</v>
      </c>
      <c r="H398" s="2156">
        <f>G398/F398*100</f>
        <v>0</v>
      </c>
      <c r="J398" s="2193"/>
    </row>
    <row r="399" spans="1:10" ht="16.5" thickTop="1" thickBot="1" x14ac:dyDescent="0.3">
      <c r="A399" s="2175" t="s">
        <v>849</v>
      </c>
      <c r="B399" s="2176"/>
      <c r="C399" s="2176"/>
      <c r="D399" s="2177"/>
      <c r="E399" s="2152">
        <f>SUM(E398:E398)</f>
        <v>318</v>
      </c>
      <c r="F399" s="2155">
        <f>SUM(F398:F398)</f>
        <v>318</v>
      </c>
      <c r="G399" s="2155">
        <f>SUM(G398:G398)</f>
        <v>0</v>
      </c>
      <c r="H399" s="2157">
        <f>G399/F399*100</f>
        <v>0</v>
      </c>
    </row>
    <row r="400" spans="1:10" ht="15.75" thickTop="1" x14ac:dyDescent="0.25">
      <c r="A400" s="2189"/>
      <c r="B400" s="2189"/>
      <c r="C400" s="2189"/>
      <c r="D400" s="2189"/>
      <c r="E400" s="2159"/>
      <c r="F400" s="2159"/>
      <c r="G400" s="2159"/>
      <c r="H400" s="2190"/>
    </row>
    <row r="401" spans="1:8" ht="15" x14ac:dyDescent="0.25">
      <c r="A401" s="2136" t="s">
        <v>1567</v>
      </c>
      <c r="B401" s="2168"/>
      <c r="C401" s="2168"/>
      <c r="D401" s="2168"/>
      <c r="E401" s="2168"/>
      <c r="F401" s="2168"/>
      <c r="G401" s="2168"/>
      <c r="H401" s="2168"/>
    </row>
    <row r="402" spans="1:8" ht="15.75" thickBot="1" x14ac:dyDescent="0.3">
      <c r="A402" s="2136" t="s">
        <v>1566</v>
      </c>
      <c r="D402" s="2130"/>
      <c r="E402" s="2131"/>
      <c r="F402" s="2165"/>
      <c r="G402" s="2165"/>
      <c r="H402" s="2161" t="s">
        <v>179</v>
      </c>
    </row>
    <row r="403" spans="1:8" ht="25.5" thickTop="1" thickBot="1" x14ac:dyDescent="0.25">
      <c r="A403" s="2138" t="s">
        <v>180</v>
      </c>
      <c r="B403" s="2139" t="s">
        <v>847</v>
      </c>
      <c r="C403" s="2139" t="s">
        <v>414</v>
      </c>
      <c r="D403" s="2140" t="s">
        <v>182</v>
      </c>
      <c r="E403" s="2171" t="s">
        <v>700</v>
      </c>
      <c r="F403" s="2171" t="s">
        <v>701</v>
      </c>
      <c r="G403" s="2172" t="s">
        <v>986</v>
      </c>
      <c r="H403" s="2173" t="s">
        <v>987</v>
      </c>
    </row>
    <row r="404" spans="1:8" ht="14.25" thickTop="1" thickBot="1" x14ac:dyDescent="0.25">
      <c r="A404" s="1854">
        <v>1</v>
      </c>
      <c r="B404" s="1853">
        <v>2</v>
      </c>
      <c r="C404" s="1853">
        <v>3</v>
      </c>
      <c r="D404" s="1853">
        <v>4</v>
      </c>
      <c r="E404" s="2144">
        <v>5</v>
      </c>
      <c r="F404" s="2144">
        <v>6</v>
      </c>
      <c r="G404" s="2145">
        <v>7</v>
      </c>
      <c r="H404" s="2146" t="s">
        <v>61</v>
      </c>
    </row>
    <row r="405" spans="1:8" ht="16.5" thickTop="1" thickBot="1" x14ac:dyDescent="0.3">
      <c r="A405" s="2197">
        <v>2212</v>
      </c>
      <c r="B405" s="2162">
        <v>6121</v>
      </c>
      <c r="C405" s="2162"/>
      <c r="D405" s="2174" t="s">
        <v>671</v>
      </c>
      <c r="E405" s="2154">
        <v>0</v>
      </c>
      <c r="F405" s="2188">
        <v>63</v>
      </c>
      <c r="G405" s="2188">
        <v>63</v>
      </c>
      <c r="H405" s="2156">
        <f>G405/F405*100</f>
        <v>100</v>
      </c>
    </row>
    <row r="406" spans="1:8" ht="16.5" thickTop="1" thickBot="1" x14ac:dyDescent="0.3">
      <c r="A406" s="2175" t="s">
        <v>849</v>
      </c>
      <c r="B406" s="2176"/>
      <c r="C406" s="2176"/>
      <c r="D406" s="2177"/>
      <c r="E406" s="2152">
        <f>SUM(E405:E405)</f>
        <v>0</v>
      </c>
      <c r="F406" s="2155">
        <f>SUM(F405:F405)</f>
        <v>63</v>
      </c>
      <c r="G406" s="2155">
        <f>SUM(G405:G405)</f>
        <v>63</v>
      </c>
      <c r="H406" s="2157">
        <f>G406/F406*100</f>
        <v>100</v>
      </c>
    </row>
    <row r="407" spans="1:8" ht="15.75" thickTop="1" x14ac:dyDescent="0.25">
      <c r="A407" s="2189"/>
      <c r="B407" s="2189"/>
      <c r="C407" s="2189"/>
      <c r="D407" s="2189"/>
      <c r="E407" s="2159"/>
      <c r="F407" s="2159"/>
      <c r="G407" s="2159"/>
      <c r="H407" s="2190"/>
    </row>
    <row r="408" spans="1:8" ht="15" x14ac:dyDescent="0.25">
      <c r="A408" s="2136" t="s">
        <v>1806</v>
      </c>
      <c r="B408" s="2168"/>
      <c r="C408" s="2168"/>
      <c r="D408" s="2168"/>
      <c r="E408" s="2168"/>
      <c r="F408" s="2168"/>
      <c r="G408" s="2168"/>
      <c r="H408" s="2168"/>
    </row>
    <row r="409" spans="1:8" ht="15.75" thickBot="1" x14ac:dyDescent="0.3">
      <c r="A409" s="2136" t="s">
        <v>1807</v>
      </c>
      <c r="D409" s="2130"/>
      <c r="E409" s="2131"/>
      <c r="F409" s="2165"/>
      <c r="G409" s="2165"/>
      <c r="H409" s="2161" t="s">
        <v>179</v>
      </c>
    </row>
    <row r="410" spans="1:8" ht="25.5" thickTop="1" thickBot="1" x14ac:dyDescent="0.25">
      <c r="A410" s="2138" t="s">
        <v>180</v>
      </c>
      <c r="B410" s="2139" t="s">
        <v>847</v>
      </c>
      <c r="C410" s="2139" t="s">
        <v>414</v>
      </c>
      <c r="D410" s="2140" t="s">
        <v>182</v>
      </c>
      <c r="E410" s="2171" t="s">
        <v>700</v>
      </c>
      <c r="F410" s="2171" t="s">
        <v>701</v>
      </c>
      <c r="G410" s="2172" t="s">
        <v>986</v>
      </c>
      <c r="H410" s="2173" t="s">
        <v>987</v>
      </c>
    </row>
    <row r="411" spans="1:8" ht="14.25" thickTop="1" thickBot="1" x14ac:dyDescent="0.25">
      <c r="A411" s="1854">
        <v>1</v>
      </c>
      <c r="B411" s="1853">
        <v>2</v>
      </c>
      <c r="C411" s="1853">
        <v>3</v>
      </c>
      <c r="D411" s="1853">
        <v>4</v>
      </c>
      <c r="E411" s="2144">
        <v>5</v>
      </c>
      <c r="F411" s="2144">
        <v>6</v>
      </c>
      <c r="G411" s="2145">
        <v>7</v>
      </c>
      <c r="H411" s="2146" t="s">
        <v>61</v>
      </c>
    </row>
    <row r="412" spans="1:8" ht="15.75" thickTop="1" x14ac:dyDescent="0.25">
      <c r="A412" s="2194">
        <v>2212</v>
      </c>
      <c r="B412" s="2148">
        <v>5166</v>
      </c>
      <c r="C412" s="2200"/>
      <c r="D412" s="2174" t="s">
        <v>677</v>
      </c>
      <c r="E412" s="2154">
        <v>0</v>
      </c>
      <c r="F412" s="2154">
        <v>23</v>
      </c>
      <c r="G412" s="2154">
        <v>23</v>
      </c>
      <c r="H412" s="2156">
        <f>G412/F412*100</f>
        <v>100</v>
      </c>
    </row>
    <row r="413" spans="1:8" ht="15.75" thickBot="1" x14ac:dyDescent="0.3">
      <c r="A413" s="2197">
        <v>2212</v>
      </c>
      <c r="B413" s="2162">
        <v>6121</v>
      </c>
      <c r="C413" s="2162"/>
      <c r="D413" s="2174" t="s">
        <v>671</v>
      </c>
      <c r="E413" s="2154">
        <v>0</v>
      </c>
      <c r="F413" s="2188">
        <v>90</v>
      </c>
      <c r="G413" s="2188">
        <v>90</v>
      </c>
      <c r="H413" s="2156">
        <f>G413/F413*100</f>
        <v>100</v>
      </c>
    </row>
    <row r="414" spans="1:8" ht="16.5" thickTop="1" thickBot="1" x14ac:dyDescent="0.3">
      <c r="A414" s="2175" t="s">
        <v>849</v>
      </c>
      <c r="B414" s="2176"/>
      <c r="C414" s="2176"/>
      <c r="D414" s="2177"/>
      <c r="E414" s="2152">
        <f>SUM(E412:E413)</f>
        <v>0</v>
      </c>
      <c r="F414" s="2155">
        <f>SUM(F412:F413)</f>
        <v>113</v>
      </c>
      <c r="G414" s="2155">
        <f>SUM(G412:G413)</f>
        <v>113</v>
      </c>
      <c r="H414" s="2157">
        <f>G414/F414*100</f>
        <v>100</v>
      </c>
    </row>
    <row r="415" spans="1:8" ht="15.75" thickTop="1" x14ac:dyDescent="0.25">
      <c r="A415" s="2189"/>
      <c r="B415" s="2189"/>
      <c r="C415" s="2189"/>
      <c r="D415" s="2189"/>
      <c r="E415" s="2159"/>
      <c r="F415" s="2159"/>
      <c r="G415" s="2159"/>
      <c r="H415" s="2190"/>
    </row>
    <row r="416" spans="1:8" ht="15" x14ac:dyDescent="0.25">
      <c r="A416" s="2136" t="s">
        <v>1073</v>
      </c>
      <c r="B416" s="2168"/>
      <c r="C416" s="2168"/>
      <c r="D416" s="2168"/>
      <c r="E416" s="2168"/>
      <c r="F416" s="2168"/>
      <c r="G416" s="2168"/>
      <c r="H416" s="2168"/>
    </row>
    <row r="417" spans="1:8" ht="15.75" thickBot="1" x14ac:dyDescent="0.3">
      <c r="A417" s="2136" t="s">
        <v>1565</v>
      </c>
      <c r="D417" s="2130"/>
      <c r="E417" s="2131"/>
      <c r="F417" s="2165"/>
      <c r="G417" s="2165"/>
      <c r="H417" s="2161" t="s">
        <v>179</v>
      </c>
    </row>
    <row r="418" spans="1:8" ht="25.5" thickTop="1" thickBot="1" x14ac:dyDescent="0.25">
      <c r="A418" s="2138" t="s">
        <v>180</v>
      </c>
      <c r="B418" s="2139" t="s">
        <v>847</v>
      </c>
      <c r="C418" s="2139" t="s">
        <v>414</v>
      </c>
      <c r="D418" s="2140" t="s">
        <v>182</v>
      </c>
      <c r="E418" s="2171" t="s">
        <v>700</v>
      </c>
      <c r="F418" s="2171" t="s">
        <v>701</v>
      </c>
      <c r="G418" s="2172" t="s">
        <v>986</v>
      </c>
      <c r="H418" s="2173" t="s">
        <v>987</v>
      </c>
    </row>
    <row r="419" spans="1:8" ht="14.25" thickTop="1" thickBot="1" x14ac:dyDescent="0.25">
      <c r="A419" s="1854">
        <v>1</v>
      </c>
      <c r="B419" s="1853">
        <v>2</v>
      </c>
      <c r="C419" s="1853">
        <v>3</v>
      </c>
      <c r="D419" s="1853">
        <v>4</v>
      </c>
      <c r="E419" s="2144">
        <v>5</v>
      </c>
      <c r="F419" s="2144">
        <v>6</v>
      </c>
      <c r="G419" s="2145">
        <v>7</v>
      </c>
      <c r="H419" s="2146" t="s">
        <v>61</v>
      </c>
    </row>
    <row r="420" spans="1:8" ht="15.75" hidden="1" thickTop="1" x14ac:dyDescent="0.25">
      <c r="A420" s="2194">
        <v>2212</v>
      </c>
      <c r="B420" s="2148">
        <v>5166</v>
      </c>
      <c r="C420" s="2200"/>
      <c r="D420" s="2174" t="s">
        <v>677</v>
      </c>
      <c r="E420" s="2154">
        <v>0</v>
      </c>
      <c r="F420" s="2154">
        <v>0</v>
      </c>
      <c r="G420" s="2154">
        <v>0</v>
      </c>
      <c r="H420" s="2156" t="e">
        <f>G420/F420*100</f>
        <v>#DIV/0!</v>
      </c>
    </row>
    <row r="421" spans="1:8" ht="16.5" thickTop="1" thickBot="1" x14ac:dyDescent="0.3">
      <c r="A421" s="2197">
        <v>2212</v>
      </c>
      <c r="B421" s="2162">
        <v>6121</v>
      </c>
      <c r="C421" s="2162"/>
      <c r="D421" s="2174" t="s">
        <v>671</v>
      </c>
      <c r="E421" s="2154">
        <v>0</v>
      </c>
      <c r="F421" s="2188">
        <v>80</v>
      </c>
      <c r="G421" s="2188">
        <v>36</v>
      </c>
      <c r="H421" s="2156">
        <f>G421/F421*100</f>
        <v>45</v>
      </c>
    </row>
    <row r="422" spans="1:8" ht="16.5" thickTop="1" thickBot="1" x14ac:dyDescent="0.3">
      <c r="A422" s="2175" t="s">
        <v>849</v>
      </c>
      <c r="B422" s="2176"/>
      <c r="C422" s="2176"/>
      <c r="D422" s="2177"/>
      <c r="E422" s="2152">
        <f>SUM(E420:E421)</f>
        <v>0</v>
      </c>
      <c r="F422" s="2155">
        <f>SUM(F420:F421)</f>
        <v>80</v>
      </c>
      <c r="G422" s="2155">
        <f>SUM(G420:G421)</f>
        <v>36</v>
      </c>
      <c r="H422" s="2157">
        <f>G422/F422*100</f>
        <v>45</v>
      </c>
    </row>
    <row r="423" spans="1:8" ht="15.75" thickTop="1" x14ac:dyDescent="0.25">
      <c r="A423" s="2189"/>
      <c r="B423" s="2189"/>
      <c r="C423" s="2189"/>
      <c r="D423" s="2189"/>
      <c r="E423" s="2159"/>
      <c r="F423" s="2159"/>
      <c r="G423" s="2159"/>
      <c r="H423" s="2190"/>
    </row>
    <row r="424" spans="1:8" ht="15" x14ac:dyDescent="0.25">
      <c r="A424" s="2136" t="s">
        <v>1564</v>
      </c>
      <c r="B424" s="2168"/>
      <c r="C424" s="2168"/>
      <c r="D424" s="2168"/>
      <c r="E424" s="2168"/>
      <c r="F424" s="2168"/>
      <c r="G424" s="2168"/>
      <c r="H424" s="2168"/>
    </row>
    <row r="425" spans="1:8" ht="15.75" thickBot="1" x14ac:dyDescent="0.3">
      <c r="A425" s="2136" t="s">
        <v>1563</v>
      </c>
      <c r="D425" s="2130"/>
      <c r="E425" s="2131"/>
      <c r="F425" s="2165"/>
      <c r="G425" s="2165"/>
      <c r="H425" s="2161" t="s">
        <v>179</v>
      </c>
    </row>
    <row r="426" spans="1:8" ht="25.5" thickTop="1" thickBot="1" x14ac:dyDescent="0.25">
      <c r="A426" s="2138" t="s">
        <v>180</v>
      </c>
      <c r="B426" s="2139" t="s">
        <v>847</v>
      </c>
      <c r="C426" s="2139" t="s">
        <v>414</v>
      </c>
      <c r="D426" s="2140" t="s">
        <v>182</v>
      </c>
      <c r="E426" s="2171" t="s">
        <v>700</v>
      </c>
      <c r="F426" s="2171" t="s">
        <v>701</v>
      </c>
      <c r="G426" s="2172" t="s">
        <v>986</v>
      </c>
      <c r="H426" s="2173" t="s">
        <v>987</v>
      </c>
    </row>
    <row r="427" spans="1:8" ht="14.25" thickTop="1" thickBot="1" x14ac:dyDescent="0.25">
      <c r="A427" s="1854">
        <v>1</v>
      </c>
      <c r="B427" s="1853">
        <v>2</v>
      </c>
      <c r="C427" s="1853">
        <v>3</v>
      </c>
      <c r="D427" s="1853">
        <v>4</v>
      </c>
      <c r="E427" s="2144">
        <v>5</v>
      </c>
      <c r="F427" s="2144">
        <v>6</v>
      </c>
      <c r="G427" s="2145">
        <v>7</v>
      </c>
      <c r="H427" s="2146" t="s">
        <v>61</v>
      </c>
    </row>
    <row r="428" spans="1:8" ht="15.75" hidden="1" thickTop="1" x14ac:dyDescent="0.25">
      <c r="A428" s="2194">
        <v>2212</v>
      </c>
      <c r="B428" s="2148">
        <v>5166</v>
      </c>
      <c r="C428" s="2148"/>
      <c r="D428" s="2174" t="s">
        <v>677</v>
      </c>
      <c r="E428" s="2154">
        <v>0</v>
      </c>
      <c r="F428" s="2196">
        <v>0</v>
      </c>
      <c r="G428" s="2196">
        <v>0</v>
      </c>
      <c r="H428" s="2156" t="e">
        <f>G428/F428*100</f>
        <v>#DIV/0!</v>
      </c>
    </row>
    <row r="429" spans="1:8" ht="16.5" thickTop="1" thickBot="1" x14ac:dyDescent="0.3">
      <c r="A429" s="2197">
        <v>2212</v>
      </c>
      <c r="B429" s="2162">
        <v>6121</v>
      </c>
      <c r="C429" s="2162"/>
      <c r="D429" s="2174" t="s">
        <v>671</v>
      </c>
      <c r="E429" s="2154">
        <v>0</v>
      </c>
      <c r="F429" s="2188">
        <v>338</v>
      </c>
      <c r="G429" s="2188">
        <v>338</v>
      </c>
      <c r="H429" s="2156">
        <f>G429/F429*100</f>
        <v>100</v>
      </c>
    </row>
    <row r="430" spans="1:8" ht="16.5" thickTop="1" thickBot="1" x14ac:dyDescent="0.3">
      <c r="A430" s="2175" t="s">
        <v>849</v>
      </c>
      <c r="B430" s="2176"/>
      <c r="C430" s="2176"/>
      <c r="D430" s="2177"/>
      <c r="E430" s="2152">
        <f>SUM(E428:E429)</f>
        <v>0</v>
      </c>
      <c r="F430" s="2155">
        <f>SUM(F428:F429)</f>
        <v>338</v>
      </c>
      <c r="G430" s="2155">
        <f>SUM(G428:G429)</f>
        <v>338</v>
      </c>
      <c r="H430" s="2157">
        <f>G430/F430*100</f>
        <v>100</v>
      </c>
    </row>
    <row r="431" spans="1:8" ht="15.75" thickTop="1" x14ac:dyDescent="0.25">
      <c r="A431" s="2189"/>
      <c r="B431" s="2189"/>
      <c r="C431" s="2189"/>
      <c r="D431" s="2189"/>
      <c r="E431" s="2159"/>
      <c r="F431" s="2159"/>
      <c r="G431" s="2159"/>
      <c r="H431" s="2190"/>
    </row>
    <row r="432" spans="1:8" ht="15" x14ac:dyDescent="0.25">
      <c r="A432" s="2136" t="s">
        <v>1808</v>
      </c>
      <c r="B432" s="2168"/>
      <c r="C432" s="2168"/>
      <c r="D432" s="2168"/>
      <c r="E432" s="2168"/>
      <c r="F432" s="2168"/>
      <c r="G432" s="2168"/>
      <c r="H432" s="2168"/>
    </row>
    <row r="433" spans="1:8" ht="15.75" thickBot="1" x14ac:dyDescent="0.3">
      <c r="A433" s="2136" t="s">
        <v>1809</v>
      </c>
      <c r="D433" s="2130"/>
      <c r="E433" s="2131"/>
      <c r="F433" s="2165"/>
      <c r="G433" s="2165"/>
      <c r="H433" s="2161" t="s">
        <v>179</v>
      </c>
    </row>
    <row r="434" spans="1:8" ht="25.5" thickTop="1" thickBot="1" x14ac:dyDescent="0.25">
      <c r="A434" s="2138" t="s">
        <v>180</v>
      </c>
      <c r="B434" s="2139" t="s">
        <v>847</v>
      </c>
      <c r="C434" s="2139" t="s">
        <v>414</v>
      </c>
      <c r="D434" s="2140" t="s">
        <v>182</v>
      </c>
      <c r="E434" s="2171" t="s">
        <v>700</v>
      </c>
      <c r="F434" s="2171" t="s">
        <v>701</v>
      </c>
      <c r="G434" s="2172" t="s">
        <v>986</v>
      </c>
      <c r="H434" s="2173" t="s">
        <v>987</v>
      </c>
    </row>
    <row r="435" spans="1:8" ht="14.25" thickTop="1" thickBot="1" x14ac:dyDescent="0.25">
      <c r="A435" s="1854">
        <v>1</v>
      </c>
      <c r="B435" s="1853">
        <v>2</v>
      </c>
      <c r="C435" s="1853">
        <v>3</v>
      </c>
      <c r="D435" s="1853">
        <v>4</v>
      </c>
      <c r="E435" s="2144">
        <v>5</v>
      </c>
      <c r="F435" s="2144">
        <v>6</v>
      </c>
      <c r="G435" s="2145">
        <v>7</v>
      </c>
      <c r="H435" s="2146" t="s">
        <v>61</v>
      </c>
    </row>
    <row r="436" spans="1:8" ht="15.75" thickTop="1" x14ac:dyDescent="0.25">
      <c r="A436" s="2194">
        <v>2212</v>
      </c>
      <c r="B436" s="2148">
        <v>5166</v>
      </c>
      <c r="C436" s="2200"/>
      <c r="D436" s="2174" t="s">
        <v>677</v>
      </c>
      <c r="E436" s="2154">
        <v>0</v>
      </c>
      <c r="F436" s="2154">
        <v>23</v>
      </c>
      <c r="G436" s="2154">
        <v>23</v>
      </c>
      <c r="H436" s="2156">
        <f>G436/F436*100</f>
        <v>100</v>
      </c>
    </row>
    <row r="437" spans="1:8" ht="15.75" thickBot="1" x14ac:dyDescent="0.3">
      <c r="A437" s="2197">
        <v>2212</v>
      </c>
      <c r="B437" s="2162">
        <v>6121</v>
      </c>
      <c r="C437" s="2162"/>
      <c r="D437" s="2174" t="s">
        <v>671</v>
      </c>
      <c r="E437" s="2154">
        <v>0</v>
      </c>
      <c r="F437" s="2188">
        <v>198</v>
      </c>
      <c r="G437" s="2188">
        <v>155</v>
      </c>
      <c r="H437" s="2156">
        <f>G437/F437*100</f>
        <v>78.282828282828291</v>
      </c>
    </row>
    <row r="438" spans="1:8" ht="16.5" thickTop="1" thickBot="1" x14ac:dyDescent="0.3">
      <c r="A438" s="2175" t="s">
        <v>849</v>
      </c>
      <c r="B438" s="2176"/>
      <c r="C438" s="2176"/>
      <c r="D438" s="2177"/>
      <c r="E438" s="2152">
        <f>SUM(E436:E437)</f>
        <v>0</v>
      </c>
      <c r="F438" s="2155">
        <f>SUM(F436:F437)</f>
        <v>221</v>
      </c>
      <c r="G438" s="2155">
        <f>SUM(G436:G437)</f>
        <v>178</v>
      </c>
      <c r="H438" s="2157">
        <f>G438/F438*100</f>
        <v>80.542986425339365</v>
      </c>
    </row>
    <row r="439" spans="1:8" ht="15.75" thickTop="1" x14ac:dyDescent="0.25">
      <c r="A439" s="2189"/>
      <c r="B439" s="2189"/>
      <c r="C439" s="2189"/>
      <c r="D439" s="2189"/>
      <c r="E439" s="2159"/>
      <c r="F439" s="2159"/>
      <c r="G439" s="2159"/>
      <c r="H439" s="2190"/>
    </row>
    <row r="440" spans="1:8" ht="15" x14ac:dyDescent="0.25">
      <c r="A440" s="2136" t="s">
        <v>1810</v>
      </c>
      <c r="B440" s="2168"/>
      <c r="C440" s="2168"/>
      <c r="D440" s="2168"/>
      <c r="E440" s="2168"/>
      <c r="F440" s="2168"/>
      <c r="G440" s="2168"/>
      <c r="H440" s="2168"/>
    </row>
    <row r="441" spans="1:8" ht="15.75" thickBot="1" x14ac:dyDescent="0.3">
      <c r="A441" s="2136" t="s">
        <v>1811</v>
      </c>
      <c r="D441" s="2130"/>
      <c r="E441" s="2131"/>
      <c r="F441" s="2165"/>
      <c r="G441" s="2165"/>
      <c r="H441" s="2161" t="s">
        <v>179</v>
      </c>
    </row>
    <row r="442" spans="1:8" ht="25.5" thickTop="1" thickBot="1" x14ac:dyDescent="0.25">
      <c r="A442" s="2138" t="s">
        <v>180</v>
      </c>
      <c r="B442" s="2139" t="s">
        <v>847</v>
      </c>
      <c r="C442" s="2139" t="s">
        <v>414</v>
      </c>
      <c r="D442" s="2140" t="s">
        <v>182</v>
      </c>
      <c r="E442" s="2171" t="s">
        <v>700</v>
      </c>
      <c r="F442" s="2171" t="s">
        <v>701</v>
      </c>
      <c r="G442" s="2172" t="s">
        <v>986</v>
      </c>
      <c r="H442" s="2173" t="s">
        <v>987</v>
      </c>
    </row>
    <row r="443" spans="1:8" ht="14.25" thickTop="1" thickBot="1" x14ac:dyDescent="0.25">
      <c r="A443" s="1854">
        <v>1</v>
      </c>
      <c r="B443" s="1853">
        <v>2</v>
      </c>
      <c r="C443" s="1853">
        <v>3</v>
      </c>
      <c r="D443" s="1853">
        <v>4</v>
      </c>
      <c r="E443" s="2144">
        <v>5</v>
      </c>
      <c r="F443" s="2144">
        <v>6</v>
      </c>
      <c r="G443" s="2145">
        <v>7</v>
      </c>
      <c r="H443" s="2146" t="s">
        <v>61</v>
      </c>
    </row>
    <row r="444" spans="1:8" ht="15.75" hidden="1" thickTop="1" x14ac:dyDescent="0.25">
      <c r="A444" s="2194">
        <v>2212</v>
      </c>
      <c r="B444" s="2148">
        <v>5166</v>
      </c>
      <c r="C444" s="2200"/>
      <c r="D444" s="2174" t="s">
        <v>677</v>
      </c>
      <c r="E444" s="2154">
        <v>0</v>
      </c>
      <c r="F444" s="2154">
        <v>0</v>
      </c>
      <c r="G444" s="2154">
        <v>0</v>
      </c>
      <c r="H444" s="2156" t="e">
        <f>G444/F444*100</f>
        <v>#DIV/0!</v>
      </c>
    </row>
    <row r="445" spans="1:8" ht="16.5" thickTop="1" thickBot="1" x14ac:dyDescent="0.3">
      <c r="A445" s="2197">
        <v>2212</v>
      </c>
      <c r="B445" s="2162">
        <v>6121</v>
      </c>
      <c r="C445" s="2162"/>
      <c r="D445" s="2174" t="s">
        <v>671</v>
      </c>
      <c r="E445" s="2154">
        <v>0</v>
      </c>
      <c r="F445" s="2188">
        <v>136</v>
      </c>
      <c r="G445" s="2188">
        <v>98</v>
      </c>
      <c r="H445" s="2156">
        <f>G445/F445*100</f>
        <v>72.058823529411768</v>
      </c>
    </row>
    <row r="446" spans="1:8" ht="16.5" thickTop="1" thickBot="1" x14ac:dyDescent="0.3">
      <c r="A446" s="2175" t="s">
        <v>849</v>
      </c>
      <c r="B446" s="2176"/>
      <c r="C446" s="2176"/>
      <c r="D446" s="2177"/>
      <c r="E446" s="2152">
        <f>SUM(E444:E445)</f>
        <v>0</v>
      </c>
      <c r="F446" s="2155">
        <f>SUM(F444:F445)</f>
        <v>136</v>
      </c>
      <c r="G446" s="2155">
        <f>SUM(G444:G445)</f>
        <v>98</v>
      </c>
      <c r="H446" s="2157">
        <f>G446/F446*100</f>
        <v>72.058823529411768</v>
      </c>
    </row>
    <row r="447" spans="1:8" ht="15.75" thickTop="1" x14ac:dyDescent="0.25">
      <c r="A447" s="2189"/>
      <c r="B447" s="2189"/>
      <c r="C447" s="2189"/>
      <c r="D447" s="2189"/>
      <c r="E447" s="2159"/>
      <c r="F447" s="2159"/>
      <c r="G447" s="2159"/>
      <c r="H447" s="2190"/>
    </row>
    <row r="448" spans="1:8" ht="15" x14ac:dyDescent="0.25">
      <c r="A448" s="2136" t="s">
        <v>1812</v>
      </c>
      <c r="B448" s="2168"/>
      <c r="C448" s="2168"/>
      <c r="D448" s="2168"/>
      <c r="E448" s="2168"/>
      <c r="F448" s="2168"/>
      <c r="G448" s="2168"/>
      <c r="H448" s="2168"/>
    </row>
    <row r="449" spans="1:8" ht="15.75" thickBot="1" x14ac:dyDescent="0.3">
      <c r="A449" s="2136" t="s">
        <v>1813</v>
      </c>
      <c r="D449" s="2130"/>
      <c r="E449" s="2131"/>
      <c r="F449" s="2165"/>
      <c r="G449" s="2165"/>
      <c r="H449" s="2161" t="s">
        <v>179</v>
      </c>
    </row>
    <row r="450" spans="1:8" ht="25.5" thickTop="1" thickBot="1" x14ac:dyDescent="0.25">
      <c r="A450" s="2138" t="s">
        <v>180</v>
      </c>
      <c r="B450" s="2139" t="s">
        <v>847</v>
      </c>
      <c r="C450" s="2139" t="s">
        <v>414</v>
      </c>
      <c r="D450" s="2140" t="s">
        <v>182</v>
      </c>
      <c r="E450" s="2171" t="s">
        <v>700</v>
      </c>
      <c r="F450" s="2171" t="s">
        <v>701</v>
      </c>
      <c r="G450" s="2172" t="s">
        <v>986</v>
      </c>
      <c r="H450" s="2173" t="s">
        <v>987</v>
      </c>
    </row>
    <row r="451" spans="1:8" ht="14.25" thickTop="1" thickBot="1" x14ac:dyDescent="0.25">
      <c r="A451" s="1854">
        <v>1</v>
      </c>
      <c r="B451" s="1853">
        <v>2</v>
      </c>
      <c r="C451" s="1853">
        <v>3</v>
      </c>
      <c r="D451" s="1853">
        <v>4</v>
      </c>
      <c r="E451" s="2144">
        <v>5</v>
      </c>
      <c r="F451" s="2144">
        <v>6</v>
      </c>
      <c r="G451" s="2145">
        <v>7</v>
      </c>
      <c r="H451" s="2146" t="s">
        <v>61</v>
      </c>
    </row>
    <row r="452" spans="1:8" ht="16.5" thickTop="1" thickBot="1" x14ac:dyDescent="0.3">
      <c r="A452" s="2187">
        <v>2212</v>
      </c>
      <c r="B452" s="2149">
        <v>6121</v>
      </c>
      <c r="C452" s="2149"/>
      <c r="D452" s="2201" t="s">
        <v>671</v>
      </c>
      <c r="E452" s="2154">
        <v>0</v>
      </c>
      <c r="F452" s="2196">
        <v>89</v>
      </c>
      <c r="G452" s="2195">
        <v>89</v>
      </c>
      <c r="H452" s="2156">
        <f>G452/F452*100</f>
        <v>100</v>
      </c>
    </row>
    <row r="453" spans="1:8" ht="15.75" hidden="1" thickBot="1" x14ac:dyDescent="0.3">
      <c r="A453" s="2197">
        <v>3533</v>
      </c>
      <c r="B453" s="2162">
        <v>6121</v>
      </c>
      <c r="C453" s="2162"/>
      <c r="D453" s="2174" t="s">
        <v>671</v>
      </c>
      <c r="E453" s="2154">
        <v>0</v>
      </c>
      <c r="F453" s="2188">
        <v>0</v>
      </c>
      <c r="G453" s="2188">
        <v>0</v>
      </c>
      <c r="H453" s="2156" t="e">
        <f>G453/F453*100</f>
        <v>#DIV/0!</v>
      </c>
    </row>
    <row r="454" spans="1:8" ht="16.5" thickTop="1" thickBot="1" x14ac:dyDescent="0.3">
      <c r="A454" s="2175" t="s">
        <v>849</v>
      </c>
      <c r="B454" s="2176"/>
      <c r="C454" s="2176"/>
      <c r="D454" s="2177"/>
      <c r="E454" s="2152">
        <f>SUM(E453:E453)</f>
        <v>0</v>
      </c>
      <c r="F454" s="2152">
        <f>SUM(F452:F453)</f>
        <v>89</v>
      </c>
      <c r="G454" s="2152">
        <f>SUM(G452:G453)</f>
        <v>89</v>
      </c>
      <c r="H454" s="2157">
        <f>G454/F454*100</f>
        <v>100</v>
      </c>
    </row>
    <row r="455" spans="1:8" ht="15.75" thickTop="1" x14ac:dyDescent="0.25">
      <c r="A455" s="2189"/>
      <c r="B455" s="2189"/>
      <c r="C455" s="2189"/>
      <c r="D455" s="2189"/>
      <c r="E455" s="2159"/>
      <c r="F455" s="2159"/>
      <c r="G455" s="2159"/>
      <c r="H455" s="2190"/>
    </row>
    <row r="456" spans="1:8" ht="15" x14ac:dyDescent="0.25">
      <c r="A456" s="2136" t="s">
        <v>1931</v>
      </c>
      <c r="B456" s="2168"/>
      <c r="C456" s="2168"/>
      <c r="D456" s="2168"/>
      <c r="E456" s="2168"/>
      <c r="F456" s="2168"/>
      <c r="G456" s="2168"/>
      <c r="H456" s="2168"/>
    </row>
    <row r="457" spans="1:8" ht="15.75" thickBot="1" x14ac:dyDescent="0.3">
      <c r="A457" s="2136" t="s">
        <v>1203</v>
      </c>
      <c r="D457" s="2130"/>
      <c r="E457" s="2131"/>
      <c r="F457" s="2165"/>
      <c r="G457" s="2165"/>
      <c r="H457" s="2161" t="s">
        <v>179</v>
      </c>
    </row>
    <row r="458" spans="1:8" ht="25.5" thickTop="1" thickBot="1" x14ac:dyDescent="0.25">
      <c r="A458" s="2138" t="s">
        <v>180</v>
      </c>
      <c r="B458" s="2139" t="s">
        <v>847</v>
      </c>
      <c r="C458" s="2139" t="s">
        <v>414</v>
      </c>
      <c r="D458" s="2140" t="s">
        <v>182</v>
      </c>
      <c r="E458" s="2171" t="s">
        <v>700</v>
      </c>
      <c r="F458" s="2171" t="s">
        <v>701</v>
      </c>
      <c r="G458" s="2172" t="s">
        <v>986</v>
      </c>
      <c r="H458" s="2173" t="s">
        <v>987</v>
      </c>
    </row>
    <row r="459" spans="1:8" ht="14.25" thickTop="1" thickBot="1" x14ac:dyDescent="0.25">
      <c r="A459" s="1854">
        <v>1</v>
      </c>
      <c r="B459" s="1853">
        <v>2</v>
      </c>
      <c r="C459" s="1853">
        <v>3</v>
      </c>
      <c r="D459" s="1853">
        <v>4</v>
      </c>
      <c r="E459" s="2144">
        <v>5</v>
      </c>
      <c r="F459" s="2144">
        <v>6</v>
      </c>
      <c r="G459" s="2145">
        <v>7</v>
      </c>
      <c r="H459" s="2146" t="s">
        <v>61</v>
      </c>
    </row>
    <row r="460" spans="1:8" ht="16.5" thickTop="1" thickBot="1" x14ac:dyDescent="0.3">
      <c r="A460" s="2187">
        <v>3523</v>
      </c>
      <c r="B460" s="2149">
        <v>6121</v>
      </c>
      <c r="C460" s="2149"/>
      <c r="D460" s="2174" t="s">
        <v>671</v>
      </c>
      <c r="E460" s="2154">
        <v>0</v>
      </c>
      <c r="F460" s="2188">
        <v>80</v>
      </c>
      <c r="G460" s="2188">
        <v>10</v>
      </c>
      <c r="H460" s="2156">
        <f>G460/F460*100</f>
        <v>12.5</v>
      </c>
    </row>
    <row r="461" spans="1:8" ht="16.5" thickTop="1" thickBot="1" x14ac:dyDescent="0.3">
      <c r="A461" s="2175" t="s">
        <v>849</v>
      </c>
      <c r="B461" s="2176"/>
      <c r="C461" s="2176"/>
      <c r="D461" s="2177"/>
      <c r="E461" s="2152">
        <f>SUM(E460:E460)</f>
        <v>0</v>
      </c>
      <c r="F461" s="2155">
        <f>SUM(F460:F460)</f>
        <v>80</v>
      </c>
      <c r="G461" s="2155">
        <f>SUM(G460:G460)</f>
        <v>10</v>
      </c>
      <c r="H461" s="2157">
        <f>G461/F461*100</f>
        <v>12.5</v>
      </c>
    </row>
    <row r="462" spans="1:8" ht="15.75" thickTop="1" x14ac:dyDescent="0.25">
      <c r="A462" s="2189"/>
      <c r="B462" s="2189"/>
      <c r="C462" s="2189"/>
      <c r="D462" s="2189"/>
      <c r="E462" s="2159"/>
      <c r="F462" s="2159"/>
      <c r="G462" s="2159"/>
      <c r="H462" s="2190"/>
    </row>
    <row r="463" spans="1:8" ht="15" hidden="1" x14ac:dyDescent="0.25">
      <c r="A463" s="2136" t="s">
        <v>598</v>
      </c>
      <c r="B463" s="2168"/>
      <c r="C463" s="2168"/>
      <c r="D463" s="2168"/>
      <c r="E463" s="2168"/>
      <c r="F463" s="2168"/>
      <c r="G463" s="2168"/>
      <c r="H463" s="2168"/>
    </row>
    <row r="464" spans="1:8" ht="15" hidden="1" x14ac:dyDescent="0.25">
      <c r="A464" s="2136" t="s">
        <v>599</v>
      </c>
      <c r="D464" s="2130"/>
      <c r="E464" s="2131"/>
      <c r="F464" s="2165"/>
      <c r="G464" s="2165"/>
      <c r="H464" s="2131" t="s">
        <v>179</v>
      </c>
    </row>
    <row r="465" spans="1:8" ht="25.5" hidden="1" thickTop="1" thickBot="1" x14ac:dyDescent="0.25">
      <c r="A465" s="2138" t="s">
        <v>180</v>
      </c>
      <c r="B465" s="2139" t="s">
        <v>847</v>
      </c>
      <c r="C465" s="2139" t="s">
        <v>414</v>
      </c>
      <c r="D465" s="2140" t="s">
        <v>182</v>
      </c>
      <c r="E465" s="2171" t="s">
        <v>700</v>
      </c>
      <c r="F465" s="2171" t="s">
        <v>701</v>
      </c>
      <c r="G465" s="2172" t="s">
        <v>986</v>
      </c>
      <c r="H465" s="2173" t="s">
        <v>987</v>
      </c>
    </row>
    <row r="466" spans="1:8" ht="14.25" hidden="1" thickTop="1" thickBot="1" x14ac:dyDescent="0.25">
      <c r="A466" s="1854">
        <v>1</v>
      </c>
      <c r="B466" s="1853">
        <v>2</v>
      </c>
      <c r="C466" s="1853">
        <v>3</v>
      </c>
      <c r="D466" s="1853">
        <v>4</v>
      </c>
      <c r="E466" s="2144">
        <v>5</v>
      </c>
      <c r="F466" s="2144">
        <v>6</v>
      </c>
      <c r="G466" s="2145">
        <v>7</v>
      </c>
      <c r="H466" s="2191" t="s">
        <v>61</v>
      </c>
    </row>
    <row r="467" spans="1:8" ht="16.5" hidden="1" thickTop="1" thickBot="1" x14ac:dyDescent="0.3">
      <c r="A467" s="2187">
        <v>3523</v>
      </c>
      <c r="B467" s="2149">
        <v>6121</v>
      </c>
      <c r="C467" s="2149"/>
      <c r="D467" s="2174" t="s">
        <v>671</v>
      </c>
      <c r="E467" s="2154">
        <v>0</v>
      </c>
      <c r="F467" s="2188">
        <v>0</v>
      </c>
      <c r="G467" s="2188">
        <v>0</v>
      </c>
      <c r="H467" s="2192" t="e">
        <f>G467/F467*100</f>
        <v>#DIV/0!</v>
      </c>
    </row>
    <row r="468" spans="1:8" ht="16.5" hidden="1" thickTop="1" thickBot="1" x14ac:dyDescent="0.3">
      <c r="A468" s="2175" t="s">
        <v>849</v>
      </c>
      <c r="B468" s="2176"/>
      <c r="C468" s="2176"/>
      <c r="D468" s="2177"/>
      <c r="E468" s="2152">
        <f>SUM(E467:E467)</f>
        <v>0</v>
      </c>
      <c r="F468" s="2155">
        <f>SUM(F467:F467)</f>
        <v>0</v>
      </c>
      <c r="G468" s="2155">
        <f>SUM(G467:G467)</f>
        <v>0</v>
      </c>
      <c r="H468" s="2157" t="e">
        <f>G468/F468*100</f>
        <v>#DIV/0!</v>
      </c>
    </row>
    <row r="469" spans="1:8" ht="15" hidden="1" x14ac:dyDescent="0.25">
      <c r="A469" s="2189"/>
      <c r="B469" s="2189"/>
      <c r="C469" s="2189"/>
      <c r="D469" s="2189"/>
      <c r="E469" s="2159"/>
      <c r="F469" s="2159"/>
      <c r="G469" s="2159"/>
      <c r="H469" s="2190"/>
    </row>
    <row r="470" spans="1:8" ht="15" x14ac:dyDescent="0.25">
      <c r="A470" s="2136" t="s">
        <v>600</v>
      </c>
      <c r="B470" s="2168"/>
      <c r="C470" s="2168"/>
      <c r="D470" s="2168"/>
      <c r="E470" s="2168"/>
      <c r="F470" s="2168"/>
      <c r="G470" s="2168"/>
      <c r="H470" s="2168"/>
    </row>
    <row r="471" spans="1:8" ht="15.75" thickBot="1" x14ac:dyDescent="0.3">
      <c r="A471" s="2136" t="s">
        <v>601</v>
      </c>
      <c r="D471" s="2130"/>
      <c r="E471" s="2131"/>
      <c r="F471" s="2165"/>
      <c r="G471" s="2165"/>
      <c r="H471" s="2161" t="s">
        <v>179</v>
      </c>
    </row>
    <row r="472" spans="1:8" ht="25.5" thickTop="1" thickBot="1" x14ac:dyDescent="0.25">
      <c r="A472" s="2138" t="s">
        <v>180</v>
      </c>
      <c r="B472" s="2139" t="s">
        <v>847</v>
      </c>
      <c r="C472" s="2139" t="s">
        <v>414</v>
      </c>
      <c r="D472" s="2140" t="s">
        <v>182</v>
      </c>
      <c r="E472" s="2171" t="s">
        <v>700</v>
      </c>
      <c r="F472" s="2171" t="s">
        <v>701</v>
      </c>
      <c r="G472" s="2172" t="s">
        <v>986</v>
      </c>
      <c r="H472" s="2173" t="s">
        <v>987</v>
      </c>
    </row>
    <row r="473" spans="1:8" ht="14.25" thickTop="1" thickBot="1" x14ac:dyDescent="0.25">
      <c r="A473" s="1854">
        <v>1</v>
      </c>
      <c r="B473" s="1853">
        <v>2</v>
      </c>
      <c r="C473" s="1853">
        <v>3</v>
      </c>
      <c r="D473" s="1853">
        <v>4</v>
      </c>
      <c r="E473" s="2144">
        <v>5</v>
      </c>
      <c r="F473" s="2144">
        <v>6</v>
      </c>
      <c r="G473" s="2145">
        <v>7</v>
      </c>
      <c r="H473" s="2146" t="s">
        <v>61</v>
      </c>
    </row>
    <row r="474" spans="1:8" ht="16.5" thickTop="1" thickBot="1" x14ac:dyDescent="0.3">
      <c r="A474" s="2187">
        <v>3522</v>
      </c>
      <c r="B474" s="2149">
        <v>6121</v>
      </c>
      <c r="C474" s="2149"/>
      <c r="D474" s="2174" t="s">
        <v>671</v>
      </c>
      <c r="E474" s="2154">
        <v>0</v>
      </c>
      <c r="F474" s="2188">
        <v>18</v>
      </c>
      <c r="G474" s="2188">
        <v>18</v>
      </c>
      <c r="H474" s="2156">
        <f>G474/F474*100</f>
        <v>100</v>
      </c>
    </row>
    <row r="475" spans="1:8" ht="16.5" thickTop="1" thickBot="1" x14ac:dyDescent="0.3">
      <c r="A475" s="2175" t="s">
        <v>849</v>
      </c>
      <c r="B475" s="2176"/>
      <c r="C475" s="2176"/>
      <c r="D475" s="2177"/>
      <c r="E475" s="2152">
        <f>SUM(E474:E474)</f>
        <v>0</v>
      </c>
      <c r="F475" s="2155">
        <f>SUM(F474:F474)</f>
        <v>18</v>
      </c>
      <c r="G475" s="2155">
        <f>SUM(G474:G474)</f>
        <v>18</v>
      </c>
      <c r="H475" s="2157">
        <f>G475/F475*100</f>
        <v>100</v>
      </c>
    </row>
    <row r="476" spans="1:8" ht="15.75" thickTop="1" x14ac:dyDescent="0.25">
      <c r="A476" s="2189"/>
      <c r="B476" s="2189"/>
      <c r="C476" s="2189"/>
      <c r="D476" s="2189"/>
      <c r="E476" s="2159"/>
      <c r="F476" s="2159"/>
      <c r="G476" s="2159"/>
      <c r="H476" s="2190"/>
    </row>
    <row r="477" spans="1:8" ht="15" x14ac:dyDescent="0.25">
      <c r="A477" s="2136" t="s">
        <v>1827</v>
      </c>
      <c r="B477" s="2168"/>
      <c r="C477" s="2168"/>
      <c r="D477" s="2168"/>
      <c r="E477" s="2168"/>
      <c r="F477" s="2168"/>
      <c r="G477" s="2168"/>
      <c r="H477" s="2168"/>
    </row>
    <row r="478" spans="1:8" ht="15.75" thickBot="1" x14ac:dyDescent="0.3">
      <c r="A478" s="2136" t="s">
        <v>602</v>
      </c>
      <c r="D478" s="2130"/>
      <c r="E478" s="2131"/>
      <c r="F478" s="2165"/>
      <c r="G478" s="2165"/>
      <c r="H478" s="2161" t="s">
        <v>179</v>
      </c>
    </row>
    <row r="479" spans="1:8" ht="25.5" thickTop="1" thickBot="1" x14ac:dyDescent="0.25">
      <c r="A479" s="2138" t="s">
        <v>180</v>
      </c>
      <c r="B479" s="2139" t="s">
        <v>847</v>
      </c>
      <c r="C479" s="2139" t="s">
        <v>414</v>
      </c>
      <c r="D479" s="2140" t="s">
        <v>182</v>
      </c>
      <c r="E479" s="2171" t="s">
        <v>700</v>
      </c>
      <c r="F479" s="2171" t="s">
        <v>701</v>
      </c>
      <c r="G479" s="2172" t="s">
        <v>986</v>
      </c>
      <c r="H479" s="2173" t="s">
        <v>987</v>
      </c>
    </row>
    <row r="480" spans="1:8" ht="14.25" thickTop="1" thickBot="1" x14ac:dyDescent="0.25">
      <c r="A480" s="1854">
        <v>1</v>
      </c>
      <c r="B480" s="1853">
        <v>2</v>
      </c>
      <c r="C480" s="1853">
        <v>3</v>
      </c>
      <c r="D480" s="1853">
        <v>4</v>
      </c>
      <c r="E480" s="2144">
        <v>5</v>
      </c>
      <c r="F480" s="2144">
        <v>6</v>
      </c>
      <c r="G480" s="2145">
        <v>7</v>
      </c>
      <c r="H480" s="2146" t="s">
        <v>61</v>
      </c>
    </row>
    <row r="481" spans="1:8" ht="16.5" thickTop="1" thickBot="1" x14ac:dyDescent="0.3">
      <c r="A481" s="2187">
        <v>3522</v>
      </c>
      <c r="B481" s="2149">
        <v>6121</v>
      </c>
      <c r="C481" s="2149"/>
      <c r="D481" s="2174" t="s">
        <v>671</v>
      </c>
      <c r="E481" s="2154">
        <v>0</v>
      </c>
      <c r="F481" s="2188">
        <v>617</v>
      </c>
      <c r="G481" s="2188">
        <v>537</v>
      </c>
      <c r="H481" s="2156">
        <f>G481/F481*100</f>
        <v>87.03403565640194</v>
      </c>
    </row>
    <row r="482" spans="1:8" ht="16.5" thickTop="1" thickBot="1" x14ac:dyDescent="0.3">
      <c r="A482" s="2175" t="s">
        <v>849</v>
      </c>
      <c r="B482" s="2176"/>
      <c r="C482" s="2176"/>
      <c r="D482" s="2177"/>
      <c r="E482" s="2152">
        <f>SUM(E481:E481)</f>
        <v>0</v>
      </c>
      <c r="F482" s="2155">
        <f>SUM(F481:F481)</f>
        <v>617</v>
      </c>
      <c r="G482" s="2155">
        <f>SUM(G481:G481)</f>
        <v>537</v>
      </c>
      <c r="H482" s="2157">
        <f>G482/F482*100</f>
        <v>87.03403565640194</v>
      </c>
    </row>
    <row r="483" spans="1:8" ht="15.75" thickTop="1" x14ac:dyDescent="0.25">
      <c r="A483" s="2136" t="s">
        <v>1560</v>
      </c>
      <c r="B483" s="2168"/>
      <c r="C483" s="2168"/>
      <c r="D483" s="2168"/>
      <c r="E483" s="2168"/>
      <c r="F483" s="2168"/>
      <c r="G483" s="2168"/>
      <c r="H483" s="2168"/>
    </row>
    <row r="484" spans="1:8" ht="15.75" thickBot="1" x14ac:dyDescent="0.3">
      <c r="A484" s="2136" t="s">
        <v>1559</v>
      </c>
      <c r="D484" s="2130"/>
      <c r="E484" s="2131"/>
      <c r="F484" s="2165"/>
      <c r="G484" s="2165"/>
      <c r="H484" s="2161" t="s">
        <v>179</v>
      </c>
    </row>
    <row r="485" spans="1:8" ht="25.5" thickTop="1" thickBot="1" x14ac:dyDescent="0.25">
      <c r="A485" s="2138" t="s">
        <v>180</v>
      </c>
      <c r="B485" s="2139" t="s">
        <v>847</v>
      </c>
      <c r="C485" s="2139" t="s">
        <v>414</v>
      </c>
      <c r="D485" s="2140" t="s">
        <v>182</v>
      </c>
      <c r="E485" s="2171" t="s">
        <v>700</v>
      </c>
      <c r="F485" s="2171" t="s">
        <v>701</v>
      </c>
      <c r="G485" s="2172" t="s">
        <v>986</v>
      </c>
      <c r="H485" s="2173" t="s">
        <v>987</v>
      </c>
    </row>
    <row r="486" spans="1:8" ht="14.25" thickTop="1" thickBot="1" x14ac:dyDescent="0.25">
      <c r="A486" s="1854">
        <v>1</v>
      </c>
      <c r="B486" s="1853">
        <v>2</v>
      </c>
      <c r="C486" s="1853">
        <v>3</v>
      </c>
      <c r="D486" s="1853">
        <v>4</v>
      </c>
      <c r="E486" s="2144">
        <v>5</v>
      </c>
      <c r="F486" s="2144">
        <v>6</v>
      </c>
      <c r="G486" s="2145">
        <v>7</v>
      </c>
      <c r="H486" s="2146" t="s">
        <v>61</v>
      </c>
    </row>
    <row r="487" spans="1:8" ht="16.5" thickTop="1" thickBot="1" x14ac:dyDescent="0.3">
      <c r="A487" s="2187">
        <v>3522</v>
      </c>
      <c r="B487" s="2149">
        <v>6121</v>
      </c>
      <c r="C487" s="2149"/>
      <c r="D487" s="2174" t="s">
        <v>671</v>
      </c>
      <c r="E487" s="2154">
        <v>0</v>
      </c>
      <c r="F487" s="2188">
        <v>209</v>
      </c>
      <c r="G487" s="2188">
        <v>10</v>
      </c>
      <c r="H487" s="2156">
        <f>G487/F487*100</f>
        <v>4.7846889952153111</v>
      </c>
    </row>
    <row r="488" spans="1:8" ht="16.5" thickTop="1" thickBot="1" x14ac:dyDescent="0.3">
      <c r="A488" s="2175" t="s">
        <v>849</v>
      </c>
      <c r="B488" s="2176"/>
      <c r="C488" s="2176"/>
      <c r="D488" s="2177"/>
      <c r="E488" s="2152">
        <f>SUM(E487:E487)</f>
        <v>0</v>
      </c>
      <c r="F488" s="2155">
        <f>SUM(F487:F487)</f>
        <v>209</v>
      </c>
      <c r="G488" s="2155">
        <f>SUM(G487:G487)</f>
        <v>10</v>
      </c>
      <c r="H488" s="2157">
        <f>G488/F488*100</f>
        <v>4.7846889952153111</v>
      </c>
    </row>
    <row r="489" spans="1:8" ht="15.75" thickTop="1" x14ac:dyDescent="0.25">
      <c r="A489" s="2189"/>
      <c r="B489" s="2189"/>
      <c r="C489" s="2189"/>
      <c r="D489" s="2189"/>
      <c r="E489" s="2159"/>
      <c r="F489" s="2159"/>
      <c r="G489" s="2159"/>
      <c r="H489" s="2190"/>
    </row>
    <row r="490" spans="1:8" ht="15" x14ac:dyDescent="0.25">
      <c r="A490" s="2136" t="s">
        <v>1558</v>
      </c>
      <c r="B490" s="2168"/>
      <c r="C490" s="2168"/>
      <c r="D490" s="2168"/>
      <c r="E490" s="2168"/>
      <c r="F490" s="2168"/>
      <c r="G490" s="2168"/>
      <c r="H490" s="2168"/>
    </row>
    <row r="491" spans="1:8" ht="15.75" thickBot="1" x14ac:dyDescent="0.3">
      <c r="A491" s="2136" t="s">
        <v>1557</v>
      </c>
      <c r="D491" s="2130"/>
      <c r="E491" s="2131"/>
      <c r="F491" s="2165"/>
      <c r="G491" s="2165"/>
      <c r="H491" s="2161" t="s">
        <v>179</v>
      </c>
    </row>
    <row r="492" spans="1:8" ht="25.5" thickTop="1" thickBot="1" x14ac:dyDescent="0.25">
      <c r="A492" s="2138" t="s">
        <v>180</v>
      </c>
      <c r="B492" s="2139" t="s">
        <v>847</v>
      </c>
      <c r="C492" s="2139" t="s">
        <v>414</v>
      </c>
      <c r="D492" s="2140" t="s">
        <v>182</v>
      </c>
      <c r="E492" s="2171" t="s">
        <v>700</v>
      </c>
      <c r="F492" s="2171" t="s">
        <v>701</v>
      </c>
      <c r="G492" s="2172" t="s">
        <v>986</v>
      </c>
      <c r="H492" s="2173" t="s">
        <v>987</v>
      </c>
    </row>
    <row r="493" spans="1:8" ht="14.25" thickTop="1" thickBot="1" x14ac:dyDescent="0.25">
      <c r="A493" s="1854">
        <v>1</v>
      </c>
      <c r="B493" s="1853">
        <v>2</v>
      </c>
      <c r="C493" s="1853">
        <v>3</v>
      </c>
      <c r="D493" s="1853">
        <v>4</v>
      </c>
      <c r="E493" s="2144">
        <v>5</v>
      </c>
      <c r="F493" s="2144">
        <v>6</v>
      </c>
      <c r="G493" s="2145">
        <v>7</v>
      </c>
      <c r="H493" s="2146" t="s">
        <v>61</v>
      </c>
    </row>
    <row r="494" spans="1:8" ht="15.75" hidden="1" thickTop="1" x14ac:dyDescent="0.25">
      <c r="A494" s="2194">
        <v>2143</v>
      </c>
      <c r="B494" s="2148">
        <v>5166</v>
      </c>
      <c r="C494" s="2200"/>
      <c r="D494" s="2174" t="s">
        <v>677</v>
      </c>
      <c r="E494" s="2154">
        <v>0</v>
      </c>
      <c r="F494" s="2154">
        <v>0</v>
      </c>
      <c r="G494" s="2154">
        <v>0</v>
      </c>
      <c r="H494" s="2156" t="e">
        <f>G494/F494*100</f>
        <v>#DIV/0!</v>
      </c>
    </row>
    <row r="495" spans="1:8" ht="16.5" thickTop="1" thickBot="1" x14ac:dyDescent="0.3">
      <c r="A495" s="2197">
        <v>3522</v>
      </c>
      <c r="B495" s="2162">
        <v>6121</v>
      </c>
      <c r="C495" s="2162"/>
      <c r="D495" s="2174" t="s">
        <v>671</v>
      </c>
      <c r="E495" s="2154">
        <v>0</v>
      </c>
      <c r="F495" s="2188">
        <v>37</v>
      </c>
      <c r="G495" s="2188">
        <v>37</v>
      </c>
      <c r="H495" s="2156">
        <f>G495/F495*100</f>
        <v>100</v>
      </c>
    </row>
    <row r="496" spans="1:8" ht="16.5" thickTop="1" thickBot="1" x14ac:dyDescent="0.3">
      <c r="A496" s="2175" t="s">
        <v>849</v>
      </c>
      <c r="B496" s="2176"/>
      <c r="C496" s="2176"/>
      <c r="D496" s="2177"/>
      <c r="E496" s="2152">
        <f>SUM(E494:E495)</f>
        <v>0</v>
      </c>
      <c r="F496" s="2155">
        <f>SUM(F494:F495)</f>
        <v>37</v>
      </c>
      <c r="G496" s="2155">
        <f>SUM(G494:G495)</f>
        <v>37</v>
      </c>
      <c r="H496" s="2157">
        <f>G496/F496*100</f>
        <v>100</v>
      </c>
    </row>
    <row r="497" spans="1:8" ht="15.75" thickTop="1" x14ac:dyDescent="0.25">
      <c r="A497" s="2189"/>
      <c r="B497" s="2189"/>
      <c r="C497" s="2189"/>
      <c r="D497" s="2189"/>
      <c r="E497" s="2159"/>
      <c r="F497" s="2159"/>
      <c r="G497" s="2159"/>
      <c r="H497" s="2190"/>
    </row>
    <row r="498" spans="1:8" ht="15" x14ac:dyDescent="0.25">
      <c r="A498" s="2136" t="s">
        <v>1556</v>
      </c>
      <c r="B498" s="2168"/>
      <c r="C498" s="2168"/>
      <c r="D498" s="2168"/>
      <c r="E498" s="2168"/>
      <c r="F498" s="2168"/>
      <c r="G498" s="2168"/>
      <c r="H498" s="2168"/>
    </row>
    <row r="499" spans="1:8" ht="15.75" thickBot="1" x14ac:dyDescent="0.3">
      <c r="A499" s="2136" t="s">
        <v>1555</v>
      </c>
      <c r="D499" s="2130"/>
      <c r="E499" s="2131"/>
      <c r="F499" s="2165"/>
      <c r="G499" s="2165"/>
      <c r="H499" s="2161" t="s">
        <v>179</v>
      </c>
    </row>
    <row r="500" spans="1:8" ht="25.5" thickTop="1" thickBot="1" x14ac:dyDescent="0.25">
      <c r="A500" s="2138" t="s">
        <v>180</v>
      </c>
      <c r="B500" s="2139" t="s">
        <v>847</v>
      </c>
      <c r="C500" s="2139" t="s">
        <v>414</v>
      </c>
      <c r="D500" s="2140" t="s">
        <v>182</v>
      </c>
      <c r="E500" s="2171" t="s">
        <v>700</v>
      </c>
      <c r="F500" s="2171" t="s">
        <v>701</v>
      </c>
      <c r="G500" s="2172" t="s">
        <v>986</v>
      </c>
      <c r="H500" s="2173" t="s">
        <v>987</v>
      </c>
    </row>
    <row r="501" spans="1:8" ht="14.25" thickTop="1" thickBot="1" x14ac:dyDescent="0.25">
      <c r="A501" s="1854">
        <v>1</v>
      </c>
      <c r="B501" s="1853">
        <v>2</v>
      </c>
      <c r="C501" s="1853">
        <v>3</v>
      </c>
      <c r="D501" s="1853">
        <v>4</v>
      </c>
      <c r="E501" s="2144">
        <v>5</v>
      </c>
      <c r="F501" s="2144">
        <v>6</v>
      </c>
      <c r="G501" s="2145">
        <v>7</v>
      </c>
      <c r="H501" s="2146" t="s">
        <v>61</v>
      </c>
    </row>
    <row r="502" spans="1:8" ht="16.5" thickTop="1" thickBot="1" x14ac:dyDescent="0.3">
      <c r="A502" s="2187">
        <v>3522</v>
      </c>
      <c r="B502" s="2149">
        <v>6121</v>
      </c>
      <c r="C502" s="2149"/>
      <c r="D502" s="2174" t="s">
        <v>671</v>
      </c>
      <c r="E502" s="2154">
        <v>0</v>
      </c>
      <c r="F502" s="2188">
        <v>227</v>
      </c>
      <c r="G502" s="2188">
        <v>27</v>
      </c>
      <c r="H502" s="2156">
        <f>G502/F502*100</f>
        <v>11.894273127753303</v>
      </c>
    </row>
    <row r="503" spans="1:8" ht="16.5" thickTop="1" thickBot="1" x14ac:dyDescent="0.3">
      <c r="A503" s="2175" t="s">
        <v>849</v>
      </c>
      <c r="B503" s="2176"/>
      <c r="C503" s="2176"/>
      <c r="D503" s="2177"/>
      <c r="E503" s="2152">
        <f>SUM(E502:E502)</f>
        <v>0</v>
      </c>
      <c r="F503" s="2155">
        <f>SUM(F502:F502)</f>
        <v>227</v>
      </c>
      <c r="G503" s="2155">
        <f>SUM(G502:G502)</f>
        <v>27</v>
      </c>
      <c r="H503" s="2157">
        <f>G503/F503*100</f>
        <v>11.894273127753303</v>
      </c>
    </row>
    <row r="504" spans="1:8" ht="15.75" thickTop="1" x14ac:dyDescent="0.25">
      <c r="A504" s="2189"/>
      <c r="B504" s="2189"/>
      <c r="C504" s="2189"/>
      <c r="D504" s="2189"/>
      <c r="E504" s="2159"/>
      <c r="F504" s="2159"/>
      <c r="G504" s="2159"/>
      <c r="H504" s="2190"/>
    </row>
    <row r="505" spans="1:8" ht="15" hidden="1" x14ac:dyDescent="0.25">
      <c r="A505" s="2136" t="s">
        <v>1554</v>
      </c>
      <c r="B505" s="2168"/>
      <c r="C505" s="2168"/>
      <c r="D505" s="2168"/>
      <c r="E505" s="2168"/>
      <c r="F505" s="2168"/>
      <c r="G505" s="2168"/>
      <c r="H505" s="2168"/>
    </row>
    <row r="506" spans="1:8" ht="15" hidden="1" x14ac:dyDescent="0.25">
      <c r="A506" s="2136" t="s">
        <v>1553</v>
      </c>
      <c r="D506" s="2130"/>
      <c r="E506" s="2131"/>
      <c r="F506" s="2165"/>
      <c r="G506" s="2165"/>
      <c r="H506" s="2131" t="s">
        <v>179</v>
      </c>
    </row>
    <row r="507" spans="1:8" ht="25.5" hidden="1" thickTop="1" thickBot="1" x14ac:dyDescent="0.25">
      <c r="A507" s="2138" t="s">
        <v>180</v>
      </c>
      <c r="B507" s="2139" t="s">
        <v>847</v>
      </c>
      <c r="C507" s="2139" t="s">
        <v>414</v>
      </c>
      <c r="D507" s="2140" t="s">
        <v>182</v>
      </c>
      <c r="E507" s="2171" t="s">
        <v>700</v>
      </c>
      <c r="F507" s="2171" t="s">
        <v>701</v>
      </c>
      <c r="G507" s="2172" t="s">
        <v>986</v>
      </c>
      <c r="H507" s="2173" t="s">
        <v>987</v>
      </c>
    </row>
    <row r="508" spans="1:8" ht="14.25" hidden="1" thickTop="1" thickBot="1" x14ac:dyDescent="0.25">
      <c r="A508" s="1854">
        <v>1</v>
      </c>
      <c r="B508" s="1853">
        <v>2</v>
      </c>
      <c r="C508" s="1853">
        <v>3</v>
      </c>
      <c r="D508" s="1853">
        <v>4</v>
      </c>
      <c r="E508" s="2144">
        <v>5</v>
      </c>
      <c r="F508" s="2144">
        <v>6</v>
      </c>
      <c r="G508" s="2145">
        <v>7</v>
      </c>
      <c r="H508" s="2191" t="s">
        <v>61</v>
      </c>
    </row>
    <row r="509" spans="1:8" ht="15.75" hidden="1" thickTop="1" x14ac:dyDescent="0.25">
      <c r="A509" s="2194">
        <v>5273</v>
      </c>
      <c r="B509" s="2148">
        <v>5166</v>
      </c>
      <c r="C509" s="2200"/>
      <c r="D509" s="2174" t="s">
        <v>677</v>
      </c>
      <c r="E509" s="2154">
        <v>0</v>
      </c>
      <c r="F509" s="2154">
        <v>0</v>
      </c>
      <c r="G509" s="2154">
        <v>0</v>
      </c>
      <c r="H509" s="2192" t="e">
        <f>G509/F509*100</f>
        <v>#DIV/0!</v>
      </c>
    </row>
    <row r="510" spans="1:8" ht="15.75" hidden="1" thickBot="1" x14ac:dyDescent="0.3">
      <c r="A510" s="2197">
        <v>3522</v>
      </c>
      <c r="B510" s="2162">
        <v>6121</v>
      </c>
      <c r="C510" s="2162"/>
      <c r="D510" s="2174" t="s">
        <v>671</v>
      </c>
      <c r="E510" s="2154">
        <v>0</v>
      </c>
      <c r="F510" s="2188">
        <v>0</v>
      </c>
      <c r="G510" s="2188">
        <v>0</v>
      </c>
      <c r="H510" s="2192" t="e">
        <f>G510/F510*100</f>
        <v>#DIV/0!</v>
      </c>
    </row>
    <row r="511" spans="1:8" ht="16.5" hidden="1" thickTop="1" thickBot="1" x14ac:dyDescent="0.3">
      <c r="A511" s="2175" t="s">
        <v>849</v>
      </c>
      <c r="B511" s="2176"/>
      <c r="C511" s="2176"/>
      <c r="D511" s="2177"/>
      <c r="E511" s="2152">
        <f>SUM(E509:E510)</f>
        <v>0</v>
      </c>
      <c r="F511" s="2155">
        <f>SUM(F509:F510)</f>
        <v>0</v>
      </c>
      <c r="G511" s="2155">
        <f>SUM(G509:G510)</f>
        <v>0</v>
      </c>
      <c r="H511" s="2157" t="e">
        <f>G511/F511*100</f>
        <v>#DIV/0!</v>
      </c>
    </row>
    <row r="512" spans="1:8" ht="15" hidden="1" x14ac:dyDescent="0.25">
      <c r="A512" s="2189"/>
      <c r="B512" s="2189"/>
      <c r="C512" s="2189"/>
      <c r="D512" s="2189"/>
      <c r="E512" s="2159"/>
      <c r="F512" s="2159"/>
      <c r="G512" s="2159"/>
      <c r="H512" s="2190"/>
    </row>
    <row r="513" spans="1:8" ht="15" hidden="1" x14ac:dyDescent="0.25">
      <c r="A513" s="2136" t="s">
        <v>1552</v>
      </c>
      <c r="B513" s="2168"/>
      <c r="C513" s="2168"/>
      <c r="D513" s="2168"/>
      <c r="E513" s="2168"/>
      <c r="F513" s="2168"/>
      <c r="G513" s="2168"/>
      <c r="H513" s="2168"/>
    </row>
    <row r="514" spans="1:8" ht="15" hidden="1" x14ac:dyDescent="0.25">
      <c r="A514" s="2136" t="s">
        <v>1551</v>
      </c>
      <c r="D514" s="2130"/>
      <c r="E514" s="2131"/>
      <c r="F514" s="2165"/>
      <c r="G514" s="2165"/>
      <c r="H514" s="2131" t="s">
        <v>179</v>
      </c>
    </row>
    <row r="515" spans="1:8" ht="25.5" hidden="1" thickTop="1" thickBot="1" x14ac:dyDescent="0.25">
      <c r="A515" s="2138" t="s">
        <v>180</v>
      </c>
      <c r="B515" s="2139" t="s">
        <v>847</v>
      </c>
      <c r="C515" s="2139" t="s">
        <v>414</v>
      </c>
      <c r="D515" s="2140" t="s">
        <v>182</v>
      </c>
      <c r="E515" s="2171" t="s">
        <v>700</v>
      </c>
      <c r="F515" s="2171" t="s">
        <v>701</v>
      </c>
      <c r="G515" s="2172" t="s">
        <v>986</v>
      </c>
      <c r="H515" s="2173" t="s">
        <v>987</v>
      </c>
    </row>
    <row r="516" spans="1:8" ht="14.25" hidden="1" thickTop="1" thickBot="1" x14ac:dyDescent="0.25">
      <c r="A516" s="1854">
        <v>1</v>
      </c>
      <c r="B516" s="1853">
        <v>2</v>
      </c>
      <c r="C516" s="1853">
        <v>3</v>
      </c>
      <c r="D516" s="1853">
        <v>4</v>
      </c>
      <c r="E516" s="2144">
        <v>5</v>
      </c>
      <c r="F516" s="2144">
        <v>6</v>
      </c>
      <c r="G516" s="2145">
        <v>7</v>
      </c>
      <c r="H516" s="2191" t="s">
        <v>61</v>
      </c>
    </row>
    <row r="517" spans="1:8" ht="16.5" hidden="1" thickTop="1" thickBot="1" x14ac:dyDescent="0.3">
      <c r="A517" s="2187">
        <v>3529</v>
      </c>
      <c r="B517" s="2149">
        <v>6121</v>
      </c>
      <c r="C517" s="2149"/>
      <c r="D517" s="2174" t="s">
        <v>671</v>
      </c>
      <c r="E517" s="2154">
        <v>0</v>
      </c>
      <c r="F517" s="2188">
        <v>0</v>
      </c>
      <c r="G517" s="2188">
        <v>0</v>
      </c>
      <c r="H517" s="2192" t="e">
        <f>G517/F517*100</f>
        <v>#DIV/0!</v>
      </c>
    </row>
    <row r="518" spans="1:8" ht="16.5" hidden="1" thickTop="1" thickBot="1" x14ac:dyDescent="0.3">
      <c r="A518" s="2175" t="s">
        <v>849</v>
      </c>
      <c r="B518" s="2176"/>
      <c r="C518" s="2176"/>
      <c r="D518" s="2177"/>
      <c r="E518" s="2152">
        <f>SUM(E517:E517)</f>
        <v>0</v>
      </c>
      <c r="F518" s="2155">
        <f>SUM(F517:F517)</f>
        <v>0</v>
      </c>
      <c r="G518" s="2155">
        <f>SUM(G517:G517)</f>
        <v>0</v>
      </c>
      <c r="H518" s="2157" t="e">
        <f>G518/F518*100</f>
        <v>#DIV/0!</v>
      </c>
    </row>
    <row r="519" spans="1:8" ht="15" hidden="1" x14ac:dyDescent="0.25">
      <c r="A519" s="2189"/>
      <c r="B519" s="2189"/>
      <c r="C519" s="2189"/>
      <c r="D519" s="2189"/>
      <c r="E519" s="2159"/>
      <c r="F519" s="2159"/>
      <c r="G519" s="2159"/>
      <c r="H519" s="2190"/>
    </row>
    <row r="520" spans="1:8" ht="15" x14ac:dyDescent="0.25">
      <c r="A520" s="2136" t="s">
        <v>1550</v>
      </c>
      <c r="B520" s="2168"/>
      <c r="C520" s="2168"/>
      <c r="D520" s="2168"/>
      <c r="E520" s="2168"/>
      <c r="F520" s="2168"/>
      <c r="G520" s="2168"/>
      <c r="H520" s="2168"/>
    </row>
    <row r="521" spans="1:8" ht="15.75" thickBot="1" x14ac:dyDescent="0.3">
      <c r="A521" s="2136" t="s">
        <v>1549</v>
      </c>
      <c r="D521" s="2130"/>
      <c r="E521" s="2131"/>
      <c r="F521" s="2165"/>
      <c r="G521" s="2165"/>
      <c r="H521" s="2161" t="s">
        <v>179</v>
      </c>
    </row>
    <row r="522" spans="1:8" ht="25.5" thickTop="1" thickBot="1" x14ac:dyDescent="0.25">
      <c r="A522" s="2138" t="s">
        <v>180</v>
      </c>
      <c r="B522" s="2139" t="s">
        <v>847</v>
      </c>
      <c r="C522" s="2139" t="s">
        <v>414</v>
      </c>
      <c r="D522" s="2140" t="s">
        <v>182</v>
      </c>
      <c r="E522" s="2171" t="s">
        <v>700</v>
      </c>
      <c r="F522" s="2171" t="s">
        <v>701</v>
      </c>
      <c r="G522" s="2172" t="s">
        <v>986</v>
      </c>
      <c r="H522" s="2173" t="s">
        <v>987</v>
      </c>
    </row>
    <row r="523" spans="1:8" ht="14.25" thickTop="1" thickBot="1" x14ac:dyDescent="0.25">
      <c r="A523" s="1854">
        <v>1</v>
      </c>
      <c r="B523" s="1853">
        <v>2</v>
      </c>
      <c r="C523" s="1853">
        <v>3</v>
      </c>
      <c r="D523" s="1853">
        <v>4</v>
      </c>
      <c r="E523" s="2144">
        <v>5</v>
      </c>
      <c r="F523" s="2144">
        <v>6</v>
      </c>
      <c r="G523" s="2145">
        <v>7</v>
      </c>
      <c r="H523" s="2146" t="s">
        <v>61</v>
      </c>
    </row>
    <row r="524" spans="1:8" ht="16.5" thickTop="1" thickBot="1" x14ac:dyDescent="0.3">
      <c r="A524" s="2187">
        <v>3522</v>
      </c>
      <c r="B524" s="2149">
        <v>6121</v>
      </c>
      <c r="C524" s="2149"/>
      <c r="D524" s="2174" t="s">
        <v>671</v>
      </c>
      <c r="E524" s="2154">
        <v>0</v>
      </c>
      <c r="F524" s="2188">
        <v>1648</v>
      </c>
      <c r="G524" s="2188">
        <v>1298</v>
      </c>
      <c r="H524" s="2156">
        <f>G524/F524*100</f>
        <v>78.762135922330103</v>
      </c>
    </row>
    <row r="525" spans="1:8" ht="16.5" thickTop="1" thickBot="1" x14ac:dyDescent="0.3">
      <c r="A525" s="2175" t="s">
        <v>849</v>
      </c>
      <c r="B525" s="2176"/>
      <c r="C525" s="2176"/>
      <c r="D525" s="2177"/>
      <c r="E525" s="2152">
        <f>SUM(E524:E524)</f>
        <v>0</v>
      </c>
      <c r="F525" s="2155">
        <f>SUM(F524:F524)</f>
        <v>1648</v>
      </c>
      <c r="G525" s="2155">
        <f>SUM(G524:G524)</f>
        <v>1298</v>
      </c>
      <c r="H525" s="2157">
        <f>G525/F525*100</f>
        <v>78.762135922330103</v>
      </c>
    </row>
    <row r="526" spans="1:8" ht="15.75" thickTop="1" x14ac:dyDescent="0.25">
      <c r="A526" s="2189"/>
      <c r="B526" s="2189"/>
      <c r="C526" s="2189"/>
      <c r="D526" s="2189"/>
      <c r="E526" s="2159"/>
      <c r="F526" s="2159"/>
      <c r="G526" s="2159"/>
      <c r="H526" s="2190"/>
    </row>
    <row r="527" spans="1:8" ht="15" x14ac:dyDescent="0.25">
      <c r="A527" s="2136" t="s">
        <v>1814</v>
      </c>
      <c r="B527" s="2168"/>
      <c r="C527" s="2168"/>
      <c r="D527" s="2168"/>
      <c r="E527" s="2168"/>
      <c r="F527" s="2168"/>
      <c r="G527" s="2168"/>
      <c r="H527" s="2168"/>
    </row>
    <row r="528" spans="1:8" ht="15.75" thickBot="1" x14ac:dyDescent="0.3">
      <c r="A528" s="2136" t="s">
        <v>1815</v>
      </c>
      <c r="D528" s="2130"/>
      <c r="E528" s="2131"/>
      <c r="F528" s="2165"/>
      <c r="G528" s="2165"/>
      <c r="H528" s="2161" t="s">
        <v>179</v>
      </c>
    </row>
    <row r="529" spans="1:8" ht="25.5" thickTop="1" thickBot="1" x14ac:dyDescent="0.25">
      <c r="A529" s="2138" t="s">
        <v>180</v>
      </c>
      <c r="B529" s="2139" t="s">
        <v>847</v>
      </c>
      <c r="C529" s="2139" t="s">
        <v>414</v>
      </c>
      <c r="D529" s="2140" t="s">
        <v>182</v>
      </c>
      <c r="E529" s="2171" t="s">
        <v>700</v>
      </c>
      <c r="F529" s="2171" t="s">
        <v>701</v>
      </c>
      <c r="G529" s="2172" t="s">
        <v>986</v>
      </c>
      <c r="H529" s="2173" t="s">
        <v>987</v>
      </c>
    </row>
    <row r="530" spans="1:8" ht="14.25" thickTop="1" thickBot="1" x14ac:dyDescent="0.25">
      <c r="A530" s="1854">
        <v>1</v>
      </c>
      <c r="B530" s="1853">
        <v>2</v>
      </c>
      <c r="C530" s="1853">
        <v>3</v>
      </c>
      <c r="D530" s="1853">
        <v>4</v>
      </c>
      <c r="E530" s="2144">
        <v>5</v>
      </c>
      <c r="F530" s="2144">
        <v>6</v>
      </c>
      <c r="G530" s="2145">
        <v>7</v>
      </c>
      <c r="H530" s="2146" t="s">
        <v>61</v>
      </c>
    </row>
    <row r="531" spans="1:8" ht="16.5" thickTop="1" thickBot="1" x14ac:dyDescent="0.3">
      <c r="A531" s="2187">
        <v>2143</v>
      </c>
      <c r="B531" s="2149">
        <v>5166</v>
      </c>
      <c r="C531" s="2149"/>
      <c r="D531" s="2174" t="s">
        <v>677</v>
      </c>
      <c r="E531" s="2154">
        <v>0</v>
      </c>
      <c r="F531" s="2188">
        <v>100</v>
      </c>
      <c r="G531" s="2188">
        <v>80</v>
      </c>
      <c r="H531" s="2156">
        <f>G531/F531*100</f>
        <v>80</v>
      </c>
    </row>
    <row r="532" spans="1:8" ht="16.5" thickTop="1" thickBot="1" x14ac:dyDescent="0.3">
      <c r="A532" s="2175" t="s">
        <v>849</v>
      </c>
      <c r="B532" s="2176"/>
      <c r="C532" s="2176"/>
      <c r="D532" s="2177"/>
      <c r="E532" s="2152">
        <f>SUM(E531:E531)</f>
        <v>0</v>
      </c>
      <c r="F532" s="2155">
        <f>SUM(F531:F531)</f>
        <v>100</v>
      </c>
      <c r="G532" s="2155">
        <f>SUM(G531:G531)</f>
        <v>80</v>
      </c>
      <c r="H532" s="2157">
        <f>G532/F532*100</f>
        <v>80</v>
      </c>
    </row>
    <row r="533" spans="1:8" ht="15.75" thickTop="1" x14ac:dyDescent="0.25">
      <c r="A533" s="2189"/>
      <c r="B533" s="2189"/>
      <c r="C533" s="2189"/>
      <c r="D533" s="2189"/>
      <c r="E533" s="2159"/>
      <c r="F533" s="2159"/>
      <c r="G533" s="2159"/>
      <c r="H533" s="2190"/>
    </row>
    <row r="534" spans="1:8" ht="15" x14ac:dyDescent="0.25">
      <c r="A534" s="2136" t="s">
        <v>1816</v>
      </c>
      <c r="B534" s="2168"/>
      <c r="C534" s="2168"/>
      <c r="D534" s="2168"/>
      <c r="E534" s="2168"/>
      <c r="F534" s="2168"/>
      <c r="G534" s="2168"/>
      <c r="H534" s="2168"/>
    </row>
    <row r="535" spans="1:8" ht="15.75" thickBot="1" x14ac:dyDescent="0.3">
      <c r="A535" s="2136" t="s">
        <v>1817</v>
      </c>
      <c r="D535" s="2130"/>
      <c r="E535" s="2131"/>
      <c r="F535" s="2165"/>
      <c r="G535" s="2165"/>
      <c r="H535" s="2131" t="s">
        <v>179</v>
      </c>
    </row>
    <row r="536" spans="1:8" ht="25.5" thickTop="1" thickBot="1" x14ac:dyDescent="0.25">
      <c r="A536" s="2138" t="s">
        <v>180</v>
      </c>
      <c r="B536" s="2139" t="s">
        <v>847</v>
      </c>
      <c r="C536" s="2139" t="s">
        <v>414</v>
      </c>
      <c r="D536" s="2140" t="s">
        <v>182</v>
      </c>
      <c r="E536" s="2171" t="s">
        <v>700</v>
      </c>
      <c r="F536" s="2171" t="s">
        <v>701</v>
      </c>
      <c r="G536" s="2172" t="s">
        <v>986</v>
      </c>
      <c r="H536" s="2173" t="s">
        <v>987</v>
      </c>
    </row>
    <row r="537" spans="1:8" ht="14.25" thickTop="1" thickBot="1" x14ac:dyDescent="0.25">
      <c r="A537" s="1854">
        <v>1</v>
      </c>
      <c r="B537" s="1853">
        <v>2</v>
      </c>
      <c r="C537" s="1853">
        <v>3</v>
      </c>
      <c r="D537" s="1853">
        <v>4</v>
      </c>
      <c r="E537" s="2144">
        <v>5</v>
      </c>
      <c r="F537" s="2144">
        <v>6</v>
      </c>
      <c r="G537" s="2145">
        <v>7</v>
      </c>
      <c r="H537" s="2146" t="s">
        <v>61</v>
      </c>
    </row>
    <row r="538" spans="1:8" ht="15.75" hidden="1" thickTop="1" x14ac:dyDescent="0.25">
      <c r="A538" s="2194">
        <v>6172</v>
      </c>
      <c r="B538" s="2148">
        <v>5166</v>
      </c>
      <c r="C538" s="2200"/>
      <c r="D538" s="2174" t="s">
        <v>677</v>
      </c>
      <c r="E538" s="2154">
        <v>0</v>
      </c>
      <c r="F538" s="2154">
        <v>0</v>
      </c>
      <c r="G538" s="2154">
        <v>0</v>
      </c>
      <c r="H538" s="2156" t="e">
        <f>G538/F538*100</f>
        <v>#DIV/0!</v>
      </c>
    </row>
    <row r="539" spans="1:8" ht="15.75" hidden="1" thickTop="1" x14ac:dyDescent="0.25">
      <c r="A539" s="2194">
        <v>6172</v>
      </c>
      <c r="B539" s="2148">
        <v>5169</v>
      </c>
      <c r="C539" s="2202"/>
      <c r="D539" s="2174" t="s">
        <v>955</v>
      </c>
      <c r="E539" s="2154">
        <v>0</v>
      </c>
      <c r="F539" s="2154">
        <v>0</v>
      </c>
      <c r="G539" s="2154">
        <v>0</v>
      </c>
      <c r="H539" s="2156"/>
    </row>
    <row r="540" spans="1:8" ht="16.5" thickTop="1" thickBot="1" x14ac:dyDescent="0.3">
      <c r="A540" s="2197">
        <v>6172</v>
      </c>
      <c r="B540" s="2162">
        <v>5166</v>
      </c>
      <c r="C540" s="2162"/>
      <c r="D540" s="2174" t="s">
        <v>677</v>
      </c>
      <c r="E540" s="2154">
        <v>0</v>
      </c>
      <c r="F540" s="2188">
        <v>432</v>
      </c>
      <c r="G540" s="2188">
        <v>432</v>
      </c>
      <c r="H540" s="2156">
        <f>G540/F540*100</f>
        <v>100</v>
      </c>
    </row>
    <row r="541" spans="1:8" ht="16.5" thickTop="1" thickBot="1" x14ac:dyDescent="0.3">
      <c r="A541" s="2175" t="s">
        <v>849</v>
      </c>
      <c r="B541" s="2176"/>
      <c r="C541" s="2176"/>
      <c r="D541" s="2177"/>
      <c r="E541" s="2152">
        <f>SUM(E538:E540)</f>
        <v>0</v>
      </c>
      <c r="F541" s="2155">
        <f>SUM(F538:F540)</f>
        <v>432</v>
      </c>
      <c r="G541" s="2155">
        <f>SUM(G538:G540)</f>
        <v>432</v>
      </c>
      <c r="H541" s="2157">
        <f>G541/F541*100</f>
        <v>100</v>
      </c>
    </row>
    <row r="542" spans="1:8" ht="20.25" customHeight="1" thickTop="1" x14ac:dyDescent="0.25">
      <c r="A542" s="2189"/>
      <c r="B542" s="2189"/>
      <c r="C542" s="2189"/>
      <c r="D542" s="2189"/>
      <c r="E542" s="2159"/>
      <c r="F542" s="2159"/>
      <c r="G542" s="2159"/>
      <c r="H542" s="2190"/>
    </row>
    <row r="543" spans="1:8" ht="15" x14ac:dyDescent="0.25">
      <c r="A543" s="2136" t="s">
        <v>1818</v>
      </c>
      <c r="B543" s="2168"/>
      <c r="C543" s="2168"/>
      <c r="D543" s="2168"/>
      <c r="E543" s="2168"/>
      <c r="F543" s="2168"/>
      <c r="G543" s="2168"/>
      <c r="H543" s="2168"/>
    </row>
    <row r="544" spans="1:8" ht="15.75" thickBot="1" x14ac:dyDescent="0.3">
      <c r="A544" s="2136" t="s">
        <v>1819</v>
      </c>
      <c r="D544" s="2130"/>
      <c r="E544" s="2131"/>
      <c r="F544" s="2165"/>
      <c r="G544" s="2165"/>
      <c r="H544" s="2131" t="s">
        <v>179</v>
      </c>
    </row>
    <row r="545" spans="1:9" ht="25.5" thickTop="1" thickBot="1" x14ac:dyDescent="0.25">
      <c r="A545" s="2138" t="s">
        <v>180</v>
      </c>
      <c r="B545" s="2139" t="s">
        <v>847</v>
      </c>
      <c r="C545" s="2139" t="s">
        <v>414</v>
      </c>
      <c r="D545" s="2140" t="s">
        <v>182</v>
      </c>
      <c r="E545" s="2171" t="s">
        <v>700</v>
      </c>
      <c r="F545" s="2171" t="s">
        <v>701</v>
      </c>
      <c r="G545" s="2172" t="s">
        <v>986</v>
      </c>
      <c r="H545" s="2173" t="s">
        <v>987</v>
      </c>
    </row>
    <row r="546" spans="1:9" ht="14.25" thickTop="1" thickBot="1" x14ac:dyDescent="0.25">
      <c r="A546" s="1854">
        <v>1</v>
      </c>
      <c r="B546" s="1853">
        <v>2</v>
      </c>
      <c r="C546" s="1853">
        <v>3</v>
      </c>
      <c r="D546" s="1853">
        <v>4</v>
      </c>
      <c r="E546" s="2144">
        <v>5</v>
      </c>
      <c r="F546" s="2144">
        <v>6</v>
      </c>
      <c r="G546" s="2145">
        <v>7</v>
      </c>
      <c r="H546" s="2146" t="s">
        <v>61</v>
      </c>
    </row>
    <row r="547" spans="1:9" ht="16.5" thickTop="1" thickBot="1" x14ac:dyDescent="0.3">
      <c r="A547" s="2187">
        <v>3636</v>
      </c>
      <c r="B547" s="2149">
        <v>5166</v>
      </c>
      <c r="C547" s="2149"/>
      <c r="D547" s="2174" t="s">
        <v>677</v>
      </c>
      <c r="E547" s="2154">
        <v>0</v>
      </c>
      <c r="F547" s="2188">
        <v>114</v>
      </c>
      <c r="G547" s="2188">
        <v>60</v>
      </c>
      <c r="H547" s="2156">
        <f>G547/F547*100</f>
        <v>52.631578947368418</v>
      </c>
    </row>
    <row r="548" spans="1:9" ht="16.5" thickTop="1" thickBot="1" x14ac:dyDescent="0.3">
      <c r="A548" s="2175" t="s">
        <v>849</v>
      </c>
      <c r="B548" s="2176"/>
      <c r="C548" s="2176"/>
      <c r="D548" s="2177"/>
      <c r="E548" s="2152">
        <f>SUM(E547:E547)</f>
        <v>0</v>
      </c>
      <c r="F548" s="2155">
        <f>SUM(F547:F547)</f>
        <v>114</v>
      </c>
      <c r="G548" s="2155">
        <f>SUM(G547:G547)</f>
        <v>60</v>
      </c>
      <c r="H548" s="2157">
        <f>G548/F548*100</f>
        <v>52.631578947368418</v>
      </c>
    </row>
    <row r="549" spans="1:9" ht="15.75" thickTop="1" x14ac:dyDescent="0.25">
      <c r="A549" s="2189"/>
      <c r="B549" s="2189"/>
      <c r="C549" s="2189"/>
      <c r="D549" s="2189"/>
      <c r="E549" s="2159"/>
      <c r="F549" s="2159"/>
      <c r="G549" s="2159"/>
      <c r="H549" s="2190"/>
    </row>
    <row r="550" spans="1:9" ht="13.5" customHeight="1" thickBot="1" x14ac:dyDescent="0.3">
      <c r="A550" s="2136" t="s">
        <v>273</v>
      </c>
      <c r="B550" s="2168"/>
      <c r="C550" s="2168"/>
      <c r="D550" s="2168"/>
      <c r="E550" s="2168"/>
      <c r="F550" s="2168"/>
      <c r="G550" s="2168"/>
      <c r="H550" s="2168"/>
      <c r="I550" s="2168"/>
    </row>
    <row r="551" spans="1:9" ht="15.75" hidden="1" thickBot="1" x14ac:dyDescent="0.3">
      <c r="A551" s="2136"/>
      <c r="D551" s="2130"/>
      <c r="E551" s="2131"/>
      <c r="F551" s="2165"/>
      <c r="G551" s="2165"/>
      <c r="H551" s="2131" t="s">
        <v>179</v>
      </c>
    </row>
    <row r="552" spans="1:9" ht="25.5" thickTop="1" thickBot="1" x14ac:dyDescent="0.25">
      <c r="A552" s="2138" t="s">
        <v>180</v>
      </c>
      <c r="B552" s="2139" t="s">
        <v>847</v>
      </c>
      <c r="C552" s="2139" t="s">
        <v>414</v>
      </c>
      <c r="D552" s="2140" t="s">
        <v>182</v>
      </c>
      <c r="E552" s="2171" t="s">
        <v>700</v>
      </c>
      <c r="F552" s="2171" t="s">
        <v>701</v>
      </c>
      <c r="G552" s="2172" t="s">
        <v>986</v>
      </c>
      <c r="H552" s="2173" t="s">
        <v>987</v>
      </c>
    </row>
    <row r="553" spans="1:9" s="1849" customFormat="1" ht="13.5" thickTop="1" thickBot="1" x14ac:dyDescent="0.25">
      <c r="A553" s="1854">
        <v>1</v>
      </c>
      <c r="B553" s="1853">
        <v>2</v>
      </c>
      <c r="C553" s="1853">
        <v>3</v>
      </c>
      <c r="D553" s="1853">
        <v>4</v>
      </c>
      <c r="E553" s="2144">
        <v>5</v>
      </c>
      <c r="F553" s="2144">
        <v>6</v>
      </c>
      <c r="G553" s="2145">
        <v>7</v>
      </c>
      <c r="H553" s="2146" t="s">
        <v>61</v>
      </c>
    </row>
    <row r="554" spans="1:9" s="1849" customFormat="1" ht="15.75" thickTop="1" x14ac:dyDescent="0.25">
      <c r="A554" s="2194">
        <v>3122</v>
      </c>
      <c r="B554" s="2148">
        <v>5166</v>
      </c>
      <c r="C554" s="2148"/>
      <c r="D554" s="2174" t="s">
        <v>677</v>
      </c>
      <c r="E554" s="2154">
        <v>0</v>
      </c>
      <c r="F554" s="2196">
        <v>186</v>
      </c>
      <c r="G554" s="2196">
        <v>130</v>
      </c>
      <c r="H554" s="2156">
        <f>G554/F554*100</f>
        <v>69.892473118279568</v>
      </c>
    </row>
    <row r="555" spans="1:9" ht="15" x14ac:dyDescent="0.25">
      <c r="A555" s="2194">
        <v>3636</v>
      </c>
      <c r="B555" s="2148">
        <v>5166</v>
      </c>
      <c r="C555" s="2148"/>
      <c r="D555" s="2174" t="s">
        <v>677</v>
      </c>
      <c r="E555" s="2154">
        <f>150+29267</f>
        <v>29417</v>
      </c>
      <c r="F555" s="2196">
        <f>150+2077</f>
        <v>2227</v>
      </c>
      <c r="G555" s="2196">
        <v>0</v>
      </c>
      <c r="H555" s="2156">
        <f>G555/F555*100</f>
        <v>0</v>
      </c>
    </row>
    <row r="556" spans="1:9" ht="15" x14ac:dyDescent="0.25">
      <c r="A556" s="2203">
        <v>6330</v>
      </c>
      <c r="B556" s="2148">
        <v>5345</v>
      </c>
      <c r="C556" s="2204"/>
      <c r="D556" s="2174" t="s">
        <v>853</v>
      </c>
      <c r="E556" s="2154">
        <v>0</v>
      </c>
      <c r="F556" s="2196">
        <v>0</v>
      </c>
      <c r="G556" s="2196">
        <v>852</v>
      </c>
      <c r="H556" s="2156">
        <v>0</v>
      </c>
    </row>
    <row r="557" spans="1:9" ht="15" x14ac:dyDescent="0.25">
      <c r="A557" s="2203">
        <v>3122</v>
      </c>
      <c r="B557" s="2148">
        <v>5169</v>
      </c>
      <c r="C557" s="2204"/>
      <c r="D557" s="2174" t="s">
        <v>955</v>
      </c>
      <c r="E557" s="2154">
        <v>0</v>
      </c>
      <c r="F557" s="2196">
        <v>24</v>
      </c>
      <c r="G557" s="2196">
        <v>24</v>
      </c>
      <c r="H557" s="2156">
        <v>0</v>
      </c>
    </row>
    <row r="558" spans="1:9" ht="15.75" thickBot="1" x14ac:dyDescent="0.3">
      <c r="A558" s="2203">
        <v>3636</v>
      </c>
      <c r="B558" s="2148">
        <v>5169</v>
      </c>
      <c r="C558" s="2204"/>
      <c r="D558" s="2174" t="s">
        <v>955</v>
      </c>
      <c r="E558" s="2154">
        <v>50</v>
      </c>
      <c r="F558" s="2196">
        <v>50</v>
      </c>
      <c r="G558" s="2196">
        <v>12</v>
      </c>
      <c r="H558" s="2156">
        <v>0</v>
      </c>
    </row>
    <row r="559" spans="1:9" ht="15.75" hidden="1" thickBot="1" x14ac:dyDescent="0.3">
      <c r="A559" s="2203">
        <v>2143</v>
      </c>
      <c r="B559" s="2148">
        <v>5901</v>
      </c>
      <c r="C559" s="2204"/>
      <c r="D559" s="2174" t="s">
        <v>670</v>
      </c>
      <c r="E559" s="2154">
        <v>0</v>
      </c>
      <c r="F559" s="2196">
        <v>0</v>
      </c>
      <c r="G559" s="2196">
        <v>0</v>
      </c>
      <c r="H559" s="2156"/>
    </row>
    <row r="560" spans="1:9" ht="15.75" hidden="1" thickBot="1" x14ac:dyDescent="0.3">
      <c r="A560" s="2203"/>
      <c r="B560" s="2205"/>
      <c r="C560" s="2205"/>
      <c r="D560" s="2180"/>
      <c r="E560" s="2154"/>
      <c r="F560" s="2196"/>
      <c r="G560" s="2196"/>
      <c r="H560" s="2156"/>
    </row>
    <row r="561" spans="1:13" ht="16.5" thickTop="1" thickBot="1" x14ac:dyDescent="0.3">
      <c r="A561" s="2175" t="s">
        <v>849</v>
      </c>
      <c r="B561" s="2176"/>
      <c r="C561" s="2176"/>
      <c r="D561" s="2177"/>
      <c r="E561" s="2152">
        <f>SUM(E554:E559)</f>
        <v>29467</v>
      </c>
      <c r="F561" s="2152">
        <f>SUM(F554:F559)</f>
        <v>2487</v>
      </c>
      <c r="G561" s="2152">
        <f>SUM(G554:G559)</f>
        <v>1018</v>
      </c>
      <c r="H561" s="2157">
        <f>G561/F561*100</f>
        <v>40.932850824286291</v>
      </c>
    </row>
    <row r="562" spans="1:13" ht="18.75" thickTop="1" x14ac:dyDescent="0.25">
      <c r="A562" s="2134"/>
      <c r="D562" s="2130"/>
      <c r="E562" s="2131"/>
      <c r="F562" s="2165"/>
      <c r="G562" s="2165"/>
      <c r="H562" s="2165"/>
    </row>
    <row r="563" spans="1:13" ht="16.5" x14ac:dyDescent="0.25">
      <c r="A563" s="2206" t="s">
        <v>508</v>
      </c>
      <c r="B563" s="2207"/>
      <c r="C563" s="2208"/>
      <c r="D563" s="2209"/>
      <c r="E563" s="2210">
        <f>SUM(E564:E566)</f>
        <v>29885</v>
      </c>
      <c r="F563" s="2210">
        <f>SUM(F564:F566)</f>
        <v>20141</v>
      </c>
      <c r="G563" s="2210">
        <f>SUM(G564:G566)</f>
        <v>13650</v>
      </c>
      <c r="H563" s="2211">
        <f>G563/F563*100</f>
        <v>67.77220594806613</v>
      </c>
      <c r="J563" s="2212">
        <f>J564+J565+J566</f>
        <v>29885000</v>
      </c>
      <c r="K563" s="2212">
        <f>K564+K565+K566</f>
        <v>20141343</v>
      </c>
      <c r="L563" s="2212">
        <f>L564+L565+L566</f>
        <v>13650214</v>
      </c>
    </row>
    <row r="564" spans="1:13" ht="15" x14ac:dyDescent="0.2">
      <c r="A564" s="1810" t="s">
        <v>288</v>
      </c>
      <c r="B564" s="1813"/>
      <c r="C564" s="1808"/>
      <c r="D564" s="2213"/>
      <c r="E564" s="1811">
        <f>E35+E36+E276+E305+E362+E363+E384+E398+E412+E436+E531+E540+E547+E554+E555+E557+E558</f>
        <v>29885</v>
      </c>
      <c r="F564" s="1811">
        <f>F35+F36+F276+F305+F362+F363+F384+F398+F412+F436+F531+F540+F547+F554+F555+F557+F558</f>
        <v>3825</v>
      </c>
      <c r="G564" s="1811">
        <f>G35+G36+G276+G305+G362+G363+G384+G398+G412+G436+G531+G540+G547+G554+G555+G557+G558</f>
        <v>836</v>
      </c>
      <c r="H564" s="2211">
        <f>G564/F564*100</f>
        <v>21.856209150326798</v>
      </c>
      <c r="J564" s="2214">
        <v>29885000</v>
      </c>
      <c r="K564" s="2214">
        <v>3825482</v>
      </c>
      <c r="L564" s="2214">
        <v>836365</v>
      </c>
    </row>
    <row r="565" spans="1:13" ht="15" x14ac:dyDescent="0.2">
      <c r="A565" s="1810" t="s">
        <v>289</v>
      </c>
      <c r="B565" s="1809"/>
      <c r="C565" s="1808"/>
      <c r="D565" s="2215"/>
      <c r="E565" s="1811">
        <f>E13+E21+E28+E43+E50+E57+E64+E71+E78+E85+E92+E99+E100+E107+E114+E121+E128+E135+E142+E149+E156+E163+E170+E177+E184+E191+E198+E212+E219+E226+E233+E240+E247+E254+E261+E268+E277+E284+E291+E306+E313+E320+E327+E334+E341+E348+E355+E370+E377+E391+E405+E413+E421+E429+E437+E445+E452+E460+E474+E481+E487+E495+E502+E524</f>
        <v>0</v>
      </c>
      <c r="F565" s="1811">
        <f>F13+F21+F28+F43+F50+F57+F64+F71+F78+F85+F92+F99+F100+F107+F114+F121+F128+F135+F142+F149+F156+F163+F170+F177+F184+F191+F198+F212+F219+F226+F233+F240+F247+F254+F261+F268+F277+F284+F291+F306+F313+F320+F327+F334+F341+F348+F355+F370+F377+F391+F405+F413+F421+F429+F437+F445+F452+F460+F474+F481+F487+F495+F502+F524</f>
        <v>16316</v>
      </c>
      <c r="G565" s="1811">
        <f>G13+G21+G28+G43+G50+G57+G64+G71+G78+G85+G92+G99+G100+G107+G114+G121+G128+G135+G142+G149+G156+G163+G170+G177+G184+G191+G198+G212+G219+G226+G233+G240+G247+G254+G261+G268+G277+G284+G291+G306+G313+G320+G327+G334+G341+G348+G355+G370+G377+G391+G405+G413+G421+G429+G437+G445+G452+G460+G474+G481+G487+G495+G502+G524</f>
        <v>11962</v>
      </c>
      <c r="H565" s="2211">
        <f>G565/F565*100</f>
        <v>73.314537876930615</v>
      </c>
      <c r="J565" s="2214">
        <v>0</v>
      </c>
      <c r="K565" s="2214">
        <v>16315861</v>
      </c>
      <c r="L565" s="2214">
        <v>11961511</v>
      </c>
      <c r="M565" s="2132"/>
    </row>
    <row r="566" spans="1:13" ht="15" x14ac:dyDescent="0.2">
      <c r="A566" s="1810" t="s">
        <v>509</v>
      </c>
      <c r="B566" s="1809"/>
      <c r="C566" s="1808"/>
      <c r="D566" s="2215"/>
      <c r="E566" s="1811">
        <f>E556</f>
        <v>0</v>
      </c>
      <c r="F566" s="1811">
        <f>F556</f>
        <v>0</v>
      </c>
      <c r="G566" s="1811">
        <f>G556</f>
        <v>852</v>
      </c>
      <c r="H566" s="2211">
        <v>0</v>
      </c>
      <c r="J566" s="2214">
        <v>0</v>
      </c>
      <c r="K566" s="2214">
        <v>0</v>
      </c>
      <c r="L566" s="2214">
        <v>852338</v>
      </c>
    </row>
    <row r="567" spans="1:13" ht="15" x14ac:dyDescent="0.2">
      <c r="A567" s="1810"/>
      <c r="B567" s="1809"/>
      <c r="C567" s="1808"/>
      <c r="D567" s="2215"/>
      <c r="E567" s="1811"/>
      <c r="F567" s="1811"/>
      <c r="G567" s="1811"/>
      <c r="H567" s="2216"/>
      <c r="J567" s="2132"/>
      <c r="K567" s="2132"/>
      <c r="L567" s="2132"/>
    </row>
    <row r="568" spans="1:13" ht="24" thickBot="1" x14ac:dyDescent="0.4">
      <c r="A568" s="2800" t="s">
        <v>1820</v>
      </c>
      <c r="B568" s="2801"/>
      <c r="C568" s="2801"/>
      <c r="D568" s="2801"/>
      <c r="E568" s="1801">
        <f>SUM(E563)</f>
        <v>29885</v>
      </c>
      <c r="F568" s="1801">
        <f>SUM(F563)</f>
        <v>20141</v>
      </c>
      <c r="G568" s="1801">
        <f>SUM(G563)</f>
        <v>13650</v>
      </c>
      <c r="H568" s="2217">
        <f>(G568/F568)*100</f>
        <v>67.77220594806613</v>
      </c>
      <c r="J568" s="2132"/>
      <c r="K568" s="2132"/>
      <c r="L568" s="2132"/>
    </row>
    <row r="569" spans="1:13" s="2218" customFormat="1" ht="13.5" thickTop="1" x14ac:dyDescent="0.2">
      <c r="A569" s="2130"/>
      <c r="B569" s="2130"/>
      <c r="C569" s="2130"/>
      <c r="D569" s="2131"/>
      <c r="E569" s="2132"/>
      <c r="F569" s="2132"/>
      <c r="G569" s="2132"/>
      <c r="H569" s="2133"/>
      <c r="J569" s="2219"/>
      <c r="K569" s="2219"/>
      <c r="L569" s="2219"/>
    </row>
    <row r="570" spans="1:13" s="1791" customFormat="1" x14ac:dyDescent="0.2">
      <c r="A570" s="2130"/>
      <c r="B570" s="2130"/>
      <c r="C570" s="2130"/>
      <c r="D570" s="2131"/>
      <c r="E570" s="2132"/>
      <c r="F570" s="2132"/>
      <c r="G570" s="2132"/>
      <c r="H570" s="2133"/>
    </row>
    <row r="571" spans="1:13" s="1791" customFormat="1" x14ac:dyDescent="0.2">
      <c r="A571" s="2130"/>
      <c r="B571" s="2130"/>
      <c r="C571" s="2130"/>
      <c r="D571" s="2131"/>
      <c r="E571" s="2132"/>
      <c r="F571" s="2132"/>
      <c r="G571" s="2132"/>
      <c r="H571" s="2133"/>
    </row>
    <row r="572" spans="1:13" s="1791" customFormat="1" x14ac:dyDescent="0.2">
      <c r="A572" s="2130"/>
      <c r="B572" s="2130"/>
      <c r="C572" s="2130"/>
      <c r="D572" s="2131"/>
      <c r="E572" s="2132"/>
      <c r="F572" s="2132"/>
      <c r="G572" s="2132"/>
      <c r="H572" s="2133"/>
    </row>
    <row r="573" spans="1:13" s="1791" customFormat="1" x14ac:dyDescent="0.2">
      <c r="A573" s="2130"/>
      <c r="B573" s="2130"/>
      <c r="C573" s="2130"/>
      <c r="D573" s="2131"/>
      <c r="E573" s="2132"/>
      <c r="F573" s="2132"/>
      <c r="G573" s="2132"/>
      <c r="H573" s="2133"/>
    </row>
    <row r="574" spans="1:13" s="1799" customFormat="1" ht="31.5" customHeight="1" x14ac:dyDescent="0.35">
      <c r="A574" s="2130"/>
      <c r="B574" s="2130"/>
      <c r="C574" s="2130"/>
      <c r="D574" s="2131"/>
      <c r="E574" s="2132"/>
      <c r="F574" s="2132"/>
      <c r="G574" s="2132"/>
      <c r="H574" s="2133"/>
    </row>
  </sheetData>
  <mergeCells count="25">
    <mergeCell ref="A37:D37"/>
    <mergeCell ref="G1:H1"/>
    <mergeCell ref="A8:H9"/>
    <mergeCell ref="A15:D15"/>
    <mergeCell ref="A22:D22"/>
    <mergeCell ref="A29:D29"/>
    <mergeCell ref="A95:I95"/>
    <mergeCell ref="A39:H39"/>
    <mergeCell ref="A44:D44"/>
    <mergeCell ref="A46:H46"/>
    <mergeCell ref="A51:D51"/>
    <mergeCell ref="A53:H53"/>
    <mergeCell ref="A58:D58"/>
    <mergeCell ref="A65:D65"/>
    <mergeCell ref="A72:D72"/>
    <mergeCell ref="A74:I74"/>
    <mergeCell ref="A81:I81"/>
    <mergeCell ref="A88:I88"/>
    <mergeCell ref="A568:D568"/>
    <mergeCell ref="A103:I103"/>
    <mergeCell ref="A110:I110"/>
    <mergeCell ref="A117:I117"/>
    <mergeCell ref="A124:I124"/>
    <mergeCell ref="A131:I131"/>
    <mergeCell ref="A271:H272"/>
  </mergeCells>
  <pageMargins left="0.98425196850393704" right="0.98425196850393704" top="0.98425196850393704" bottom="0.98425196850393704" header="0.51181102362204722" footer="0.51181102362204722"/>
  <pageSetup paperSize="9" scale="65" firstPageNumber="122" orientation="portrait" useFirstPageNumber="1" r:id="rId1"/>
  <headerFooter alignWithMargins="0">
    <oddFooter xml:space="preserve">&amp;L&amp;"Arial,Kurzíva"Zastupitelstvo Olomouckého kraje 28. 6. 2013
6.- Závěrečný  účet Olomuckého kraje za rok 2012
Příloha č. 3: Plnění rozpočtu výdajů Olomouckého kraje k 31.12.2012&amp;R&amp;"Arial,Kurzíva"Strana &amp;P (Celkem 484)
</oddFooter>
  </headerFooter>
  <rowBreaks count="6" manualBreakCount="6">
    <brk id="66" max="7" man="1"/>
    <brk id="130" max="7" man="1"/>
    <brk id="193" max="7" man="1"/>
    <brk id="263" max="7" man="1"/>
    <brk id="342" max="7" man="1"/>
    <brk id="406" max="7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30"/>
  <sheetViews>
    <sheetView showGridLines="0" view="pageBreakPreview" zoomScaleNormal="100" zoomScaleSheetLayoutView="100" workbookViewId="0">
      <selection activeCell="C5" sqref="C5"/>
    </sheetView>
  </sheetViews>
  <sheetFormatPr defaultRowHeight="12.75" x14ac:dyDescent="0.2"/>
  <cols>
    <col min="1" max="1" width="5.5703125" style="2130" customWidth="1"/>
    <col min="2" max="2" width="6.7109375" style="2130" customWidth="1"/>
    <col min="3" max="3" width="9" style="2130" bestFit="1" customWidth="1"/>
    <col min="4" max="4" width="46.42578125" style="2131" customWidth="1"/>
    <col min="5" max="5" width="13.85546875" style="2165" customWidth="1"/>
    <col min="6" max="6" width="15.28515625" style="2165" customWidth="1"/>
    <col min="7" max="7" width="15.85546875" style="2165" customWidth="1"/>
    <col min="8" max="8" width="8.85546875" style="2131" customWidth="1"/>
    <col min="9" max="9" width="14.7109375" style="2131" bestFit="1" customWidth="1"/>
    <col min="10" max="256" width="9.140625" style="2131"/>
    <col min="257" max="257" width="5.5703125" style="2131" customWidth="1"/>
    <col min="258" max="258" width="6.7109375" style="2131" customWidth="1"/>
    <col min="259" max="259" width="9" style="2131" bestFit="1" customWidth="1"/>
    <col min="260" max="260" width="46.42578125" style="2131" customWidth="1"/>
    <col min="261" max="261" width="13.85546875" style="2131" customWidth="1"/>
    <col min="262" max="262" width="15.28515625" style="2131" customWidth="1"/>
    <col min="263" max="263" width="15.85546875" style="2131" customWidth="1"/>
    <col min="264" max="264" width="8.85546875" style="2131" customWidth="1"/>
    <col min="265" max="265" width="14.7109375" style="2131" bestFit="1" customWidth="1"/>
    <col min="266" max="512" width="9.140625" style="2131"/>
    <col min="513" max="513" width="5.5703125" style="2131" customWidth="1"/>
    <col min="514" max="514" width="6.7109375" style="2131" customWidth="1"/>
    <col min="515" max="515" width="9" style="2131" bestFit="1" customWidth="1"/>
    <col min="516" max="516" width="46.42578125" style="2131" customWidth="1"/>
    <col min="517" max="517" width="13.85546875" style="2131" customWidth="1"/>
    <col min="518" max="518" width="15.28515625" style="2131" customWidth="1"/>
    <col min="519" max="519" width="15.85546875" style="2131" customWidth="1"/>
    <col min="520" max="520" width="8.85546875" style="2131" customWidth="1"/>
    <col min="521" max="521" width="14.7109375" style="2131" bestFit="1" customWidth="1"/>
    <col min="522" max="768" width="9.140625" style="2131"/>
    <col min="769" max="769" width="5.5703125" style="2131" customWidth="1"/>
    <col min="770" max="770" width="6.7109375" style="2131" customWidth="1"/>
    <col min="771" max="771" width="9" style="2131" bestFit="1" customWidth="1"/>
    <col min="772" max="772" width="46.42578125" style="2131" customWidth="1"/>
    <col min="773" max="773" width="13.85546875" style="2131" customWidth="1"/>
    <col min="774" max="774" width="15.28515625" style="2131" customWidth="1"/>
    <col min="775" max="775" width="15.85546875" style="2131" customWidth="1"/>
    <col min="776" max="776" width="8.85546875" style="2131" customWidth="1"/>
    <col min="777" max="777" width="14.7109375" style="2131" bestFit="1" customWidth="1"/>
    <col min="778" max="1024" width="9.140625" style="2131"/>
    <col min="1025" max="1025" width="5.5703125" style="2131" customWidth="1"/>
    <col min="1026" max="1026" width="6.7109375" style="2131" customWidth="1"/>
    <col min="1027" max="1027" width="9" style="2131" bestFit="1" customWidth="1"/>
    <col min="1028" max="1028" width="46.42578125" style="2131" customWidth="1"/>
    <col min="1029" max="1029" width="13.85546875" style="2131" customWidth="1"/>
    <col min="1030" max="1030" width="15.28515625" style="2131" customWidth="1"/>
    <col min="1031" max="1031" width="15.85546875" style="2131" customWidth="1"/>
    <col min="1032" max="1032" width="8.85546875" style="2131" customWidth="1"/>
    <col min="1033" max="1033" width="14.7109375" style="2131" bestFit="1" customWidth="1"/>
    <col min="1034" max="1280" width="9.140625" style="2131"/>
    <col min="1281" max="1281" width="5.5703125" style="2131" customWidth="1"/>
    <col min="1282" max="1282" width="6.7109375" style="2131" customWidth="1"/>
    <col min="1283" max="1283" width="9" style="2131" bestFit="1" customWidth="1"/>
    <col min="1284" max="1284" width="46.42578125" style="2131" customWidth="1"/>
    <col min="1285" max="1285" width="13.85546875" style="2131" customWidth="1"/>
    <col min="1286" max="1286" width="15.28515625" style="2131" customWidth="1"/>
    <col min="1287" max="1287" width="15.85546875" style="2131" customWidth="1"/>
    <col min="1288" max="1288" width="8.85546875" style="2131" customWidth="1"/>
    <col min="1289" max="1289" width="14.7109375" style="2131" bestFit="1" customWidth="1"/>
    <col min="1290" max="1536" width="9.140625" style="2131"/>
    <col min="1537" max="1537" width="5.5703125" style="2131" customWidth="1"/>
    <col min="1538" max="1538" width="6.7109375" style="2131" customWidth="1"/>
    <col min="1539" max="1539" width="9" style="2131" bestFit="1" customWidth="1"/>
    <col min="1540" max="1540" width="46.42578125" style="2131" customWidth="1"/>
    <col min="1541" max="1541" width="13.85546875" style="2131" customWidth="1"/>
    <col min="1542" max="1542" width="15.28515625" style="2131" customWidth="1"/>
    <col min="1543" max="1543" width="15.85546875" style="2131" customWidth="1"/>
    <col min="1544" max="1544" width="8.85546875" style="2131" customWidth="1"/>
    <col min="1545" max="1545" width="14.7109375" style="2131" bestFit="1" customWidth="1"/>
    <col min="1546" max="1792" width="9.140625" style="2131"/>
    <col min="1793" max="1793" width="5.5703125" style="2131" customWidth="1"/>
    <col min="1794" max="1794" width="6.7109375" style="2131" customWidth="1"/>
    <col min="1795" max="1795" width="9" style="2131" bestFit="1" customWidth="1"/>
    <col min="1796" max="1796" width="46.42578125" style="2131" customWidth="1"/>
    <col min="1797" max="1797" width="13.85546875" style="2131" customWidth="1"/>
    <col min="1798" max="1798" width="15.28515625" style="2131" customWidth="1"/>
    <col min="1799" max="1799" width="15.85546875" style="2131" customWidth="1"/>
    <col min="1800" max="1800" width="8.85546875" style="2131" customWidth="1"/>
    <col min="1801" max="1801" width="14.7109375" style="2131" bestFit="1" customWidth="1"/>
    <col min="1802" max="2048" width="9.140625" style="2131"/>
    <col min="2049" max="2049" width="5.5703125" style="2131" customWidth="1"/>
    <col min="2050" max="2050" width="6.7109375" style="2131" customWidth="1"/>
    <col min="2051" max="2051" width="9" style="2131" bestFit="1" customWidth="1"/>
    <col min="2052" max="2052" width="46.42578125" style="2131" customWidth="1"/>
    <col min="2053" max="2053" width="13.85546875" style="2131" customWidth="1"/>
    <col min="2054" max="2054" width="15.28515625" style="2131" customWidth="1"/>
    <col min="2055" max="2055" width="15.85546875" style="2131" customWidth="1"/>
    <col min="2056" max="2056" width="8.85546875" style="2131" customWidth="1"/>
    <col min="2057" max="2057" width="14.7109375" style="2131" bestFit="1" customWidth="1"/>
    <col min="2058" max="2304" width="9.140625" style="2131"/>
    <col min="2305" max="2305" width="5.5703125" style="2131" customWidth="1"/>
    <col min="2306" max="2306" width="6.7109375" style="2131" customWidth="1"/>
    <col min="2307" max="2307" width="9" style="2131" bestFit="1" customWidth="1"/>
    <col min="2308" max="2308" width="46.42578125" style="2131" customWidth="1"/>
    <col min="2309" max="2309" width="13.85546875" style="2131" customWidth="1"/>
    <col min="2310" max="2310" width="15.28515625" style="2131" customWidth="1"/>
    <col min="2311" max="2311" width="15.85546875" style="2131" customWidth="1"/>
    <col min="2312" max="2312" width="8.85546875" style="2131" customWidth="1"/>
    <col min="2313" max="2313" width="14.7109375" style="2131" bestFit="1" customWidth="1"/>
    <col min="2314" max="2560" width="9.140625" style="2131"/>
    <col min="2561" max="2561" width="5.5703125" style="2131" customWidth="1"/>
    <col min="2562" max="2562" width="6.7109375" style="2131" customWidth="1"/>
    <col min="2563" max="2563" width="9" style="2131" bestFit="1" customWidth="1"/>
    <col min="2564" max="2564" width="46.42578125" style="2131" customWidth="1"/>
    <col min="2565" max="2565" width="13.85546875" style="2131" customWidth="1"/>
    <col min="2566" max="2566" width="15.28515625" style="2131" customWidth="1"/>
    <col min="2567" max="2567" width="15.85546875" style="2131" customWidth="1"/>
    <col min="2568" max="2568" width="8.85546875" style="2131" customWidth="1"/>
    <col min="2569" max="2569" width="14.7109375" style="2131" bestFit="1" customWidth="1"/>
    <col min="2570" max="2816" width="9.140625" style="2131"/>
    <col min="2817" max="2817" width="5.5703125" style="2131" customWidth="1"/>
    <col min="2818" max="2818" width="6.7109375" style="2131" customWidth="1"/>
    <col min="2819" max="2819" width="9" style="2131" bestFit="1" customWidth="1"/>
    <col min="2820" max="2820" width="46.42578125" style="2131" customWidth="1"/>
    <col min="2821" max="2821" width="13.85546875" style="2131" customWidth="1"/>
    <col min="2822" max="2822" width="15.28515625" style="2131" customWidth="1"/>
    <col min="2823" max="2823" width="15.85546875" style="2131" customWidth="1"/>
    <col min="2824" max="2824" width="8.85546875" style="2131" customWidth="1"/>
    <col min="2825" max="2825" width="14.7109375" style="2131" bestFit="1" customWidth="1"/>
    <col min="2826" max="3072" width="9.140625" style="2131"/>
    <col min="3073" max="3073" width="5.5703125" style="2131" customWidth="1"/>
    <col min="3074" max="3074" width="6.7109375" style="2131" customWidth="1"/>
    <col min="3075" max="3075" width="9" style="2131" bestFit="1" customWidth="1"/>
    <col min="3076" max="3076" width="46.42578125" style="2131" customWidth="1"/>
    <col min="3077" max="3077" width="13.85546875" style="2131" customWidth="1"/>
    <col min="3078" max="3078" width="15.28515625" style="2131" customWidth="1"/>
    <col min="3079" max="3079" width="15.85546875" style="2131" customWidth="1"/>
    <col min="3080" max="3080" width="8.85546875" style="2131" customWidth="1"/>
    <col min="3081" max="3081" width="14.7109375" style="2131" bestFit="1" customWidth="1"/>
    <col min="3082" max="3328" width="9.140625" style="2131"/>
    <col min="3329" max="3329" width="5.5703125" style="2131" customWidth="1"/>
    <col min="3330" max="3330" width="6.7109375" style="2131" customWidth="1"/>
    <col min="3331" max="3331" width="9" style="2131" bestFit="1" customWidth="1"/>
    <col min="3332" max="3332" width="46.42578125" style="2131" customWidth="1"/>
    <col min="3333" max="3333" width="13.85546875" style="2131" customWidth="1"/>
    <col min="3334" max="3334" width="15.28515625" style="2131" customWidth="1"/>
    <col min="3335" max="3335" width="15.85546875" style="2131" customWidth="1"/>
    <col min="3336" max="3336" width="8.85546875" style="2131" customWidth="1"/>
    <col min="3337" max="3337" width="14.7109375" style="2131" bestFit="1" customWidth="1"/>
    <col min="3338" max="3584" width="9.140625" style="2131"/>
    <col min="3585" max="3585" width="5.5703125" style="2131" customWidth="1"/>
    <col min="3586" max="3586" width="6.7109375" style="2131" customWidth="1"/>
    <col min="3587" max="3587" width="9" style="2131" bestFit="1" customWidth="1"/>
    <col min="3588" max="3588" width="46.42578125" style="2131" customWidth="1"/>
    <col min="3589" max="3589" width="13.85546875" style="2131" customWidth="1"/>
    <col min="3590" max="3590" width="15.28515625" style="2131" customWidth="1"/>
    <col min="3591" max="3591" width="15.85546875" style="2131" customWidth="1"/>
    <col min="3592" max="3592" width="8.85546875" style="2131" customWidth="1"/>
    <col min="3593" max="3593" width="14.7109375" style="2131" bestFit="1" customWidth="1"/>
    <col min="3594" max="3840" width="9.140625" style="2131"/>
    <col min="3841" max="3841" width="5.5703125" style="2131" customWidth="1"/>
    <col min="3842" max="3842" width="6.7109375" style="2131" customWidth="1"/>
    <col min="3843" max="3843" width="9" style="2131" bestFit="1" customWidth="1"/>
    <col min="3844" max="3844" width="46.42578125" style="2131" customWidth="1"/>
    <col min="3845" max="3845" width="13.85546875" style="2131" customWidth="1"/>
    <col min="3846" max="3846" width="15.28515625" style="2131" customWidth="1"/>
    <col min="3847" max="3847" width="15.85546875" style="2131" customWidth="1"/>
    <col min="3848" max="3848" width="8.85546875" style="2131" customWidth="1"/>
    <col min="3849" max="3849" width="14.7109375" style="2131" bestFit="1" customWidth="1"/>
    <col min="3850" max="4096" width="9.140625" style="2131"/>
    <col min="4097" max="4097" width="5.5703125" style="2131" customWidth="1"/>
    <col min="4098" max="4098" width="6.7109375" style="2131" customWidth="1"/>
    <col min="4099" max="4099" width="9" style="2131" bestFit="1" customWidth="1"/>
    <col min="4100" max="4100" width="46.42578125" style="2131" customWidth="1"/>
    <col min="4101" max="4101" width="13.85546875" style="2131" customWidth="1"/>
    <col min="4102" max="4102" width="15.28515625" style="2131" customWidth="1"/>
    <col min="4103" max="4103" width="15.85546875" style="2131" customWidth="1"/>
    <col min="4104" max="4104" width="8.85546875" style="2131" customWidth="1"/>
    <col min="4105" max="4105" width="14.7109375" style="2131" bestFit="1" customWidth="1"/>
    <col min="4106" max="4352" width="9.140625" style="2131"/>
    <col min="4353" max="4353" width="5.5703125" style="2131" customWidth="1"/>
    <col min="4354" max="4354" width="6.7109375" style="2131" customWidth="1"/>
    <col min="4355" max="4355" width="9" style="2131" bestFit="1" customWidth="1"/>
    <col min="4356" max="4356" width="46.42578125" style="2131" customWidth="1"/>
    <col min="4357" max="4357" width="13.85546875" style="2131" customWidth="1"/>
    <col min="4358" max="4358" width="15.28515625" style="2131" customWidth="1"/>
    <col min="4359" max="4359" width="15.85546875" style="2131" customWidth="1"/>
    <col min="4360" max="4360" width="8.85546875" style="2131" customWidth="1"/>
    <col min="4361" max="4361" width="14.7109375" style="2131" bestFit="1" customWidth="1"/>
    <col min="4362" max="4608" width="9.140625" style="2131"/>
    <col min="4609" max="4609" width="5.5703125" style="2131" customWidth="1"/>
    <col min="4610" max="4610" width="6.7109375" style="2131" customWidth="1"/>
    <col min="4611" max="4611" width="9" style="2131" bestFit="1" customWidth="1"/>
    <col min="4612" max="4612" width="46.42578125" style="2131" customWidth="1"/>
    <col min="4613" max="4613" width="13.85546875" style="2131" customWidth="1"/>
    <col min="4614" max="4614" width="15.28515625" style="2131" customWidth="1"/>
    <col min="4615" max="4615" width="15.85546875" style="2131" customWidth="1"/>
    <col min="4616" max="4616" width="8.85546875" style="2131" customWidth="1"/>
    <col min="4617" max="4617" width="14.7109375" style="2131" bestFit="1" customWidth="1"/>
    <col min="4618" max="4864" width="9.140625" style="2131"/>
    <col min="4865" max="4865" width="5.5703125" style="2131" customWidth="1"/>
    <col min="4866" max="4866" width="6.7109375" style="2131" customWidth="1"/>
    <col min="4867" max="4867" width="9" style="2131" bestFit="1" customWidth="1"/>
    <col min="4868" max="4868" width="46.42578125" style="2131" customWidth="1"/>
    <col min="4869" max="4869" width="13.85546875" style="2131" customWidth="1"/>
    <col min="4870" max="4870" width="15.28515625" style="2131" customWidth="1"/>
    <col min="4871" max="4871" width="15.85546875" style="2131" customWidth="1"/>
    <col min="4872" max="4872" width="8.85546875" style="2131" customWidth="1"/>
    <col min="4873" max="4873" width="14.7109375" style="2131" bestFit="1" customWidth="1"/>
    <col min="4874" max="5120" width="9.140625" style="2131"/>
    <col min="5121" max="5121" width="5.5703125" style="2131" customWidth="1"/>
    <col min="5122" max="5122" width="6.7109375" style="2131" customWidth="1"/>
    <col min="5123" max="5123" width="9" style="2131" bestFit="1" customWidth="1"/>
    <col min="5124" max="5124" width="46.42578125" style="2131" customWidth="1"/>
    <col min="5125" max="5125" width="13.85546875" style="2131" customWidth="1"/>
    <col min="5126" max="5126" width="15.28515625" style="2131" customWidth="1"/>
    <col min="5127" max="5127" width="15.85546875" style="2131" customWidth="1"/>
    <col min="5128" max="5128" width="8.85546875" style="2131" customWidth="1"/>
    <col min="5129" max="5129" width="14.7109375" style="2131" bestFit="1" customWidth="1"/>
    <col min="5130" max="5376" width="9.140625" style="2131"/>
    <col min="5377" max="5377" width="5.5703125" style="2131" customWidth="1"/>
    <col min="5378" max="5378" width="6.7109375" style="2131" customWidth="1"/>
    <col min="5379" max="5379" width="9" style="2131" bestFit="1" customWidth="1"/>
    <col min="5380" max="5380" width="46.42578125" style="2131" customWidth="1"/>
    <col min="5381" max="5381" width="13.85546875" style="2131" customWidth="1"/>
    <col min="5382" max="5382" width="15.28515625" style="2131" customWidth="1"/>
    <col min="5383" max="5383" width="15.85546875" style="2131" customWidth="1"/>
    <col min="5384" max="5384" width="8.85546875" style="2131" customWidth="1"/>
    <col min="5385" max="5385" width="14.7109375" style="2131" bestFit="1" customWidth="1"/>
    <col min="5386" max="5632" width="9.140625" style="2131"/>
    <col min="5633" max="5633" width="5.5703125" style="2131" customWidth="1"/>
    <col min="5634" max="5634" width="6.7109375" style="2131" customWidth="1"/>
    <col min="5635" max="5635" width="9" style="2131" bestFit="1" customWidth="1"/>
    <col min="5636" max="5636" width="46.42578125" style="2131" customWidth="1"/>
    <col min="5637" max="5637" width="13.85546875" style="2131" customWidth="1"/>
    <col min="5638" max="5638" width="15.28515625" style="2131" customWidth="1"/>
    <col min="5639" max="5639" width="15.85546875" style="2131" customWidth="1"/>
    <col min="5640" max="5640" width="8.85546875" style="2131" customWidth="1"/>
    <col min="5641" max="5641" width="14.7109375" style="2131" bestFit="1" customWidth="1"/>
    <col min="5642" max="5888" width="9.140625" style="2131"/>
    <col min="5889" max="5889" width="5.5703125" style="2131" customWidth="1"/>
    <col min="5890" max="5890" width="6.7109375" style="2131" customWidth="1"/>
    <col min="5891" max="5891" width="9" style="2131" bestFit="1" customWidth="1"/>
    <col min="5892" max="5892" width="46.42578125" style="2131" customWidth="1"/>
    <col min="5893" max="5893" width="13.85546875" style="2131" customWidth="1"/>
    <col min="5894" max="5894" width="15.28515625" style="2131" customWidth="1"/>
    <col min="5895" max="5895" width="15.85546875" style="2131" customWidth="1"/>
    <col min="5896" max="5896" width="8.85546875" style="2131" customWidth="1"/>
    <col min="5897" max="5897" width="14.7109375" style="2131" bestFit="1" customWidth="1"/>
    <col min="5898" max="6144" width="9.140625" style="2131"/>
    <col min="6145" max="6145" width="5.5703125" style="2131" customWidth="1"/>
    <col min="6146" max="6146" width="6.7109375" style="2131" customWidth="1"/>
    <col min="6147" max="6147" width="9" style="2131" bestFit="1" customWidth="1"/>
    <col min="6148" max="6148" width="46.42578125" style="2131" customWidth="1"/>
    <col min="6149" max="6149" width="13.85546875" style="2131" customWidth="1"/>
    <col min="6150" max="6150" width="15.28515625" style="2131" customWidth="1"/>
    <col min="6151" max="6151" width="15.85546875" style="2131" customWidth="1"/>
    <col min="6152" max="6152" width="8.85546875" style="2131" customWidth="1"/>
    <col min="6153" max="6153" width="14.7109375" style="2131" bestFit="1" customWidth="1"/>
    <col min="6154" max="6400" width="9.140625" style="2131"/>
    <col min="6401" max="6401" width="5.5703125" style="2131" customWidth="1"/>
    <col min="6402" max="6402" width="6.7109375" style="2131" customWidth="1"/>
    <col min="6403" max="6403" width="9" style="2131" bestFit="1" customWidth="1"/>
    <col min="6404" max="6404" width="46.42578125" style="2131" customWidth="1"/>
    <col min="6405" max="6405" width="13.85546875" style="2131" customWidth="1"/>
    <col min="6406" max="6406" width="15.28515625" style="2131" customWidth="1"/>
    <col min="6407" max="6407" width="15.85546875" style="2131" customWidth="1"/>
    <col min="6408" max="6408" width="8.85546875" style="2131" customWidth="1"/>
    <col min="6409" max="6409" width="14.7109375" style="2131" bestFit="1" customWidth="1"/>
    <col min="6410" max="6656" width="9.140625" style="2131"/>
    <col min="6657" max="6657" width="5.5703125" style="2131" customWidth="1"/>
    <col min="6658" max="6658" width="6.7109375" style="2131" customWidth="1"/>
    <col min="6659" max="6659" width="9" style="2131" bestFit="1" customWidth="1"/>
    <col min="6660" max="6660" width="46.42578125" style="2131" customWidth="1"/>
    <col min="6661" max="6661" width="13.85546875" style="2131" customWidth="1"/>
    <col min="6662" max="6662" width="15.28515625" style="2131" customWidth="1"/>
    <col min="6663" max="6663" width="15.85546875" style="2131" customWidth="1"/>
    <col min="6664" max="6664" width="8.85546875" style="2131" customWidth="1"/>
    <col min="6665" max="6665" width="14.7109375" style="2131" bestFit="1" customWidth="1"/>
    <col min="6666" max="6912" width="9.140625" style="2131"/>
    <col min="6913" max="6913" width="5.5703125" style="2131" customWidth="1"/>
    <col min="6914" max="6914" width="6.7109375" style="2131" customWidth="1"/>
    <col min="6915" max="6915" width="9" style="2131" bestFit="1" customWidth="1"/>
    <col min="6916" max="6916" width="46.42578125" style="2131" customWidth="1"/>
    <col min="6917" max="6917" width="13.85546875" style="2131" customWidth="1"/>
    <col min="6918" max="6918" width="15.28515625" style="2131" customWidth="1"/>
    <col min="6919" max="6919" width="15.85546875" style="2131" customWidth="1"/>
    <col min="6920" max="6920" width="8.85546875" style="2131" customWidth="1"/>
    <col min="6921" max="6921" width="14.7109375" style="2131" bestFit="1" customWidth="1"/>
    <col min="6922" max="7168" width="9.140625" style="2131"/>
    <col min="7169" max="7169" width="5.5703125" style="2131" customWidth="1"/>
    <col min="7170" max="7170" width="6.7109375" style="2131" customWidth="1"/>
    <col min="7171" max="7171" width="9" style="2131" bestFit="1" customWidth="1"/>
    <col min="7172" max="7172" width="46.42578125" style="2131" customWidth="1"/>
    <col min="7173" max="7173" width="13.85546875" style="2131" customWidth="1"/>
    <col min="7174" max="7174" width="15.28515625" style="2131" customWidth="1"/>
    <col min="7175" max="7175" width="15.85546875" style="2131" customWidth="1"/>
    <col min="7176" max="7176" width="8.85546875" style="2131" customWidth="1"/>
    <col min="7177" max="7177" width="14.7109375" style="2131" bestFit="1" customWidth="1"/>
    <col min="7178" max="7424" width="9.140625" style="2131"/>
    <col min="7425" max="7425" width="5.5703125" style="2131" customWidth="1"/>
    <col min="7426" max="7426" width="6.7109375" style="2131" customWidth="1"/>
    <col min="7427" max="7427" width="9" style="2131" bestFit="1" customWidth="1"/>
    <col min="7428" max="7428" width="46.42578125" style="2131" customWidth="1"/>
    <col min="7429" max="7429" width="13.85546875" style="2131" customWidth="1"/>
    <col min="7430" max="7430" width="15.28515625" style="2131" customWidth="1"/>
    <col min="7431" max="7431" width="15.85546875" style="2131" customWidth="1"/>
    <col min="7432" max="7432" width="8.85546875" style="2131" customWidth="1"/>
    <col min="7433" max="7433" width="14.7109375" style="2131" bestFit="1" customWidth="1"/>
    <col min="7434" max="7680" width="9.140625" style="2131"/>
    <col min="7681" max="7681" width="5.5703125" style="2131" customWidth="1"/>
    <col min="7682" max="7682" width="6.7109375" style="2131" customWidth="1"/>
    <col min="7683" max="7683" width="9" style="2131" bestFit="1" customWidth="1"/>
    <col min="7684" max="7684" width="46.42578125" style="2131" customWidth="1"/>
    <col min="7685" max="7685" width="13.85546875" style="2131" customWidth="1"/>
    <col min="7686" max="7686" width="15.28515625" style="2131" customWidth="1"/>
    <col min="7687" max="7687" width="15.85546875" style="2131" customWidth="1"/>
    <col min="7688" max="7688" width="8.85546875" style="2131" customWidth="1"/>
    <col min="7689" max="7689" width="14.7109375" style="2131" bestFit="1" customWidth="1"/>
    <col min="7690" max="7936" width="9.140625" style="2131"/>
    <col min="7937" max="7937" width="5.5703125" style="2131" customWidth="1"/>
    <col min="7938" max="7938" width="6.7109375" style="2131" customWidth="1"/>
    <col min="7939" max="7939" width="9" style="2131" bestFit="1" customWidth="1"/>
    <col min="7940" max="7940" width="46.42578125" style="2131" customWidth="1"/>
    <col min="7941" max="7941" width="13.85546875" style="2131" customWidth="1"/>
    <col min="7942" max="7942" width="15.28515625" style="2131" customWidth="1"/>
    <col min="7943" max="7943" width="15.85546875" style="2131" customWidth="1"/>
    <col min="7944" max="7944" width="8.85546875" style="2131" customWidth="1"/>
    <col min="7945" max="7945" width="14.7109375" style="2131" bestFit="1" customWidth="1"/>
    <col min="7946" max="8192" width="9.140625" style="2131"/>
    <col min="8193" max="8193" width="5.5703125" style="2131" customWidth="1"/>
    <col min="8194" max="8194" width="6.7109375" style="2131" customWidth="1"/>
    <col min="8195" max="8195" width="9" style="2131" bestFit="1" customWidth="1"/>
    <col min="8196" max="8196" width="46.42578125" style="2131" customWidth="1"/>
    <col min="8197" max="8197" width="13.85546875" style="2131" customWidth="1"/>
    <col min="8198" max="8198" width="15.28515625" style="2131" customWidth="1"/>
    <col min="8199" max="8199" width="15.85546875" style="2131" customWidth="1"/>
    <col min="8200" max="8200" width="8.85546875" style="2131" customWidth="1"/>
    <col min="8201" max="8201" width="14.7109375" style="2131" bestFit="1" customWidth="1"/>
    <col min="8202" max="8448" width="9.140625" style="2131"/>
    <col min="8449" max="8449" width="5.5703125" style="2131" customWidth="1"/>
    <col min="8450" max="8450" width="6.7109375" style="2131" customWidth="1"/>
    <col min="8451" max="8451" width="9" style="2131" bestFit="1" customWidth="1"/>
    <col min="8452" max="8452" width="46.42578125" style="2131" customWidth="1"/>
    <col min="8453" max="8453" width="13.85546875" style="2131" customWidth="1"/>
    <col min="8454" max="8454" width="15.28515625" style="2131" customWidth="1"/>
    <col min="8455" max="8455" width="15.85546875" style="2131" customWidth="1"/>
    <col min="8456" max="8456" width="8.85546875" style="2131" customWidth="1"/>
    <col min="8457" max="8457" width="14.7109375" style="2131" bestFit="1" customWidth="1"/>
    <col min="8458" max="8704" width="9.140625" style="2131"/>
    <col min="8705" max="8705" width="5.5703125" style="2131" customWidth="1"/>
    <col min="8706" max="8706" width="6.7109375" style="2131" customWidth="1"/>
    <col min="8707" max="8707" width="9" style="2131" bestFit="1" customWidth="1"/>
    <col min="8708" max="8708" width="46.42578125" style="2131" customWidth="1"/>
    <col min="8709" max="8709" width="13.85546875" style="2131" customWidth="1"/>
    <col min="8710" max="8710" width="15.28515625" style="2131" customWidth="1"/>
    <col min="8711" max="8711" width="15.85546875" style="2131" customWidth="1"/>
    <col min="8712" max="8712" width="8.85546875" style="2131" customWidth="1"/>
    <col min="8713" max="8713" width="14.7109375" style="2131" bestFit="1" customWidth="1"/>
    <col min="8714" max="8960" width="9.140625" style="2131"/>
    <col min="8961" max="8961" width="5.5703125" style="2131" customWidth="1"/>
    <col min="8962" max="8962" width="6.7109375" style="2131" customWidth="1"/>
    <col min="8963" max="8963" width="9" style="2131" bestFit="1" customWidth="1"/>
    <col min="8964" max="8964" width="46.42578125" style="2131" customWidth="1"/>
    <col min="8965" max="8965" width="13.85546875" style="2131" customWidth="1"/>
    <col min="8966" max="8966" width="15.28515625" style="2131" customWidth="1"/>
    <col min="8967" max="8967" width="15.85546875" style="2131" customWidth="1"/>
    <col min="8968" max="8968" width="8.85546875" style="2131" customWidth="1"/>
    <col min="8969" max="8969" width="14.7109375" style="2131" bestFit="1" customWidth="1"/>
    <col min="8970" max="9216" width="9.140625" style="2131"/>
    <col min="9217" max="9217" width="5.5703125" style="2131" customWidth="1"/>
    <col min="9218" max="9218" width="6.7109375" style="2131" customWidth="1"/>
    <col min="9219" max="9219" width="9" style="2131" bestFit="1" customWidth="1"/>
    <col min="9220" max="9220" width="46.42578125" style="2131" customWidth="1"/>
    <col min="9221" max="9221" width="13.85546875" style="2131" customWidth="1"/>
    <col min="9222" max="9222" width="15.28515625" style="2131" customWidth="1"/>
    <col min="9223" max="9223" width="15.85546875" style="2131" customWidth="1"/>
    <col min="9224" max="9224" width="8.85546875" style="2131" customWidth="1"/>
    <col min="9225" max="9225" width="14.7109375" style="2131" bestFit="1" customWidth="1"/>
    <col min="9226" max="9472" width="9.140625" style="2131"/>
    <col min="9473" max="9473" width="5.5703125" style="2131" customWidth="1"/>
    <col min="9474" max="9474" width="6.7109375" style="2131" customWidth="1"/>
    <col min="9475" max="9475" width="9" style="2131" bestFit="1" customWidth="1"/>
    <col min="9476" max="9476" width="46.42578125" style="2131" customWidth="1"/>
    <col min="9477" max="9477" width="13.85546875" style="2131" customWidth="1"/>
    <col min="9478" max="9478" width="15.28515625" style="2131" customWidth="1"/>
    <col min="9479" max="9479" width="15.85546875" style="2131" customWidth="1"/>
    <col min="9480" max="9480" width="8.85546875" style="2131" customWidth="1"/>
    <col min="9481" max="9481" width="14.7109375" style="2131" bestFit="1" customWidth="1"/>
    <col min="9482" max="9728" width="9.140625" style="2131"/>
    <col min="9729" max="9729" width="5.5703125" style="2131" customWidth="1"/>
    <col min="9730" max="9730" width="6.7109375" style="2131" customWidth="1"/>
    <col min="9731" max="9731" width="9" style="2131" bestFit="1" customWidth="1"/>
    <col min="9732" max="9732" width="46.42578125" style="2131" customWidth="1"/>
    <col min="9733" max="9733" width="13.85546875" style="2131" customWidth="1"/>
    <col min="9734" max="9734" width="15.28515625" style="2131" customWidth="1"/>
    <col min="9735" max="9735" width="15.85546875" style="2131" customWidth="1"/>
    <col min="9736" max="9736" width="8.85546875" style="2131" customWidth="1"/>
    <col min="9737" max="9737" width="14.7109375" style="2131" bestFit="1" customWidth="1"/>
    <col min="9738" max="9984" width="9.140625" style="2131"/>
    <col min="9985" max="9985" width="5.5703125" style="2131" customWidth="1"/>
    <col min="9986" max="9986" width="6.7109375" style="2131" customWidth="1"/>
    <col min="9987" max="9987" width="9" style="2131" bestFit="1" customWidth="1"/>
    <col min="9988" max="9988" width="46.42578125" style="2131" customWidth="1"/>
    <col min="9989" max="9989" width="13.85546875" style="2131" customWidth="1"/>
    <col min="9990" max="9990" width="15.28515625" style="2131" customWidth="1"/>
    <col min="9991" max="9991" width="15.85546875" style="2131" customWidth="1"/>
    <col min="9992" max="9992" width="8.85546875" style="2131" customWidth="1"/>
    <col min="9993" max="9993" width="14.7109375" style="2131" bestFit="1" customWidth="1"/>
    <col min="9994" max="10240" width="9.140625" style="2131"/>
    <col min="10241" max="10241" width="5.5703125" style="2131" customWidth="1"/>
    <col min="10242" max="10242" width="6.7109375" style="2131" customWidth="1"/>
    <col min="10243" max="10243" width="9" style="2131" bestFit="1" customWidth="1"/>
    <col min="10244" max="10244" width="46.42578125" style="2131" customWidth="1"/>
    <col min="10245" max="10245" width="13.85546875" style="2131" customWidth="1"/>
    <col min="10246" max="10246" width="15.28515625" style="2131" customWidth="1"/>
    <col min="10247" max="10247" width="15.85546875" style="2131" customWidth="1"/>
    <col min="10248" max="10248" width="8.85546875" style="2131" customWidth="1"/>
    <col min="10249" max="10249" width="14.7109375" style="2131" bestFit="1" customWidth="1"/>
    <col min="10250" max="10496" width="9.140625" style="2131"/>
    <col min="10497" max="10497" width="5.5703125" style="2131" customWidth="1"/>
    <col min="10498" max="10498" width="6.7109375" style="2131" customWidth="1"/>
    <col min="10499" max="10499" width="9" style="2131" bestFit="1" customWidth="1"/>
    <col min="10500" max="10500" width="46.42578125" style="2131" customWidth="1"/>
    <col min="10501" max="10501" width="13.85546875" style="2131" customWidth="1"/>
    <col min="10502" max="10502" width="15.28515625" style="2131" customWidth="1"/>
    <col min="10503" max="10503" width="15.85546875" style="2131" customWidth="1"/>
    <col min="10504" max="10504" width="8.85546875" style="2131" customWidth="1"/>
    <col min="10505" max="10505" width="14.7109375" style="2131" bestFit="1" customWidth="1"/>
    <col min="10506" max="10752" width="9.140625" style="2131"/>
    <col min="10753" max="10753" width="5.5703125" style="2131" customWidth="1"/>
    <col min="10754" max="10754" width="6.7109375" style="2131" customWidth="1"/>
    <col min="10755" max="10755" width="9" style="2131" bestFit="1" customWidth="1"/>
    <col min="10756" max="10756" width="46.42578125" style="2131" customWidth="1"/>
    <col min="10757" max="10757" width="13.85546875" style="2131" customWidth="1"/>
    <col min="10758" max="10758" width="15.28515625" style="2131" customWidth="1"/>
    <col min="10759" max="10759" width="15.85546875" style="2131" customWidth="1"/>
    <col min="10760" max="10760" width="8.85546875" style="2131" customWidth="1"/>
    <col min="10761" max="10761" width="14.7109375" style="2131" bestFit="1" customWidth="1"/>
    <col min="10762" max="11008" width="9.140625" style="2131"/>
    <col min="11009" max="11009" width="5.5703125" style="2131" customWidth="1"/>
    <col min="11010" max="11010" width="6.7109375" style="2131" customWidth="1"/>
    <col min="11011" max="11011" width="9" style="2131" bestFit="1" customWidth="1"/>
    <col min="11012" max="11012" width="46.42578125" style="2131" customWidth="1"/>
    <col min="11013" max="11013" width="13.85546875" style="2131" customWidth="1"/>
    <col min="11014" max="11014" width="15.28515625" style="2131" customWidth="1"/>
    <col min="11015" max="11015" width="15.85546875" style="2131" customWidth="1"/>
    <col min="11016" max="11016" width="8.85546875" style="2131" customWidth="1"/>
    <col min="11017" max="11017" width="14.7109375" style="2131" bestFit="1" customWidth="1"/>
    <col min="11018" max="11264" width="9.140625" style="2131"/>
    <col min="11265" max="11265" width="5.5703125" style="2131" customWidth="1"/>
    <col min="11266" max="11266" width="6.7109375" style="2131" customWidth="1"/>
    <col min="11267" max="11267" width="9" style="2131" bestFit="1" customWidth="1"/>
    <col min="11268" max="11268" width="46.42578125" style="2131" customWidth="1"/>
    <col min="11269" max="11269" width="13.85546875" style="2131" customWidth="1"/>
    <col min="11270" max="11270" width="15.28515625" style="2131" customWidth="1"/>
    <col min="11271" max="11271" width="15.85546875" style="2131" customWidth="1"/>
    <col min="11272" max="11272" width="8.85546875" style="2131" customWidth="1"/>
    <col min="11273" max="11273" width="14.7109375" style="2131" bestFit="1" customWidth="1"/>
    <col min="11274" max="11520" width="9.140625" style="2131"/>
    <col min="11521" max="11521" width="5.5703125" style="2131" customWidth="1"/>
    <col min="11522" max="11522" width="6.7109375" style="2131" customWidth="1"/>
    <col min="11523" max="11523" width="9" style="2131" bestFit="1" customWidth="1"/>
    <col min="11524" max="11524" width="46.42578125" style="2131" customWidth="1"/>
    <col min="11525" max="11525" width="13.85546875" style="2131" customWidth="1"/>
    <col min="11526" max="11526" width="15.28515625" style="2131" customWidth="1"/>
    <col min="11527" max="11527" width="15.85546875" style="2131" customWidth="1"/>
    <col min="11528" max="11528" width="8.85546875" style="2131" customWidth="1"/>
    <col min="11529" max="11529" width="14.7109375" style="2131" bestFit="1" customWidth="1"/>
    <col min="11530" max="11776" width="9.140625" style="2131"/>
    <col min="11777" max="11777" width="5.5703125" style="2131" customWidth="1"/>
    <col min="11778" max="11778" width="6.7109375" style="2131" customWidth="1"/>
    <col min="11779" max="11779" width="9" style="2131" bestFit="1" customWidth="1"/>
    <col min="11780" max="11780" width="46.42578125" style="2131" customWidth="1"/>
    <col min="11781" max="11781" width="13.85546875" style="2131" customWidth="1"/>
    <col min="11782" max="11782" width="15.28515625" style="2131" customWidth="1"/>
    <col min="11783" max="11783" width="15.85546875" style="2131" customWidth="1"/>
    <col min="11784" max="11784" width="8.85546875" style="2131" customWidth="1"/>
    <col min="11785" max="11785" width="14.7109375" style="2131" bestFit="1" customWidth="1"/>
    <col min="11786" max="12032" width="9.140625" style="2131"/>
    <col min="12033" max="12033" width="5.5703125" style="2131" customWidth="1"/>
    <col min="12034" max="12034" width="6.7109375" style="2131" customWidth="1"/>
    <col min="12035" max="12035" width="9" style="2131" bestFit="1" customWidth="1"/>
    <col min="12036" max="12036" width="46.42578125" style="2131" customWidth="1"/>
    <col min="12037" max="12037" width="13.85546875" style="2131" customWidth="1"/>
    <col min="12038" max="12038" width="15.28515625" style="2131" customWidth="1"/>
    <col min="12039" max="12039" width="15.85546875" style="2131" customWidth="1"/>
    <col min="12040" max="12040" width="8.85546875" style="2131" customWidth="1"/>
    <col min="12041" max="12041" width="14.7109375" style="2131" bestFit="1" customWidth="1"/>
    <col min="12042" max="12288" width="9.140625" style="2131"/>
    <col min="12289" max="12289" width="5.5703125" style="2131" customWidth="1"/>
    <col min="12290" max="12290" width="6.7109375" style="2131" customWidth="1"/>
    <col min="12291" max="12291" width="9" style="2131" bestFit="1" customWidth="1"/>
    <col min="12292" max="12292" width="46.42578125" style="2131" customWidth="1"/>
    <col min="12293" max="12293" width="13.85546875" style="2131" customWidth="1"/>
    <col min="12294" max="12294" width="15.28515625" style="2131" customWidth="1"/>
    <col min="12295" max="12295" width="15.85546875" style="2131" customWidth="1"/>
    <col min="12296" max="12296" width="8.85546875" style="2131" customWidth="1"/>
    <col min="12297" max="12297" width="14.7109375" style="2131" bestFit="1" customWidth="1"/>
    <col min="12298" max="12544" width="9.140625" style="2131"/>
    <col min="12545" max="12545" width="5.5703125" style="2131" customWidth="1"/>
    <col min="12546" max="12546" width="6.7109375" style="2131" customWidth="1"/>
    <col min="12547" max="12547" width="9" style="2131" bestFit="1" customWidth="1"/>
    <col min="12548" max="12548" width="46.42578125" style="2131" customWidth="1"/>
    <col min="12549" max="12549" width="13.85546875" style="2131" customWidth="1"/>
    <col min="12550" max="12550" width="15.28515625" style="2131" customWidth="1"/>
    <col min="12551" max="12551" width="15.85546875" style="2131" customWidth="1"/>
    <col min="12552" max="12552" width="8.85546875" style="2131" customWidth="1"/>
    <col min="12553" max="12553" width="14.7109375" style="2131" bestFit="1" customWidth="1"/>
    <col min="12554" max="12800" width="9.140625" style="2131"/>
    <col min="12801" max="12801" width="5.5703125" style="2131" customWidth="1"/>
    <col min="12802" max="12802" width="6.7109375" style="2131" customWidth="1"/>
    <col min="12803" max="12803" width="9" style="2131" bestFit="1" customWidth="1"/>
    <col min="12804" max="12804" width="46.42578125" style="2131" customWidth="1"/>
    <col min="12805" max="12805" width="13.85546875" style="2131" customWidth="1"/>
    <col min="12806" max="12806" width="15.28515625" style="2131" customWidth="1"/>
    <col min="12807" max="12807" width="15.85546875" style="2131" customWidth="1"/>
    <col min="12808" max="12808" width="8.85546875" style="2131" customWidth="1"/>
    <col min="12809" max="12809" width="14.7109375" style="2131" bestFit="1" customWidth="1"/>
    <col min="12810" max="13056" width="9.140625" style="2131"/>
    <col min="13057" max="13057" width="5.5703125" style="2131" customWidth="1"/>
    <col min="13058" max="13058" width="6.7109375" style="2131" customWidth="1"/>
    <col min="13059" max="13059" width="9" style="2131" bestFit="1" customWidth="1"/>
    <col min="13060" max="13060" width="46.42578125" style="2131" customWidth="1"/>
    <col min="13061" max="13061" width="13.85546875" style="2131" customWidth="1"/>
    <col min="13062" max="13062" width="15.28515625" style="2131" customWidth="1"/>
    <col min="13063" max="13063" width="15.85546875" style="2131" customWidth="1"/>
    <col min="13064" max="13064" width="8.85546875" style="2131" customWidth="1"/>
    <col min="13065" max="13065" width="14.7109375" style="2131" bestFit="1" customWidth="1"/>
    <col min="13066" max="13312" width="9.140625" style="2131"/>
    <col min="13313" max="13313" width="5.5703125" style="2131" customWidth="1"/>
    <col min="13314" max="13314" width="6.7109375" style="2131" customWidth="1"/>
    <col min="13315" max="13315" width="9" style="2131" bestFit="1" customWidth="1"/>
    <col min="13316" max="13316" width="46.42578125" style="2131" customWidth="1"/>
    <col min="13317" max="13317" width="13.85546875" style="2131" customWidth="1"/>
    <col min="13318" max="13318" width="15.28515625" style="2131" customWidth="1"/>
    <col min="13319" max="13319" width="15.85546875" style="2131" customWidth="1"/>
    <col min="13320" max="13320" width="8.85546875" style="2131" customWidth="1"/>
    <col min="13321" max="13321" width="14.7109375" style="2131" bestFit="1" customWidth="1"/>
    <col min="13322" max="13568" width="9.140625" style="2131"/>
    <col min="13569" max="13569" width="5.5703125" style="2131" customWidth="1"/>
    <col min="13570" max="13570" width="6.7109375" style="2131" customWidth="1"/>
    <col min="13571" max="13571" width="9" style="2131" bestFit="1" customWidth="1"/>
    <col min="13572" max="13572" width="46.42578125" style="2131" customWidth="1"/>
    <col min="13573" max="13573" width="13.85546875" style="2131" customWidth="1"/>
    <col min="13574" max="13574" width="15.28515625" style="2131" customWidth="1"/>
    <col min="13575" max="13575" width="15.85546875" style="2131" customWidth="1"/>
    <col min="13576" max="13576" width="8.85546875" style="2131" customWidth="1"/>
    <col min="13577" max="13577" width="14.7109375" style="2131" bestFit="1" customWidth="1"/>
    <col min="13578" max="13824" width="9.140625" style="2131"/>
    <col min="13825" max="13825" width="5.5703125" style="2131" customWidth="1"/>
    <col min="13826" max="13826" width="6.7109375" style="2131" customWidth="1"/>
    <col min="13827" max="13827" width="9" style="2131" bestFit="1" customWidth="1"/>
    <col min="13828" max="13828" width="46.42578125" style="2131" customWidth="1"/>
    <col min="13829" max="13829" width="13.85546875" style="2131" customWidth="1"/>
    <col min="13830" max="13830" width="15.28515625" style="2131" customWidth="1"/>
    <col min="13831" max="13831" width="15.85546875" style="2131" customWidth="1"/>
    <col min="13832" max="13832" width="8.85546875" style="2131" customWidth="1"/>
    <col min="13833" max="13833" width="14.7109375" style="2131" bestFit="1" customWidth="1"/>
    <col min="13834" max="14080" width="9.140625" style="2131"/>
    <col min="14081" max="14081" width="5.5703125" style="2131" customWidth="1"/>
    <col min="14082" max="14082" width="6.7109375" style="2131" customWidth="1"/>
    <col min="14083" max="14083" width="9" style="2131" bestFit="1" customWidth="1"/>
    <col min="14084" max="14084" width="46.42578125" style="2131" customWidth="1"/>
    <col min="14085" max="14085" width="13.85546875" style="2131" customWidth="1"/>
    <col min="14086" max="14086" width="15.28515625" style="2131" customWidth="1"/>
    <col min="14087" max="14087" width="15.85546875" style="2131" customWidth="1"/>
    <col min="14088" max="14088" width="8.85546875" style="2131" customWidth="1"/>
    <col min="14089" max="14089" width="14.7109375" style="2131" bestFit="1" customWidth="1"/>
    <col min="14090" max="14336" width="9.140625" style="2131"/>
    <col min="14337" max="14337" width="5.5703125" style="2131" customWidth="1"/>
    <col min="14338" max="14338" width="6.7109375" style="2131" customWidth="1"/>
    <col min="14339" max="14339" width="9" style="2131" bestFit="1" customWidth="1"/>
    <col min="14340" max="14340" width="46.42578125" style="2131" customWidth="1"/>
    <col min="14341" max="14341" width="13.85546875" style="2131" customWidth="1"/>
    <col min="14342" max="14342" width="15.28515625" style="2131" customWidth="1"/>
    <col min="14343" max="14343" width="15.85546875" style="2131" customWidth="1"/>
    <col min="14344" max="14344" width="8.85546875" style="2131" customWidth="1"/>
    <col min="14345" max="14345" width="14.7109375" style="2131" bestFit="1" customWidth="1"/>
    <col min="14346" max="14592" width="9.140625" style="2131"/>
    <col min="14593" max="14593" width="5.5703125" style="2131" customWidth="1"/>
    <col min="14594" max="14594" width="6.7109375" style="2131" customWidth="1"/>
    <col min="14595" max="14595" width="9" style="2131" bestFit="1" customWidth="1"/>
    <col min="14596" max="14596" width="46.42578125" style="2131" customWidth="1"/>
    <col min="14597" max="14597" width="13.85546875" style="2131" customWidth="1"/>
    <col min="14598" max="14598" width="15.28515625" style="2131" customWidth="1"/>
    <col min="14599" max="14599" width="15.85546875" style="2131" customWidth="1"/>
    <col min="14600" max="14600" width="8.85546875" style="2131" customWidth="1"/>
    <col min="14601" max="14601" width="14.7109375" style="2131" bestFit="1" customWidth="1"/>
    <col min="14602" max="14848" width="9.140625" style="2131"/>
    <col min="14849" max="14849" width="5.5703125" style="2131" customWidth="1"/>
    <col min="14850" max="14850" width="6.7109375" style="2131" customWidth="1"/>
    <col min="14851" max="14851" width="9" style="2131" bestFit="1" customWidth="1"/>
    <col min="14852" max="14852" width="46.42578125" style="2131" customWidth="1"/>
    <col min="14853" max="14853" width="13.85546875" style="2131" customWidth="1"/>
    <col min="14854" max="14854" width="15.28515625" style="2131" customWidth="1"/>
    <col min="14855" max="14855" width="15.85546875" style="2131" customWidth="1"/>
    <col min="14856" max="14856" width="8.85546875" style="2131" customWidth="1"/>
    <col min="14857" max="14857" width="14.7109375" style="2131" bestFit="1" customWidth="1"/>
    <col min="14858" max="15104" width="9.140625" style="2131"/>
    <col min="15105" max="15105" width="5.5703125" style="2131" customWidth="1"/>
    <col min="15106" max="15106" width="6.7109375" style="2131" customWidth="1"/>
    <col min="15107" max="15107" width="9" style="2131" bestFit="1" customWidth="1"/>
    <col min="15108" max="15108" width="46.42578125" style="2131" customWidth="1"/>
    <col min="15109" max="15109" width="13.85546875" style="2131" customWidth="1"/>
    <col min="15110" max="15110" width="15.28515625" style="2131" customWidth="1"/>
    <col min="15111" max="15111" width="15.85546875" style="2131" customWidth="1"/>
    <col min="15112" max="15112" width="8.85546875" style="2131" customWidth="1"/>
    <col min="15113" max="15113" width="14.7109375" style="2131" bestFit="1" customWidth="1"/>
    <col min="15114" max="15360" width="9.140625" style="2131"/>
    <col min="15361" max="15361" width="5.5703125" style="2131" customWidth="1"/>
    <col min="15362" max="15362" width="6.7109375" style="2131" customWidth="1"/>
    <col min="15363" max="15363" width="9" style="2131" bestFit="1" customWidth="1"/>
    <col min="15364" max="15364" width="46.42578125" style="2131" customWidth="1"/>
    <col min="15365" max="15365" width="13.85546875" style="2131" customWidth="1"/>
    <col min="15366" max="15366" width="15.28515625" style="2131" customWidth="1"/>
    <col min="15367" max="15367" width="15.85546875" style="2131" customWidth="1"/>
    <col min="15368" max="15368" width="8.85546875" style="2131" customWidth="1"/>
    <col min="15369" max="15369" width="14.7109375" style="2131" bestFit="1" customWidth="1"/>
    <col min="15370" max="15616" width="9.140625" style="2131"/>
    <col min="15617" max="15617" width="5.5703125" style="2131" customWidth="1"/>
    <col min="15618" max="15618" width="6.7109375" style="2131" customWidth="1"/>
    <col min="15619" max="15619" width="9" style="2131" bestFit="1" customWidth="1"/>
    <col min="15620" max="15620" width="46.42578125" style="2131" customWidth="1"/>
    <col min="15621" max="15621" width="13.85546875" style="2131" customWidth="1"/>
    <col min="15622" max="15622" width="15.28515625" style="2131" customWidth="1"/>
    <col min="15623" max="15623" width="15.85546875" style="2131" customWidth="1"/>
    <col min="15624" max="15624" width="8.85546875" style="2131" customWidth="1"/>
    <col min="15625" max="15625" width="14.7109375" style="2131" bestFit="1" customWidth="1"/>
    <col min="15626" max="15872" width="9.140625" style="2131"/>
    <col min="15873" max="15873" width="5.5703125" style="2131" customWidth="1"/>
    <col min="15874" max="15874" width="6.7109375" style="2131" customWidth="1"/>
    <col min="15875" max="15875" width="9" style="2131" bestFit="1" customWidth="1"/>
    <col min="15876" max="15876" width="46.42578125" style="2131" customWidth="1"/>
    <col min="15877" max="15877" width="13.85546875" style="2131" customWidth="1"/>
    <col min="15878" max="15878" width="15.28515625" style="2131" customWidth="1"/>
    <col min="15879" max="15879" width="15.85546875" style="2131" customWidth="1"/>
    <col min="15880" max="15880" width="8.85546875" style="2131" customWidth="1"/>
    <col min="15881" max="15881" width="14.7109375" style="2131" bestFit="1" customWidth="1"/>
    <col min="15882" max="16128" width="9.140625" style="2131"/>
    <col min="16129" max="16129" width="5.5703125" style="2131" customWidth="1"/>
    <col min="16130" max="16130" width="6.7109375" style="2131" customWidth="1"/>
    <col min="16131" max="16131" width="9" style="2131" bestFit="1" customWidth="1"/>
    <col min="16132" max="16132" width="46.42578125" style="2131" customWidth="1"/>
    <col min="16133" max="16133" width="13.85546875" style="2131" customWidth="1"/>
    <col min="16134" max="16134" width="15.28515625" style="2131" customWidth="1"/>
    <col min="16135" max="16135" width="15.85546875" style="2131" customWidth="1"/>
    <col min="16136" max="16136" width="8.85546875" style="2131" customWidth="1"/>
    <col min="16137" max="16137" width="14.7109375" style="2131" bestFit="1" customWidth="1"/>
    <col min="16138" max="16384" width="9.140625" style="2131"/>
  </cols>
  <sheetData>
    <row r="1" spans="1:12" ht="18.75" thickBot="1" x14ac:dyDescent="0.3">
      <c r="A1" s="2220" t="s">
        <v>658</v>
      </c>
      <c r="B1" s="2221"/>
      <c r="C1" s="2221"/>
      <c r="D1" s="2221"/>
      <c r="E1" s="2168"/>
      <c r="F1" s="2168"/>
      <c r="G1" s="2168"/>
      <c r="H1" s="2222" t="s">
        <v>1325</v>
      </c>
    </row>
    <row r="3" spans="1:12" s="1791" customFormat="1" ht="12.75" customHeight="1" x14ac:dyDescent="0.2">
      <c r="A3" s="1939" t="s">
        <v>404</v>
      </c>
      <c r="B3" s="1870"/>
      <c r="C3" s="2129" t="s">
        <v>957</v>
      </c>
    </row>
    <row r="4" spans="1:12" s="1791" customFormat="1" ht="12.75" customHeight="1" x14ac:dyDescent="0.25">
      <c r="A4" s="1936"/>
      <c r="B4" s="1870"/>
      <c r="C4" s="2129" t="s">
        <v>958</v>
      </c>
    </row>
    <row r="5" spans="1:12" ht="18" x14ac:dyDescent="0.25">
      <c r="A5" s="2134" t="s">
        <v>1457</v>
      </c>
    </row>
    <row r="7" spans="1:12" ht="15.75" thickBot="1" x14ac:dyDescent="0.3">
      <c r="A7" s="2136" t="s">
        <v>273</v>
      </c>
      <c r="H7" s="2161" t="s">
        <v>179</v>
      </c>
    </row>
    <row r="8" spans="1:12" ht="13.5" hidden="1" thickBot="1" x14ac:dyDescent="0.25">
      <c r="H8" s="2161" t="s">
        <v>179</v>
      </c>
    </row>
    <row r="9" spans="1:12" ht="25.5" thickTop="1" thickBot="1" x14ac:dyDescent="0.25">
      <c r="A9" s="2138" t="s">
        <v>180</v>
      </c>
      <c r="B9" s="2139" t="s">
        <v>847</v>
      </c>
      <c r="C9" s="2139" t="s">
        <v>414</v>
      </c>
      <c r="D9" s="2140" t="s">
        <v>182</v>
      </c>
      <c r="E9" s="2171" t="s">
        <v>700</v>
      </c>
      <c r="F9" s="2171" t="s">
        <v>701</v>
      </c>
      <c r="G9" s="2172" t="s">
        <v>986</v>
      </c>
      <c r="H9" s="2173" t="s">
        <v>987</v>
      </c>
    </row>
    <row r="10" spans="1:12" ht="14.25" thickTop="1" thickBot="1" x14ac:dyDescent="0.25">
      <c r="A10" s="1854">
        <v>1</v>
      </c>
      <c r="B10" s="1853">
        <v>2</v>
      </c>
      <c r="C10" s="1853">
        <v>3</v>
      </c>
      <c r="D10" s="1853">
        <v>4</v>
      </c>
      <c r="E10" s="1852">
        <v>5</v>
      </c>
      <c r="F10" s="1852">
        <v>6</v>
      </c>
      <c r="G10" s="2223">
        <v>7</v>
      </c>
      <c r="H10" s="2146" t="s">
        <v>61</v>
      </c>
    </row>
    <row r="11" spans="1:12" ht="15.95" customHeight="1" thickTop="1" thickBot="1" x14ac:dyDescent="0.3">
      <c r="A11" s="2147">
        <v>6409</v>
      </c>
      <c r="B11" s="2148">
        <v>5909</v>
      </c>
      <c r="C11" s="2148"/>
      <c r="D11" s="2174" t="s">
        <v>870</v>
      </c>
      <c r="E11" s="2154">
        <v>0</v>
      </c>
      <c r="F11" s="2154">
        <v>0</v>
      </c>
      <c r="G11" s="2196">
        <v>1</v>
      </c>
      <c r="H11" s="2157">
        <v>0</v>
      </c>
    </row>
    <row r="12" spans="1:12" ht="16.5" thickTop="1" thickBot="1" x14ac:dyDescent="0.3">
      <c r="A12" s="2224" t="s">
        <v>849</v>
      </c>
      <c r="B12" s="2225"/>
      <c r="C12" s="2225"/>
      <c r="D12" s="2225"/>
      <c r="E12" s="2152">
        <f>SUM(E11:E11)</f>
        <v>0</v>
      </c>
      <c r="F12" s="2152">
        <f>SUM(F11:F11)</f>
        <v>0</v>
      </c>
      <c r="G12" s="2152">
        <f>SUM(G11:G11)</f>
        <v>1</v>
      </c>
      <c r="H12" s="2163">
        <v>0</v>
      </c>
    </row>
    <row r="13" spans="1:12" ht="13.5" thickTop="1" x14ac:dyDescent="0.2"/>
    <row r="14" spans="1:12" s="2226" customFormat="1" x14ac:dyDescent="0.2">
      <c r="A14" s="2130"/>
      <c r="B14" s="2130"/>
      <c r="C14" s="2130"/>
      <c r="D14" s="2131"/>
      <c r="E14" s="2165"/>
      <c r="F14" s="2165"/>
      <c r="G14" s="2165"/>
      <c r="H14" s="2131"/>
    </row>
    <row r="15" spans="1:12" s="2226" customFormat="1" ht="16.5" x14ac:dyDescent="0.25">
      <c r="A15" s="2206" t="s">
        <v>508</v>
      </c>
      <c r="B15" s="2207"/>
      <c r="C15" s="2208"/>
      <c r="D15" s="2209"/>
      <c r="E15" s="2210">
        <f>SUM(E16:E18)</f>
        <v>0</v>
      </c>
      <c r="F15" s="2210">
        <f>F16+F17+F18+F19</f>
        <v>0</v>
      </c>
      <c r="G15" s="2210">
        <f>G16+G17+G18+G19</f>
        <v>1</v>
      </c>
      <c r="H15" s="2227">
        <v>0</v>
      </c>
      <c r="J15" s="2228">
        <f>J16+J17+J18</f>
        <v>0</v>
      </c>
      <c r="K15" s="2228">
        <f>K16+K17+K18</f>
        <v>0</v>
      </c>
      <c r="L15" s="2228">
        <f>L16+L17+L18</f>
        <v>831.8</v>
      </c>
    </row>
    <row r="16" spans="1:12" s="2226" customFormat="1" ht="15" x14ac:dyDescent="0.2">
      <c r="A16" s="1810" t="s">
        <v>288</v>
      </c>
      <c r="B16" s="1813"/>
      <c r="C16" s="1808"/>
      <c r="D16" s="2213"/>
      <c r="E16" s="1811">
        <f>SUM(E11)</f>
        <v>0</v>
      </c>
      <c r="F16" s="1811">
        <f>SUM(F11)</f>
        <v>0</v>
      </c>
      <c r="G16" s="1811">
        <f>SUM(G11)</f>
        <v>1</v>
      </c>
      <c r="H16" s="1806">
        <v>0</v>
      </c>
      <c r="J16" s="2229">
        <v>0</v>
      </c>
      <c r="K16" s="2229">
        <v>0</v>
      </c>
      <c r="L16" s="2229">
        <v>831.8</v>
      </c>
    </row>
    <row r="17" spans="1:12" ht="15" x14ac:dyDescent="0.2">
      <c r="A17" s="1810" t="s">
        <v>289</v>
      </c>
      <c r="B17" s="1809"/>
      <c r="C17" s="1808"/>
      <c r="D17" s="2215"/>
      <c r="E17" s="1811">
        <v>0</v>
      </c>
      <c r="F17" s="1811">
        <v>0</v>
      </c>
      <c r="G17" s="1811">
        <v>0</v>
      </c>
      <c r="H17" s="1806">
        <v>0</v>
      </c>
      <c r="J17" s="2214">
        <v>0</v>
      </c>
      <c r="K17" s="2214">
        <v>0</v>
      </c>
      <c r="L17" s="2214">
        <v>0</v>
      </c>
    </row>
    <row r="18" spans="1:12" ht="15" x14ac:dyDescent="0.2">
      <c r="A18" s="1810" t="s">
        <v>509</v>
      </c>
      <c r="B18" s="1809"/>
      <c r="C18" s="1808"/>
      <c r="D18" s="2215"/>
      <c r="E18" s="1811">
        <v>0</v>
      </c>
      <c r="F18" s="1811">
        <v>0</v>
      </c>
      <c r="G18" s="1811">
        <v>0</v>
      </c>
      <c r="H18" s="1806">
        <v>0</v>
      </c>
      <c r="J18" s="2214">
        <v>0</v>
      </c>
      <c r="K18" s="2214">
        <v>0</v>
      </c>
      <c r="L18" s="2214">
        <v>0</v>
      </c>
    </row>
    <row r="19" spans="1:12" ht="15" x14ac:dyDescent="0.2">
      <c r="A19" s="1810"/>
      <c r="B19" s="1809"/>
      <c r="C19" s="1808"/>
      <c r="D19" s="2215"/>
      <c r="E19" s="1811"/>
      <c r="F19" s="1811"/>
      <c r="G19" s="1811"/>
      <c r="H19" s="1807"/>
    </row>
    <row r="20" spans="1:12" s="2164" customFormat="1" ht="24" thickBot="1" x14ac:dyDescent="0.4">
      <c r="A20" s="2800" t="s">
        <v>632</v>
      </c>
      <c r="B20" s="2801"/>
      <c r="C20" s="2801"/>
      <c r="D20" s="2801"/>
      <c r="E20" s="1801">
        <f>SUM(E15)</f>
        <v>0</v>
      </c>
      <c r="F20" s="1801">
        <f>SUM(F15)</f>
        <v>0</v>
      </c>
      <c r="G20" s="1801">
        <f>SUM(G15)</f>
        <v>1</v>
      </c>
      <c r="H20" s="2230">
        <v>0</v>
      </c>
    </row>
    <row r="21" spans="1:12" ht="13.5" thickTop="1" x14ac:dyDescent="0.2"/>
    <row r="22" spans="1:12" s="2213" customFormat="1" ht="15" x14ac:dyDescent="0.2">
      <c r="A22" s="2130"/>
      <c r="B22" s="2130"/>
      <c r="C22" s="2130"/>
      <c r="D22" s="2131"/>
      <c r="E22" s="2165"/>
      <c r="F22" s="2165"/>
      <c r="G22" s="2165"/>
      <c r="H22" s="2131"/>
    </row>
    <row r="25" spans="1:12" s="2218" customFormat="1" x14ac:dyDescent="0.2">
      <c r="A25" s="2130"/>
      <c r="B25" s="2130"/>
      <c r="C25" s="2130"/>
      <c r="D25" s="2131"/>
      <c r="E25" s="2165"/>
      <c r="F25" s="2165"/>
      <c r="G25" s="2165"/>
      <c r="H25" s="2131"/>
    </row>
    <row r="26" spans="1:12" s="1791" customFormat="1" x14ac:dyDescent="0.2">
      <c r="A26" s="2130"/>
      <c r="B26" s="2130"/>
      <c r="C26" s="2130"/>
      <c r="D26" s="2131"/>
      <c r="E26" s="2165"/>
      <c r="F26" s="2165"/>
      <c r="G26" s="2165"/>
      <c r="H26" s="2131"/>
    </row>
    <row r="27" spans="1:12" s="1791" customFormat="1" x14ac:dyDescent="0.2">
      <c r="A27" s="2130"/>
      <c r="B27" s="2130"/>
      <c r="C27" s="2130"/>
      <c r="D27" s="2131"/>
      <c r="E27" s="2165"/>
      <c r="F27" s="2165"/>
      <c r="G27" s="2165"/>
      <c r="H27" s="2131"/>
    </row>
    <row r="28" spans="1:12" s="1791" customFormat="1" x14ac:dyDescent="0.2">
      <c r="A28" s="2130"/>
      <c r="B28" s="2130"/>
      <c r="C28" s="2130"/>
      <c r="D28" s="2131"/>
      <c r="E28" s="2165"/>
      <c r="F28" s="2165"/>
      <c r="G28" s="2165"/>
      <c r="H28" s="2131"/>
    </row>
    <row r="29" spans="1:12" s="1791" customFormat="1" x14ac:dyDescent="0.2">
      <c r="A29" s="2130"/>
      <c r="B29" s="2130"/>
      <c r="C29" s="2130"/>
      <c r="D29" s="2131"/>
      <c r="E29" s="2165"/>
      <c r="F29" s="2165"/>
      <c r="G29" s="2165"/>
      <c r="H29" s="2131"/>
    </row>
    <row r="30" spans="1:12" s="1799" customFormat="1" ht="54.75" customHeight="1" x14ac:dyDescent="0.35">
      <c r="A30" s="2130"/>
      <c r="B30" s="2130"/>
      <c r="C30" s="2130"/>
      <c r="D30" s="2131"/>
      <c r="E30" s="2165"/>
      <c r="F30" s="2165"/>
      <c r="G30" s="2165"/>
      <c r="H30" s="2131"/>
    </row>
  </sheetData>
  <mergeCells count="1">
    <mergeCell ref="A20:D20"/>
  </mergeCells>
  <pageMargins left="0.98425196850393704" right="0.78740157480314965" top="0.98425196850393704" bottom="0.98425196850393704" header="0.51181102362204722" footer="0.51181102362204722"/>
  <pageSetup paperSize="9" scale="65" firstPageNumber="130" orientation="portrait" useFirstPageNumber="1" r:id="rId1"/>
  <headerFooter alignWithMargins="0">
    <oddFooter xml:space="preserve">&amp;L&amp;"Arial,Kurzíva"Zastupitelstvo Olomouckého kraje 28. 6. 2013
6.- Závěrečný  účet Olomuckého kraje za rok 2012
Příloha č. 3: Plnění rozpočtu výdajů Olomouckého kraje k 31.12.2012&amp;R&amp;"Arial,Kurzíva"Strana &amp;P (Celkem 484)
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1"/>
  </sheetPr>
  <dimension ref="A1:I20"/>
  <sheetViews>
    <sheetView showGridLines="0" zoomScaleNormal="100" workbookViewId="0">
      <selection activeCell="F21" sqref="F21"/>
    </sheetView>
  </sheetViews>
  <sheetFormatPr defaultRowHeight="12.75" x14ac:dyDescent="0.2"/>
  <cols>
    <col min="1" max="1" width="4.7109375" style="414" customWidth="1"/>
    <col min="2" max="2" width="6.7109375" style="414" customWidth="1"/>
    <col min="3" max="3" width="9" style="414" bestFit="1" customWidth="1"/>
    <col min="4" max="4" width="46.42578125" style="349" customWidth="1"/>
    <col min="5" max="5" width="13.85546875" style="472" customWidth="1"/>
    <col min="6" max="6" width="14.85546875" style="472" customWidth="1"/>
    <col min="7" max="7" width="13.85546875" style="472" customWidth="1"/>
    <col min="8" max="8" width="6.42578125" style="349" customWidth="1"/>
    <col min="9" max="9" width="19.85546875" style="349" customWidth="1"/>
    <col min="10" max="16384" width="9.140625" style="349"/>
  </cols>
  <sheetData>
    <row r="1" spans="1:9" ht="18" x14ac:dyDescent="0.25">
      <c r="A1" s="495" t="s">
        <v>929</v>
      </c>
      <c r="B1" s="496"/>
      <c r="C1" s="496"/>
      <c r="D1" s="496"/>
      <c r="E1" s="496"/>
      <c r="F1" s="496"/>
      <c r="G1" s="419"/>
    </row>
    <row r="2" spans="1:9" ht="18" x14ac:dyDescent="0.25">
      <c r="A2" s="647" t="s">
        <v>890</v>
      </c>
      <c r="B2" s="648"/>
      <c r="C2" s="648"/>
      <c r="D2" s="648"/>
      <c r="E2" s="648"/>
      <c r="F2" s="648"/>
      <c r="G2" s="419"/>
      <c r="H2" s="598" t="s">
        <v>891</v>
      </c>
    </row>
    <row r="3" spans="1:9" ht="18" x14ac:dyDescent="0.25">
      <c r="B3" s="419"/>
      <c r="C3" s="419"/>
      <c r="D3" s="419"/>
      <c r="E3" s="419"/>
      <c r="F3" s="419"/>
      <c r="G3" s="419"/>
      <c r="H3" s="598"/>
    </row>
    <row r="4" spans="1:9" s="384" customFormat="1" ht="16.5" customHeight="1" x14ac:dyDescent="0.2">
      <c r="A4" s="67" t="s">
        <v>404</v>
      </c>
      <c r="B4" s="28"/>
      <c r="C4" s="557" t="s">
        <v>379</v>
      </c>
    </row>
    <row r="5" spans="1:9" s="384" customFormat="1" ht="12.75" customHeight="1" x14ac:dyDescent="0.25">
      <c r="A5" s="6"/>
      <c r="B5" s="28"/>
      <c r="C5" s="557" t="s">
        <v>380</v>
      </c>
    </row>
    <row r="6" spans="1:9" ht="18" x14ac:dyDescent="0.25">
      <c r="A6" s="420" t="s">
        <v>892</v>
      </c>
      <c r="B6" s="419"/>
      <c r="C6" s="419"/>
      <c r="D6" s="419"/>
      <c r="E6" s="419"/>
      <c r="F6" s="419"/>
      <c r="G6" s="419"/>
      <c r="H6" s="598"/>
    </row>
    <row r="7" spans="1:9" ht="18.75" thickBot="1" x14ac:dyDescent="0.3">
      <c r="A7" s="420"/>
      <c r="B7" s="419"/>
      <c r="C7" s="419"/>
      <c r="D7" s="419"/>
      <c r="E7" s="419"/>
      <c r="F7" s="419"/>
      <c r="G7" s="419"/>
      <c r="H7" s="632" t="s">
        <v>1379</v>
      </c>
    </row>
    <row r="8" spans="1:9" s="386" customFormat="1" ht="25.5" thickTop="1" thickBot="1" x14ac:dyDescent="0.25">
      <c r="A8" s="561" t="s">
        <v>180</v>
      </c>
      <c r="B8" s="562" t="s">
        <v>847</v>
      </c>
      <c r="C8" s="562" t="s">
        <v>414</v>
      </c>
      <c r="D8" s="563" t="s">
        <v>182</v>
      </c>
      <c r="E8" s="564" t="s">
        <v>700</v>
      </c>
      <c r="F8" s="564" t="s">
        <v>701</v>
      </c>
      <c r="G8" s="565" t="s">
        <v>986</v>
      </c>
      <c r="H8" s="566" t="s">
        <v>987</v>
      </c>
    </row>
    <row r="9" spans="1:9" s="386" customFormat="1" ht="13.5" thickTop="1" thickBot="1" x14ac:dyDescent="0.25">
      <c r="A9" s="592">
        <v>1</v>
      </c>
      <c r="B9" s="593">
        <v>2</v>
      </c>
      <c r="C9" s="593">
        <v>3</v>
      </c>
      <c r="D9" s="593">
        <v>4</v>
      </c>
      <c r="E9" s="567">
        <v>5</v>
      </c>
      <c r="F9" s="567">
        <v>6</v>
      </c>
      <c r="G9" s="568">
        <v>7</v>
      </c>
      <c r="H9" s="569" t="s">
        <v>61</v>
      </c>
    </row>
    <row r="10" spans="1:9" s="421" customFormat="1" ht="16.5" thickTop="1" thickBot="1" x14ac:dyDescent="0.25">
      <c r="A10" s="422">
        <v>6409</v>
      </c>
      <c r="B10" s="423">
        <v>5909</v>
      </c>
      <c r="C10" s="424"/>
      <c r="D10" s="425" t="s">
        <v>854</v>
      </c>
      <c r="E10" s="417">
        <v>0</v>
      </c>
      <c r="F10" s="417">
        <v>0</v>
      </c>
      <c r="G10" s="428">
        <v>0</v>
      </c>
      <c r="H10" s="652">
        <v>0</v>
      </c>
    </row>
    <row r="11" spans="1:9" s="340" customFormat="1" ht="16.5" thickTop="1" thickBot="1" x14ac:dyDescent="0.3">
      <c r="A11" s="2810" t="s">
        <v>849</v>
      </c>
      <c r="B11" s="2811"/>
      <c r="C11" s="2811"/>
      <c r="D11" s="2811"/>
      <c r="E11" s="596">
        <f>SUM(E10:E10)</f>
        <v>0</v>
      </c>
      <c r="F11" s="596">
        <f>SUM(F10:F10)</f>
        <v>0</v>
      </c>
      <c r="G11" s="649">
        <f>SUM(G10:G10)</f>
        <v>0</v>
      </c>
      <c r="H11" s="453">
        <v>0</v>
      </c>
      <c r="I11" s="604"/>
    </row>
    <row r="12" spans="1:9" ht="13.5" thickTop="1" x14ac:dyDescent="0.2">
      <c r="I12" s="472"/>
    </row>
    <row r="14" spans="1:9" s="626" customFormat="1" ht="16.5" x14ac:dyDescent="0.25">
      <c r="A14" s="605" t="s">
        <v>508</v>
      </c>
      <c r="B14" s="606"/>
      <c r="C14" s="607"/>
      <c r="D14" s="608"/>
      <c r="E14" s="609">
        <f>SUM(E15:E17)</f>
        <v>0</v>
      </c>
      <c r="F14" s="609">
        <f>F15+F16+F17+F18</f>
        <v>0</v>
      </c>
      <c r="G14" s="609">
        <f>G15+G16+G17+G18</f>
        <v>0</v>
      </c>
      <c r="H14" s="610">
        <v>0</v>
      </c>
    </row>
    <row r="15" spans="1:9" s="384" customFormat="1" ht="15" x14ac:dyDescent="0.2">
      <c r="A15" s="581" t="s">
        <v>288</v>
      </c>
      <c r="B15" s="611"/>
      <c r="C15" s="612"/>
      <c r="D15" s="613"/>
      <c r="E15" s="614">
        <f>E11</f>
        <v>0</v>
      </c>
      <c r="F15" s="614">
        <f>F11</f>
        <v>0</v>
      </c>
      <c r="G15" s="614">
        <f>G11</f>
        <v>0</v>
      </c>
      <c r="H15" s="615">
        <v>0</v>
      </c>
    </row>
    <row r="16" spans="1:9" s="384" customFormat="1" ht="15" x14ac:dyDescent="0.2">
      <c r="A16" s="581" t="s">
        <v>289</v>
      </c>
      <c r="B16" s="616"/>
      <c r="C16" s="612"/>
      <c r="D16" s="617"/>
      <c r="E16" s="614">
        <v>0</v>
      </c>
      <c r="F16" s="614">
        <v>0</v>
      </c>
      <c r="G16" s="614">
        <v>0</v>
      </c>
      <c r="H16" s="615">
        <v>0</v>
      </c>
    </row>
    <row r="17" spans="1:8" s="384" customFormat="1" ht="15" x14ac:dyDescent="0.2">
      <c r="A17" s="581" t="s">
        <v>509</v>
      </c>
      <c r="B17" s="616"/>
      <c r="C17" s="612"/>
      <c r="D17" s="617"/>
      <c r="E17" s="614">
        <v>0</v>
      </c>
      <c r="F17" s="614">
        <v>0</v>
      </c>
      <c r="G17" s="614">
        <v>0</v>
      </c>
      <c r="H17" s="631">
        <v>0</v>
      </c>
    </row>
    <row r="18" spans="1:8" s="384" customFormat="1" ht="15" x14ac:dyDescent="0.2">
      <c r="A18" s="581"/>
      <c r="B18" s="616"/>
      <c r="C18" s="612"/>
      <c r="D18" s="617"/>
      <c r="E18" s="614"/>
      <c r="F18" s="614"/>
      <c r="G18" s="614"/>
      <c r="H18" s="618"/>
    </row>
    <row r="19" spans="1:8" s="58" customFormat="1" ht="69" customHeight="1" thickBot="1" x14ac:dyDescent="0.4">
      <c r="A19" s="2710" t="s">
        <v>857</v>
      </c>
      <c r="B19" s="2812"/>
      <c r="C19" s="2812"/>
      <c r="D19" s="2812"/>
      <c r="E19" s="619">
        <f>SUM(E14)</f>
        <v>0</v>
      </c>
      <c r="F19" s="619">
        <f>SUM(F14)</f>
        <v>0</v>
      </c>
      <c r="G19" s="619">
        <f>SUM(G14)</f>
        <v>0</v>
      </c>
      <c r="H19" s="635">
        <v>0</v>
      </c>
    </row>
    <row r="20" spans="1:8" ht="13.5" thickTop="1" x14ac:dyDescent="0.2"/>
  </sheetData>
  <mergeCells count="2">
    <mergeCell ref="A11:D11"/>
    <mergeCell ref="A19:D19"/>
  </mergeCells>
  <phoneticPr fontId="33" type="noConversion"/>
  <pageMargins left="0.98425196850393704" right="0.98425196850393704" top="0.98425196850393704" bottom="0.98425196850393704" header="0.51181102362204722" footer="0.51181102362204722"/>
  <pageSetup paperSize="9" scale="70" firstPageNumber="142" orientation="portrait" r:id="rId1"/>
  <headerFooter alignWithMargins="0">
    <oddFooter xml:space="preserve">&amp;L&amp;"Arial,Kurzíva"Zastupitelstvo Olomouckého kraje 28.6.2010
8.- Rozpočet Olomouckého kraje 2009 - závěrečný  účet
Příloha č. 3: Plnění rozpočtu výdajů Olomouckého kraje k 31.12.2009&amp;R&amp;"Arial,Kurzíva"Strana &amp;P (Celkem 464)
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1"/>
  </sheetPr>
  <dimension ref="A1:H22"/>
  <sheetViews>
    <sheetView showGridLines="0" zoomScaleNormal="100" workbookViewId="0">
      <selection activeCell="A267" sqref="A267"/>
    </sheetView>
  </sheetViews>
  <sheetFormatPr defaultRowHeight="12.75" x14ac:dyDescent="0.2"/>
  <cols>
    <col min="1" max="1" width="4.7109375" style="414" customWidth="1"/>
    <col min="2" max="2" width="6.7109375" style="414" customWidth="1"/>
    <col min="3" max="3" width="9" style="414" bestFit="1" customWidth="1"/>
    <col min="4" max="4" width="46.42578125" style="349" customWidth="1"/>
    <col min="5" max="5" width="13.85546875" style="426" customWidth="1"/>
    <col min="6" max="6" width="14.85546875" style="426" customWidth="1"/>
    <col min="7" max="7" width="13.85546875" style="426" customWidth="1"/>
    <col min="8" max="8" width="6.5703125" style="426" customWidth="1"/>
    <col min="9" max="9" width="16" style="349" bestFit="1" customWidth="1"/>
    <col min="10" max="16384" width="9.140625" style="349"/>
  </cols>
  <sheetData>
    <row r="1" spans="1:8" ht="18.75" thickBot="1" x14ac:dyDescent="0.3">
      <c r="A1" s="493" t="s">
        <v>858</v>
      </c>
      <c r="B1" s="494"/>
      <c r="C1" s="494"/>
      <c r="D1" s="494"/>
      <c r="E1" s="497"/>
      <c r="G1" s="2813" t="s">
        <v>893</v>
      </c>
      <c r="H1" s="2814"/>
    </row>
    <row r="2" spans="1:8" ht="18" x14ac:dyDescent="0.25">
      <c r="A2" s="420"/>
      <c r="B2" s="419"/>
      <c r="C2" s="419"/>
      <c r="D2" s="419"/>
    </row>
    <row r="3" spans="1:8" s="384" customFormat="1" ht="16.5" customHeight="1" x14ac:dyDescent="0.2">
      <c r="A3" s="67" t="s">
        <v>404</v>
      </c>
      <c r="B3" s="28"/>
      <c r="C3" s="557" t="s">
        <v>379</v>
      </c>
      <c r="E3" s="643"/>
      <c r="F3" s="643"/>
      <c r="G3" s="643"/>
      <c r="H3" s="643"/>
    </row>
    <row r="4" spans="1:8" s="384" customFormat="1" ht="12.75" customHeight="1" x14ac:dyDescent="0.25">
      <c r="A4" s="6"/>
      <c r="B4" s="28"/>
      <c r="C4" s="557" t="s">
        <v>380</v>
      </c>
      <c r="E4" s="643"/>
      <c r="F4" s="643"/>
      <c r="G4" s="643"/>
      <c r="H4" s="643"/>
    </row>
    <row r="5" spans="1:8" ht="18" x14ac:dyDescent="0.25">
      <c r="A5" s="420" t="s">
        <v>894</v>
      </c>
      <c r="B5" s="419"/>
      <c r="C5" s="419"/>
      <c r="D5" s="419"/>
      <c r="H5" s="427"/>
    </row>
    <row r="6" spans="1:8" ht="13.5" thickBot="1" x14ac:dyDescent="0.25">
      <c r="H6" s="632" t="s">
        <v>1379</v>
      </c>
    </row>
    <row r="7" spans="1:8" s="386" customFormat="1" ht="25.5" thickTop="1" thickBot="1" x14ac:dyDescent="0.25">
      <c r="A7" s="561" t="s">
        <v>180</v>
      </c>
      <c r="B7" s="562" t="s">
        <v>847</v>
      </c>
      <c r="C7" s="562" t="s">
        <v>414</v>
      </c>
      <c r="D7" s="563" t="s">
        <v>182</v>
      </c>
      <c r="E7" s="644" t="s">
        <v>700</v>
      </c>
      <c r="F7" s="644" t="s">
        <v>701</v>
      </c>
      <c r="G7" s="645" t="s">
        <v>986</v>
      </c>
      <c r="H7" s="566" t="s">
        <v>987</v>
      </c>
    </row>
    <row r="8" spans="1:8" s="386" customFormat="1" ht="13.5" thickTop="1" thickBot="1" x14ac:dyDescent="0.25">
      <c r="A8" s="592">
        <v>1</v>
      </c>
      <c r="B8" s="593">
        <v>2</v>
      </c>
      <c r="C8" s="593">
        <v>3</v>
      </c>
      <c r="D8" s="593">
        <v>4</v>
      </c>
      <c r="E8" s="528">
        <v>5</v>
      </c>
      <c r="F8" s="528">
        <v>6</v>
      </c>
      <c r="G8" s="646">
        <v>7</v>
      </c>
      <c r="H8" s="553" t="s">
        <v>61</v>
      </c>
    </row>
    <row r="9" spans="1:8" ht="20.25" customHeight="1" thickTop="1" x14ac:dyDescent="0.2">
      <c r="A9" s="422">
        <v>6330</v>
      </c>
      <c r="B9" s="423">
        <v>5345</v>
      </c>
      <c r="C9" s="424"/>
      <c r="D9" s="425" t="s">
        <v>853</v>
      </c>
      <c r="E9" s="418">
        <v>0</v>
      </c>
      <c r="F9" s="418">
        <v>0</v>
      </c>
      <c r="G9" s="418">
        <v>0</v>
      </c>
      <c r="H9" s="454">
        <v>0</v>
      </c>
    </row>
    <row r="10" spans="1:8" ht="15.75" thickBot="1" x14ac:dyDescent="0.25">
      <c r="A10" s="422">
        <v>6409</v>
      </c>
      <c r="B10" s="423">
        <v>5909</v>
      </c>
      <c r="C10" s="424"/>
      <c r="D10" s="425" t="s">
        <v>854</v>
      </c>
      <c r="E10" s="418">
        <v>0</v>
      </c>
      <c r="F10" s="418">
        <v>0</v>
      </c>
      <c r="G10" s="418">
        <v>0</v>
      </c>
      <c r="H10" s="453">
        <v>0</v>
      </c>
    </row>
    <row r="11" spans="1:8" s="340" customFormat="1" ht="16.5" thickTop="1" thickBot="1" x14ac:dyDescent="0.3">
      <c r="A11" s="2810" t="s">
        <v>849</v>
      </c>
      <c r="B11" s="2811"/>
      <c r="C11" s="2811"/>
      <c r="D11" s="2811"/>
      <c r="E11" s="596">
        <f>SUM(E9:E10)</f>
        <v>0</v>
      </c>
      <c r="F11" s="596">
        <f>SUM(F9:F10)</f>
        <v>0</v>
      </c>
      <c r="G11" s="596">
        <f>SUM(G9:G10)</f>
        <v>0</v>
      </c>
      <c r="H11" s="453">
        <v>0</v>
      </c>
    </row>
    <row r="12" spans="1:8" s="340" customFormat="1" ht="15.75" thickTop="1" x14ac:dyDescent="0.25">
      <c r="A12" s="337" t="s">
        <v>850</v>
      </c>
      <c r="B12" s="338"/>
      <c r="C12" s="338"/>
      <c r="D12" s="339"/>
      <c r="E12" s="352">
        <f>E9</f>
        <v>0</v>
      </c>
      <c r="F12" s="352">
        <f>F9</f>
        <v>0</v>
      </c>
      <c r="G12" s="352">
        <f>G9</f>
        <v>0</v>
      </c>
      <c r="H12" s="375">
        <v>0</v>
      </c>
    </row>
    <row r="13" spans="1:8" s="340" customFormat="1" ht="15.75" thickBot="1" x14ac:dyDescent="0.3">
      <c r="A13" s="621" t="s">
        <v>855</v>
      </c>
      <c r="B13" s="586"/>
      <c r="C13" s="586"/>
      <c r="D13" s="622"/>
      <c r="E13" s="623">
        <f>E11-E12</f>
        <v>0</v>
      </c>
      <c r="F13" s="623">
        <f>F11-F12</f>
        <v>0</v>
      </c>
      <c r="G13" s="623">
        <f>G11-G12</f>
        <v>0</v>
      </c>
      <c r="H13" s="630">
        <v>0</v>
      </c>
    </row>
    <row r="14" spans="1:8" ht="13.5" thickTop="1" x14ac:dyDescent="0.2"/>
    <row r="16" spans="1:8" s="626" customFormat="1" ht="16.5" x14ac:dyDescent="0.25">
      <c r="A16" s="605" t="s">
        <v>508</v>
      </c>
      <c r="B16" s="606"/>
      <c r="C16" s="607"/>
      <c r="D16" s="608"/>
      <c r="E16" s="609">
        <f>SUM(E17:E19)</f>
        <v>0</v>
      </c>
      <c r="F16" s="609">
        <f>F17+F18+F19+F20</f>
        <v>0</v>
      </c>
      <c r="G16" s="609">
        <f>G17+G18+G19+G20</f>
        <v>0</v>
      </c>
      <c r="H16" s="610">
        <v>0</v>
      </c>
    </row>
    <row r="17" spans="1:8" s="384" customFormat="1" ht="15" x14ac:dyDescent="0.2">
      <c r="A17" s="581" t="s">
        <v>288</v>
      </c>
      <c r="B17" s="611"/>
      <c r="C17" s="612"/>
      <c r="D17" s="613"/>
      <c r="E17" s="614">
        <f>E10</f>
        <v>0</v>
      </c>
      <c r="F17" s="614">
        <f>F10</f>
        <v>0</v>
      </c>
      <c r="G17" s="614">
        <f>G10</f>
        <v>0</v>
      </c>
      <c r="H17" s="615">
        <v>0</v>
      </c>
    </row>
    <row r="18" spans="1:8" s="384" customFormat="1" ht="15" x14ac:dyDescent="0.2">
      <c r="A18" s="581" t="s">
        <v>289</v>
      </c>
      <c r="B18" s="616"/>
      <c r="C18" s="612"/>
      <c r="D18" s="617"/>
      <c r="E18" s="614">
        <v>0</v>
      </c>
      <c r="F18" s="614">
        <v>0</v>
      </c>
      <c r="G18" s="614">
        <v>0</v>
      </c>
      <c r="H18" s="631">
        <v>0</v>
      </c>
    </row>
    <row r="19" spans="1:8" s="384" customFormat="1" ht="15" x14ac:dyDescent="0.2">
      <c r="A19" s="581" t="s">
        <v>509</v>
      </c>
      <c r="B19" s="616"/>
      <c r="C19" s="612"/>
      <c r="D19" s="617"/>
      <c r="E19" s="614">
        <f>SUM(E9)</f>
        <v>0</v>
      </c>
      <c r="F19" s="614">
        <f>SUM(F9)</f>
        <v>0</v>
      </c>
      <c r="G19" s="614">
        <f>SUM(G9)</f>
        <v>0</v>
      </c>
      <c r="H19" s="631">
        <v>0</v>
      </c>
    </row>
    <row r="20" spans="1:8" s="384" customFormat="1" ht="15" x14ac:dyDescent="0.2">
      <c r="A20" s="581"/>
      <c r="B20" s="616"/>
      <c r="C20" s="612"/>
      <c r="D20" s="617"/>
      <c r="E20" s="614"/>
      <c r="F20" s="614"/>
      <c r="G20" s="614"/>
      <c r="H20" s="618"/>
    </row>
    <row r="21" spans="1:8" s="58" customFormat="1" ht="45" customHeight="1" thickBot="1" x14ac:dyDescent="0.4">
      <c r="A21" s="2710" t="s">
        <v>859</v>
      </c>
      <c r="B21" s="2812"/>
      <c r="C21" s="2812"/>
      <c r="D21" s="2812"/>
      <c r="E21" s="619">
        <f>SUM(E16)</f>
        <v>0</v>
      </c>
      <c r="F21" s="619">
        <f>SUM(F16)</f>
        <v>0</v>
      </c>
      <c r="G21" s="619">
        <f>SUM(G16)</f>
        <v>0</v>
      </c>
      <c r="H21" s="635">
        <v>0</v>
      </c>
    </row>
    <row r="22" spans="1:8" ht="13.5" thickTop="1" x14ac:dyDescent="0.2"/>
  </sheetData>
  <mergeCells count="3">
    <mergeCell ref="A21:D21"/>
    <mergeCell ref="G1:H1"/>
    <mergeCell ref="A11:D11"/>
  </mergeCells>
  <phoneticPr fontId="33" type="noConversion"/>
  <pageMargins left="0.98425196850393704" right="0.98425196850393704" top="0.98425196850393704" bottom="0.98425196850393704" header="0.51181102362204722" footer="0.51181102362204722"/>
  <pageSetup paperSize="9" scale="70" firstPageNumber="143" orientation="portrait" r:id="rId1"/>
  <headerFooter alignWithMargins="0">
    <oddFooter xml:space="preserve">&amp;L&amp;"Arial,Kurzíva"Zastupitelstvo Olomouckého kraje 28.6.2010
8.- Rozpočet Olomouckého kraje 2009 - závěrečný  účet
Příloha č. 3: Plnění rozpočtu výdajů Olomouckého kraje k 31.12.2009&amp;R&amp;"Arial,Kurzíva"Strana &amp;P (Celkem 464)
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 enableFormatConditionsCalculation="0">
    <tabColor rgb="FF92D050"/>
  </sheetPr>
  <dimension ref="A1:I100"/>
  <sheetViews>
    <sheetView showGridLines="0" view="pageBreakPreview" zoomScaleNormal="100" zoomScaleSheetLayoutView="100" workbookViewId="0">
      <selection activeCell="F12" sqref="F12"/>
    </sheetView>
  </sheetViews>
  <sheetFormatPr defaultRowHeight="12.75" x14ac:dyDescent="0.2"/>
  <cols>
    <col min="1" max="1" width="4.7109375" style="655" customWidth="1"/>
    <col min="2" max="2" width="4.7109375" style="1021" customWidth="1"/>
    <col min="3" max="3" width="8.7109375" style="1086" customWidth="1"/>
    <col min="4" max="4" width="47.28515625" style="558" customWidth="1"/>
    <col min="5" max="5" width="13.5703125" style="517" customWidth="1"/>
    <col min="6" max="7" width="13.42578125" style="517" customWidth="1"/>
    <col min="8" max="8" width="8.140625" style="1406" customWidth="1"/>
    <col min="9" max="16384" width="9.140625" style="558"/>
  </cols>
  <sheetData>
    <row r="1" spans="1:9" ht="18.75" thickBot="1" x14ac:dyDescent="0.3">
      <c r="A1" s="487" t="s">
        <v>425</v>
      </c>
      <c r="B1" s="488"/>
      <c r="C1" s="499"/>
      <c r="D1" s="1405"/>
      <c r="E1" s="491" t="s">
        <v>426</v>
      </c>
      <c r="H1" s="373"/>
    </row>
    <row r="2" spans="1:9" ht="12.75" customHeight="1" x14ac:dyDescent="0.25">
      <c r="A2" s="6"/>
      <c r="B2" s="28"/>
      <c r="C2" s="10"/>
      <c r="D2" s="139"/>
      <c r="E2" s="137"/>
      <c r="F2" s="16"/>
      <c r="G2" s="17"/>
      <c r="H2" s="373"/>
    </row>
    <row r="3" spans="1:9" ht="12.75" customHeight="1" x14ac:dyDescent="0.25">
      <c r="A3" s="67" t="s">
        <v>404</v>
      </c>
      <c r="B3" s="28"/>
      <c r="C3" s="526" t="s">
        <v>402</v>
      </c>
      <c r="D3" s="653"/>
      <c r="E3" s="137"/>
      <c r="F3" s="16"/>
      <c r="G3" s="17"/>
      <c r="H3" s="373"/>
    </row>
    <row r="4" spans="1:9" ht="12.75" customHeight="1" x14ac:dyDescent="0.25">
      <c r="A4" s="6"/>
      <c r="B4" s="28"/>
      <c r="C4" s="526" t="s">
        <v>403</v>
      </c>
      <c r="D4" s="699"/>
      <c r="E4" s="138"/>
      <c r="F4" s="16"/>
      <c r="G4" s="17"/>
      <c r="H4" s="373"/>
    </row>
    <row r="5" spans="1:9" ht="12.75" customHeight="1" x14ac:dyDescent="0.25">
      <c r="A5" s="6"/>
      <c r="B5" s="28"/>
      <c r="C5" s="10"/>
      <c r="D5" s="139"/>
      <c r="E5" s="137"/>
      <c r="F5" s="16"/>
      <c r="G5" s="17"/>
      <c r="H5" s="373"/>
    </row>
    <row r="6" spans="1:9" ht="18" x14ac:dyDescent="0.25">
      <c r="A6" s="33" t="s">
        <v>988</v>
      </c>
      <c r="B6" s="28"/>
      <c r="C6" s="10"/>
      <c r="D6" s="139"/>
      <c r="E6" s="137"/>
      <c r="F6" s="16"/>
      <c r="G6" s="17"/>
      <c r="H6" s="373"/>
    </row>
    <row r="7" spans="1:9" ht="13.5" thickBot="1" x14ac:dyDescent="0.25">
      <c r="B7" s="655"/>
      <c r="C7" s="656"/>
      <c r="F7" s="1014"/>
      <c r="H7" s="1406" t="s">
        <v>179</v>
      </c>
    </row>
    <row r="8" spans="1:9" s="107" customFormat="1" ht="20.25" customHeight="1" thickTop="1" thickBot="1" x14ac:dyDescent="0.25">
      <c r="A8" s="657" t="s">
        <v>180</v>
      </c>
      <c r="B8" s="658" t="s">
        <v>181</v>
      </c>
      <c r="C8" s="659" t="s">
        <v>783</v>
      </c>
      <c r="D8" s="835" t="s">
        <v>182</v>
      </c>
      <c r="E8" s="835" t="s">
        <v>183</v>
      </c>
      <c r="F8" s="835" t="s">
        <v>985</v>
      </c>
      <c r="G8" s="835" t="s">
        <v>986</v>
      </c>
      <c r="H8" s="1117" t="s">
        <v>987</v>
      </c>
    </row>
    <row r="9" spans="1:9" s="535" customFormat="1" thickTop="1" thickBot="1" x14ac:dyDescent="0.25">
      <c r="A9" s="592">
        <v>1</v>
      </c>
      <c r="B9" s="528">
        <v>2</v>
      </c>
      <c r="C9" s="528">
        <v>3</v>
      </c>
      <c r="D9" s="528">
        <v>4</v>
      </c>
      <c r="E9" s="1119">
        <v>5</v>
      </c>
      <c r="F9" s="1119">
        <v>6</v>
      </c>
      <c r="G9" s="593">
        <v>7</v>
      </c>
      <c r="H9" s="1120" t="s">
        <v>808</v>
      </c>
      <c r="I9" s="1121"/>
    </row>
    <row r="10" spans="1:9" s="1166" customFormat="1" ht="15.75" thickTop="1" x14ac:dyDescent="0.25">
      <c r="A10" s="1792">
        <v>6113</v>
      </c>
      <c r="B10" s="1779">
        <v>5019</v>
      </c>
      <c r="C10" s="1176"/>
      <c r="D10" s="1776" t="s">
        <v>1381</v>
      </c>
      <c r="E10" s="1783">
        <v>200</v>
      </c>
      <c r="F10" s="168">
        <v>100</v>
      </c>
      <c r="G10" s="372">
        <v>58</v>
      </c>
      <c r="H10" s="1172">
        <f>(G10/F10)*100</f>
        <v>57.999999999999993</v>
      </c>
    </row>
    <row r="11" spans="1:9" s="1166" customFormat="1" ht="15" x14ac:dyDescent="0.25">
      <c r="A11" s="1793">
        <v>6113</v>
      </c>
      <c r="B11" s="1780">
        <v>5021</v>
      </c>
      <c r="C11" s="1177"/>
      <c r="D11" s="1777" t="s">
        <v>427</v>
      </c>
      <c r="E11" s="1784">
        <v>4400</v>
      </c>
      <c r="F11" s="168">
        <v>4050</v>
      </c>
      <c r="G11" s="315">
        <v>3983</v>
      </c>
      <c r="H11" s="1172">
        <f>(G11/F11)*100</f>
        <v>98.34567901234567</v>
      </c>
    </row>
    <row r="12" spans="1:9" s="1166" customFormat="1" ht="15" x14ac:dyDescent="0.25">
      <c r="A12" s="1793">
        <v>6113</v>
      </c>
      <c r="B12" s="1780">
        <v>5023</v>
      </c>
      <c r="C12" s="1177"/>
      <c r="D12" s="1777" t="s">
        <v>1682</v>
      </c>
      <c r="E12" s="1784">
        <v>11800</v>
      </c>
      <c r="F12" s="168">
        <v>11800</v>
      </c>
      <c r="G12" s="315">
        <v>11249</v>
      </c>
      <c r="H12" s="1172">
        <f t="shared" ref="H12:H23" si="0">(G12/F12)*100</f>
        <v>95.330508474576277</v>
      </c>
    </row>
    <row r="13" spans="1:9" s="1166" customFormat="1" ht="30" x14ac:dyDescent="0.2">
      <c r="A13" s="1793">
        <v>6113</v>
      </c>
      <c r="B13" s="1780">
        <v>5031</v>
      </c>
      <c r="C13" s="1177"/>
      <c r="D13" s="1777" t="s">
        <v>1683</v>
      </c>
      <c r="E13" s="1784">
        <v>1950</v>
      </c>
      <c r="F13" s="1775">
        <v>1950</v>
      </c>
      <c r="G13" s="959">
        <v>1929</v>
      </c>
      <c r="H13" s="1789">
        <f t="shared" si="0"/>
        <v>98.92307692307692</v>
      </c>
    </row>
    <row r="14" spans="1:9" s="1166" customFormat="1" ht="15" x14ac:dyDescent="0.25">
      <c r="A14" s="1793">
        <v>6113</v>
      </c>
      <c r="B14" s="1780">
        <v>5032</v>
      </c>
      <c r="C14" s="1177"/>
      <c r="D14" s="1777" t="s">
        <v>1684</v>
      </c>
      <c r="E14" s="1784">
        <v>1500</v>
      </c>
      <c r="F14" s="168">
        <v>1500</v>
      </c>
      <c r="G14" s="315">
        <v>1354</v>
      </c>
      <c r="H14" s="1172">
        <f t="shared" si="0"/>
        <v>90.266666666666666</v>
      </c>
    </row>
    <row r="15" spans="1:9" s="1166" customFormat="1" ht="30" x14ac:dyDescent="0.2">
      <c r="A15" s="1793">
        <v>6113</v>
      </c>
      <c r="B15" s="1780">
        <v>5039</v>
      </c>
      <c r="C15" s="1177"/>
      <c r="D15" s="1777" t="s">
        <v>1313</v>
      </c>
      <c r="E15" s="1784">
        <v>50</v>
      </c>
      <c r="F15" s="1775">
        <v>50</v>
      </c>
      <c r="G15" s="959">
        <v>20</v>
      </c>
      <c r="H15" s="1789">
        <f t="shared" si="0"/>
        <v>40</v>
      </c>
    </row>
    <row r="16" spans="1:9" s="1166" customFormat="1" ht="15" x14ac:dyDescent="0.25">
      <c r="A16" s="1793">
        <v>6113</v>
      </c>
      <c r="B16" s="1780">
        <v>5136</v>
      </c>
      <c r="C16" s="1177"/>
      <c r="D16" s="1777" t="s">
        <v>676</v>
      </c>
      <c r="E16" s="1784">
        <v>50</v>
      </c>
      <c r="F16" s="168">
        <v>10</v>
      </c>
      <c r="G16" s="315">
        <v>1</v>
      </c>
      <c r="H16" s="1172">
        <f t="shared" si="0"/>
        <v>10</v>
      </c>
    </row>
    <row r="17" spans="1:8" s="1166" customFormat="1" ht="15" x14ac:dyDescent="0.25">
      <c r="A17" s="1793">
        <v>6113</v>
      </c>
      <c r="B17" s="1780">
        <v>5137</v>
      </c>
      <c r="C17" s="1177"/>
      <c r="D17" s="1777" t="s">
        <v>173</v>
      </c>
      <c r="E17" s="1784">
        <v>700</v>
      </c>
      <c r="F17" s="168">
        <v>400</v>
      </c>
      <c r="G17" s="315">
        <v>226</v>
      </c>
      <c r="H17" s="1172">
        <f t="shared" si="0"/>
        <v>56.499999999999993</v>
      </c>
    </row>
    <row r="18" spans="1:8" s="1166" customFormat="1" ht="15" x14ac:dyDescent="0.25">
      <c r="A18" s="1793">
        <v>6113</v>
      </c>
      <c r="B18" s="1780">
        <v>5139</v>
      </c>
      <c r="C18" s="1177"/>
      <c r="D18" s="1777" t="s">
        <v>693</v>
      </c>
      <c r="E18" s="1784">
        <v>1000</v>
      </c>
      <c r="F18" s="168">
        <v>1230</v>
      </c>
      <c r="G18" s="315">
        <v>1125</v>
      </c>
      <c r="H18" s="1172">
        <f t="shared" si="0"/>
        <v>91.463414634146346</v>
      </c>
    </row>
    <row r="19" spans="1:8" s="1166" customFormat="1" ht="15" x14ac:dyDescent="0.25">
      <c r="A19" s="1793">
        <v>6113</v>
      </c>
      <c r="B19" s="1780">
        <v>5142</v>
      </c>
      <c r="C19" s="1177"/>
      <c r="D19" s="1777" t="s">
        <v>321</v>
      </c>
      <c r="E19" s="1784">
        <v>20</v>
      </c>
      <c r="F19" s="168">
        <v>20</v>
      </c>
      <c r="G19" s="315">
        <v>0</v>
      </c>
      <c r="H19" s="1172">
        <f t="shared" si="0"/>
        <v>0</v>
      </c>
    </row>
    <row r="20" spans="1:8" s="1166" customFormat="1" ht="15" x14ac:dyDescent="0.25">
      <c r="A20" s="1793">
        <v>6113</v>
      </c>
      <c r="B20" s="1780">
        <v>5151</v>
      </c>
      <c r="C20" s="1177"/>
      <c r="D20" s="1777" t="s">
        <v>963</v>
      </c>
      <c r="E20" s="1784">
        <v>40</v>
      </c>
      <c r="F20" s="168">
        <v>40</v>
      </c>
      <c r="G20" s="315">
        <v>35</v>
      </c>
      <c r="H20" s="1172">
        <f t="shared" si="0"/>
        <v>87.5</v>
      </c>
    </row>
    <row r="21" spans="1:8" s="1166" customFormat="1" ht="15" x14ac:dyDescent="0.25">
      <c r="A21" s="1793">
        <v>6113</v>
      </c>
      <c r="B21" s="1780">
        <v>5152</v>
      </c>
      <c r="C21" s="1177"/>
      <c r="D21" s="1777" t="s">
        <v>966</v>
      </c>
      <c r="E21" s="1784">
        <v>300</v>
      </c>
      <c r="F21" s="168">
        <v>300</v>
      </c>
      <c r="G21" s="315">
        <v>236</v>
      </c>
      <c r="H21" s="1172">
        <f t="shared" si="0"/>
        <v>78.666666666666657</v>
      </c>
    </row>
    <row r="22" spans="1:8" s="1166" customFormat="1" ht="15" x14ac:dyDescent="0.25">
      <c r="A22" s="1793">
        <v>6113</v>
      </c>
      <c r="B22" s="1780">
        <v>5154</v>
      </c>
      <c r="C22" s="1177"/>
      <c r="D22" s="1777" t="s">
        <v>322</v>
      </c>
      <c r="E22" s="1784">
        <v>330</v>
      </c>
      <c r="F22" s="168">
        <v>342</v>
      </c>
      <c r="G22" s="315">
        <v>342</v>
      </c>
      <c r="H22" s="1172">
        <f t="shared" si="0"/>
        <v>100</v>
      </c>
    </row>
    <row r="23" spans="1:8" s="1166" customFormat="1" ht="15" x14ac:dyDescent="0.25">
      <c r="A23" s="1793">
        <v>6113</v>
      </c>
      <c r="B23" s="1780">
        <v>5156</v>
      </c>
      <c r="C23" s="1177"/>
      <c r="D23" s="1777" t="s">
        <v>323</v>
      </c>
      <c r="E23" s="1784">
        <v>500</v>
      </c>
      <c r="F23" s="168">
        <v>580</v>
      </c>
      <c r="G23" s="315">
        <v>544</v>
      </c>
      <c r="H23" s="1172">
        <f t="shared" si="0"/>
        <v>93.793103448275858</v>
      </c>
    </row>
    <row r="24" spans="1:8" s="1166" customFormat="1" ht="15" x14ac:dyDescent="0.25">
      <c r="A24" s="1793">
        <v>6113</v>
      </c>
      <c r="B24" s="1780">
        <v>5161</v>
      </c>
      <c r="C24" s="1177"/>
      <c r="D24" s="1777" t="s">
        <v>324</v>
      </c>
      <c r="E24" s="1784">
        <v>10</v>
      </c>
      <c r="F24" s="168">
        <v>0</v>
      </c>
      <c r="G24" s="315">
        <v>0</v>
      </c>
      <c r="H24" s="1172">
        <v>0</v>
      </c>
    </row>
    <row r="25" spans="1:8" s="1166" customFormat="1" ht="15" x14ac:dyDescent="0.25">
      <c r="A25" s="1793">
        <v>6113</v>
      </c>
      <c r="B25" s="1780">
        <v>5162</v>
      </c>
      <c r="C25" s="1177"/>
      <c r="D25" s="1777" t="s">
        <v>967</v>
      </c>
      <c r="E25" s="1784">
        <v>300</v>
      </c>
      <c r="F25" s="168">
        <v>360</v>
      </c>
      <c r="G25" s="315">
        <v>346</v>
      </c>
      <c r="H25" s="1172">
        <f>(G25/F25)*100</f>
        <v>96.111111111111114</v>
      </c>
    </row>
    <row r="26" spans="1:8" s="1166" customFormat="1" ht="15" x14ac:dyDescent="0.25">
      <c r="A26" s="1793">
        <v>6113</v>
      </c>
      <c r="B26" s="1780">
        <v>5163</v>
      </c>
      <c r="C26" s="1177"/>
      <c r="D26" s="1777" t="s">
        <v>997</v>
      </c>
      <c r="E26" s="1784">
        <v>50</v>
      </c>
      <c r="F26" s="168">
        <v>50</v>
      </c>
      <c r="G26" s="315">
        <v>43</v>
      </c>
      <c r="H26" s="1172">
        <f t="shared" ref="H26:H42" si="1">(G26/F26)*100</f>
        <v>86</v>
      </c>
    </row>
    <row r="27" spans="1:8" s="1166" customFormat="1" ht="15" x14ac:dyDescent="0.25">
      <c r="A27" s="1793">
        <v>6113</v>
      </c>
      <c r="B27" s="1780">
        <v>5164</v>
      </c>
      <c r="C27" s="1177"/>
      <c r="D27" s="1777" t="s">
        <v>188</v>
      </c>
      <c r="E27" s="1784">
        <v>200</v>
      </c>
      <c r="F27" s="168">
        <v>200</v>
      </c>
      <c r="G27" s="315">
        <v>144</v>
      </c>
      <c r="H27" s="1172">
        <f t="shared" si="1"/>
        <v>72</v>
      </c>
    </row>
    <row r="28" spans="1:8" s="1166" customFormat="1" ht="15" x14ac:dyDescent="0.25">
      <c r="A28" s="1793">
        <v>6113</v>
      </c>
      <c r="B28" s="1780">
        <v>5166</v>
      </c>
      <c r="C28" s="1177"/>
      <c r="D28" s="1777" t="s">
        <v>677</v>
      </c>
      <c r="E28" s="1784">
        <v>920</v>
      </c>
      <c r="F28" s="168">
        <v>770</v>
      </c>
      <c r="G28" s="315">
        <v>693</v>
      </c>
      <c r="H28" s="1172">
        <f t="shared" si="1"/>
        <v>90</v>
      </c>
    </row>
    <row r="29" spans="1:8" s="1166" customFormat="1" ht="15" x14ac:dyDescent="0.25">
      <c r="A29" s="1793">
        <v>6113</v>
      </c>
      <c r="B29" s="1780">
        <v>5167</v>
      </c>
      <c r="C29" s="1177"/>
      <c r="D29" s="1777" t="s">
        <v>1000</v>
      </c>
      <c r="E29" s="1784">
        <v>100</v>
      </c>
      <c r="F29" s="168">
        <v>0</v>
      </c>
      <c r="G29" s="315">
        <v>0</v>
      </c>
      <c r="H29" s="1172">
        <v>0</v>
      </c>
    </row>
    <row r="30" spans="1:8" s="1166" customFormat="1" ht="15" x14ac:dyDescent="0.25">
      <c r="A30" s="1793">
        <v>6113</v>
      </c>
      <c r="B30" s="1780">
        <v>5169</v>
      </c>
      <c r="C30" s="1177"/>
      <c r="D30" s="1777" t="s">
        <v>955</v>
      </c>
      <c r="E30" s="1784">
        <v>8000</v>
      </c>
      <c r="F30" s="168">
        <f>F31+F32</f>
        <v>7366</v>
      </c>
      <c r="G30" s="315">
        <f>G31:H31+G32:H32</f>
        <v>7059</v>
      </c>
      <c r="H30" s="1172">
        <f t="shared" si="1"/>
        <v>95.832202009231608</v>
      </c>
    </row>
    <row r="31" spans="1:8" s="1166" customFormat="1" ht="14.25" x14ac:dyDescent="0.2">
      <c r="A31" s="1793"/>
      <c r="B31" s="1780"/>
      <c r="C31" s="1179" t="s">
        <v>838</v>
      </c>
      <c r="D31" s="1173" t="s">
        <v>1415</v>
      </c>
      <c r="E31" s="1785">
        <v>8000</v>
      </c>
      <c r="F31" s="314">
        <v>7066</v>
      </c>
      <c r="G31" s="316">
        <v>6763</v>
      </c>
      <c r="H31" s="1175">
        <f t="shared" si="1"/>
        <v>95.711859609397109</v>
      </c>
    </row>
    <row r="32" spans="1:8" s="1166" customFormat="1" ht="14.25" x14ac:dyDescent="0.2">
      <c r="A32" s="1793"/>
      <c r="B32" s="1780"/>
      <c r="C32" s="1179" t="s">
        <v>22</v>
      </c>
      <c r="D32" s="1174" t="s">
        <v>1351</v>
      </c>
      <c r="E32" s="1785">
        <v>0</v>
      </c>
      <c r="F32" s="314">
        <v>300</v>
      </c>
      <c r="G32" s="316">
        <v>296</v>
      </c>
      <c r="H32" s="1175">
        <f t="shared" si="1"/>
        <v>98.666666666666671</v>
      </c>
    </row>
    <row r="33" spans="1:8" s="1166" customFormat="1" ht="15" x14ac:dyDescent="0.25">
      <c r="A33" s="1793">
        <v>6113</v>
      </c>
      <c r="B33" s="1780">
        <v>5171</v>
      </c>
      <c r="C33" s="1177"/>
      <c r="D33" s="1777" t="s">
        <v>1001</v>
      </c>
      <c r="E33" s="1784">
        <v>100</v>
      </c>
      <c r="F33" s="168">
        <v>66</v>
      </c>
      <c r="G33" s="315">
        <v>44</v>
      </c>
      <c r="H33" s="1172">
        <f t="shared" si="1"/>
        <v>66.666666666666657</v>
      </c>
    </row>
    <row r="34" spans="1:8" s="1166" customFormat="1" ht="15" x14ac:dyDescent="0.25">
      <c r="A34" s="1793">
        <v>6113</v>
      </c>
      <c r="B34" s="1780">
        <v>5172</v>
      </c>
      <c r="C34" s="1177"/>
      <c r="D34" s="1777" t="s">
        <v>1002</v>
      </c>
      <c r="E34" s="1784">
        <v>100</v>
      </c>
      <c r="F34" s="168">
        <v>100</v>
      </c>
      <c r="G34" s="315">
        <v>4</v>
      </c>
      <c r="H34" s="1172">
        <f t="shared" si="1"/>
        <v>4</v>
      </c>
    </row>
    <row r="35" spans="1:8" s="1166" customFormat="1" ht="15" x14ac:dyDescent="0.25">
      <c r="A35" s="1793">
        <v>6113</v>
      </c>
      <c r="B35" s="1780">
        <v>5173</v>
      </c>
      <c r="C35" s="1177"/>
      <c r="D35" s="1777" t="s">
        <v>1296</v>
      </c>
      <c r="E35" s="1784">
        <v>1600</v>
      </c>
      <c r="F35" s="168">
        <f>F36+F37+F38+F39+F40+F41</f>
        <v>1684</v>
      </c>
      <c r="G35" s="315">
        <f>G36+G37+G38+G39+G40+G41</f>
        <v>1242</v>
      </c>
      <c r="H35" s="1172">
        <f t="shared" si="1"/>
        <v>73.75296912114014</v>
      </c>
    </row>
    <row r="36" spans="1:8" s="1166" customFormat="1" ht="14.25" x14ac:dyDescent="0.2">
      <c r="A36" s="1793"/>
      <c r="B36" s="1780"/>
      <c r="C36" s="1179" t="s">
        <v>838</v>
      </c>
      <c r="D36" s="1173" t="s">
        <v>1415</v>
      </c>
      <c r="E36" s="1785">
        <v>1600</v>
      </c>
      <c r="F36" s="314">
        <v>1620</v>
      </c>
      <c r="G36" s="316">
        <v>1202</v>
      </c>
      <c r="H36" s="1175">
        <f t="shared" si="1"/>
        <v>74.197530864197532</v>
      </c>
    </row>
    <row r="37" spans="1:8" s="1166" customFormat="1" ht="15" x14ac:dyDescent="0.2">
      <c r="A37" s="1793"/>
      <c r="B37" s="1780"/>
      <c r="C37" s="1179" t="s">
        <v>1590</v>
      </c>
      <c r="D37" s="1774" t="s">
        <v>1692</v>
      </c>
      <c r="E37" s="1784"/>
      <c r="F37" s="314">
        <v>1</v>
      </c>
      <c r="G37" s="316">
        <v>0</v>
      </c>
      <c r="H37" s="1175">
        <f t="shared" si="1"/>
        <v>0</v>
      </c>
    </row>
    <row r="38" spans="1:8" s="1166" customFormat="1" ht="15" x14ac:dyDescent="0.2">
      <c r="A38" s="1793"/>
      <c r="B38" s="1780"/>
      <c r="C38" s="1179" t="s">
        <v>1688</v>
      </c>
      <c r="D38" s="1774" t="s">
        <v>1693</v>
      </c>
      <c r="E38" s="1784"/>
      <c r="F38" s="314">
        <v>1</v>
      </c>
      <c r="G38" s="316">
        <v>0</v>
      </c>
      <c r="H38" s="1175">
        <f t="shared" si="1"/>
        <v>0</v>
      </c>
    </row>
    <row r="39" spans="1:8" s="1166" customFormat="1" ht="15" x14ac:dyDescent="0.2">
      <c r="A39" s="1793"/>
      <c r="B39" s="1780"/>
      <c r="C39" s="1179" t="s">
        <v>1689</v>
      </c>
      <c r="D39" s="1774" t="s">
        <v>1694</v>
      </c>
      <c r="E39" s="1784"/>
      <c r="F39" s="314">
        <v>12</v>
      </c>
      <c r="G39" s="316">
        <v>2</v>
      </c>
      <c r="H39" s="1175">
        <f t="shared" si="1"/>
        <v>16.666666666666664</v>
      </c>
    </row>
    <row r="40" spans="1:8" s="1166" customFormat="1" ht="15" x14ac:dyDescent="0.2">
      <c r="A40" s="1793"/>
      <c r="B40" s="1780"/>
      <c r="C40" s="1179" t="s">
        <v>1690</v>
      </c>
      <c r="D40" s="1774" t="s">
        <v>1695</v>
      </c>
      <c r="E40" s="1784"/>
      <c r="F40" s="314">
        <v>7</v>
      </c>
      <c r="G40" s="316">
        <v>6</v>
      </c>
      <c r="H40" s="1175">
        <f t="shared" si="1"/>
        <v>85.714285714285708</v>
      </c>
    </row>
    <row r="41" spans="1:8" s="1166" customFormat="1" ht="15" x14ac:dyDescent="0.2">
      <c r="A41" s="1793"/>
      <c r="B41" s="1780"/>
      <c r="C41" s="1179" t="s">
        <v>1691</v>
      </c>
      <c r="D41" s="1774" t="s">
        <v>1696</v>
      </c>
      <c r="E41" s="1784"/>
      <c r="F41" s="314">
        <v>43</v>
      </c>
      <c r="G41" s="316">
        <v>32</v>
      </c>
      <c r="H41" s="1175">
        <f t="shared" si="1"/>
        <v>74.418604651162795</v>
      </c>
    </row>
    <row r="42" spans="1:8" s="1166" customFormat="1" ht="15" x14ac:dyDescent="0.25">
      <c r="A42" s="1793">
        <v>6113</v>
      </c>
      <c r="B42" s="1780">
        <v>5175</v>
      </c>
      <c r="C42" s="1179"/>
      <c r="D42" s="1777" t="s">
        <v>740</v>
      </c>
      <c r="E42" s="1784">
        <f>100+100+100+800+100+100+100+100</f>
        <v>1500</v>
      </c>
      <c r="F42" s="313">
        <v>1766</v>
      </c>
      <c r="G42" s="315">
        <v>1470</v>
      </c>
      <c r="H42" s="203">
        <f t="shared" si="1"/>
        <v>83.238958097395241</v>
      </c>
    </row>
    <row r="43" spans="1:8" s="1166" customFormat="1" ht="15" x14ac:dyDescent="0.25">
      <c r="A43" s="1793">
        <v>6113</v>
      </c>
      <c r="B43" s="1780">
        <v>5176</v>
      </c>
      <c r="C43" s="1179"/>
      <c r="D43" s="1777" t="s">
        <v>1402</v>
      </c>
      <c r="E43" s="1784">
        <v>50</v>
      </c>
      <c r="F43" s="313">
        <v>50</v>
      </c>
      <c r="G43" s="315">
        <v>6</v>
      </c>
      <c r="H43" s="203">
        <f>(G43/F43)*100</f>
        <v>12</v>
      </c>
    </row>
    <row r="44" spans="1:8" s="1166" customFormat="1" ht="15" x14ac:dyDescent="0.25">
      <c r="A44" s="1793">
        <v>6113</v>
      </c>
      <c r="B44" s="1780">
        <v>5189</v>
      </c>
      <c r="C44" s="1177"/>
      <c r="D44" s="1777" t="s">
        <v>969</v>
      </c>
      <c r="E44" s="1784">
        <v>70</v>
      </c>
      <c r="F44" s="313">
        <v>70</v>
      </c>
      <c r="G44" s="315">
        <v>0</v>
      </c>
      <c r="H44" s="1172">
        <f>(G44/F44)*100</f>
        <v>0</v>
      </c>
    </row>
    <row r="45" spans="1:8" s="1166" customFormat="1" ht="15" x14ac:dyDescent="0.25">
      <c r="A45" s="1793">
        <v>6113</v>
      </c>
      <c r="B45" s="1780">
        <v>5194</v>
      </c>
      <c r="C45" s="1177"/>
      <c r="D45" s="1777" t="s">
        <v>667</v>
      </c>
      <c r="E45" s="1784">
        <v>50</v>
      </c>
      <c r="F45" s="168">
        <v>20</v>
      </c>
      <c r="G45" s="315">
        <v>14</v>
      </c>
      <c r="H45" s="1172">
        <f>(G45/F45)*100</f>
        <v>70</v>
      </c>
    </row>
    <row r="46" spans="1:8" s="1166" customFormat="1" ht="30" customHeight="1" x14ac:dyDescent="0.2">
      <c r="A46" s="1793">
        <v>6113</v>
      </c>
      <c r="B46" s="1780">
        <v>5229</v>
      </c>
      <c r="C46" s="1177"/>
      <c r="D46" s="1777" t="s">
        <v>1685</v>
      </c>
      <c r="E46" s="1784">
        <v>1000</v>
      </c>
      <c r="F46" s="1775">
        <v>700</v>
      </c>
      <c r="G46" s="959">
        <v>700</v>
      </c>
      <c r="H46" s="1789">
        <f t="shared" ref="H46:H52" si="2">(G46/F46)*100</f>
        <v>100</v>
      </c>
    </row>
    <row r="47" spans="1:8" s="1166" customFormat="1" ht="15" x14ac:dyDescent="0.25">
      <c r="A47" s="1793">
        <v>6113</v>
      </c>
      <c r="B47" s="1780">
        <v>5361</v>
      </c>
      <c r="C47" s="1177"/>
      <c r="D47" s="1777" t="s">
        <v>668</v>
      </c>
      <c r="E47" s="1784">
        <v>5</v>
      </c>
      <c r="F47" s="168">
        <v>5</v>
      </c>
      <c r="G47" s="315">
        <v>0</v>
      </c>
      <c r="H47" s="1172">
        <f t="shared" si="2"/>
        <v>0</v>
      </c>
    </row>
    <row r="48" spans="1:8" s="1166" customFormat="1" ht="15" x14ac:dyDescent="0.25">
      <c r="A48" s="1793">
        <v>6113</v>
      </c>
      <c r="B48" s="1780">
        <v>5362</v>
      </c>
      <c r="C48" s="1177"/>
      <c r="D48" s="1777" t="s">
        <v>1686</v>
      </c>
      <c r="E48" s="1784">
        <v>5</v>
      </c>
      <c r="F48" s="313">
        <v>55</v>
      </c>
      <c r="G48" s="315">
        <v>1</v>
      </c>
      <c r="H48" s="1172">
        <f t="shared" si="2"/>
        <v>1.8181818181818181</v>
      </c>
    </row>
    <row r="49" spans="1:8" s="1166" customFormat="1" ht="15" x14ac:dyDescent="0.25">
      <c r="A49" s="1793">
        <v>6113</v>
      </c>
      <c r="B49" s="1780">
        <v>5424</v>
      </c>
      <c r="C49" s="1177"/>
      <c r="D49" s="1777" t="s">
        <v>720</v>
      </c>
      <c r="E49" s="1784">
        <v>50</v>
      </c>
      <c r="F49" s="168">
        <v>50</v>
      </c>
      <c r="G49" s="315">
        <v>6</v>
      </c>
      <c r="H49" s="1172">
        <f t="shared" si="2"/>
        <v>12</v>
      </c>
    </row>
    <row r="50" spans="1:8" s="1166" customFormat="1" ht="15" x14ac:dyDescent="0.25">
      <c r="A50" s="1793">
        <v>6113</v>
      </c>
      <c r="B50" s="1780">
        <v>5492</v>
      </c>
      <c r="C50" s="1177"/>
      <c r="D50" s="1777" t="s">
        <v>954</v>
      </c>
      <c r="E50" s="1784">
        <v>15</v>
      </c>
      <c r="F50" s="168">
        <v>15</v>
      </c>
      <c r="G50" s="315">
        <v>15</v>
      </c>
      <c r="H50" s="1172">
        <f t="shared" si="2"/>
        <v>100</v>
      </c>
    </row>
    <row r="51" spans="1:8" s="1166" customFormat="1" ht="15" x14ac:dyDescent="0.25">
      <c r="A51" s="1793">
        <v>6113</v>
      </c>
      <c r="B51" s="1780">
        <v>5499</v>
      </c>
      <c r="C51" s="1177"/>
      <c r="D51" s="576" t="s">
        <v>412</v>
      </c>
      <c r="E51" s="1784"/>
      <c r="F51" s="168"/>
      <c r="G51" s="315">
        <v>1</v>
      </c>
      <c r="H51" s="1172"/>
    </row>
    <row r="52" spans="1:8" s="1166" customFormat="1" ht="18.75" customHeight="1" thickBot="1" x14ac:dyDescent="0.25">
      <c r="A52" s="1794">
        <v>6330</v>
      </c>
      <c r="B52" s="1781">
        <v>5342</v>
      </c>
      <c r="C52" s="1220"/>
      <c r="D52" s="1778" t="s">
        <v>1687</v>
      </c>
      <c r="E52" s="1786">
        <v>273</v>
      </c>
      <c r="F52" s="1782">
        <v>273</v>
      </c>
      <c r="G52" s="1788">
        <v>236</v>
      </c>
      <c r="H52" s="1790">
        <f t="shared" si="2"/>
        <v>86.446886446886452</v>
      </c>
    </row>
    <row r="53" spans="1:8" s="362" customFormat="1" ht="35.25" customHeight="1" thickTop="1" thickBot="1" x14ac:dyDescent="0.3">
      <c r="A53" s="720" t="s">
        <v>268</v>
      </c>
      <c r="B53" s="721"/>
      <c r="C53" s="1180"/>
      <c r="D53" s="721"/>
      <c r="E53" s="723">
        <f>SUM(E10:E30,E33:E35,E42:E52)</f>
        <v>37238</v>
      </c>
      <c r="F53" s="723">
        <f>SUM(F10:F30,F33:F35,F42:F52)</f>
        <v>35972</v>
      </c>
      <c r="G53" s="723">
        <f>SUM(G10:G30,G33:G35,G42:G52)</f>
        <v>33126</v>
      </c>
      <c r="H53" s="1112">
        <f>(G53/F53)*100</f>
        <v>92.088290892916717</v>
      </c>
    </row>
    <row r="54" spans="1:8" ht="15.75" thickTop="1" x14ac:dyDescent="0.25">
      <c r="A54" s="1122"/>
      <c r="B54" s="1407"/>
      <c r="C54" s="1123"/>
      <c r="D54" s="680"/>
      <c r="E54" s="1044"/>
      <c r="F54" s="1124"/>
      <c r="G54" s="1044"/>
      <c r="H54" s="1125"/>
    </row>
    <row r="55" spans="1:8" ht="15" x14ac:dyDescent="0.25">
      <c r="A55" s="1126"/>
      <c r="B55" s="1408"/>
      <c r="C55" s="1127"/>
      <c r="D55" s="803"/>
      <c r="E55" s="181"/>
      <c r="F55" s="969"/>
      <c r="G55" s="181"/>
      <c r="H55" s="1128"/>
    </row>
    <row r="56" spans="1:8" ht="15" x14ac:dyDescent="0.25">
      <c r="A56" s="1126"/>
      <c r="B56" s="1408"/>
      <c r="C56" s="1127"/>
      <c r="D56" s="803"/>
      <c r="E56" s="181"/>
      <c r="F56" s="969"/>
      <c r="G56" s="181"/>
      <c r="H56" s="1128"/>
    </row>
    <row r="57" spans="1:8" ht="15" x14ac:dyDescent="0.25">
      <c r="A57" s="1126"/>
      <c r="B57" s="1408"/>
      <c r="C57" s="1127"/>
      <c r="D57" s="803"/>
      <c r="E57" s="181"/>
      <c r="F57" s="969"/>
      <c r="G57" s="181"/>
      <c r="H57" s="1128"/>
    </row>
    <row r="58" spans="1:8" ht="15" x14ac:dyDescent="0.25">
      <c r="A58" s="1126"/>
      <c r="B58" s="1408"/>
      <c r="C58" s="1127"/>
      <c r="D58" s="803"/>
      <c r="E58" s="181"/>
      <c r="F58" s="969"/>
      <c r="G58" s="181"/>
      <c r="H58" s="1128"/>
    </row>
    <row r="59" spans="1:8" ht="15" x14ac:dyDescent="0.25">
      <c r="A59" s="1126"/>
      <c r="B59" s="1408"/>
      <c r="C59" s="1127"/>
      <c r="D59" s="803"/>
      <c r="E59" s="181"/>
      <c r="F59" s="969"/>
      <c r="G59" s="181"/>
      <c r="H59" s="1128"/>
    </row>
    <row r="60" spans="1:8" ht="15" x14ac:dyDescent="0.25">
      <c r="A60" s="1126"/>
      <c r="B60" s="1408"/>
      <c r="C60" s="1127"/>
      <c r="D60" s="803"/>
      <c r="E60" s="181"/>
      <c r="F60" s="969"/>
      <c r="G60" s="181"/>
      <c r="H60" s="1128"/>
    </row>
    <row r="61" spans="1:8" ht="15" x14ac:dyDescent="0.25">
      <c r="A61" s="1126"/>
      <c r="B61" s="1408"/>
      <c r="C61" s="1127"/>
      <c r="D61" s="803"/>
      <c r="E61" s="181"/>
      <c r="F61" s="969"/>
      <c r="G61" s="181"/>
      <c r="H61" s="1128"/>
    </row>
    <row r="62" spans="1:8" ht="15" x14ac:dyDescent="0.25">
      <c r="A62" s="1126"/>
      <c r="B62" s="1408"/>
      <c r="C62" s="1127"/>
      <c r="D62" s="803"/>
      <c r="E62" s="181"/>
      <c r="F62" s="969"/>
      <c r="G62" s="181"/>
      <c r="H62" s="1128"/>
    </row>
    <row r="63" spans="1:8" ht="15" x14ac:dyDescent="0.25">
      <c r="A63" s="1126"/>
      <c r="B63" s="1408"/>
      <c r="C63" s="1127"/>
      <c r="D63" s="803"/>
      <c r="E63" s="181"/>
      <c r="F63" s="969"/>
      <c r="G63" s="181"/>
      <c r="H63" s="1128"/>
    </row>
    <row r="64" spans="1:8" ht="18" x14ac:dyDescent="0.25">
      <c r="A64" s="33" t="s">
        <v>1403</v>
      </c>
      <c r="B64" s="28"/>
      <c r="C64" s="10"/>
      <c r="D64" s="139"/>
      <c r="E64" s="137"/>
      <c r="F64" s="16"/>
      <c r="G64" s="17"/>
      <c r="H64" s="373"/>
    </row>
    <row r="65" spans="1:9" ht="13.5" thickBot="1" x14ac:dyDescent="0.25">
      <c r="B65" s="655"/>
      <c r="C65" s="656"/>
      <c r="F65" s="1014"/>
      <c r="H65" s="1406" t="s">
        <v>179</v>
      </c>
    </row>
    <row r="66" spans="1:9" s="107" customFormat="1" ht="20.25" customHeight="1" thickTop="1" thickBot="1" x14ac:dyDescent="0.25">
      <c r="A66" s="657" t="s">
        <v>180</v>
      </c>
      <c r="B66" s="658" t="s">
        <v>181</v>
      </c>
      <c r="C66" s="659" t="s">
        <v>783</v>
      </c>
      <c r="D66" s="835" t="s">
        <v>182</v>
      </c>
      <c r="E66" s="835" t="s">
        <v>183</v>
      </c>
      <c r="F66" s="835" t="s">
        <v>985</v>
      </c>
      <c r="G66" s="835" t="s">
        <v>986</v>
      </c>
      <c r="H66" s="1117" t="s">
        <v>987</v>
      </c>
    </row>
    <row r="67" spans="1:9" s="535" customFormat="1" thickTop="1" thickBot="1" x14ac:dyDescent="0.25">
      <c r="A67" s="592">
        <v>1</v>
      </c>
      <c r="B67" s="528">
        <v>2</v>
      </c>
      <c r="C67" s="528">
        <v>3</v>
      </c>
      <c r="D67" s="528">
        <v>4</v>
      </c>
      <c r="E67" s="1119">
        <v>5</v>
      </c>
      <c r="F67" s="1119">
        <v>6</v>
      </c>
      <c r="G67" s="593">
        <v>7</v>
      </c>
      <c r="H67" s="1120" t="s">
        <v>808</v>
      </c>
      <c r="I67" s="1121"/>
    </row>
    <row r="68" spans="1:9" s="1166" customFormat="1" ht="15.75" thickTop="1" x14ac:dyDescent="0.25">
      <c r="A68" s="34">
        <v>6113</v>
      </c>
      <c r="B68" s="154">
        <v>6123</v>
      </c>
      <c r="C68" s="1467"/>
      <c r="D68" s="1236" t="s">
        <v>1384</v>
      </c>
      <c r="E68" s="1466"/>
      <c r="F68" s="1465">
        <v>1049</v>
      </c>
      <c r="G68" s="1464">
        <v>1039</v>
      </c>
      <c r="H68" s="1172">
        <f>(G68/F68)*100</f>
        <v>99.046711153479507</v>
      </c>
    </row>
    <row r="69" spans="1:9" s="1166" customFormat="1" ht="15.75" thickBot="1" x14ac:dyDescent="0.3">
      <c r="A69" s="34">
        <v>6113</v>
      </c>
      <c r="B69" s="154">
        <v>6127</v>
      </c>
      <c r="C69" s="1467"/>
      <c r="D69" s="1236" t="s">
        <v>1504</v>
      </c>
      <c r="E69" s="1210"/>
      <c r="F69" s="1465">
        <v>196</v>
      </c>
      <c r="G69" s="1464">
        <v>196</v>
      </c>
      <c r="H69" s="1172">
        <f>(G69/F69)*100</f>
        <v>100</v>
      </c>
    </row>
    <row r="70" spans="1:9" ht="15.75" hidden="1" thickBot="1" x14ac:dyDescent="0.3">
      <c r="A70" s="804"/>
      <c r="B70" s="1409"/>
      <c r="C70" s="1129"/>
      <c r="D70" s="1130" t="s">
        <v>428</v>
      </c>
      <c r="E70" s="890"/>
      <c r="F70" s="921"/>
      <c r="G70" s="921"/>
      <c r="H70" s="1131"/>
    </row>
    <row r="71" spans="1:9" ht="15.75" hidden="1" thickBot="1" x14ac:dyDescent="0.3">
      <c r="A71" s="1132"/>
      <c r="B71" s="1410"/>
      <c r="C71" s="1133"/>
      <c r="D71" s="234" t="s">
        <v>880</v>
      </c>
      <c r="E71" s="1134"/>
      <c r="F71" s="1135">
        <v>20000</v>
      </c>
      <c r="G71" s="1136"/>
      <c r="H71" s="1137"/>
    </row>
    <row r="72" spans="1:9" s="362" customFormat="1" ht="35.25" customHeight="1" thickTop="1" thickBot="1" x14ac:dyDescent="0.3">
      <c r="A72" s="663" t="s">
        <v>267</v>
      </c>
      <c r="B72" s="666"/>
      <c r="C72" s="665"/>
      <c r="D72" s="666"/>
      <c r="E72" s="667">
        <v>0</v>
      </c>
      <c r="F72" s="667">
        <f>F68+F69</f>
        <v>1245</v>
      </c>
      <c r="G72" s="667">
        <f>G68+G69</f>
        <v>1235</v>
      </c>
      <c r="H72" s="1118">
        <f>(G72/F72)*100</f>
        <v>99.196787148594382</v>
      </c>
    </row>
    <row r="73" spans="1:9" ht="13.5" thickTop="1" x14ac:dyDescent="0.2">
      <c r="H73" s="1411"/>
    </row>
    <row r="74" spans="1:9" x14ac:dyDescent="0.2">
      <c r="H74" s="1411"/>
    </row>
    <row r="75" spans="1:9" x14ac:dyDescent="0.2">
      <c r="H75" s="1411"/>
    </row>
    <row r="76" spans="1:9" x14ac:dyDescent="0.2">
      <c r="H76" s="1411"/>
    </row>
    <row r="77" spans="1:9" ht="16.5" x14ac:dyDescent="0.25">
      <c r="A77" s="363" t="s">
        <v>531</v>
      </c>
      <c r="B77" s="364"/>
      <c r="C77" s="365"/>
      <c r="D77" s="365"/>
      <c r="E77" s="762">
        <f>E78+E79+E80+E81+E82</f>
        <v>37238</v>
      </c>
      <c r="F77" s="762">
        <f>F78+F79+F80+F81+F82</f>
        <v>37217</v>
      </c>
      <c r="G77" s="762">
        <f>G78+G79+G80+G81+G82</f>
        <v>34361</v>
      </c>
      <c r="H77" s="651">
        <f>(G77/F77)*100</f>
        <v>92.326087540640032</v>
      </c>
    </row>
    <row r="78" spans="1:9" s="1389" customFormat="1" ht="15" x14ac:dyDescent="0.2">
      <c r="A78" s="581" t="s">
        <v>288</v>
      </c>
      <c r="B78" s="611"/>
      <c r="C78" s="612"/>
      <c r="D78" s="612"/>
      <c r="E78" s="796">
        <f>E53-E52</f>
        <v>36965</v>
      </c>
      <c r="F78" s="796">
        <f>F53-F52</f>
        <v>35699</v>
      </c>
      <c r="G78" s="796">
        <f>G53-G52</f>
        <v>32890</v>
      </c>
      <c r="H78" s="1138">
        <f>(G78/F78)*100</f>
        <v>92.131432253004292</v>
      </c>
    </row>
    <row r="79" spans="1:9" s="1389" customFormat="1" ht="15" x14ac:dyDescent="0.2">
      <c r="A79" s="581" t="s">
        <v>289</v>
      </c>
      <c r="B79" s="616"/>
      <c r="C79" s="612"/>
      <c r="D79" s="612"/>
      <c r="E79" s="1009">
        <f>E72</f>
        <v>0</v>
      </c>
      <c r="F79" s="1009">
        <f>F72</f>
        <v>1245</v>
      </c>
      <c r="G79" s="1009">
        <f>G72</f>
        <v>1235</v>
      </c>
      <c r="H79" s="1138">
        <f>(G79/F79)*100</f>
        <v>99.196787148594382</v>
      </c>
    </row>
    <row r="80" spans="1:9" s="1389" customFormat="1" ht="15" x14ac:dyDescent="0.2">
      <c r="A80" s="581" t="s">
        <v>227</v>
      </c>
      <c r="B80" s="616"/>
      <c r="C80" s="612"/>
      <c r="D80" s="612"/>
      <c r="E80" s="1009">
        <v>0</v>
      </c>
      <c r="F80" s="1009">
        <v>0</v>
      </c>
      <c r="G80" s="1009">
        <v>0</v>
      </c>
      <c r="H80" s="1138">
        <v>0</v>
      </c>
    </row>
    <row r="81" spans="1:8" s="1389" customFormat="1" ht="15" x14ac:dyDescent="0.2">
      <c r="A81" s="581" t="s">
        <v>1291</v>
      </c>
      <c r="B81" s="616"/>
      <c r="C81" s="612"/>
      <c r="D81" s="612"/>
      <c r="E81" s="1009">
        <v>0</v>
      </c>
      <c r="F81" s="1009">
        <v>0</v>
      </c>
      <c r="G81" s="1009">
        <v>0</v>
      </c>
      <c r="H81" s="1138">
        <v>0</v>
      </c>
    </row>
    <row r="82" spans="1:8" s="1389" customFormat="1" ht="15" x14ac:dyDescent="0.2">
      <c r="A82" s="581" t="s">
        <v>509</v>
      </c>
      <c r="B82" s="616"/>
      <c r="C82" s="612"/>
      <c r="D82" s="612"/>
      <c r="E82" s="1009">
        <f>SUM(E52)</f>
        <v>273</v>
      </c>
      <c r="F82" s="1009">
        <f>SUM(F52)</f>
        <v>273</v>
      </c>
      <c r="G82" s="1009">
        <f>SUM(G52)</f>
        <v>236</v>
      </c>
      <c r="H82" s="1138">
        <f>(G82/F82)*100</f>
        <v>86.446886446886452</v>
      </c>
    </row>
    <row r="83" spans="1:8" x14ac:dyDescent="0.2">
      <c r="H83" s="1411"/>
    </row>
    <row r="84" spans="1:8" x14ac:dyDescent="0.2">
      <c r="H84" s="1411"/>
    </row>
    <row r="85" spans="1:8" s="58" customFormat="1" ht="47.25" customHeight="1" thickBot="1" x14ac:dyDescent="0.4">
      <c r="A85" s="674" t="s">
        <v>673</v>
      </c>
      <c r="B85" s="675"/>
      <c r="C85" s="676"/>
      <c r="D85" s="677"/>
      <c r="E85" s="619">
        <f>SUM(E72,E53)</f>
        <v>37238</v>
      </c>
      <c r="F85" s="619">
        <f>SUM(F72,F53)</f>
        <v>37217</v>
      </c>
      <c r="G85" s="619">
        <f>SUM(G72,G53)</f>
        <v>34361</v>
      </c>
      <c r="H85" s="620">
        <f>(G85/F85)*100</f>
        <v>92.326087540640032</v>
      </c>
    </row>
    <row r="86" spans="1:8" s="670" customFormat="1" ht="13.5" thickTop="1" x14ac:dyDescent="0.2">
      <c r="A86" s="655"/>
      <c r="B86" s="655"/>
      <c r="C86" s="656"/>
      <c r="D86" s="1139"/>
      <c r="E86" s="1026"/>
      <c r="F86" s="653"/>
      <c r="G86" s="1026"/>
      <c r="H86" s="1140"/>
    </row>
    <row r="87" spans="1:8" s="670" customFormat="1" ht="14.25" x14ac:dyDescent="0.2">
      <c r="A87" s="655"/>
      <c r="B87" s="526"/>
      <c r="C87" s="526"/>
      <c r="D87" s="526"/>
      <c r="G87" s="1026"/>
      <c r="H87" s="1140"/>
    </row>
    <row r="88" spans="1:8" s="693" customFormat="1" ht="14.25" x14ac:dyDescent="0.2">
      <c r="A88" s="655"/>
      <c r="B88" s="526"/>
      <c r="C88" s="526"/>
      <c r="D88" s="526"/>
      <c r="E88" s="699"/>
      <c r="F88" s="699"/>
      <c r="G88" s="699"/>
      <c r="H88" s="1412"/>
    </row>
    <row r="100" spans="4:4" x14ac:dyDescent="0.2">
      <c r="D100" s="384"/>
    </row>
  </sheetData>
  <phoneticPr fontId="0" type="noConversion"/>
  <pageMargins left="0.98425196850393704" right="0.78740157480314965" top="0.98425196850393704" bottom="0.98425196850393704" header="0.51181102362204722" footer="0.51181102362204722"/>
  <pageSetup paperSize="9" scale="72" firstPageNumber="28" orientation="portrait" useFirstPageNumber="1" r:id="rId1"/>
  <headerFooter alignWithMargins="0">
    <oddFooter xml:space="preserve">&amp;L&amp;"Arial,Kurzíva"Zastupitelstvo Olomouckého kraje 28. 6. 2013
6.- Závěrečný  účet Olomuckého kraje za rok 2012
Příloha č. 3: Plnění rozpočtu výdajů Olomouckého kraje k 31.12.2012&amp;R&amp;"Arial,Kurzíva"Strana &amp;P (Celkem 484)
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1"/>
  </sheetPr>
  <dimension ref="A1:K20"/>
  <sheetViews>
    <sheetView showGridLines="0" zoomScaleNormal="100" workbookViewId="0">
      <selection activeCell="A267" sqref="A267"/>
    </sheetView>
  </sheetViews>
  <sheetFormatPr defaultRowHeight="12.75" x14ac:dyDescent="0.2"/>
  <cols>
    <col min="1" max="1" width="4.7109375" style="414" customWidth="1"/>
    <col min="2" max="2" width="6.7109375" style="414" customWidth="1"/>
    <col min="3" max="3" width="9.140625" style="414"/>
    <col min="4" max="4" width="46.42578125" style="349" customWidth="1"/>
    <col min="5" max="5" width="13.85546875" style="472" customWidth="1"/>
    <col min="6" max="6" width="14.85546875" style="472" customWidth="1"/>
    <col min="7" max="7" width="13.85546875" style="472" customWidth="1"/>
    <col min="8" max="8" width="6.42578125" style="636" customWidth="1"/>
    <col min="9" max="16384" width="9.140625" style="349"/>
  </cols>
  <sheetData>
    <row r="1" spans="1:11" ht="18" x14ac:dyDescent="0.25">
      <c r="A1" s="495" t="s">
        <v>927</v>
      </c>
      <c r="B1" s="496"/>
      <c r="C1" s="496"/>
      <c r="D1" s="496"/>
      <c r="E1" s="496"/>
      <c r="F1" s="496"/>
      <c r="G1" s="419"/>
    </row>
    <row r="2" spans="1:11" ht="18.75" thickBot="1" x14ac:dyDescent="0.3">
      <c r="A2" s="498" t="s">
        <v>895</v>
      </c>
      <c r="B2" s="494"/>
      <c r="C2" s="494"/>
      <c r="D2" s="494"/>
      <c r="E2" s="494"/>
      <c r="F2" s="494"/>
      <c r="G2" s="419"/>
      <c r="H2" s="637" t="s">
        <v>896</v>
      </c>
    </row>
    <row r="3" spans="1:11" ht="18" x14ac:dyDescent="0.25">
      <c r="B3" s="419"/>
      <c r="C3" s="419"/>
      <c r="D3" s="419"/>
      <c r="E3" s="419"/>
      <c r="F3" s="419"/>
      <c r="G3" s="419"/>
      <c r="H3" s="638"/>
    </row>
    <row r="4" spans="1:11" s="384" customFormat="1" ht="16.5" customHeight="1" x14ac:dyDescent="0.2">
      <c r="A4" s="67" t="s">
        <v>404</v>
      </c>
      <c r="B4" s="28"/>
      <c r="C4" s="557" t="s">
        <v>379</v>
      </c>
    </row>
    <row r="5" spans="1:11" s="384" customFormat="1" ht="12.75" customHeight="1" x14ac:dyDescent="0.25">
      <c r="A5" s="6"/>
      <c r="B5" s="28"/>
      <c r="C5" s="557" t="s">
        <v>380</v>
      </c>
    </row>
    <row r="6" spans="1:11" ht="18" x14ac:dyDescent="0.25">
      <c r="A6" s="420" t="s">
        <v>925</v>
      </c>
      <c r="B6" s="419"/>
      <c r="C6" s="419"/>
      <c r="D6" s="419"/>
      <c r="E6" s="419"/>
      <c r="F6" s="419"/>
      <c r="G6" s="419"/>
      <c r="H6" s="638"/>
    </row>
    <row r="7" spans="1:11" ht="18.75" thickBot="1" x14ac:dyDescent="0.3">
      <c r="A7" s="420"/>
      <c r="B7" s="419"/>
      <c r="C7" s="419"/>
      <c r="D7" s="419"/>
      <c r="E7" s="419"/>
      <c r="F7" s="419"/>
      <c r="G7" s="419"/>
      <c r="H7" s="639" t="s">
        <v>1379</v>
      </c>
    </row>
    <row r="8" spans="1:11" s="386" customFormat="1" ht="25.5" thickTop="1" thickBot="1" x14ac:dyDescent="0.25">
      <c r="A8" s="561" t="s">
        <v>180</v>
      </c>
      <c r="B8" s="562" t="s">
        <v>847</v>
      </c>
      <c r="C8" s="562" t="s">
        <v>414</v>
      </c>
      <c r="D8" s="563" t="s">
        <v>182</v>
      </c>
      <c r="E8" s="564" t="s">
        <v>700</v>
      </c>
      <c r="F8" s="564" t="s">
        <v>701</v>
      </c>
      <c r="G8" s="565" t="s">
        <v>986</v>
      </c>
      <c r="H8" s="640" t="s">
        <v>987</v>
      </c>
    </row>
    <row r="9" spans="1:11" s="386" customFormat="1" ht="13.5" thickTop="1" thickBot="1" x14ac:dyDescent="0.25">
      <c r="A9" s="592">
        <v>1</v>
      </c>
      <c r="B9" s="593">
        <v>2</v>
      </c>
      <c r="C9" s="593">
        <v>3</v>
      </c>
      <c r="D9" s="593">
        <v>4</v>
      </c>
      <c r="E9" s="567">
        <v>5</v>
      </c>
      <c r="F9" s="567">
        <v>6</v>
      </c>
      <c r="G9" s="568">
        <v>7</v>
      </c>
      <c r="H9" s="569" t="s">
        <v>61</v>
      </c>
    </row>
    <row r="10" spans="1:11" s="421" customFormat="1" ht="16.5" thickTop="1" thickBot="1" x14ac:dyDescent="0.25">
      <c r="A10" s="422">
        <v>6409</v>
      </c>
      <c r="B10" s="423">
        <v>5909</v>
      </c>
      <c r="C10" s="424"/>
      <c r="D10" s="425" t="s">
        <v>854</v>
      </c>
      <c r="E10" s="417">
        <v>0</v>
      </c>
      <c r="F10" s="417">
        <v>0</v>
      </c>
      <c r="G10" s="417">
        <v>0</v>
      </c>
      <c r="H10" s="652">
        <v>0</v>
      </c>
      <c r="I10" s="641"/>
      <c r="J10" s="641"/>
      <c r="K10" s="641"/>
    </row>
    <row r="11" spans="1:11" s="340" customFormat="1" ht="16.5" thickTop="1" thickBot="1" x14ac:dyDescent="0.3">
      <c r="A11" s="2810" t="s">
        <v>849</v>
      </c>
      <c r="B11" s="2811"/>
      <c r="C11" s="2811"/>
      <c r="D11" s="2811"/>
      <c r="E11" s="596">
        <f>SUM(,E10:E10)</f>
        <v>0</v>
      </c>
      <c r="F11" s="596">
        <f>SUM(,F10:F10)</f>
        <v>0</v>
      </c>
      <c r="G11" s="596">
        <f>SUM(,G10:G10)</f>
        <v>0</v>
      </c>
      <c r="H11" s="453">
        <v>0</v>
      </c>
      <c r="I11" s="642"/>
    </row>
    <row r="12" spans="1:11" ht="13.5" thickTop="1" x14ac:dyDescent="0.2"/>
    <row r="14" spans="1:11" s="626" customFormat="1" ht="16.5" x14ac:dyDescent="0.25">
      <c r="A14" s="605" t="s">
        <v>508</v>
      </c>
      <c r="B14" s="606"/>
      <c r="C14" s="607"/>
      <c r="D14" s="608"/>
      <c r="E14" s="609">
        <f>SUM(E15:E17)</f>
        <v>0</v>
      </c>
      <c r="F14" s="609">
        <f>F15+F16+F17+F18</f>
        <v>0</v>
      </c>
      <c r="G14" s="609">
        <f>G15+G16+G17+G18</f>
        <v>0</v>
      </c>
      <c r="H14" s="610">
        <v>0</v>
      </c>
    </row>
    <row r="15" spans="1:11" s="384" customFormat="1" ht="15" x14ac:dyDescent="0.2">
      <c r="A15" s="581" t="s">
        <v>288</v>
      </c>
      <c r="B15" s="611"/>
      <c r="C15" s="612"/>
      <c r="D15" s="613"/>
      <c r="E15" s="614">
        <f>SUM(E10:E10)</f>
        <v>0</v>
      </c>
      <c r="F15" s="614">
        <f>SUM(F10:F10)</f>
        <v>0</v>
      </c>
      <c r="G15" s="614">
        <f>SUM(G10:G10)</f>
        <v>0</v>
      </c>
      <c r="H15" s="615">
        <v>0</v>
      </c>
    </row>
    <row r="16" spans="1:11" s="384" customFormat="1" ht="15" x14ac:dyDescent="0.2">
      <c r="A16" s="581" t="s">
        <v>289</v>
      </c>
      <c r="B16" s="616"/>
      <c r="C16" s="612"/>
      <c r="D16" s="617"/>
      <c r="E16" s="614">
        <v>0</v>
      </c>
      <c r="F16" s="614">
        <v>0</v>
      </c>
      <c r="G16" s="614">
        <v>0</v>
      </c>
      <c r="H16" s="615">
        <v>0</v>
      </c>
    </row>
    <row r="17" spans="1:8" s="384" customFormat="1" ht="15" x14ac:dyDescent="0.2">
      <c r="A17" s="581" t="s">
        <v>509</v>
      </c>
      <c r="B17" s="616"/>
      <c r="C17" s="612"/>
      <c r="D17" s="617"/>
      <c r="E17" s="614">
        <v>0</v>
      </c>
      <c r="F17" s="614">
        <v>0</v>
      </c>
      <c r="G17" s="614">
        <v>0</v>
      </c>
      <c r="H17" s="631">
        <v>0</v>
      </c>
    </row>
    <row r="18" spans="1:8" s="384" customFormat="1" ht="15" x14ac:dyDescent="0.2">
      <c r="A18" s="581"/>
      <c r="B18" s="616"/>
      <c r="C18" s="612"/>
      <c r="D18" s="617"/>
      <c r="E18" s="614"/>
      <c r="F18" s="614"/>
      <c r="G18" s="614"/>
      <c r="H18" s="618"/>
    </row>
    <row r="19" spans="1:8" s="58" customFormat="1" ht="69" customHeight="1" thickBot="1" x14ac:dyDescent="0.4">
      <c r="A19" s="2710" t="s">
        <v>928</v>
      </c>
      <c r="B19" s="2812"/>
      <c r="C19" s="2812"/>
      <c r="D19" s="2812"/>
      <c r="E19" s="619">
        <f>SUM(E14)</f>
        <v>0</v>
      </c>
      <c r="F19" s="619">
        <f>SUM(F14)</f>
        <v>0</v>
      </c>
      <c r="G19" s="619">
        <f>SUM(G14)</f>
        <v>0</v>
      </c>
      <c r="H19" s="635">
        <v>0</v>
      </c>
    </row>
    <row r="20" spans="1:8" ht="13.5" thickTop="1" x14ac:dyDescent="0.2"/>
  </sheetData>
  <mergeCells count="2">
    <mergeCell ref="A11:D11"/>
    <mergeCell ref="A19:D19"/>
  </mergeCells>
  <phoneticPr fontId="33" type="noConversion"/>
  <pageMargins left="0.98425196850393704" right="0.98425196850393704" top="0.98425196850393704" bottom="0.98425196850393704" header="0.51181102362204722" footer="0.51181102362204722"/>
  <pageSetup paperSize="9" scale="70" firstPageNumber="146" orientation="portrait" r:id="rId1"/>
  <headerFooter alignWithMargins="0">
    <oddFooter xml:space="preserve">&amp;L&amp;"Arial,Kurzíva"Zastupitelstvo Olomouckého kraje 28.6.2010
8.- Rozpočet Olomouckého kraje 2009 - závěrečný  účet
Příloha č. 3: Plnění rozpočtu výdajů Olomouckého kraje k 31.12.2009&amp;R&amp;"Arial,Kurzíva"Strana &amp;P (Celkem 464)
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4"/>
  </sheetPr>
  <dimension ref="A1:H20"/>
  <sheetViews>
    <sheetView showGridLines="0" zoomScaleNormal="100" workbookViewId="0">
      <selection activeCell="A10" sqref="A10:G10"/>
    </sheetView>
  </sheetViews>
  <sheetFormatPr defaultRowHeight="12.75" x14ac:dyDescent="0.2"/>
  <cols>
    <col min="1" max="1" width="4.7109375" style="414" customWidth="1"/>
    <col min="2" max="2" width="6.7109375" style="414" customWidth="1"/>
    <col min="3" max="3" width="9" style="414" bestFit="1" customWidth="1"/>
    <col min="4" max="4" width="46.42578125" style="349" customWidth="1"/>
    <col min="5" max="5" width="14.7109375" style="472" customWidth="1"/>
    <col min="6" max="6" width="14.5703125" style="472" customWidth="1"/>
    <col min="7" max="7" width="13.85546875" style="472" customWidth="1"/>
    <col min="8" max="8" width="7" style="349" customWidth="1"/>
    <col min="9" max="16384" width="9.140625" style="349"/>
  </cols>
  <sheetData>
    <row r="1" spans="1:8" ht="18" x14ac:dyDescent="0.25">
      <c r="A1" s="495" t="s">
        <v>502</v>
      </c>
      <c r="B1" s="496"/>
      <c r="C1" s="496"/>
      <c r="D1" s="496"/>
      <c r="E1" s="496"/>
      <c r="F1" s="496"/>
      <c r="G1" s="419"/>
    </row>
    <row r="2" spans="1:8" ht="18.75" thickBot="1" x14ac:dyDescent="0.3">
      <c r="A2" s="498" t="s">
        <v>503</v>
      </c>
      <c r="B2" s="494"/>
      <c r="C2" s="494"/>
      <c r="D2" s="494"/>
      <c r="E2" s="494"/>
      <c r="F2" s="494"/>
      <c r="G2" s="419"/>
      <c r="H2" s="598" t="s">
        <v>1369</v>
      </c>
    </row>
    <row r="3" spans="1:8" ht="18" x14ac:dyDescent="0.25">
      <c r="A3" s="420"/>
      <c r="B3" s="419"/>
      <c r="C3" s="419"/>
      <c r="D3" s="419"/>
      <c r="E3" s="419"/>
      <c r="F3" s="419"/>
      <c r="G3" s="419"/>
      <c r="H3" s="598"/>
    </row>
    <row r="4" spans="1:8" s="384" customFormat="1" ht="16.5" customHeight="1" x14ac:dyDescent="0.2">
      <c r="A4" s="67" t="s">
        <v>404</v>
      </c>
      <c r="B4" s="28"/>
      <c r="C4" s="557" t="s">
        <v>379</v>
      </c>
    </row>
    <row r="5" spans="1:8" s="384" customFormat="1" ht="12.75" customHeight="1" x14ac:dyDescent="0.25">
      <c r="A5" s="6"/>
      <c r="B5" s="28"/>
      <c r="C5" s="557" t="s">
        <v>380</v>
      </c>
    </row>
    <row r="6" spans="1:8" ht="18" x14ac:dyDescent="0.25">
      <c r="A6" s="420" t="s">
        <v>749</v>
      </c>
      <c r="B6" s="419"/>
      <c r="C6" s="419"/>
      <c r="D6" s="419"/>
      <c r="E6" s="419"/>
      <c r="F6" s="419"/>
      <c r="G6" s="419"/>
      <c r="H6" s="598"/>
    </row>
    <row r="7" spans="1:8" ht="13.5" thickBot="1" x14ac:dyDescent="0.25">
      <c r="H7" s="349" t="s">
        <v>1379</v>
      </c>
    </row>
    <row r="8" spans="1:8" s="386" customFormat="1" ht="25.5" thickTop="1" thickBot="1" x14ac:dyDescent="0.25">
      <c r="A8" s="561" t="s">
        <v>180</v>
      </c>
      <c r="B8" s="562" t="s">
        <v>847</v>
      </c>
      <c r="C8" s="562" t="s">
        <v>414</v>
      </c>
      <c r="D8" s="563" t="s">
        <v>182</v>
      </c>
      <c r="E8" s="564" t="s">
        <v>700</v>
      </c>
      <c r="F8" s="564" t="s">
        <v>701</v>
      </c>
      <c r="G8" s="565" t="s">
        <v>986</v>
      </c>
      <c r="H8" s="566" t="s">
        <v>987</v>
      </c>
    </row>
    <row r="9" spans="1:8" s="386" customFormat="1" ht="13.5" thickTop="1" thickBot="1" x14ac:dyDescent="0.25">
      <c r="A9" s="592">
        <v>1</v>
      </c>
      <c r="B9" s="593">
        <v>2</v>
      </c>
      <c r="C9" s="593">
        <v>3</v>
      </c>
      <c r="D9" s="593">
        <v>4</v>
      </c>
      <c r="E9" s="567">
        <v>5</v>
      </c>
      <c r="F9" s="567">
        <v>6</v>
      </c>
      <c r="G9" s="568">
        <v>7</v>
      </c>
      <c r="H9" s="553" t="s">
        <v>61</v>
      </c>
    </row>
    <row r="10" spans="1:8" ht="21.75" customHeight="1" thickTop="1" thickBot="1" x14ac:dyDescent="0.25">
      <c r="A10" s="422">
        <v>6409</v>
      </c>
      <c r="B10" s="423">
        <v>5909</v>
      </c>
      <c r="C10" s="424"/>
      <c r="D10" s="425" t="s">
        <v>1476</v>
      </c>
      <c r="E10" s="417">
        <v>0</v>
      </c>
      <c r="F10" s="417">
        <v>0</v>
      </c>
      <c r="G10" s="417">
        <v>0</v>
      </c>
      <c r="H10" s="652">
        <v>0</v>
      </c>
    </row>
    <row r="11" spans="1:8" s="340" customFormat="1" ht="16.5" thickTop="1" thickBot="1" x14ac:dyDescent="0.3">
      <c r="A11" s="2810" t="s">
        <v>849</v>
      </c>
      <c r="B11" s="2811"/>
      <c r="C11" s="2811"/>
      <c r="D11" s="2811"/>
      <c r="E11" s="602">
        <f>SUM(E10:E10)</f>
        <v>0</v>
      </c>
      <c r="F11" s="602">
        <f>SUM(F10:F10)</f>
        <v>0</v>
      </c>
      <c r="G11" s="625">
        <f>SUM(G10:G10)</f>
        <v>0</v>
      </c>
      <c r="H11" s="603">
        <v>0</v>
      </c>
    </row>
    <row r="12" spans="1:8" ht="13.5" thickTop="1" x14ac:dyDescent="0.2"/>
    <row r="14" spans="1:8" s="626" customFormat="1" ht="16.5" x14ac:dyDescent="0.25">
      <c r="A14" s="605" t="s">
        <v>508</v>
      </c>
      <c r="B14" s="606"/>
      <c r="C14" s="607"/>
      <c r="D14" s="608"/>
      <c r="E14" s="609">
        <f>SUM(E15:E17)</f>
        <v>0</v>
      </c>
      <c r="F14" s="609">
        <f>F15+F16+F17+F18</f>
        <v>0</v>
      </c>
      <c r="G14" s="609">
        <f>G15+G16+G17+G18</f>
        <v>0</v>
      </c>
      <c r="H14" s="610">
        <v>0</v>
      </c>
    </row>
    <row r="15" spans="1:8" s="384" customFormat="1" ht="15" x14ac:dyDescent="0.2">
      <c r="A15" s="581" t="s">
        <v>288</v>
      </c>
      <c r="B15" s="611"/>
      <c r="C15" s="612"/>
      <c r="D15" s="613"/>
      <c r="E15" s="614">
        <f>SUM(E10:E10)</f>
        <v>0</v>
      </c>
      <c r="F15" s="614">
        <f>SUM(F10:F10)</f>
        <v>0</v>
      </c>
      <c r="G15" s="614">
        <f>SUM(G10:G10)</f>
        <v>0</v>
      </c>
      <c r="H15" s="615">
        <v>0</v>
      </c>
    </row>
    <row r="16" spans="1:8" s="384" customFormat="1" ht="15" x14ac:dyDescent="0.2">
      <c r="A16" s="581" t="s">
        <v>289</v>
      </c>
      <c r="B16" s="616"/>
      <c r="C16" s="612"/>
      <c r="D16" s="617"/>
      <c r="E16" s="614">
        <v>0</v>
      </c>
      <c r="F16" s="614">
        <v>0</v>
      </c>
      <c r="G16" s="614">
        <v>0</v>
      </c>
      <c r="H16" s="615">
        <v>0</v>
      </c>
    </row>
    <row r="17" spans="1:8" s="384" customFormat="1" ht="15" x14ac:dyDescent="0.2">
      <c r="A17" s="581" t="s">
        <v>509</v>
      </c>
      <c r="B17" s="616"/>
      <c r="C17" s="612"/>
      <c r="D17" s="617"/>
      <c r="E17" s="614">
        <v>0</v>
      </c>
      <c r="F17" s="614">
        <v>0</v>
      </c>
      <c r="G17" s="614">
        <v>0</v>
      </c>
      <c r="H17" s="631">
        <v>0</v>
      </c>
    </row>
    <row r="18" spans="1:8" s="384" customFormat="1" ht="15" x14ac:dyDescent="0.2">
      <c r="A18" s="581"/>
      <c r="B18" s="616"/>
      <c r="C18" s="612"/>
      <c r="D18" s="617"/>
      <c r="E18" s="614"/>
      <c r="F18" s="614"/>
      <c r="G18" s="614"/>
      <c r="H18" s="618"/>
    </row>
    <row r="19" spans="1:8" s="58" customFormat="1" ht="71.25" customHeight="1" thickBot="1" x14ac:dyDescent="0.4">
      <c r="A19" s="2710" t="s">
        <v>515</v>
      </c>
      <c r="B19" s="2812"/>
      <c r="C19" s="2812"/>
      <c r="D19" s="2812"/>
      <c r="E19" s="619">
        <f>SUM(E14)</f>
        <v>0</v>
      </c>
      <c r="F19" s="619">
        <f>SUM(F14)</f>
        <v>0</v>
      </c>
      <c r="G19" s="619">
        <f>SUM(G14)</f>
        <v>0</v>
      </c>
      <c r="H19" s="633">
        <v>0</v>
      </c>
    </row>
    <row r="20" spans="1:8" ht="13.5" thickTop="1" x14ac:dyDescent="0.2"/>
  </sheetData>
  <mergeCells count="2">
    <mergeCell ref="A11:D11"/>
    <mergeCell ref="A19:D19"/>
  </mergeCells>
  <phoneticPr fontId="33" type="noConversion"/>
  <pageMargins left="0.98425196850393704" right="0.98425196850393704" top="0.98425196850393704" bottom="0.98425196850393704" header="0.51181102362204722" footer="0.51181102362204722"/>
  <pageSetup paperSize="9" scale="65" firstPageNumber="148" orientation="portrait" r:id="rId1"/>
  <headerFooter alignWithMargins="0">
    <oddFooter xml:space="preserve">&amp;L&amp;"Arial,Kurzíva"Zastupitelstvo Olomouckého kraje 28.6.2010
8.- Rozpočet Olomouckého kraje 2009 - závěrečný  účet
Příloha č. 3: Plnění rozpočtu výdajů Olomouckého kraje k 31.12.2009&amp;R&amp;"Arial,Kurzíva"Strana &amp;P (Celkem 464)
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4"/>
  </sheetPr>
  <dimension ref="A1:H26"/>
  <sheetViews>
    <sheetView showGridLines="0" zoomScaleNormal="100" workbookViewId="0">
      <selection activeCell="A10" sqref="A10:G10"/>
    </sheetView>
  </sheetViews>
  <sheetFormatPr defaultRowHeight="12.75" x14ac:dyDescent="0.2"/>
  <cols>
    <col min="1" max="1" width="4.7109375" style="414" customWidth="1"/>
    <col min="2" max="2" width="6.7109375" style="414" customWidth="1"/>
    <col min="3" max="3" width="9" style="414" bestFit="1" customWidth="1"/>
    <col min="4" max="4" width="46.42578125" style="349" customWidth="1"/>
    <col min="5" max="5" width="15" style="472" customWidth="1"/>
    <col min="6" max="6" width="13.5703125" style="472" customWidth="1"/>
    <col min="7" max="7" width="12.28515625" style="472" customWidth="1"/>
    <col min="8" max="8" width="6.42578125" style="349" customWidth="1"/>
    <col min="9" max="9" width="12.7109375" style="349" bestFit="1" customWidth="1"/>
    <col min="10" max="16384" width="9.140625" style="349"/>
  </cols>
  <sheetData>
    <row r="1" spans="1:8" ht="18.75" thickBot="1" x14ac:dyDescent="0.3">
      <c r="A1" s="493" t="s">
        <v>1197</v>
      </c>
      <c r="B1" s="494"/>
      <c r="C1" s="494"/>
      <c r="D1" s="494"/>
      <c r="E1" s="494"/>
      <c r="F1" s="419"/>
      <c r="G1" s="419"/>
    </row>
    <row r="2" spans="1:8" ht="18" x14ac:dyDescent="0.25">
      <c r="B2" s="419"/>
      <c r="C2" s="419"/>
      <c r="D2" s="419"/>
      <c r="E2" s="419"/>
      <c r="F2" s="419"/>
      <c r="G2" s="419"/>
      <c r="H2" s="598" t="s">
        <v>1370</v>
      </c>
    </row>
    <row r="3" spans="1:8" s="384" customFormat="1" ht="16.5" customHeight="1" x14ac:dyDescent="0.2">
      <c r="A3" s="67" t="s">
        <v>404</v>
      </c>
      <c r="B3" s="28"/>
      <c r="C3" s="557" t="s">
        <v>379</v>
      </c>
    </row>
    <row r="4" spans="1:8" s="384" customFormat="1" ht="12.75" customHeight="1" x14ac:dyDescent="0.25">
      <c r="A4" s="6"/>
      <c r="B4" s="28"/>
      <c r="C4" s="557" t="s">
        <v>380</v>
      </c>
    </row>
    <row r="5" spans="1:8" ht="18" x14ac:dyDescent="0.25">
      <c r="A5" s="420" t="s">
        <v>1196</v>
      </c>
      <c r="B5" s="419"/>
      <c r="C5" s="419"/>
      <c r="D5" s="419"/>
      <c r="E5" s="419"/>
      <c r="F5" s="419"/>
      <c r="G5" s="419"/>
      <c r="H5" s="598"/>
    </row>
    <row r="6" spans="1:8" ht="18.75" thickBot="1" x14ac:dyDescent="0.3">
      <c r="A6" s="420"/>
      <c r="B6" s="419"/>
      <c r="C6" s="419"/>
      <c r="D6" s="419"/>
      <c r="E6" s="419"/>
      <c r="F6" s="419"/>
      <c r="G6" s="419"/>
      <c r="H6" s="632" t="s">
        <v>1379</v>
      </c>
    </row>
    <row r="7" spans="1:8" s="386" customFormat="1" ht="25.5" thickTop="1" thickBot="1" x14ac:dyDescent="0.25">
      <c r="A7" s="561" t="s">
        <v>180</v>
      </c>
      <c r="B7" s="562" t="s">
        <v>847</v>
      </c>
      <c r="C7" s="562" t="s">
        <v>414</v>
      </c>
      <c r="D7" s="563" t="s">
        <v>182</v>
      </c>
      <c r="E7" s="564" t="s">
        <v>700</v>
      </c>
      <c r="F7" s="564" t="s">
        <v>701</v>
      </c>
      <c r="G7" s="565" t="s">
        <v>986</v>
      </c>
      <c r="H7" s="566" t="s">
        <v>987</v>
      </c>
    </row>
    <row r="8" spans="1:8" s="386" customFormat="1" ht="13.5" thickTop="1" thickBot="1" x14ac:dyDescent="0.25">
      <c r="A8" s="592">
        <v>1</v>
      </c>
      <c r="B8" s="593">
        <v>2</v>
      </c>
      <c r="C8" s="593">
        <v>3</v>
      </c>
      <c r="D8" s="593">
        <v>4</v>
      </c>
      <c r="E8" s="567">
        <v>5</v>
      </c>
      <c r="F8" s="567">
        <v>6</v>
      </c>
      <c r="G8" s="568">
        <v>7</v>
      </c>
      <c r="H8" s="553" t="s">
        <v>61</v>
      </c>
    </row>
    <row r="9" spans="1:8" s="350" customFormat="1" ht="20.25" customHeight="1" thickTop="1" thickBot="1" x14ac:dyDescent="0.25">
      <c r="A9" s="422">
        <v>6409</v>
      </c>
      <c r="B9" s="423">
        <v>5909</v>
      </c>
      <c r="C9" s="424"/>
      <c r="D9" s="425" t="s">
        <v>1476</v>
      </c>
      <c r="E9" s="417">
        <v>0</v>
      </c>
      <c r="F9" s="417">
        <v>0</v>
      </c>
      <c r="G9" s="417">
        <v>0</v>
      </c>
      <c r="H9" s="453">
        <v>0</v>
      </c>
    </row>
    <row r="10" spans="1:8" s="340" customFormat="1" ht="16.5" thickTop="1" thickBot="1" x14ac:dyDescent="0.3">
      <c r="A10" s="2810" t="s">
        <v>849</v>
      </c>
      <c r="B10" s="2811"/>
      <c r="C10" s="2811"/>
      <c r="D10" s="2811"/>
      <c r="E10" s="602">
        <f>SUM(E9:E9)</f>
        <v>0</v>
      </c>
      <c r="F10" s="602">
        <f>SUM(F9:F9)</f>
        <v>0</v>
      </c>
      <c r="G10" s="602">
        <f>SUM(G9:G9)</f>
        <v>0</v>
      </c>
      <c r="H10" s="453">
        <v>0</v>
      </c>
    </row>
    <row r="11" spans="1:8" ht="13.5" thickTop="1" x14ac:dyDescent="0.2"/>
    <row r="13" spans="1:8" s="626" customFormat="1" ht="16.5" x14ac:dyDescent="0.25">
      <c r="A13" s="605" t="s">
        <v>508</v>
      </c>
      <c r="B13" s="606"/>
      <c r="C13" s="607"/>
      <c r="D13" s="608"/>
      <c r="E13" s="609">
        <f>SUM(E14:E16)</f>
        <v>0</v>
      </c>
      <c r="F13" s="609">
        <f>F14+F15+F16+F17</f>
        <v>0</v>
      </c>
      <c r="G13" s="609">
        <f>G14+G15+G16+G17</f>
        <v>0</v>
      </c>
      <c r="H13" s="610">
        <v>0</v>
      </c>
    </row>
    <row r="14" spans="1:8" s="384" customFormat="1" ht="15" x14ac:dyDescent="0.2">
      <c r="A14" s="581" t="s">
        <v>288</v>
      </c>
      <c r="B14" s="611"/>
      <c r="C14" s="612"/>
      <c r="D14" s="613"/>
      <c r="E14" s="614">
        <f>SUM(E10)</f>
        <v>0</v>
      </c>
      <c r="F14" s="614">
        <f>SUM(F10)</f>
        <v>0</v>
      </c>
      <c r="G14" s="614">
        <f>SUM(G10)</f>
        <v>0</v>
      </c>
      <c r="H14" s="615">
        <v>0</v>
      </c>
    </row>
    <row r="15" spans="1:8" s="384" customFormat="1" ht="15" x14ac:dyDescent="0.2">
      <c r="A15" s="581" t="s">
        <v>289</v>
      </c>
      <c r="B15" s="616"/>
      <c r="C15" s="612"/>
      <c r="D15" s="617"/>
      <c r="E15" s="614">
        <v>0</v>
      </c>
      <c r="F15" s="614">
        <v>0</v>
      </c>
      <c r="G15" s="614">
        <v>0</v>
      </c>
      <c r="H15" s="631">
        <v>0</v>
      </c>
    </row>
    <row r="16" spans="1:8" s="384" customFormat="1" ht="15" x14ac:dyDescent="0.2">
      <c r="A16" s="581" t="s">
        <v>509</v>
      </c>
      <c r="B16" s="616"/>
      <c r="C16" s="612"/>
      <c r="D16" s="617"/>
      <c r="E16" s="614">
        <v>0</v>
      </c>
      <c r="F16" s="614">
        <v>0</v>
      </c>
      <c r="G16" s="614">
        <v>0</v>
      </c>
      <c r="H16" s="631">
        <v>0</v>
      </c>
    </row>
    <row r="17" spans="1:8" s="384" customFormat="1" ht="15" x14ac:dyDescent="0.2">
      <c r="A17" s="581"/>
      <c r="B17" s="616"/>
      <c r="C17" s="612"/>
      <c r="D17" s="617"/>
      <c r="E17" s="614"/>
      <c r="F17" s="614"/>
      <c r="G17" s="614"/>
      <c r="H17" s="618"/>
    </row>
    <row r="18" spans="1:8" s="58" customFormat="1" ht="47.25" customHeight="1" thickBot="1" x14ac:dyDescent="0.4">
      <c r="A18" s="2710" t="s">
        <v>1198</v>
      </c>
      <c r="B18" s="2812"/>
      <c r="C18" s="2812"/>
      <c r="D18" s="2812"/>
      <c r="E18" s="619">
        <f>SUM(E13)</f>
        <v>0</v>
      </c>
      <c r="F18" s="619">
        <f>SUM(F13)</f>
        <v>0</v>
      </c>
      <c r="G18" s="619">
        <f>SUM(G13)</f>
        <v>0</v>
      </c>
      <c r="H18" s="633" t="e">
        <f>(G18/F18)*100</f>
        <v>#DIV/0!</v>
      </c>
    </row>
    <row r="19" spans="1:8" ht="13.5" thickTop="1" x14ac:dyDescent="0.2"/>
    <row r="26" spans="1:8" ht="20.25" x14ac:dyDescent="0.3">
      <c r="D26" s="634"/>
    </row>
  </sheetData>
  <mergeCells count="2">
    <mergeCell ref="A10:D10"/>
    <mergeCell ref="A18:D18"/>
  </mergeCells>
  <phoneticPr fontId="33" type="noConversion"/>
  <pageMargins left="0.98425196850393704" right="0.98425196850393704" top="0.98425196850393704" bottom="0.98425196850393704" header="0.51181102362204722" footer="0.51181102362204722"/>
  <pageSetup paperSize="9" scale="70" firstPageNumber="149" orientation="portrait" r:id="rId1"/>
  <headerFooter alignWithMargins="0">
    <oddFooter xml:space="preserve">&amp;L&amp;"Arial,Kurzíva"Zastupitelstvo Olomouckého kraje 28.6.2010
8.- Rozpočet Olomouckého kraje 2009 - závěrečný  účet
Příloha č. 3: Plnění rozpočtu výdajů Olomouckého kraje k 31.12.2009&amp;R&amp;"Arial,Kurzíva"Strana &amp;P (Celkem 464)
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4"/>
  </sheetPr>
  <dimension ref="A1:H26"/>
  <sheetViews>
    <sheetView showGridLines="0" zoomScaleNormal="100" workbookViewId="0">
      <selection activeCell="A10" sqref="A10:G10"/>
    </sheetView>
  </sheetViews>
  <sheetFormatPr defaultRowHeight="12.75" x14ac:dyDescent="0.2"/>
  <cols>
    <col min="1" max="1" width="4.7109375" style="414" customWidth="1"/>
    <col min="2" max="2" width="6.7109375" style="414" customWidth="1"/>
    <col min="3" max="3" width="9.28515625" style="414" customWidth="1"/>
    <col min="4" max="4" width="46.42578125" style="349" customWidth="1"/>
    <col min="5" max="5" width="12.140625" style="472" customWidth="1"/>
    <col min="6" max="6" width="16.85546875" style="472" customWidth="1"/>
    <col min="7" max="7" width="13.85546875" style="472" customWidth="1"/>
    <col min="8" max="8" width="6.42578125" style="349" customWidth="1"/>
    <col min="9" max="9" width="11.7109375" style="349" bestFit="1" customWidth="1"/>
    <col min="10" max="16384" width="9.140625" style="349"/>
  </cols>
  <sheetData>
    <row r="1" spans="1:8" ht="36" customHeight="1" thickBot="1" x14ac:dyDescent="0.3">
      <c r="A1" s="2816" t="s">
        <v>483</v>
      </c>
      <c r="B1" s="2817"/>
      <c r="C1" s="2817"/>
      <c r="D1" s="2817"/>
      <c r="E1" s="2817"/>
      <c r="F1" s="2817"/>
      <c r="G1" s="2817"/>
      <c r="H1" s="2817"/>
    </row>
    <row r="2" spans="1:8" ht="18" x14ac:dyDescent="0.25">
      <c r="B2" s="419"/>
      <c r="C2" s="419"/>
      <c r="D2" s="419"/>
      <c r="E2" s="419"/>
      <c r="F2" s="419"/>
      <c r="G2" s="419"/>
      <c r="H2" s="598" t="s">
        <v>1375</v>
      </c>
    </row>
    <row r="3" spans="1:8" s="384" customFormat="1" ht="16.5" customHeight="1" x14ac:dyDescent="0.25">
      <c r="A3" s="67" t="s">
        <v>404</v>
      </c>
      <c r="B3" s="28"/>
      <c r="C3" s="557" t="s">
        <v>379</v>
      </c>
      <c r="E3" s="16"/>
      <c r="G3" s="627"/>
    </row>
    <row r="4" spans="1:8" s="384" customFormat="1" ht="12.75" customHeight="1" x14ac:dyDescent="0.25">
      <c r="A4" s="6"/>
      <c r="B4" s="28"/>
      <c r="C4" s="557" t="s">
        <v>380</v>
      </c>
      <c r="E4" s="16"/>
      <c r="G4" s="627"/>
    </row>
    <row r="5" spans="1:8" ht="18" x14ac:dyDescent="0.25">
      <c r="A5" s="599"/>
      <c r="B5" s="419"/>
      <c r="C5" s="419"/>
      <c r="D5" s="419"/>
      <c r="E5" s="419"/>
      <c r="F5" s="419"/>
      <c r="G5" s="419"/>
      <c r="H5" s="598"/>
    </row>
    <row r="6" spans="1:8" ht="18" x14ac:dyDescent="0.25">
      <c r="A6" s="420" t="s">
        <v>45</v>
      </c>
      <c r="B6" s="419"/>
      <c r="C6" s="419"/>
      <c r="D6" s="419"/>
      <c r="E6" s="419"/>
      <c r="F6" s="419"/>
      <c r="G6" s="419"/>
      <c r="H6" s="598"/>
    </row>
    <row r="7" spans="1:8" ht="15.75" thickBot="1" x14ac:dyDescent="0.3">
      <c r="A7" s="559"/>
      <c r="H7" s="600" t="s">
        <v>1379</v>
      </c>
    </row>
    <row r="8" spans="1:8" s="386" customFormat="1" ht="25.5" thickTop="1" thickBot="1" x14ac:dyDescent="0.25">
      <c r="A8" s="561" t="s">
        <v>180</v>
      </c>
      <c r="B8" s="562" t="s">
        <v>847</v>
      </c>
      <c r="C8" s="562" t="s">
        <v>414</v>
      </c>
      <c r="D8" s="563" t="s">
        <v>182</v>
      </c>
      <c r="E8" s="564" t="s">
        <v>700</v>
      </c>
      <c r="F8" s="564" t="s">
        <v>701</v>
      </c>
      <c r="G8" s="565" t="s">
        <v>986</v>
      </c>
      <c r="H8" s="566" t="s">
        <v>987</v>
      </c>
    </row>
    <row r="9" spans="1:8" s="386" customFormat="1" ht="13.5" thickTop="1" thickBot="1" x14ac:dyDescent="0.25">
      <c r="A9" s="592">
        <v>1</v>
      </c>
      <c r="B9" s="593">
        <v>2</v>
      </c>
      <c r="C9" s="593">
        <v>3</v>
      </c>
      <c r="D9" s="593">
        <v>4</v>
      </c>
      <c r="E9" s="567">
        <v>5</v>
      </c>
      <c r="F9" s="567">
        <v>6</v>
      </c>
      <c r="G9" s="568">
        <v>7</v>
      </c>
      <c r="H9" s="553" t="s">
        <v>61</v>
      </c>
    </row>
    <row r="10" spans="1:8" ht="16.5" thickTop="1" thickBot="1" x14ac:dyDescent="0.25">
      <c r="A10" s="422">
        <v>6409</v>
      </c>
      <c r="B10" s="423">
        <v>5909</v>
      </c>
      <c r="C10" s="424"/>
      <c r="D10" s="425" t="s">
        <v>806</v>
      </c>
      <c r="E10" s="418"/>
      <c r="F10" s="418">
        <v>0</v>
      </c>
      <c r="G10" s="629">
        <v>0</v>
      </c>
      <c r="H10" s="453">
        <v>0</v>
      </c>
    </row>
    <row r="11" spans="1:8" s="340" customFormat="1" ht="16.5" thickTop="1" thickBot="1" x14ac:dyDescent="0.3">
      <c r="A11" s="2810" t="s">
        <v>849</v>
      </c>
      <c r="B11" s="2811"/>
      <c r="C11" s="2811"/>
      <c r="D11" s="2811"/>
      <c r="E11" s="602">
        <f>SUM(E10:E10)</f>
        <v>0</v>
      </c>
      <c r="F11" s="602">
        <f>SUM(F10:F10)</f>
        <v>0</v>
      </c>
      <c r="G11" s="625">
        <f>SUM(G10:G10)</f>
        <v>0</v>
      </c>
      <c r="H11" s="453">
        <v>0</v>
      </c>
    </row>
    <row r="12" spans="1:8" s="340" customFormat="1" ht="15.75" thickTop="1" x14ac:dyDescent="0.25">
      <c r="A12" s="337" t="s">
        <v>850</v>
      </c>
      <c r="B12" s="338"/>
      <c r="C12" s="338"/>
      <c r="D12" s="339"/>
      <c r="E12" s="352"/>
      <c r="F12" s="352">
        <v>0</v>
      </c>
      <c r="G12" s="352">
        <f>G10</f>
        <v>0</v>
      </c>
      <c r="H12" s="375">
        <v>0</v>
      </c>
    </row>
    <row r="13" spans="1:8" s="340" customFormat="1" ht="15.75" thickBot="1" x14ac:dyDescent="0.3">
      <c r="A13" s="621" t="s">
        <v>855</v>
      </c>
      <c r="B13" s="586"/>
      <c r="C13" s="586"/>
      <c r="D13" s="622"/>
      <c r="E13" s="623">
        <f>E11-E12</f>
        <v>0</v>
      </c>
      <c r="F13" s="623">
        <f>F11-F12</f>
        <v>0</v>
      </c>
      <c r="G13" s="623">
        <f>G11-G12</f>
        <v>0</v>
      </c>
      <c r="H13" s="630">
        <v>0</v>
      </c>
    </row>
    <row r="14" spans="1:8" ht="13.5" thickTop="1" x14ac:dyDescent="0.2"/>
    <row r="20" spans="1:8" s="626" customFormat="1" ht="16.5" x14ac:dyDescent="0.25">
      <c r="A20" s="605" t="s">
        <v>508</v>
      </c>
      <c r="B20" s="606"/>
      <c r="C20" s="607"/>
      <c r="D20" s="608"/>
      <c r="E20" s="609">
        <f>SUM(E21:E23)</f>
        <v>0</v>
      </c>
      <c r="F20" s="609">
        <f>F21+F22+F23+F24</f>
        <v>0</v>
      </c>
      <c r="G20" s="609">
        <f>G21+G22+G23+G24</f>
        <v>0</v>
      </c>
      <c r="H20" s="610">
        <v>0</v>
      </c>
    </row>
    <row r="21" spans="1:8" s="384" customFormat="1" ht="15" x14ac:dyDescent="0.2">
      <c r="A21" s="581" t="s">
        <v>288</v>
      </c>
      <c r="B21" s="611"/>
      <c r="C21" s="612"/>
      <c r="D21" s="613"/>
      <c r="E21" s="614">
        <v>0</v>
      </c>
      <c r="F21" s="614">
        <v>0</v>
      </c>
      <c r="G21" s="614">
        <v>0</v>
      </c>
      <c r="H21" s="615">
        <v>0</v>
      </c>
    </row>
    <row r="22" spans="1:8" s="384" customFormat="1" ht="15" x14ac:dyDescent="0.2">
      <c r="A22" s="581" t="s">
        <v>289</v>
      </c>
      <c r="B22" s="616"/>
      <c r="C22" s="612"/>
      <c r="D22" s="617"/>
      <c r="E22" s="614">
        <v>0</v>
      </c>
      <c r="F22" s="614">
        <v>0</v>
      </c>
      <c r="G22" s="614">
        <v>0</v>
      </c>
      <c r="H22" s="631">
        <v>0</v>
      </c>
    </row>
    <row r="23" spans="1:8" s="384" customFormat="1" ht="15" x14ac:dyDescent="0.2">
      <c r="A23" s="581" t="s">
        <v>509</v>
      </c>
      <c r="B23" s="616"/>
      <c r="C23" s="612"/>
      <c r="D23" s="617"/>
      <c r="E23" s="614">
        <f>E10</f>
        <v>0</v>
      </c>
      <c r="F23" s="614">
        <f>F10</f>
        <v>0</v>
      </c>
      <c r="G23" s="614">
        <f>G10</f>
        <v>0</v>
      </c>
      <c r="H23" s="631">
        <v>0</v>
      </c>
    </row>
    <row r="24" spans="1:8" s="384" customFormat="1" ht="15" x14ac:dyDescent="0.2">
      <c r="A24" s="581"/>
      <c r="B24" s="616"/>
      <c r="C24" s="612"/>
      <c r="D24" s="617"/>
      <c r="E24" s="614"/>
      <c r="F24" s="614"/>
      <c r="G24" s="614"/>
      <c r="H24" s="618"/>
    </row>
    <row r="25" spans="1:8" s="58" customFormat="1" ht="75" customHeight="1" thickBot="1" x14ac:dyDescent="0.4">
      <c r="A25" s="2765" t="s">
        <v>1374</v>
      </c>
      <c r="B25" s="2815"/>
      <c r="C25" s="2815"/>
      <c r="D25" s="2815"/>
      <c r="E25" s="619">
        <f>SUM(E20)</f>
        <v>0</v>
      </c>
      <c r="F25" s="619">
        <f>SUM(F20)</f>
        <v>0</v>
      </c>
      <c r="G25" s="619">
        <f>SUM(G20)</f>
        <v>0</v>
      </c>
      <c r="H25" s="620"/>
    </row>
    <row r="26" spans="1:8" ht="13.5" thickTop="1" x14ac:dyDescent="0.2"/>
  </sheetData>
  <mergeCells count="3">
    <mergeCell ref="A25:D25"/>
    <mergeCell ref="A1:H1"/>
    <mergeCell ref="A11:D11"/>
  </mergeCells>
  <phoneticPr fontId="33" type="noConversion"/>
  <pageMargins left="0.98425196850393704" right="0.98425196850393704" top="0.98425196850393704" bottom="0.98425196850393704" header="0.51181102362204722" footer="0.51181102362204722"/>
  <pageSetup paperSize="9" scale="70" firstPageNumber="153" orientation="portrait" r:id="rId1"/>
  <headerFooter alignWithMargins="0">
    <oddFooter xml:space="preserve">&amp;L&amp;"Arial,Kurzíva"Zastupitelstvo Olomouckého kraje 28.6.2010
8.- Rozpočet Olomouckého kraje 2009 - závěrečný  účet
Příloha č. 3: Plnění rozpočtu výdajů Olomouckého kraje k 31.12.2009&amp;R&amp;"Arial,Kurzíva"Strana &amp;P (Celkem 464)
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4"/>
  </sheetPr>
  <dimension ref="A1:H21"/>
  <sheetViews>
    <sheetView showGridLines="0" zoomScaleNormal="100" workbookViewId="0">
      <selection activeCell="A10" sqref="A10:G10"/>
    </sheetView>
  </sheetViews>
  <sheetFormatPr defaultRowHeight="12.75" x14ac:dyDescent="0.2"/>
  <cols>
    <col min="1" max="1" width="4.7109375" style="414" customWidth="1"/>
    <col min="2" max="2" width="6.7109375" style="414" customWidth="1"/>
    <col min="3" max="3" width="9.42578125" style="414" customWidth="1"/>
    <col min="4" max="4" width="46.42578125" style="349" customWidth="1"/>
    <col min="5" max="5" width="12.5703125" style="472" customWidth="1"/>
    <col min="6" max="6" width="16.85546875" style="472" customWidth="1"/>
    <col min="7" max="7" width="13.85546875" style="472" customWidth="1"/>
    <col min="8" max="8" width="6.85546875" style="584" customWidth="1"/>
    <col min="9" max="9" width="15.42578125" style="349" customWidth="1"/>
    <col min="10" max="16384" width="9.140625" style="349"/>
  </cols>
  <sheetData>
    <row r="1" spans="1:8" ht="36" customHeight="1" thickBot="1" x14ac:dyDescent="0.3">
      <c r="A1" s="2816" t="s">
        <v>434</v>
      </c>
      <c r="B1" s="2817"/>
      <c r="C1" s="2817"/>
      <c r="D1" s="2817"/>
      <c r="E1" s="2817"/>
      <c r="F1" s="2817"/>
      <c r="G1" s="2817"/>
      <c r="H1" s="2817"/>
    </row>
    <row r="2" spans="1:8" ht="24" customHeight="1" x14ac:dyDescent="0.25">
      <c r="A2" s="402"/>
      <c r="B2" s="403"/>
      <c r="C2" s="403"/>
      <c r="D2" s="403"/>
      <c r="E2" s="403"/>
      <c r="F2" s="403"/>
      <c r="G2" s="403"/>
      <c r="H2" s="598" t="s">
        <v>40</v>
      </c>
    </row>
    <row r="3" spans="1:8" s="384" customFormat="1" ht="16.5" customHeight="1" x14ac:dyDescent="0.25">
      <c r="A3" s="67" t="s">
        <v>404</v>
      </c>
      <c r="B3" s="28"/>
      <c r="C3" s="557" t="s">
        <v>379</v>
      </c>
      <c r="E3" s="17"/>
      <c r="F3" s="16"/>
      <c r="H3" s="627"/>
    </row>
    <row r="4" spans="1:8" s="384" customFormat="1" ht="12.75" customHeight="1" x14ac:dyDescent="0.25">
      <c r="A4" s="6"/>
      <c r="B4" s="28"/>
      <c r="C4" s="557" t="s">
        <v>380</v>
      </c>
      <c r="E4" s="17"/>
      <c r="F4" s="16"/>
      <c r="H4" s="627"/>
    </row>
    <row r="5" spans="1:8" ht="15.75" x14ac:dyDescent="0.25">
      <c r="A5" s="591"/>
      <c r="B5" s="419"/>
      <c r="C5" s="419"/>
      <c r="D5" s="419"/>
      <c r="E5" s="419"/>
      <c r="F5" s="419"/>
      <c r="G5" s="419"/>
    </row>
    <row r="6" spans="1:8" ht="18" x14ac:dyDescent="0.25">
      <c r="A6" s="420" t="s">
        <v>41</v>
      </c>
      <c r="B6" s="419"/>
      <c r="C6" s="419"/>
      <c r="D6" s="419"/>
      <c r="E6" s="419"/>
      <c r="F6" s="419"/>
      <c r="G6" s="419"/>
      <c r="H6" s="598"/>
    </row>
    <row r="8" spans="1:8" ht="15.75" thickBot="1" x14ac:dyDescent="0.3">
      <c r="A8" s="559"/>
      <c r="H8" s="600" t="s">
        <v>179</v>
      </c>
    </row>
    <row r="9" spans="1:8" s="386" customFormat="1" ht="25.5" thickTop="1" thickBot="1" x14ac:dyDescent="0.25">
      <c r="A9" s="561" t="s">
        <v>180</v>
      </c>
      <c r="B9" s="562" t="s">
        <v>847</v>
      </c>
      <c r="C9" s="562" t="s">
        <v>414</v>
      </c>
      <c r="D9" s="563" t="s">
        <v>182</v>
      </c>
      <c r="E9" s="564" t="s">
        <v>700</v>
      </c>
      <c r="F9" s="564" t="s">
        <v>701</v>
      </c>
      <c r="G9" s="565" t="s">
        <v>986</v>
      </c>
      <c r="H9" s="566" t="s">
        <v>987</v>
      </c>
    </row>
    <row r="10" spans="1:8" s="386" customFormat="1" ht="13.5" thickTop="1" thickBot="1" x14ac:dyDescent="0.25">
      <c r="A10" s="592">
        <v>1</v>
      </c>
      <c r="B10" s="593">
        <v>2</v>
      </c>
      <c r="C10" s="593">
        <v>3</v>
      </c>
      <c r="D10" s="593">
        <v>4</v>
      </c>
      <c r="E10" s="567">
        <v>5</v>
      </c>
      <c r="F10" s="567">
        <v>6</v>
      </c>
      <c r="G10" s="568">
        <v>7</v>
      </c>
      <c r="H10" s="553" t="s">
        <v>61</v>
      </c>
    </row>
    <row r="11" spans="1:8" ht="15.75" thickTop="1" x14ac:dyDescent="0.2">
      <c r="A11" s="422">
        <v>6330</v>
      </c>
      <c r="B11" s="423">
        <v>5345</v>
      </c>
      <c r="C11" s="628"/>
      <c r="D11" s="425" t="s">
        <v>853</v>
      </c>
      <c r="E11" s="393"/>
      <c r="F11" s="393">
        <v>0</v>
      </c>
      <c r="G11" s="624">
        <v>0</v>
      </c>
      <c r="H11" s="454">
        <v>0</v>
      </c>
    </row>
    <row r="12" spans="1:8" ht="21" customHeight="1" thickBot="1" x14ac:dyDescent="0.25">
      <c r="A12" s="422">
        <v>6409</v>
      </c>
      <c r="B12" s="423">
        <v>5909</v>
      </c>
      <c r="C12" s="628"/>
      <c r="D12" s="425" t="s">
        <v>870</v>
      </c>
      <c r="E12" s="393"/>
      <c r="F12" s="393">
        <v>0</v>
      </c>
      <c r="G12" s="624">
        <v>0</v>
      </c>
      <c r="H12" s="453">
        <v>0</v>
      </c>
    </row>
    <row r="13" spans="1:8" s="340" customFormat="1" ht="16.5" thickTop="1" thickBot="1" x14ac:dyDescent="0.3">
      <c r="A13" s="2810" t="s">
        <v>849</v>
      </c>
      <c r="B13" s="2811"/>
      <c r="C13" s="2811"/>
      <c r="D13" s="2811"/>
      <c r="E13" s="602">
        <f>SUM(E11:E12)</f>
        <v>0</v>
      </c>
      <c r="F13" s="602">
        <f>SUM(F11:F12)</f>
        <v>0</v>
      </c>
      <c r="G13" s="625">
        <f>SUM(G11:G12)</f>
        <v>0</v>
      </c>
      <c r="H13" s="453">
        <v>0</v>
      </c>
    </row>
    <row r="14" spans="1:8" ht="13.5" thickTop="1" x14ac:dyDescent="0.2"/>
    <row r="15" spans="1:8" s="626" customFormat="1" ht="16.5" x14ac:dyDescent="0.25">
      <c r="A15" s="605" t="s">
        <v>508</v>
      </c>
      <c r="B15" s="606"/>
      <c r="C15" s="607"/>
      <c r="D15" s="608"/>
      <c r="E15" s="609">
        <f>SUM(E16:E18)</f>
        <v>0</v>
      </c>
      <c r="F15" s="609">
        <f>F16+F17+F18+F19</f>
        <v>0</v>
      </c>
      <c r="G15" s="609">
        <f>G16+G17+G18+G19</f>
        <v>0</v>
      </c>
      <c r="H15" s="610">
        <v>0</v>
      </c>
    </row>
    <row r="16" spans="1:8" s="384" customFormat="1" ht="15" x14ac:dyDescent="0.2">
      <c r="A16" s="581" t="s">
        <v>288</v>
      </c>
      <c r="B16" s="611"/>
      <c r="C16" s="612"/>
      <c r="D16" s="613"/>
      <c r="E16" s="614">
        <f>SUM(E12:E12)</f>
        <v>0</v>
      </c>
      <c r="F16" s="614">
        <f>SUM(F12:F12)</f>
        <v>0</v>
      </c>
      <c r="G16" s="614">
        <f>SUM(G12:G12)</f>
        <v>0</v>
      </c>
      <c r="H16" s="615">
        <v>0</v>
      </c>
    </row>
    <row r="17" spans="1:8" s="384" customFormat="1" ht="15" x14ac:dyDescent="0.2">
      <c r="A17" s="581" t="s">
        <v>289</v>
      </c>
      <c r="B17" s="616"/>
      <c r="C17" s="612"/>
      <c r="D17" s="617"/>
      <c r="E17" s="614">
        <v>0</v>
      </c>
      <c r="F17" s="614">
        <v>0</v>
      </c>
      <c r="G17" s="614">
        <v>0</v>
      </c>
      <c r="H17" s="615">
        <v>0</v>
      </c>
    </row>
    <row r="18" spans="1:8" s="384" customFormat="1" ht="15" x14ac:dyDescent="0.2">
      <c r="A18" s="581" t="s">
        <v>509</v>
      </c>
      <c r="B18" s="616"/>
      <c r="C18" s="612"/>
      <c r="D18" s="617"/>
      <c r="E18" s="614">
        <f>E11</f>
        <v>0</v>
      </c>
      <c r="F18" s="614">
        <f>F11</f>
        <v>0</v>
      </c>
      <c r="G18" s="614">
        <f>G11</f>
        <v>0</v>
      </c>
      <c r="H18" s="615">
        <v>0</v>
      </c>
    </row>
    <row r="19" spans="1:8" s="384" customFormat="1" ht="15" x14ac:dyDescent="0.2">
      <c r="A19" s="581"/>
      <c r="B19" s="616"/>
      <c r="C19" s="612"/>
      <c r="D19" s="617"/>
      <c r="E19" s="614"/>
      <c r="F19" s="614"/>
      <c r="G19" s="614"/>
      <c r="H19" s="618"/>
    </row>
    <row r="20" spans="1:8" s="58" customFormat="1" ht="75" customHeight="1" thickBot="1" x14ac:dyDescent="0.4">
      <c r="A20" s="2710" t="s">
        <v>44</v>
      </c>
      <c r="B20" s="2812"/>
      <c r="C20" s="2812"/>
      <c r="D20" s="2812"/>
      <c r="E20" s="619">
        <f>SUM(E15)</f>
        <v>0</v>
      </c>
      <c r="F20" s="619">
        <f>SUM(F15)</f>
        <v>0</v>
      </c>
      <c r="G20" s="619">
        <f>SUM(G15)</f>
        <v>0</v>
      </c>
      <c r="H20" s="620"/>
    </row>
    <row r="21" spans="1:8" ht="13.5" thickTop="1" x14ac:dyDescent="0.2"/>
  </sheetData>
  <mergeCells count="3">
    <mergeCell ref="A20:D20"/>
    <mergeCell ref="A1:H1"/>
    <mergeCell ref="A13:D13"/>
  </mergeCells>
  <phoneticPr fontId="33" type="noConversion"/>
  <pageMargins left="0.78740157480314965" right="0.98425196850393704" top="0.98425196850393704" bottom="0.98425196850393704" header="0.51181102362204722" footer="0.51181102362204722"/>
  <pageSetup paperSize="9" scale="70" firstPageNumber="155" orientation="portrait" r:id="rId1"/>
  <headerFooter alignWithMargins="0">
    <oddFooter xml:space="preserve">&amp;L&amp;"Arial,Kurzíva"Zastupitelstvo Olomouckého kraje 28.6.2010
8.- Rozpočet Olomouckého kraje 2009 - závěrečný  účet
Příloha č. 3: Plnění rozpočtu výdajů Olomouckého kraje k 31.12.2009&amp;R&amp;"Arial,Kurzíva"Strana &amp;P (Celkem 464)
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4"/>
  </sheetPr>
  <dimension ref="A1:I19"/>
  <sheetViews>
    <sheetView showGridLines="0" zoomScaleNormal="100" workbookViewId="0">
      <selection activeCell="E22" sqref="E22"/>
    </sheetView>
  </sheetViews>
  <sheetFormatPr defaultRowHeight="12.75" x14ac:dyDescent="0.2"/>
  <cols>
    <col min="1" max="1" width="4.7109375" style="414" customWidth="1"/>
    <col min="2" max="2" width="6.7109375" style="414" customWidth="1"/>
    <col min="3" max="3" width="8.85546875" style="414" customWidth="1"/>
    <col min="4" max="4" width="46.42578125" style="349" customWidth="1"/>
    <col min="5" max="5" width="12.85546875" style="472" customWidth="1"/>
    <col min="6" max="6" width="16.85546875" style="472" customWidth="1"/>
    <col min="7" max="7" width="13.85546875" style="472" customWidth="1"/>
    <col min="8" max="8" width="6.42578125" style="349" customWidth="1"/>
    <col min="9" max="9" width="12.5703125" style="349" customWidth="1"/>
    <col min="10" max="16384" width="9.140625" style="349"/>
  </cols>
  <sheetData>
    <row r="1" spans="1:9" s="384" customFormat="1" ht="18.75" thickBot="1" x14ac:dyDescent="0.3">
      <c r="A1" s="487" t="s">
        <v>912</v>
      </c>
      <c r="B1" s="488"/>
      <c r="C1" s="489"/>
      <c r="D1" s="490"/>
      <c r="E1" s="491"/>
      <c r="F1" s="490"/>
      <c r="G1" s="492"/>
      <c r="H1" s="17"/>
      <c r="I1" s="385"/>
    </row>
    <row r="2" spans="1:9" s="384" customFormat="1" ht="21.75" customHeight="1" x14ac:dyDescent="0.25">
      <c r="A2" s="6"/>
      <c r="B2" s="28"/>
      <c r="C2" s="142"/>
      <c r="D2" s="307"/>
      <c r="E2" s="307"/>
      <c r="F2" s="16"/>
      <c r="G2" s="16"/>
      <c r="H2" s="598" t="s">
        <v>899</v>
      </c>
      <c r="I2" s="385"/>
    </row>
    <row r="3" spans="1:9" s="384" customFormat="1" ht="12.75" customHeight="1" x14ac:dyDescent="0.25">
      <c r="A3" s="67" t="s">
        <v>404</v>
      </c>
      <c r="B3" s="28"/>
      <c r="C3" s="557" t="s">
        <v>506</v>
      </c>
      <c r="D3" s="307"/>
      <c r="E3" s="16"/>
      <c r="F3" s="17"/>
      <c r="G3" s="16"/>
    </row>
    <row r="4" spans="1:9" s="384" customFormat="1" ht="12.75" customHeight="1" x14ac:dyDescent="0.25">
      <c r="A4" s="6"/>
      <c r="B4" s="28"/>
      <c r="C4" s="557" t="s">
        <v>507</v>
      </c>
      <c r="D4" s="307"/>
      <c r="E4" s="16"/>
      <c r="F4" s="17"/>
      <c r="G4" s="16"/>
    </row>
    <row r="5" spans="1:9" ht="18" x14ac:dyDescent="0.25">
      <c r="A5" s="420" t="s">
        <v>911</v>
      </c>
      <c r="B5" s="419"/>
      <c r="C5" s="419"/>
      <c r="D5" s="419"/>
      <c r="E5" s="419"/>
      <c r="F5" s="419"/>
      <c r="G5" s="419"/>
      <c r="H5" s="598"/>
    </row>
    <row r="6" spans="1:9" ht="15.75" x14ac:dyDescent="0.25">
      <c r="A6" s="599"/>
    </row>
    <row r="7" spans="1:9" ht="15.75" thickBot="1" x14ac:dyDescent="0.3">
      <c r="A7" s="559"/>
      <c r="H7" s="349" t="s">
        <v>1379</v>
      </c>
    </row>
    <row r="8" spans="1:9" s="386" customFormat="1" ht="25.5" thickTop="1" thickBot="1" x14ac:dyDescent="0.25">
      <c r="A8" s="561" t="s">
        <v>180</v>
      </c>
      <c r="B8" s="562" t="s">
        <v>847</v>
      </c>
      <c r="C8" s="562" t="s">
        <v>414</v>
      </c>
      <c r="D8" s="563" t="s">
        <v>182</v>
      </c>
      <c r="E8" s="564" t="s">
        <v>700</v>
      </c>
      <c r="F8" s="564" t="s">
        <v>701</v>
      </c>
      <c r="G8" s="565" t="s">
        <v>986</v>
      </c>
      <c r="H8" s="566" t="s">
        <v>987</v>
      </c>
    </row>
    <row r="9" spans="1:9" s="386" customFormat="1" ht="13.5" thickTop="1" thickBot="1" x14ac:dyDescent="0.25">
      <c r="A9" s="592">
        <v>1</v>
      </c>
      <c r="B9" s="593">
        <v>2</v>
      </c>
      <c r="C9" s="593">
        <v>3</v>
      </c>
      <c r="D9" s="593">
        <v>4</v>
      </c>
      <c r="E9" s="567">
        <v>5</v>
      </c>
      <c r="F9" s="567">
        <v>6</v>
      </c>
      <c r="G9" s="568">
        <v>7</v>
      </c>
      <c r="H9" s="553" t="s">
        <v>61</v>
      </c>
    </row>
    <row r="10" spans="1:9" ht="16.5" thickTop="1" thickBot="1" x14ac:dyDescent="0.25">
      <c r="A10" s="422">
        <v>6409</v>
      </c>
      <c r="B10" s="423">
        <v>5909</v>
      </c>
      <c r="C10" s="424">
        <v>0</v>
      </c>
      <c r="D10" s="425" t="s">
        <v>806</v>
      </c>
      <c r="E10" s="393">
        <v>0</v>
      </c>
      <c r="F10" s="393">
        <v>0</v>
      </c>
      <c r="G10" s="624">
        <v>0</v>
      </c>
      <c r="H10" s="601">
        <v>0</v>
      </c>
    </row>
    <row r="11" spans="1:9" s="340" customFormat="1" ht="16.5" thickTop="1" thickBot="1" x14ac:dyDescent="0.3">
      <c r="A11" s="2810" t="s">
        <v>849</v>
      </c>
      <c r="B11" s="2811"/>
      <c r="C11" s="2811"/>
      <c r="D11" s="2811"/>
      <c r="E11" s="602">
        <f>SUM(E10:E10)</f>
        <v>0</v>
      </c>
      <c r="F11" s="602">
        <f>SUM(F10:F10)</f>
        <v>0</v>
      </c>
      <c r="G11" s="625">
        <v>0</v>
      </c>
      <c r="H11" s="603">
        <v>0</v>
      </c>
    </row>
    <row r="12" spans="1:9" ht="13.5" thickTop="1" x14ac:dyDescent="0.2"/>
    <row r="13" spans="1:9" s="626" customFormat="1" ht="16.5" x14ac:dyDescent="0.25">
      <c r="A13" s="605" t="s">
        <v>508</v>
      </c>
      <c r="B13" s="606"/>
      <c r="C13" s="607"/>
      <c r="D13" s="608"/>
      <c r="E13" s="609">
        <f>SUM(E14:E16)</f>
        <v>0</v>
      </c>
      <c r="F13" s="609">
        <f>F14+F15+F16+F17</f>
        <v>0</v>
      </c>
      <c r="G13" s="609">
        <f>G14+G15+G16+G17</f>
        <v>0</v>
      </c>
      <c r="H13" s="610">
        <v>0</v>
      </c>
    </row>
    <row r="14" spans="1:9" s="384" customFormat="1" ht="15" x14ac:dyDescent="0.2">
      <c r="A14" s="581" t="s">
        <v>288</v>
      </c>
      <c r="B14" s="611"/>
      <c r="C14" s="612"/>
      <c r="D14" s="613"/>
      <c r="E14" s="614">
        <f>SUM(E11)</f>
        <v>0</v>
      </c>
      <c r="F14" s="614">
        <f>SUM(F11)</f>
        <v>0</v>
      </c>
      <c r="G14" s="614">
        <f>G10</f>
        <v>0</v>
      </c>
      <c r="H14" s="615">
        <v>0</v>
      </c>
    </row>
    <row r="15" spans="1:9" s="384" customFormat="1" ht="15" x14ac:dyDescent="0.2">
      <c r="A15" s="581" t="s">
        <v>289</v>
      </c>
      <c r="B15" s="616"/>
      <c r="C15" s="612"/>
      <c r="D15" s="617"/>
      <c r="E15" s="614">
        <v>0</v>
      </c>
      <c r="F15" s="614">
        <v>0</v>
      </c>
      <c r="G15" s="614">
        <v>0</v>
      </c>
      <c r="H15" s="615">
        <v>0</v>
      </c>
    </row>
    <row r="16" spans="1:9" s="384" customFormat="1" ht="15" x14ac:dyDescent="0.2">
      <c r="A16" s="581" t="s">
        <v>509</v>
      </c>
      <c r="B16" s="616"/>
      <c r="C16" s="612"/>
      <c r="D16" s="617"/>
      <c r="E16" s="614">
        <v>0</v>
      </c>
      <c r="F16" s="614">
        <v>0</v>
      </c>
      <c r="G16" s="614">
        <v>0</v>
      </c>
      <c r="H16" s="615">
        <v>0</v>
      </c>
    </row>
    <row r="17" spans="1:8" s="384" customFormat="1" ht="15" x14ac:dyDescent="0.2">
      <c r="A17" s="581"/>
      <c r="B17" s="616"/>
      <c r="C17" s="612"/>
      <c r="D17" s="617"/>
      <c r="E17" s="614"/>
      <c r="F17" s="614"/>
      <c r="G17" s="614"/>
      <c r="H17" s="618"/>
    </row>
    <row r="18" spans="1:8" s="58" customFormat="1" ht="69" customHeight="1" thickBot="1" x14ac:dyDescent="0.4">
      <c r="A18" s="2710" t="s">
        <v>39</v>
      </c>
      <c r="B18" s="2812"/>
      <c r="C18" s="2812"/>
      <c r="D18" s="2812"/>
      <c r="E18" s="619">
        <f>SUM(E13)</f>
        <v>0</v>
      </c>
      <c r="F18" s="619">
        <f>SUM(F13)</f>
        <v>0</v>
      </c>
      <c r="G18" s="619">
        <f>SUM(G13)</f>
        <v>0</v>
      </c>
      <c r="H18" s="620"/>
    </row>
    <row r="19" spans="1:8" ht="13.5" thickTop="1" x14ac:dyDescent="0.2"/>
  </sheetData>
  <mergeCells count="2">
    <mergeCell ref="A11:D11"/>
    <mergeCell ref="A18:D18"/>
  </mergeCells>
  <phoneticPr fontId="33" type="noConversion"/>
  <pageMargins left="0.98425196850393704" right="0.98425196850393704" top="0.98425196850393704" bottom="0.98425196850393704" header="0.51181102362204722" footer="0.51181102362204722"/>
  <pageSetup paperSize="9" scale="70" firstPageNumber="156" orientation="portrait" r:id="rId1"/>
  <headerFooter alignWithMargins="0">
    <oddFooter xml:space="preserve">&amp;L&amp;"Arial,Kurzíva"Zastupitelstvo Olomouckého kraje 28.6.2010
8.- Rozpočet Olomouckého kraje 2009 - závěrečný  účet
Příloha č. 3: Plnění rozpočtu výdajů Olomouckého kraje k 31.12.2009&amp;R&amp;"Arial,Kurzíva"Strana &amp;P (Celkem 464)
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21"/>
  <sheetViews>
    <sheetView view="pageBreakPreview" zoomScaleNormal="100" zoomScaleSheetLayoutView="100" workbookViewId="0">
      <selection activeCell="D12" sqref="D12"/>
    </sheetView>
  </sheetViews>
  <sheetFormatPr defaultRowHeight="12.75" x14ac:dyDescent="0.2"/>
  <cols>
    <col min="1" max="3" width="9.140625" style="2345"/>
    <col min="4" max="4" width="28.42578125" style="2345" customWidth="1"/>
    <col min="5" max="5" width="9.140625" style="2345"/>
    <col min="6" max="6" width="15.28515625" style="2345" customWidth="1"/>
    <col min="7" max="7" width="10.7109375" style="2345" customWidth="1"/>
    <col min="8" max="8" width="9" style="2345" customWidth="1"/>
    <col min="9" max="10" width="9.140625" style="2345"/>
    <col min="11" max="12" width="10.140625" style="2345" bestFit="1" customWidth="1"/>
    <col min="13" max="259" width="9.140625" style="2345"/>
    <col min="260" max="260" width="28.42578125" style="2345" customWidth="1"/>
    <col min="261" max="261" width="9.140625" style="2345"/>
    <col min="262" max="262" width="15.28515625" style="2345" customWidth="1"/>
    <col min="263" max="263" width="10.7109375" style="2345" customWidth="1"/>
    <col min="264" max="264" width="9" style="2345" customWidth="1"/>
    <col min="265" max="266" width="9.140625" style="2345"/>
    <col min="267" max="268" width="10.140625" style="2345" bestFit="1" customWidth="1"/>
    <col min="269" max="515" width="9.140625" style="2345"/>
    <col min="516" max="516" width="28.42578125" style="2345" customWidth="1"/>
    <col min="517" max="517" width="9.140625" style="2345"/>
    <col min="518" max="518" width="15.28515625" style="2345" customWidth="1"/>
    <col min="519" max="519" width="10.7109375" style="2345" customWidth="1"/>
    <col min="520" max="520" width="9" style="2345" customWidth="1"/>
    <col min="521" max="522" width="9.140625" style="2345"/>
    <col min="523" max="524" width="10.140625" style="2345" bestFit="1" customWidth="1"/>
    <col min="525" max="771" width="9.140625" style="2345"/>
    <col min="772" max="772" width="28.42578125" style="2345" customWidth="1"/>
    <col min="773" max="773" width="9.140625" style="2345"/>
    <col min="774" max="774" width="15.28515625" style="2345" customWidth="1"/>
    <col min="775" max="775" width="10.7109375" style="2345" customWidth="1"/>
    <col min="776" max="776" width="9" style="2345" customWidth="1"/>
    <col min="777" max="778" width="9.140625" style="2345"/>
    <col min="779" max="780" width="10.140625" style="2345" bestFit="1" customWidth="1"/>
    <col min="781" max="1027" width="9.140625" style="2345"/>
    <col min="1028" max="1028" width="28.42578125" style="2345" customWidth="1"/>
    <col min="1029" max="1029" width="9.140625" style="2345"/>
    <col min="1030" max="1030" width="15.28515625" style="2345" customWidth="1"/>
    <col min="1031" max="1031" width="10.7109375" style="2345" customWidth="1"/>
    <col min="1032" max="1032" width="9" style="2345" customWidth="1"/>
    <col min="1033" max="1034" width="9.140625" style="2345"/>
    <col min="1035" max="1036" width="10.140625" style="2345" bestFit="1" customWidth="1"/>
    <col min="1037" max="1283" width="9.140625" style="2345"/>
    <col min="1284" max="1284" width="28.42578125" style="2345" customWidth="1"/>
    <col min="1285" max="1285" width="9.140625" style="2345"/>
    <col min="1286" max="1286" width="15.28515625" style="2345" customWidth="1"/>
    <col min="1287" max="1287" width="10.7109375" style="2345" customWidth="1"/>
    <col min="1288" max="1288" width="9" style="2345" customWidth="1"/>
    <col min="1289" max="1290" width="9.140625" style="2345"/>
    <col min="1291" max="1292" width="10.140625" style="2345" bestFit="1" customWidth="1"/>
    <col min="1293" max="1539" width="9.140625" style="2345"/>
    <col min="1540" max="1540" width="28.42578125" style="2345" customWidth="1"/>
    <col min="1541" max="1541" width="9.140625" style="2345"/>
    <col min="1542" max="1542" width="15.28515625" style="2345" customWidth="1"/>
    <col min="1543" max="1543" width="10.7109375" style="2345" customWidth="1"/>
    <col min="1544" max="1544" width="9" style="2345" customWidth="1"/>
    <col min="1545" max="1546" width="9.140625" style="2345"/>
    <col min="1547" max="1548" width="10.140625" style="2345" bestFit="1" customWidth="1"/>
    <col min="1549" max="1795" width="9.140625" style="2345"/>
    <col min="1796" max="1796" width="28.42578125" style="2345" customWidth="1"/>
    <col min="1797" max="1797" width="9.140625" style="2345"/>
    <col min="1798" max="1798" width="15.28515625" style="2345" customWidth="1"/>
    <col min="1799" max="1799" width="10.7109375" style="2345" customWidth="1"/>
    <col min="1800" max="1800" width="9" style="2345" customWidth="1"/>
    <col min="1801" max="1802" width="9.140625" style="2345"/>
    <col min="1803" max="1804" width="10.140625" style="2345" bestFit="1" customWidth="1"/>
    <col min="1805" max="2051" width="9.140625" style="2345"/>
    <col min="2052" max="2052" width="28.42578125" style="2345" customWidth="1"/>
    <col min="2053" max="2053" width="9.140625" style="2345"/>
    <col min="2054" max="2054" width="15.28515625" style="2345" customWidth="1"/>
    <col min="2055" max="2055" width="10.7109375" style="2345" customWidth="1"/>
    <col min="2056" max="2056" width="9" style="2345" customWidth="1"/>
    <col min="2057" max="2058" width="9.140625" style="2345"/>
    <col min="2059" max="2060" width="10.140625" style="2345" bestFit="1" customWidth="1"/>
    <col min="2061" max="2307" width="9.140625" style="2345"/>
    <col min="2308" max="2308" width="28.42578125" style="2345" customWidth="1"/>
    <col min="2309" max="2309" width="9.140625" style="2345"/>
    <col min="2310" max="2310" width="15.28515625" style="2345" customWidth="1"/>
    <col min="2311" max="2311" width="10.7109375" style="2345" customWidth="1"/>
    <col min="2312" max="2312" width="9" style="2345" customWidth="1"/>
    <col min="2313" max="2314" width="9.140625" style="2345"/>
    <col min="2315" max="2316" width="10.140625" style="2345" bestFit="1" customWidth="1"/>
    <col min="2317" max="2563" width="9.140625" style="2345"/>
    <col min="2564" max="2564" width="28.42578125" style="2345" customWidth="1"/>
    <col min="2565" max="2565" width="9.140625" style="2345"/>
    <col min="2566" max="2566" width="15.28515625" style="2345" customWidth="1"/>
    <col min="2567" max="2567" width="10.7109375" style="2345" customWidth="1"/>
    <col min="2568" max="2568" width="9" style="2345" customWidth="1"/>
    <col min="2569" max="2570" width="9.140625" style="2345"/>
    <col min="2571" max="2572" width="10.140625" style="2345" bestFit="1" customWidth="1"/>
    <col min="2573" max="2819" width="9.140625" style="2345"/>
    <col min="2820" max="2820" width="28.42578125" style="2345" customWidth="1"/>
    <col min="2821" max="2821" width="9.140625" style="2345"/>
    <col min="2822" max="2822" width="15.28515625" style="2345" customWidth="1"/>
    <col min="2823" max="2823" width="10.7109375" style="2345" customWidth="1"/>
    <col min="2824" max="2824" width="9" style="2345" customWidth="1"/>
    <col min="2825" max="2826" width="9.140625" style="2345"/>
    <col min="2827" max="2828" width="10.140625" style="2345" bestFit="1" customWidth="1"/>
    <col min="2829" max="3075" width="9.140625" style="2345"/>
    <col min="3076" max="3076" width="28.42578125" style="2345" customWidth="1"/>
    <col min="3077" max="3077" width="9.140625" style="2345"/>
    <col min="3078" max="3078" width="15.28515625" style="2345" customWidth="1"/>
    <col min="3079" max="3079" width="10.7109375" style="2345" customWidth="1"/>
    <col min="3080" max="3080" width="9" style="2345" customWidth="1"/>
    <col min="3081" max="3082" width="9.140625" style="2345"/>
    <col min="3083" max="3084" width="10.140625" style="2345" bestFit="1" customWidth="1"/>
    <col min="3085" max="3331" width="9.140625" style="2345"/>
    <col min="3332" max="3332" width="28.42578125" style="2345" customWidth="1"/>
    <col min="3333" max="3333" width="9.140625" style="2345"/>
    <col min="3334" max="3334" width="15.28515625" style="2345" customWidth="1"/>
    <col min="3335" max="3335" width="10.7109375" style="2345" customWidth="1"/>
    <col min="3336" max="3336" width="9" style="2345" customWidth="1"/>
    <col min="3337" max="3338" width="9.140625" style="2345"/>
    <col min="3339" max="3340" width="10.140625" style="2345" bestFit="1" customWidth="1"/>
    <col min="3341" max="3587" width="9.140625" style="2345"/>
    <col min="3588" max="3588" width="28.42578125" style="2345" customWidth="1"/>
    <col min="3589" max="3589" width="9.140625" style="2345"/>
    <col min="3590" max="3590" width="15.28515625" style="2345" customWidth="1"/>
    <col min="3591" max="3591" width="10.7109375" style="2345" customWidth="1"/>
    <col min="3592" max="3592" width="9" style="2345" customWidth="1"/>
    <col min="3593" max="3594" width="9.140625" style="2345"/>
    <col min="3595" max="3596" width="10.140625" style="2345" bestFit="1" customWidth="1"/>
    <col min="3597" max="3843" width="9.140625" style="2345"/>
    <col min="3844" max="3844" width="28.42578125" style="2345" customWidth="1"/>
    <col min="3845" max="3845" width="9.140625" style="2345"/>
    <col min="3846" max="3846" width="15.28515625" style="2345" customWidth="1"/>
    <col min="3847" max="3847" width="10.7109375" style="2345" customWidth="1"/>
    <col min="3848" max="3848" width="9" style="2345" customWidth="1"/>
    <col min="3849" max="3850" width="9.140625" style="2345"/>
    <col min="3851" max="3852" width="10.140625" style="2345" bestFit="1" customWidth="1"/>
    <col min="3853" max="4099" width="9.140625" style="2345"/>
    <col min="4100" max="4100" width="28.42578125" style="2345" customWidth="1"/>
    <col min="4101" max="4101" width="9.140625" style="2345"/>
    <col min="4102" max="4102" width="15.28515625" style="2345" customWidth="1"/>
    <col min="4103" max="4103" width="10.7109375" style="2345" customWidth="1"/>
    <col min="4104" max="4104" width="9" style="2345" customWidth="1"/>
    <col min="4105" max="4106" width="9.140625" style="2345"/>
    <col min="4107" max="4108" width="10.140625" style="2345" bestFit="1" customWidth="1"/>
    <col min="4109" max="4355" width="9.140625" style="2345"/>
    <col min="4356" max="4356" width="28.42578125" style="2345" customWidth="1"/>
    <col min="4357" max="4357" width="9.140625" style="2345"/>
    <col min="4358" max="4358" width="15.28515625" style="2345" customWidth="1"/>
    <col min="4359" max="4359" width="10.7109375" style="2345" customWidth="1"/>
    <col min="4360" max="4360" width="9" style="2345" customWidth="1"/>
    <col min="4361" max="4362" width="9.140625" style="2345"/>
    <col min="4363" max="4364" width="10.140625" style="2345" bestFit="1" customWidth="1"/>
    <col min="4365" max="4611" width="9.140625" style="2345"/>
    <col min="4612" max="4612" width="28.42578125" style="2345" customWidth="1"/>
    <col min="4613" max="4613" width="9.140625" style="2345"/>
    <col min="4614" max="4614" width="15.28515625" style="2345" customWidth="1"/>
    <col min="4615" max="4615" width="10.7109375" style="2345" customWidth="1"/>
    <col min="4616" max="4616" width="9" style="2345" customWidth="1"/>
    <col min="4617" max="4618" width="9.140625" style="2345"/>
    <col min="4619" max="4620" width="10.140625" style="2345" bestFit="1" customWidth="1"/>
    <col min="4621" max="4867" width="9.140625" style="2345"/>
    <col min="4868" max="4868" width="28.42578125" style="2345" customWidth="1"/>
    <col min="4869" max="4869" width="9.140625" style="2345"/>
    <col min="4870" max="4870" width="15.28515625" style="2345" customWidth="1"/>
    <col min="4871" max="4871" width="10.7109375" style="2345" customWidth="1"/>
    <col min="4872" max="4872" width="9" style="2345" customWidth="1"/>
    <col min="4873" max="4874" width="9.140625" style="2345"/>
    <col min="4875" max="4876" width="10.140625" style="2345" bestFit="1" customWidth="1"/>
    <col min="4877" max="5123" width="9.140625" style="2345"/>
    <col min="5124" max="5124" width="28.42578125" style="2345" customWidth="1"/>
    <col min="5125" max="5125" width="9.140625" style="2345"/>
    <col min="5126" max="5126" width="15.28515625" style="2345" customWidth="1"/>
    <col min="5127" max="5127" width="10.7109375" style="2345" customWidth="1"/>
    <col min="5128" max="5128" width="9" style="2345" customWidth="1"/>
    <col min="5129" max="5130" width="9.140625" style="2345"/>
    <col min="5131" max="5132" width="10.140625" style="2345" bestFit="1" customWidth="1"/>
    <col min="5133" max="5379" width="9.140625" style="2345"/>
    <col min="5380" max="5380" width="28.42578125" style="2345" customWidth="1"/>
    <col min="5381" max="5381" width="9.140625" style="2345"/>
    <col min="5382" max="5382" width="15.28515625" style="2345" customWidth="1"/>
    <col min="5383" max="5383" width="10.7109375" style="2345" customWidth="1"/>
    <col min="5384" max="5384" width="9" style="2345" customWidth="1"/>
    <col min="5385" max="5386" width="9.140625" style="2345"/>
    <col min="5387" max="5388" width="10.140625" style="2345" bestFit="1" customWidth="1"/>
    <col min="5389" max="5635" width="9.140625" style="2345"/>
    <col min="5636" max="5636" width="28.42578125" style="2345" customWidth="1"/>
    <col min="5637" max="5637" width="9.140625" style="2345"/>
    <col min="5638" max="5638" width="15.28515625" style="2345" customWidth="1"/>
    <col min="5639" max="5639" width="10.7109375" style="2345" customWidth="1"/>
    <col min="5640" max="5640" width="9" style="2345" customWidth="1"/>
    <col min="5641" max="5642" width="9.140625" style="2345"/>
    <col min="5643" max="5644" width="10.140625" style="2345" bestFit="1" customWidth="1"/>
    <col min="5645" max="5891" width="9.140625" style="2345"/>
    <col min="5892" max="5892" width="28.42578125" style="2345" customWidth="1"/>
    <col min="5893" max="5893" width="9.140625" style="2345"/>
    <col min="5894" max="5894" width="15.28515625" style="2345" customWidth="1"/>
    <col min="5895" max="5895" width="10.7109375" style="2345" customWidth="1"/>
    <col min="5896" max="5896" width="9" style="2345" customWidth="1"/>
    <col min="5897" max="5898" width="9.140625" style="2345"/>
    <col min="5899" max="5900" width="10.140625" style="2345" bestFit="1" customWidth="1"/>
    <col min="5901" max="6147" width="9.140625" style="2345"/>
    <col min="6148" max="6148" width="28.42578125" style="2345" customWidth="1"/>
    <col min="6149" max="6149" width="9.140625" style="2345"/>
    <col min="6150" max="6150" width="15.28515625" style="2345" customWidth="1"/>
    <col min="6151" max="6151" width="10.7109375" style="2345" customWidth="1"/>
    <col min="6152" max="6152" width="9" style="2345" customWidth="1"/>
    <col min="6153" max="6154" width="9.140625" style="2345"/>
    <col min="6155" max="6156" width="10.140625" style="2345" bestFit="1" customWidth="1"/>
    <col min="6157" max="6403" width="9.140625" style="2345"/>
    <col min="6404" max="6404" width="28.42578125" style="2345" customWidth="1"/>
    <col min="6405" max="6405" width="9.140625" style="2345"/>
    <col min="6406" max="6406" width="15.28515625" style="2345" customWidth="1"/>
    <col min="6407" max="6407" width="10.7109375" style="2345" customWidth="1"/>
    <col min="6408" max="6408" width="9" style="2345" customWidth="1"/>
    <col min="6409" max="6410" width="9.140625" style="2345"/>
    <col min="6411" max="6412" width="10.140625" style="2345" bestFit="1" customWidth="1"/>
    <col min="6413" max="6659" width="9.140625" style="2345"/>
    <col min="6660" max="6660" width="28.42578125" style="2345" customWidth="1"/>
    <col min="6661" max="6661" width="9.140625" style="2345"/>
    <col min="6662" max="6662" width="15.28515625" style="2345" customWidth="1"/>
    <col min="6663" max="6663" width="10.7109375" style="2345" customWidth="1"/>
    <col min="6664" max="6664" width="9" style="2345" customWidth="1"/>
    <col min="6665" max="6666" width="9.140625" style="2345"/>
    <col min="6667" max="6668" width="10.140625" style="2345" bestFit="1" customWidth="1"/>
    <col min="6669" max="6915" width="9.140625" style="2345"/>
    <col min="6916" max="6916" width="28.42578125" style="2345" customWidth="1"/>
    <col min="6917" max="6917" width="9.140625" style="2345"/>
    <col min="6918" max="6918" width="15.28515625" style="2345" customWidth="1"/>
    <col min="6919" max="6919" width="10.7109375" style="2345" customWidth="1"/>
    <col min="6920" max="6920" width="9" style="2345" customWidth="1"/>
    <col min="6921" max="6922" width="9.140625" style="2345"/>
    <col min="6923" max="6924" width="10.140625" style="2345" bestFit="1" customWidth="1"/>
    <col min="6925" max="7171" width="9.140625" style="2345"/>
    <col min="7172" max="7172" width="28.42578125" style="2345" customWidth="1"/>
    <col min="7173" max="7173" width="9.140625" style="2345"/>
    <col min="7174" max="7174" width="15.28515625" style="2345" customWidth="1"/>
    <col min="7175" max="7175" width="10.7109375" style="2345" customWidth="1"/>
    <col min="7176" max="7176" width="9" style="2345" customWidth="1"/>
    <col min="7177" max="7178" width="9.140625" style="2345"/>
    <col min="7179" max="7180" width="10.140625" style="2345" bestFit="1" customWidth="1"/>
    <col min="7181" max="7427" width="9.140625" style="2345"/>
    <col min="7428" max="7428" width="28.42578125" style="2345" customWidth="1"/>
    <col min="7429" max="7429" width="9.140625" style="2345"/>
    <col min="7430" max="7430" width="15.28515625" style="2345" customWidth="1"/>
    <col min="7431" max="7431" width="10.7109375" style="2345" customWidth="1"/>
    <col min="7432" max="7432" width="9" style="2345" customWidth="1"/>
    <col min="7433" max="7434" width="9.140625" style="2345"/>
    <col min="7435" max="7436" width="10.140625" style="2345" bestFit="1" customWidth="1"/>
    <col min="7437" max="7683" width="9.140625" style="2345"/>
    <col min="7684" max="7684" width="28.42578125" style="2345" customWidth="1"/>
    <col min="7685" max="7685" width="9.140625" style="2345"/>
    <col min="7686" max="7686" width="15.28515625" style="2345" customWidth="1"/>
    <col min="7687" max="7687" width="10.7109375" style="2345" customWidth="1"/>
    <col min="7688" max="7688" width="9" style="2345" customWidth="1"/>
    <col min="7689" max="7690" width="9.140625" style="2345"/>
    <col min="7691" max="7692" width="10.140625" style="2345" bestFit="1" customWidth="1"/>
    <col min="7693" max="7939" width="9.140625" style="2345"/>
    <col min="7940" max="7940" width="28.42578125" style="2345" customWidth="1"/>
    <col min="7941" max="7941" width="9.140625" style="2345"/>
    <col min="7942" max="7942" width="15.28515625" style="2345" customWidth="1"/>
    <col min="7943" max="7943" width="10.7109375" style="2345" customWidth="1"/>
    <col min="7944" max="7944" width="9" style="2345" customWidth="1"/>
    <col min="7945" max="7946" width="9.140625" style="2345"/>
    <col min="7947" max="7948" width="10.140625" style="2345" bestFit="1" customWidth="1"/>
    <col min="7949" max="8195" width="9.140625" style="2345"/>
    <col min="8196" max="8196" width="28.42578125" style="2345" customWidth="1"/>
    <col min="8197" max="8197" width="9.140625" style="2345"/>
    <col min="8198" max="8198" width="15.28515625" style="2345" customWidth="1"/>
    <col min="8199" max="8199" width="10.7109375" style="2345" customWidth="1"/>
    <col min="8200" max="8200" width="9" style="2345" customWidth="1"/>
    <col min="8201" max="8202" width="9.140625" style="2345"/>
    <col min="8203" max="8204" width="10.140625" style="2345" bestFit="1" customWidth="1"/>
    <col min="8205" max="8451" width="9.140625" style="2345"/>
    <col min="8452" max="8452" width="28.42578125" style="2345" customWidth="1"/>
    <col min="8453" max="8453" width="9.140625" style="2345"/>
    <col min="8454" max="8454" width="15.28515625" style="2345" customWidth="1"/>
    <col min="8455" max="8455" width="10.7109375" style="2345" customWidth="1"/>
    <col min="8456" max="8456" width="9" style="2345" customWidth="1"/>
    <col min="8457" max="8458" width="9.140625" style="2345"/>
    <col min="8459" max="8460" width="10.140625" style="2345" bestFit="1" customWidth="1"/>
    <col min="8461" max="8707" width="9.140625" style="2345"/>
    <col min="8708" max="8708" width="28.42578125" style="2345" customWidth="1"/>
    <col min="8709" max="8709" width="9.140625" style="2345"/>
    <col min="8710" max="8710" width="15.28515625" style="2345" customWidth="1"/>
    <col min="8711" max="8711" width="10.7109375" style="2345" customWidth="1"/>
    <col min="8712" max="8712" width="9" style="2345" customWidth="1"/>
    <col min="8713" max="8714" width="9.140625" style="2345"/>
    <col min="8715" max="8716" width="10.140625" style="2345" bestFit="1" customWidth="1"/>
    <col min="8717" max="8963" width="9.140625" style="2345"/>
    <col min="8964" max="8964" width="28.42578125" style="2345" customWidth="1"/>
    <col min="8965" max="8965" width="9.140625" style="2345"/>
    <col min="8966" max="8966" width="15.28515625" style="2345" customWidth="1"/>
    <col min="8967" max="8967" width="10.7109375" style="2345" customWidth="1"/>
    <col min="8968" max="8968" width="9" style="2345" customWidth="1"/>
    <col min="8969" max="8970" width="9.140625" style="2345"/>
    <col min="8971" max="8972" width="10.140625" style="2345" bestFit="1" customWidth="1"/>
    <col min="8973" max="9219" width="9.140625" style="2345"/>
    <col min="9220" max="9220" width="28.42578125" style="2345" customWidth="1"/>
    <col min="9221" max="9221" width="9.140625" style="2345"/>
    <col min="9222" max="9222" width="15.28515625" style="2345" customWidth="1"/>
    <col min="9223" max="9223" width="10.7109375" style="2345" customWidth="1"/>
    <col min="9224" max="9224" width="9" style="2345" customWidth="1"/>
    <col min="9225" max="9226" width="9.140625" style="2345"/>
    <col min="9227" max="9228" width="10.140625" style="2345" bestFit="1" customWidth="1"/>
    <col min="9229" max="9475" width="9.140625" style="2345"/>
    <col min="9476" max="9476" width="28.42578125" style="2345" customWidth="1"/>
    <col min="9477" max="9477" width="9.140625" style="2345"/>
    <col min="9478" max="9478" width="15.28515625" style="2345" customWidth="1"/>
    <col min="9479" max="9479" width="10.7109375" style="2345" customWidth="1"/>
    <col min="9480" max="9480" width="9" style="2345" customWidth="1"/>
    <col min="9481" max="9482" width="9.140625" style="2345"/>
    <col min="9483" max="9484" width="10.140625" style="2345" bestFit="1" customWidth="1"/>
    <col min="9485" max="9731" width="9.140625" style="2345"/>
    <col min="9732" max="9732" width="28.42578125" style="2345" customWidth="1"/>
    <col min="9733" max="9733" width="9.140625" style="2345"/>
    <col min="9734" max="9734" width="15.28515625" style="2345" customWidth="1"/>
    <col min="9735" max="9735" width="10.7109375" style="2345" customWidth="1"/>
    <col min="9736" max="9736" width="9" style="2345" customWidth="1"/>
    <col min="9737" max="9738" width="9.140625" style="2345"/>
    <col min="9739" max="9740" width="10.140625" style="2345" bestFit="1" customWidth="1"/>
    <col min="9741" max="9987" width="9.140625" style="2345"/>
    <col min="9988" max="9988" width="28.42578125" style="2345" customWidth="1"/>
    <col min="9989" max="9989" width="9.140625" style="2345"/>
    <col min="9990" max="9990" width="15.28515625" style="2345" customWidth="1"/>
    <col min="9991" max="9991" width="10.7109375" style="2345" customWidth="1"/>
    <col min="9992" max="9992" width="9" style="2345" customWidth="1"/>
    <col min="9993" max="9994" width="9.140625" style="2345"/>
    <col min="9995" max="9996" width="10.140625" style="2345" bestFit="1" customWidth="1"/>
    <col min="9997" max="10243" width="9.140625" style="2345"/>
    <col min="10244" max="10244" width="28.42578125" style="2345" customWidth="1"/>
    <col min="10245" max="10245" width="9.140625" style="2345"/>
    <col min="10246" max="10246" width="15.28515625" style="2345" customWidth="1"/>
    <col min="10247" max="10247" width="10.7109375" style="2345" customWidth="1"/>
    <col min="10248" max="10248" width="9" style="2345" customWidth="1"/>
    <col min="10249" max="10250" width="9.140625" style="2345"/>
    <col min="10251" max="10252" width="10.140625" style="2345" bestFit="1" customWidth="1"/>
    <col min="10253" max="10499" width="9.140625" style="2345"/>
    <col min="10500" max="10500" width="28.42578125" style="2345" customWidth="1"/>
    <col min="10501" max="10501" width="9.140625" style="2345"/>
    <col min="10502" max="10502" width="15.28515625" style="2345" customWidth="1"/>
    <col min="10503" max="10503" width="10.7109375" style="2345" customWidth="1"/>
    <col min="10504" max="10504" width="9" style="2345" customWidth="1"/>
    <col min="10505" max="10506" width="9.140625" style="2345"/>
    <col min="10507" max="10508" width="10.140625" style="2345" bestFit="1" customWidth="1"/>
    <col min="10509" max="10755" width="9.140625" style="2345"/>
    <col min="10756" max="10756" width="28.42578125" style="2345" customWidth="1"/>
    <col min="10757" max="10757" width="9.140625" style="2345"/>
    <col min="10758" max="10758" width="15.28515625" style="2345" customWidth="1"/>
    <col min="10759" max="10759" width="10.7109375" style="2345" customWidth="1"/>
    <col min="10760" max="10760" width="9" style="2345" customWidth="1"/>
    <col min="10761" max="10762" width="9.140625" style="2345"/>
    <col min="10763" max="10764" width="10.140625" style="2345" bestFit="1" customWidth="1"/>
    <col min="10765" max="11011" width="9.140625" style="2345"/>
    <col min="11012" max="11012" width="28.42578125" style="2345" customWidth="1"/>
    <col min="11013" max="11013" width="9.140625" style="2345"/>
    <col min="11014" max="11014" width="15.28515625" style="2345" customWidth="1"/>
    <col min="11015" max="11015" width="10.7109375" style="2345" customWidth="1"/>
    <col min="11016" max="11016" width="9" style="2345" customWidth="1"/>
    <col min="11017" max="11018" width="9.140625" style="2345"/>
    <col min="11019" max="11020" width="10.140625" style="2345" bestFit="1" customWidth="1"/>
    <col min="11021" max="11267" width="9.140625" style="2345"/>
    <col min="11268" max="11268" width="28.42578125" style="2345" customWidth="1"/>
    <col min="11269" max="11269" width="9.140625" style="2345"/>
    <col min="11270" max="11270" width="15.28515625" style="2345" customWidth="1"/>
    <col min="11271" max="11271" width="10.7109375" style="2345" customWidth="1"/>
    <col min="11272" max="11272" width="9" style="2345" customWidth="1"/>
    <col min="11273" max="11274" width="9.140625" style="2345"/>
    <col min="11275" max="11276" width="10.140625" style="2345" bestFit="1" customWidth="1"/>
    <col min="11277" max="11523" width="9.140625" style="2345"/>
    <col min="11524" max="11524" width="28.42578125" style="2345" customWidth="1"/>
    <col min="11525" max="11525" width="9.140625" style="2345"/>
    <col min="11526" max="11526" width="15.28515625" style="2345" customWidth="1"/>
    <col min="11527" max="11527" width="10.7109375" style="2345" customWidth="1"/>
    <col min="11528" max="11528" width="9" style="2345" customWidth="1"/>
    <col min="11529" max="11530" width="9.140625" style="2345"/>
    <col min="11531" max="11532" width="10.140625" style="2345" bestFit="1" customWidth="1"/>
    <col min="11533" max="11779" width="9.140625" style="2345"/>
    <col min="11780" max="11780" width="28.42578125" style="2345" customWidth="1"/>
    <col min="11781" max="11781" width="9.140625" style="2345"/>
    <col min="11782" max="11782" width="15.28515625" style="2345" customWidth="1"/>
    <col min="11783" max="11783" width="10.7109375" style="2345" customWidth="1"/>
    <col min="11784" max="11784" width="9" style="2345" customWidth="1"/>
    <col min="11785" max="11786" width="9.140625" style="2345"/>
    <col min="11787" max="11788" width="10.140625" style="2345" bestFit="1" customWidth="1"/>
    <col min="11789" max="12035" width="9.140625" style="2345"/>
    <col min="12036" max="12036" width="28.42578125" style="2345" customWidth="1"/>
    <col min="12037" max="12037" width="9.140625" style="2345"/>
    <col min="12038" max="12038" width="15.28515625" style="2345" customWidth="1"/>
    <col min="12039" max="12039" width="10.7109375" style="2345" customWidth="1"/>
    <col min="12040" max="12040" width="9" style="2345" customWidth="1"/>
    <col min="12041" max="12042" width="9.140625" style="2345"/>
    <col min="12043" max="12044" width="10.140625" style="2345" bestFit="1" customWidth="1"/>
    <col min="12045" max="12291" width="9.140625" style="2345"/>
    <col min="12292" max="12292" width="28.42578125" style="2345" customWidth="1"/>
    <col min="12293" max="12293" width="9.140625" style="2345"/>
    <col min="12294" max="12294" width="15.28515625" style="2345" customWidth="1"/>
    <col min="12295" max="12295" width="10.7109375" style="2345" customWidth="1"/>
    <col min="12296" max="12296" width="9" style="2345" customWidth="1"/>
    <col min="12297" max="12298" width="9.140625" style="2345"/>
    <col min="12299" max="12300" width="10.140625" style="2345" bestFit="1" customWidth="1"/>
    <col min="12301" max="12547" width="9.140625" style="2345"/>
    <col min="12548" max="12548" width="28.42578125" style="2345" customWidth="1"/>
    <col min="12549" max="12549" width="9.140625" style="2345"/>
    <col min="12550" max="12550" width="15.28515625" style="2345" customWidth="1"/>
    <col min="12551" max="12551" width="10.7109375" style="2345" customWidth="1"/>
    <col min="12552" max="12552" width="9" style="2345" customWidth="1"/>
    <col min="12553" max="12554" width="9.140625" style="2345"/>
    <col min="12555" max="12556" width="10.140625" style="2345" bestFit="1" customWidth="1"/>
    <col min="12557" max="12803" width="9.140625" style="2345"/>
    <col min="12804" max="12804" width="28.42578125" style="2345" customWidth="1"/>
    <col min="12805" max="12805" width="9.140625" style="2345"/>
    <col min="12806" max="12806" width="15.28515625" style="2345" customWidth="1"/>
    <col min="12807" max="12807" width="10.7109375" style="2345" customWidth="1"/>
    <col min="12808" max="12808" width="9" style="2345" customWidth="1"/>
    <col min="12809" max="12810" width="9.140625" style="2345"/>
    <col min="12811" max="12812" width="10.140625" style="2345" bestFit="1" customWidth="1"/>
    <col min="12813" max="13059" width="9.140625" style="2345"/>
    <col min="13060" max="13060" width="28.42578125" style="2345" customWidth="1"/>
    <col min="13061" max="13061" width="9.140625" style="2345"/>
    <col min="13062" max="13062" width="15.28515625" style="2345" customWidth="1"/>
    <col min="13063" max="13063" width="10.7109375" style="2345" customWidth="1"/>
    <col min="13064" max="13064" width="9" style="2345" customWidth="1"/>
    <col min="13065" max="13066" width="9.140625" style="2345"/>
    <col min="13067" max="13068" width="10.140625" style="2345" bestFit="1" customWidth="1"/>
    <col min="13069" max="13315" width="9.140625" style="2345"/>
    <col min="13316" max="13316" width="28.42578125" style="2345" customWidth="1"/>
    <col min="13317" max="13317" width="9.140625" style="2345"/>
    <col min="13318" max="13318" width="15.28515625" style="2345" customWidth="1"/>
    <col min="13319" max="13319" width="10.7109375" style="2345" customWidth="1"/>
    <col min="13320" max="13320" width="9" style="2345" customWidth="1"/>
    <col min="13321" max="13322" width="9.140625" style="2345"/>
    <col min="13323" max="13324" width="10.140625" style="2345" bestFit="1" customWidth="1"/>
    <col min="13325" max="13571" width="9.140625" style="2345"/>
    <col min="13572" max="13572" width="28.42578125" style="2345" customWidth="1"/>
    <col min="13573" max="13573" width="9.140625" style="2345"/>
    <col min="13574" max="13574" width="15.28515625" style="2345" customWidth="1"/>
    <col min="13575" max="13575" width="10.7109375" style="2345" customWidth="1"/>
    <col min="13576" max="13576" width="9" style="2345" customWidth="1"/>
    <col min="13577" max="13578" width="9.140625" style="2345"/>
    <col min="13579" max="13580" width="10.140625" style="2345" bestFit="1" customWidth="1"/>
    <col min="13581" max="13827" width="9.140625" style="2345"/>
    <col min="13828" max="13828" width="28.42578125" style="2345" customWidth="1"/>
    <col min="13829" max="13829" width="9.140625" style="2345"/>
    <col min="13830" max="13830" width="15.28515625" style="2345" customWidth="1"/>
    <col min="13831" max="13831" width="10.7109375" style="2345" customWidth="1"/>
    <col min="13832" max="13832" width="9" style="2345" customWidth="1"/>
    <col min="13833" max="13834" width="9.140625" style="2345"/>
    <col min="13835" max="13836" width="10.140625" style="2345" bestFit="1" customWidth="1"/>
    <col min="13837" max="14083" width="9.140625" style="2345"/>
    <col min="14084" max="14084" width="28.42578125" style="2345" customWidth="1"/>
    <col min="14085" max="14085" width="9.140625" style="2345"/>
    <col min="14086" max="14086" width="15.28515625" style="2345" customWidth="1"/>
    <col min="14087" max="14087" width="10.7109375" style="2345" customWidth="1"/>
    <col min="14088" max="14088" width="9" style="2345" customWidth="1"/>
    <col min="14089" max="14090" width="9.140625" style="2345"/>
    <col min="14091" max="14092" width="10.140625" style="2345" bestFit="1" customWidth="1"/>
    <col min="14093" max="14339" width="9.140625" style="2345"/>
    <col min="14340" max="14340" width="28.42578125" style="2345" customWidth="1"/>
    <col min="14341" max="14341" width="9.140625" style="2345"/>
    <col min="14342" max="14342" width="15.28515625" style="2345" customWidth="1"/>
    <col min="14343" max="14343" width="10.7109375" style="2345" customWidth="1"/>
    <col min="14344" max="14344" width="9" style="2345" customWidth="1"/>
    <col min="14345" max="14346" width="9.140625" style="2345"/>
    <col min="14347" max="14348" width="10.140625" style="2345" bestFit="1" customWidth="1"/>
    <col min="14349" max="14595" width="9.140625" style="2345"/>
    <col min="14596" max="14596" width="28.42578125" style="2345" customWidth="1"/>
    <col min="14597" max="14597" width="9.140625" style="2345"/>
    <col min="14598" max="14598" width="15.28515625" style="2345" customWidth="1"/>
    <col min="14599" max="14599" width="10.7109375" style="2345" customWidth="1"/>
    <col min="14600" max="14600" width="9" style="2345" customWidth="1"/>
    <col min="14601" max="14602" width="9.140625" style="2345"/>
    <col min="14603" max="14604" width="10.140625" style="2345" bestFit="1" customWidth="1"/>
    <col min="14605" max="14851" width="9.140625" style="2345"/>
    <col min="14852" max="14852" width="28.42578125" style="2345" customWidth="1"/>
    <col min="14853" max="14853" width="9.140625" style="2345"/>
    <col min="14854" max="14854" width="15.28515625" style="2345" customWidth="1"/>
    <col min="14855" max="14855" width="10.7109375" style="2345" customWidth="1"/>
    <col min="14856" max="14856" width="9" style="2345" customWidth="1"/>
    <col min="14857" max="14858" width="9.140625" style="2345"/>
    <col min="14859" max="14860" width="10.140625" style="2345" bestFit="1" customWidth="1"/>
    <col min="14861" max="15107" width="9.140625" style="2345"/>
    <col min="15108" max="15108" width="28.42578125" style="2345" customWidth="1"/>
    <col min="15109" max="15109" width="9.140625" style="2345"/>
    <col min="15110" max="15110" width="15.28515625" style="2345" customWidth="1"/>
    <col min="15111" max="15111" width="10.7109375" style="2345" customWidth="1"/>
    <col min="15112" max="15112" width="9" style="2345" customWidth="1"/>
    <col min="15113" max="15114" width="9.140625" style="2345"/>
    <col min="15115" max="15116" width="10.140625" style="2345" bestFit="1" customWidth="1"/>
    <col min="15117" max="15363" width="9.140625" style="2345"/>
    <col min="15364" max="15364" width="28.42578125" style="2345" customWidth="1"/>
    <col min="15365" max="15365" width="9.140625" style="2345"/>
    <col min="15366" max="15366" width="15.28515625" style="2345" customWidth="1"/>
    <col min="15367" max="15367" width="10.7109375" style="2345" customWidth="1"/>
    <col min="15368" max="15368" width="9" style="2345" customWidth="1"/>
    <col min="15369" max="15370" width="9.140625" style="2345"/>
    <col min="15371" max="15372" width="10.140625" style="2345" bestFit="1" customWidth="1"/>
    <col min="15373" max="15619" width="9.140625" style="2345"/>
    <col min="15620" max="15620" width="28.42578125" style="2345" customWidth="1"/>
    <col min="15621" max="15621" width="9.140625" style="2345"/>
    <col min="15622" max="15622" width="15.28515625" style="2345" customWidth="1"/>
    <col min="15623" max="15623" width="10.7109375" style="2345" customWidth="1"/>
    <col min="15624" max="15624" width="9" style="2345" customWidth="1"/>
    <col min="15625" max="15626" width="9.140625" style="2345"/>
    <col min="15627" max="15628" width="10.140625" style="2345" bestFit="1" customWidth="1"/>
    <col min="15629" max="15875" width="9.140625" style="2345"/>
    <col min="15876" max="15876" width="28.42578125" style="2345" customWidth="1"/>
    <col min="15877" max="15877" width="9.140625" style="2345"/>
    <col min="15878" max="15878" width="15.28515625" style="2345" customWidth="1"/>
    <col min="15879" max="15879" width="10.7109375" style="2345" customWidth="1"/>
    <col min="15880" max="15880" width="9" style="2345" customWidth="1"/>
    <col min="15881" max="15882" width="9.140625" style="2345"/>
    <col min="15883" max="15884" width="10.140625" style="2345" bestFit="1" customWidth="1"/>
    <col min="15885" max="16131" width="9.140625" style="2345"/>
    <col min="16132" max="16132" width="28.42578125" style="2345" customWidth="1"/>
    <col min="16133" max="16133" width="9.140625" style="2345"/>
    <col min="16134" max="16134" width="15.28515625" style="2345" customWidth="1"/>
    <col min="16135" max="16135" width="10.7109375" style="2345" customWidth="1"/>
    <col min="16136" max="16136" width="9" style="2345" customWidth="1"/>
    <col min="16137" max="16138" width="9.140625" style="2345"/>
    <col min="16139" max="16140" width="10.140625" style="2345" bestFit="1" customWidth="1"/>
    <col min="16141" max="16384" width="9.140625" style="2345"/>
  </cols>
  <sheetData>
    <row r="1" spans="1:12" ht="43.5" customHeight="1" thickBot="1" x14ac:dyDescent="0.25">
      <c r="A1" s="2818" t="s">
        <v>1885</v>
      </c>
      <c r="B1" s="2818"/>
      <c r="C1" s="2818"/>
      <c r="D1" s="2818"/>
      <c r="E1" s="2818"/>
      <c r="F1" s="2818"/>
      <c r="G1" s="2818"/>
      <c r="H1" s="2818"/>
    </row>
    <row r="2" spans="1:12" ht="18" x14ac:dyDescent="0.25">
      <c r="A2" s="2352"/>
      <c r="B2" s="2352"/>
      <c r="C2" s="2352"/>
      <c r="E2" s="2353"/>
      <c r="F2" s="2353"/>
      <c r="G2" s="2353"/>
      <c r="H2" s="2222" t="s">
        <v>891</v>
      </c>
    </row>
    <row r="3" spans="1:12" s="2444" customFormat="1" ht="12.75" customHeight="1" x14ac:dyDescent="0.2">
      <c r="A3" s="2349" t="s">
        <v>404</v>
      </c>
      <c r="B3" s="2443"/>
      <c r="C3" s="2350" t="s">
        <v>379</v>
      </c>
    </row>
    <row r="4" spans="1:12" s="2444" customFormat="1" ht="12.75" customHeight="1" x14ac:dyDescent="0.25">
      <c r="A4" s="2445"/>
      <c r="B4" s="2443"/>
      <c r="C4" s="2350" t="s">
        <v>380</v>
      </c>
    </row>
    <row r="5" spans="1:12" ht="18" x14ac:dyDescent="0.25">
      <c r="A5" s="2351" t="s">
        <v>892</v>
      </c>
      <c r="B5" s="2352"/>
      <c r="C5" s="2352"/>
      <c r="E5" s="2353"/>
      <c r="F5" s="2353"/>
      <c r="G5" s="2353"/>
    </row>
    <row r="6" spans="1:12" x14ac:dyDescent="0.2">
      <c r="A6" s="2352"/>
      <c r="B6" s="2352"/>
      <c r="C6" s="2352"/>
      <c r="E6" s="2353"/>
      <c r="F6" s="2353"/>
      <c r="G6" s="2353"/>
    </row>
    <row r="7" spans="1:12" ht="15.75" thickBot="1" x14ac:dyDescent="0.3">
      <c r="A7" s="2338" t="s">
        <v>273</v>
      </c>
      <c r="B7" s="2352"/>
      <c r="C7" s="2352"/>
      <c r="E7" s="2353"/>
      <c r="F7" s="2353"/>
      <c r="G7" s="2353"/>
      <c r="H7" s="2446" t="s">
        <v>179</v>
      </c>
    </row>
    <row r="8" spans="1:12" ht="13.5" hidden="1" thickBot="1" x14ac:dyDescent="0.25">
      <c r="A8" s="2352"/>
      <c r="B8" s="2352"/>
      <c r="C8" s="2352"/>
      <c r="E8" s="2353"/>
      <c r="F8" s="2353"/>
      <c r="G8" s="2353"/>
      <c r="H8" s="2446" t="s">
        <v>179</v>
      </c>
    </row>
    <row r="9" spans="1:12" ht="25.5" thickTop="1" thickBot="1" x14ac:dyDescent="0.25">
      <c r="A9" s="2355" t="s">
        <v>180</v>
      </c>
      <c r="B9" s="2356" t="s">
        <v>847</v>
      </c>
      <c r="C9" s="2356" t="s">
        <v>414</v>
      </c>
      <c r="D9" s="2357" t="s">
        <v>182</v>
      </c>
      <c r="E9" s="2358" t="s">
        <v>700</v>
      </c>
      <c r="F9" s="2358" t="s">
        <v>701</v>
      </c>
      <c r="G9" s="2359" t="s">
        <v>986</v>
      </c>
      <c r="H9" s="2360" t="s">
        <v>987</v>
      </c>
    </row>
    <row r="10" spans="1:12" ht="14.25" thickTop="1" thickBot="1" x14ac:dyDescent="0.25">
      <c r="A10" s="2361">
        <v>1</v>
      </c>
      <c r="B10" s="2362">
        <v>2</v>
      </c>
      <c r="C10" s="2362">
        <v>3</v>
      </c>
      <c r="D10" s="2362">
        <v>4</v>
      </c>
      <c r="E10" s="2363">
        <v>5</v>
      </c>
      <c r="F10" s="2363">
        <v>6</v>
      </c>
      <c r="G10" s="2364">
        <v>7</v>
      </c>
      <c r="H10" s="2380" t="s">
        <v>61</v>
      </c>
    </row>
    <row r="11" spans="1:12" ht="32.25" customHeight="1" thickTop="1" thickBot="1" x14ac:dyDescent="0.25">
      <c r="A11" s="2371">
        <v>6172</v>
      </c>
      <c r="B11" s="2372">
        <v>5362</v>
      </c>
      <c r="C11" s="2372"/>
      <c r="D11" s="2447" t="s">
        <v>1886</v>
      </c>
      <c r="E11" s="2448">
        <v>0</v>
      </c>
      <c r="F11" s="2629">
        <v>2</v>
      </c>
      <c r="G11" s="2629">
        <v>2</v>
      </c>
      <c r="H11" s="2379">
        <f>G11/F11*100</f>
        <v>100</v>
      </c>
    </row>
    <row r="12" spans="1:12" ht="16.5" thickTop="1" thickBot="1" x14ac:dyDescent="0.3">
      <c r="A12" s="2449" t="s">
        <v>849</v>
      </c>
      <c r="B12" s="2450"/>
      <c r="C12" s="2450"/>
      <c r="D12" s="2450"/>
      <c r="E12" s="2378">
        <f>SUM(E11:E11)</f>
        <v>0</v>
      </c>
      <c r="F12" s="2378">
        <f>SUM(F11:F11)</f>
        <v>2</v>
      </c>
      <c r="G12" s="2378">
        <f>SUM(G11:G11)</f>
        <v>2</v>
      </c>
      <c r="H12" s="2377">
        <v>0</v>
      </c>
    </row>
    <row r="13" spans="1:12" ht="13.5" thickTop="1" x14ac:dyDescent="0.2">
      <c r="A13" s="2352"/>
      <c r="B13" s="2352"/>
      <c r="C13" s="2352"/>
      <c r="E13" s="2353"/>
      <c r="F13" s="2353"/>
      <c r="G13" s="2353"/>
    </row>
    <row r="14" spans="1:12" s="2451" customFormat="1" x14ac:dyDescent="0.2">
      <c r="A14" s="2352"/>
      <c r="B14" s="2352"/>
      <c r="C14" s="2352"/>
      <c r="D14" s="2345"/>
      <c r="E14" s="2353"/>
      <c r="F14" s="2353"/>
      <c r="G14" s="2353"/>
      <c r="H14" s="2345"/>
    </row>
    <row r="15" spans="1:12" s="2451" customFormat="1" ht="16.5" x14ac:dyDescent="0.25">
      <c r="A15" s="2399" t="s">
        <v>508</v>
      </c>
      <c r="B15" s="2400"/>
      <c r="C15" s="2401"/>
      <c r="D15" s="2402"/>
      <c r="E15" s="2403">
        <f>SUM(E16:E18)</f>
        <v>0</v>
      </c>
      <c r="F15" s="2403">
        <f>F16+F17+F18+F19</f>
        <v>2</v>
      </c>
      <c r="G15" s="2403">
        <f>G16+G17+G18+G19</f>
        <v>2</v>
      </c>
      <c r="H15" s="2452">
        <f>G15/F15*100</f>
        <v>100</v>
      </c>
      <c r="J15" s="2453">
        <f>J16+J17+J18</f>
        <v>0</v>
      </c>
      <c r="K15" s="2453">
        <f>K16+K17+K18</f>
        <v>2400</v>
      </c>
      <c r="L15" s="2453">
        <f>L16+L17+L18</f>
        <v>2400</v>
      </c>
    </row>
    <row r="16" spans="1:12" s="2451" customFormat="1" ht="15" x14ac:dyDescent="0.2">
      <c r="A16" s="2406" t="s">
        <v>288</v>
      </c>
      <c r="B16" s="2407"/>
      <c r="C16" s="2408"/>
      <c r="D16" s="2409"/>
      <c r="E16" s="2410">
        <f>SUM(E11)</f>
        <v>0</v>
      </c>
      <c r="F16" s="2410">
        <f>SUM(F11)</f>
        <v>2</v>
      </c>
      <c r="G16" s="2410">
        <f>SUM(G11)</f>
        <v>2</v>
      </c>
      <c r="H16" s="2454">
        <f>G16/F16*100</f>
        <v>100</v>
      </c>
      <c r="J16" s="2455">
        <v>0</v>
      </c>
      <c r="K16" s="2455">
        <v>2400</v>
      </c>
      <c r="L16" s="2455">
        <v>2400</v>
      </c>
    </row>
    <row r="17" spans="1:12" ht="15" x14ac:dyDescent="0.2">
      <c r="A17" s="2406" t="s">
        <v>289</v>
      </c>
      <c r="B17" s="2413"/>
      <c r="C17" s="2408"/>
      <c r="D17" s="2414"/>
      <c r="E17" s="2410">
        <v>0</v>
      </c>
      <c r="F17" s="2410">
        <v>0</v>
      </c>
      <c r="G17" s="2410">
        <v>0</v>
      </c>
      <c r="H17" s="2454">
        <v>0</v>
      </c>
      <c r="J17" s="2412">
        <v>0</v>
      </c>
      <c r="K17" s="2412">
        <v>0</v>
      </c>
      <c r="L17" s="2412">
        <v>0</v>
      </c>
    </row>
    <row r="18" spans="1:12" ht="15" x14ac:dyDescent="0.2">
      <c r="A18" s="2406" t="s">
        <v>509</v>
      </c>
      <c r="B18" s="2413"/>
      <c r="C18" s="2408"/>
      <c r="D18" s="2414"/>
      <c r="E18" s="2410">
        <v>0</v>
      </c>
      <c r="F18" s="2410">
        <v>0</v>
      </c>
      <c r="G18" s="2410">
        <v>0</v>
      </c>
      <c r="H18" s="2454">
        <v>0</v>
      </c>
      <c r="J18" s="2412">
        <v>0</v>
      </c>
      <c r="K18" s="2412">
        <v>0</v>
      </c>
      <c r="L18" s="2412">
        <v>0</v>
      </c>
    </row>
    <row r="19" spans="1:12" ht="15" x14ac:dyDescent="0.2">
      <c r="A19" s="2406"/>
      <c r="B19" s="2413"/>
      <c r="C19" s="2408"/>
      <c r="D19" s="2414"/>
      <c r="E19" s="2410"/>
      <c r="F19" s="2410"/>
      <c r="G19" s="2410"/>
      <c r="H19" s="2415"/>
    </row>
    <row r="20" spans="1:12" s="2435" customFormat="1" ht="77.25" customHeight="1" thickBot="1" x14ac:dyDescent="0.4">
      <c r="A20" s="2819" t="s">
        <v>1887</v>
      </c>
      <c r="B20" s="2820"/>
      <c r="C20" s="2820"/>
      <c r="D20" s="2820"/>
      <c r="E20" s="2416">
        <f>SUM(E15)</f>
        <v>0</v>
      </c>
      <c r="F20" s="2416">
        <f>SUM(F15)</f>
        <v>2</v>
      </c>
      <c r="G20" s="2416">
        <f>SUM(G15)</f>
        <v>2</v>
      </c>
      <c r="H20" s="2456">
        <f>G20/F20*100</f>
        <v>100</v>
      </c>
    </row>
    <row r="21" spans="1:12" ht="77.25" customHeight="1" thickTop="1" x14ac:dyDescent="0.2"/>
  </sheetData>
  <mergeCells count="2">
    <mergeCell ref="A1:H1"/>
    <mergeCell ref="A20:D20"/>
  </mergeCells>
  <pageMargins left="0.70866141732283472" right="0.70866141732283472" top="0.78740157480314965" bottom="0.78740157480314965" header="0.31496062992125984" footer="0.31496062992125984"/>
  <pageSetup paperSize="9" scale="89" firstPageNumber="131" orientation="portrait" useFirstPageNumber="1" r:id="rId1"/>
  <headerFooter>
    <oddFooter xml:space="preserve">&amp;L&amp;"Arial,Kurzíva"Zastupitelstvo Olomouckého kraje 28. 6. 2013
6.- Závěrečný  účet Olomuckého kraje za rok 2012
Příloha č. 3: Plnění rozpočtu výdajů Olomouckého kraje k 31.12.2012&amp;R&amp;"Arial,Kurzíva"Strana &amp;P (Celkem 484)
</oddFooter>
  </headerFooter>
  <colBreaks count="1" manualBreakCount="1">
    <brk id="8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145"/>
  <sheetViews>
    <sheetView showGridLines="0" view="pageBreakPreview" topLeftCell="A157" zoomScaleNormal="100" zoomScaleSheetLayoutView="100" workbookViewId="0">
      <selection activeCell="A67" sqref="A67"/>
    </sheetView>
  </sheetViews>
  <sheetFormatPr defaultRowHeight="12.75" x14ac:dyDescent="0.2"/>
  <cols>
    <col min="1" max="1" width="4.7109375" style="2130" customWidth="1"/>
    <col min="2" max="2" width="6.7109375" style="2130" customWidth="1"/>
    <col min="3" max="3" width="8.85546875" style="2130" customWidth="1"/>
    <col min="4" max="4" width="46.42578125" style="2130" customWidth="1"/>
    <col min="5" max="5" width="12.85546875" style="2131" customWidth="1"/>
    <col min="6" max="6" width="15.5703125" style="2165" customWidth="1"/>
    <col min="7" max="7" width="15.85546875" style="2165" customWidth="1"/>
    <col min="8" max="8" width="9.28515625" style="2165" customWidth="1"/>
    <col min="9" max="9" width="6.28515625" style="2131" customWidth="1"/>
    <col min="10" max="10" width="7.42578125" style="2131" customWidth="1"/>
    <col min="11" max="11" width="9.140625" style="2131"/>
    <col min="12" max="12" width="17.28515625" style="2131" bestFit="1" customWidth="1"/>
    <col min="13" max="13" width="17.42578125" style="2131" customWidth="1"/>
    <col min="14" max="16384" width="9.140625" style="2131"/>
  </cols>
  <sheetData>
    <row r="1" spans="1:10" ht="18.75" thickBot="1" x14ac:dyDescent="0.3">
      <c r="A1" s="1944" t="s">
        <v>974</v>
      </c>
      <c r="B1" s="1943"/>
      <c r="C1" s="2126"/>
      <c r="D1" s="1941"/>
      <c r="E1" s="1940"/>
      <c r="F1" s="1941"/>
      <c r="G1" s="2250"/>
      <c r="H1" s="2168"/>
    </row>
    <row r="2" spans="1:10" x14ac:dyDescent="0.2">
      <c r="A2" s="2249"/>
    </row>
    <row r="3" spans="1:10" ht="18" x14ac:dyDescent="0.25">
      <c r="A3" s="1939" t="s">
        <v>404</v>
      </c>
      <c r="C3" s="2129" t="s">
        <v>379</v>
      </c>
      <c r="H3" s="2222" t="s">
        <v>975</v>
      </c>
    </row>
    <row r="4" spans="1:10" ht="13.5" customHeight="1" x14ac:dyDescent="0.25">
      <c r="A4" s="2134"/>
      <c r="C4" s="2129" t="s">
        <v>380</v>
      </c>
    </row>
    <row r="5" spans="1:10" ht="18.75" customHeight="1" x14ac:dyDescent="0.25">
      <c r="A5" s="2134" t="s">
        <v>976</v>
      </c>
    </row>
    <row r="6" spans="1:10" ht="13.5" customHeight="1" x14ac:dyDescent="0.25">
      <c r="A6" s="2134"/>
    </row>
    <row r="7" spans="1:10" s="1868" customFormat="1" ht="15" x14ac:dyDescent="0.25">
      <c r="A7" s="2136" t="s">
        <v>1567</v>
      </c>
      <c r="B7" s="2130"/>
      <c r="C7" s="2130"/>
      <c r="D7" s="2130"/>
      <c r="E7" s="2131"/>
      <c r="F7" s="2165"/>
      <c r="G7" s="2165"/>
      <c r="H7" s="2165"/>
      <c r="I7" s="2131"/>
    </row>
    <row r="8" spans="1:10" s="1791" customFormat="1" ht="15.75" thickBot="1" x14ac:dyDescent="0.3">
      <c r="A8" s="2136" t="s">
        <v>1566</v>
      </c>
      <c r="B8" s="2130"/>
      <c r="C8" s="2130"/>
      <c r="D8" s="2130"/>
      <c r="E8" s="2131"/>
      <c r="F8" s="2165"/>
      <c r="G8" s="2165"/>
      <c r="H8" s="2161" t="s">
        <v>179</v>
      </c>
      <c r="I8" s="2131"/>
    </row>
    <row r="9" spans="1:10" ht="25.5" thickTop="1" thickBot="1" x14ac:dyDescent="0.25">
      <c r="A9" s="2138" t="s">
        <v>180</v>
      </c>
      <c r="B9" s="2139" t="s">
        <v>847</v>
      </c>
      <c r="C9" s="2139" t="s">
        <v>414</v>
      </c>
      <c r="D9" s="2140" t="s">
        <v>182</v>
      </c>
      <c r="E9" s="2171" t="s">
        <v>700</v>
      </c>
      <c r="F9" s="2171" t="s">
        <v>701</v>
      </c>
      <c r="G9" s="2172" t="s">
        <v>986</v>
      </c>
      <c r="H9" s="2173" t="s">
        <v>987</v>
      </c>
    </row>
    <row r="10" spans="1:10" ht="14.25" thickTop="1" thickBot="1" x14ac:dyDescent="0.25">
      <c r="A10" s="1854">
        <v>1</v>
      </c>
      <c r="B10" s="1853">
        <v>2</v>
      </c>
      <c r="C10" s="1853">
        <v>3</v>
      </c>
      <c r="D10" s="1853">
        <v>5</v>
      </c>
      <c r="E10" s="1852">
        <v>6</v>
      </c>
      <c r="F10" s="1852">
        <v>7</v>
      </c>
      <c r="G10" s="2223">
        <v>8</v>
      </c>
      <c r="H10" s="2146" t="s">
        <v>848</v>
      </c>
    </row>
    <row r="11" spans="1:10" ht="15.75" thickTop="1" x14ac:dyDescent="0.2">
      <c r="A11" s="2147">
        <v>2212</v>
      </c>
      <c r="B11" s="2148">
        <v>6121</v>
      </c>
      <c r="C11" s="2148">
        <v>38100870</v>
      </c>
      <c r="D11" s="2174" t="s">
        <v>671</v>
      </c>
      <c r="E11" s="2184">
        <v>0</v>
      </c>
      <c r="F11" s="2184">
        <v>40360</v>
      </c>
      <c r="G11" s="2184">
        <v>40035</v>
      </c>
      <c r="H11" s="2156">
        <f>G11/F11*100</f>
        <v>99.194747274529234</v>
      </c>
      <c r="I11" s="2165"/>
    </row>
    <row r="12" spans="1:10" ht="15" x14ac:dyDescent="0.2">
      <c r="A12" s="2147">
        <v>2212</v>
      </c>
      <c r="B12" s="2247">
        <v>6121</v>
      </c>
      <c r="C12" s="2247">
        <v>38100874</v>
      </c>
      <c r="D12" s="2174" t="s">
        <v>671</v>
      </c>
      <c r="E12" s="2184">
        <v>0</v>
      </c>
      <c r="F12" s="2184">
        <v>4908</v>
      </c>
      <c r="G12" s="2184">
        <v>3050</v>
      </c>
      <c r="H12" s="2156">
        <f>G12/F12*100</f>
        <v>62.143439282803584</v>
      </c>
      <c r="I12" s="2165"/>
    </row>
    <row r="13" spans="1:10" ht="15.75" thickBot="1" x14ac:dyDescent="0.25">
      <c r="A13" s="2147">
        <v>2212</v>
      </c>
      <c r="B13" s="2247">
        <v>6121</v>
      </c>
      <c r="C13" s="2247">
        <v>38500871</v>
      </c>
      <c r="D13" s="2174" t="s">
        <v>671</v>
      </c>
      <c r="E13" s="2184">
        <v>0</v>
      </c>
      <c r="F13" s="2184">
        <v>121081</v>
      </c>
      <c r="G13" s="2184">
        <v>120105</v>
      </c>
      <c r="H13" s="2156">
        <f>G13/F13*100</f>
        <v>99.193928031648241</v>
      </c>
      <c r="I13" s="2165"/>
    </row>
    <row r="14" spans="1:10" ht="16.5" thickTop="1" thickBot="1" x14ac:dyDescent="0.3">
      <c r="A14" s="2175" t="s">
        <v>849</v>
      </c>
      <c r="B14" s="2176"/>
      <c r="C14" s="2176"/>
      <c r="D14" s="2177"/>
      <c r="E14" s="2152">
        <f>SUM(E11:E13)</f>
        <v>0</v>
      </c>
      <c r="F14" s="2152">
        <f>SUM(F11:F13)</f>
        <v>166349</v>
      </c>
      <c r="G14" s="2152">
        <f>SUM(G11:G13)</f>
        <v>163190</v>
      </c>
      <c r="H14" s="2157">
        <f>G14/F14*100</f>
        <v>98.100980468773486</v>
      </c>
      <c r="I14" s="2165"/>
    </row>
    <row r="15" spans="1:10" s="2248" customFormat="1" ht="16.5" customHeight="1" thickTop="1" x14ac:dyDescent="0.25">
      <c r="A15" s="2134"/>
      <c r="B15" s="2130"/>
      <c r="C15" s="2130"/>
      <c r="D15" s="2130"/>
      <c r="E15" s="2131"/>
      <c r="F15" s="2165"/>
      <c r="G15" s="2165"/>
      <c r="H15" s="2165"/>
      <c r="I15" s="2131"/>
      <c r="J15" s="2212"/>
    </row>
    <row r="16" spans="1:10" s="1868" customFormat="1" ht="15" x14ac:dyDescent="0.25">
      <c r="A16" s="2136" t="s">
        <v>609</v>
      </c>
      <c r="B16" s="2130"/>
      <c r="C16" s="2130"/>
      <c r="D16" s="2130"/>
      <c r="E16" s="2131"/>
      <c r="F16" s="2165"/>
      <c r="G16" s="2165"/>
      <c r="H16" s="2165"/>
      <c r="I16" s="2131"/>
    </row>
    <row r="17" spans="1:9" s="1791" customFormat="1" ht="15.75" thickBot="1" x14ac:dyDescent="0.3">
      <c r="A17" s="2136" t="s">
        <v>1450</v>
      </c>
      <c r="B17" s="2130"/>
      <c r="C17" s="2130"/>
      <c r="D17" s="2130"/>
      <c r="E17" s="2131"/>
      <c r="F17" s="2165"/>
      <c r="G17" s="2165"/>
      <c r="H17" s="2240" t="s">
        <v>179</v>
      </c>
      <c r="I17" s="2131"/>
    </row>
    <row r="18" spans="1:9" ht="25.5" thickTop="1" thickBot="1" x14ac:dyDescent="0.25">
      <c r="A18" s="2138" t="s">
        <v>180</v>
      </c>
      <c r="B18" s="2139" t="s">
        <v>847</v>
      </c>
      <c r="C18" s="2139" t="s">
        <v>414</v>
      </c>
      <c r="D18" s="2140" t="s">
        <v>182</v>
      </c>
      <c r="E18" s="2171" t="s">
        <v>700</v>
      </c>
      <c r="F18" s="2171" t="s">
        <v>701</v>
      </c>
      <c r="G18" s="2172" t="s">
        <v>986</v>
      </c>
      <c r="H18" s="2173" t="s">
        <v>987</v>
      </c>
    </row>
    <row r="19" spans="1:9" ht="14.25" thickTop="1" thickBot="1" x14ac:dyDescent="0.25">
      <c r="A19" s="1854">
        <v>1</v>
      </c>
      <c r="B19" s="1853">
        <v>2</v>
      </c>
      <c r="C19" s="1853">
        <v>3</v>
      </c>
      <c r="D19" s="1853">
        <v>5</v>
      </c>
      <c r="E19" s="1852">
        <v>6</v>
      </c>
      <c r="F19" s="1852">
        <v>7</v>
      </c>
      <c r="G19" s="2223">
        <v>8</v>
      </c>
      <c r="H19" s="2146" t="s">
        <v>848</v>
      </c>
    </row>
    <row r="20" spans="1:9" ht="15" customHeight="1" thickTop="1" x14ac:dyDescent="0.2">
      <c r="A20" s="2147">
        <v>2212</v>
      </c>
      <c r="B20" s="2247">
        <v>5363</v>
      </c>
      <c r="C20" s="2247"/>
      <c r="D20" s="2174" t="s">
        <v>1824</v>
      </c>
      <c r="E20" s="2184">
        <v>0</v>
      </c>
      <c r="F20" s="2184">
        <v>22</v>
      </c>
      <c r="G20" s="2184">
        <v>22</v>
      </c>
      <c r="H20" s="2156">
        <f t="shared" ref="H20:H25" si="0">G20/F20*100</f>
        <v>100</v>
      </c>
    </row>
    <row r="21" spans="1:9" ht="15" customHeight="1" x14ac:dyDescent="0.2">
      <c r="A21" s="2147">
        <v>2212</v>
      </c>
      <c r="B21" s="2148">
        <v>6121</v>
      </c>
      <c r="C21" s="2148">
        <v>38100870</v>
      </c>
      <c r="D21" s="2174" t="s">
        <v>671</v>
      </c>
      <c r="E21" s="2184">
        <v>0</v>
      </c>
      <c r="F21" s="2184">
        <v>556</v>
      </c>
      <c r="G21" s="2184">
        <v>556</v>
      </c>
      <c r="H21" s="2156">
        <f t="shared" si="0"/>
        <v>100</v>
      </c>
    </row>
    <row r="22" spans="1:9" ht="15" x14ac:dyDescent="0.2">
      <c r="A22" s="2147">
        <v>2212</v>
      </c>
      <c r="B22" s="2148">
        <v>6121</v>
      </c>
      <c r="C22" s="2148">
        <v>38100872</v>
      </c>
      <c r="D22" s="2174" t="s">
        <v>671</v>
      </c>
      <c r="E22" s="2184">
        <v>0</v>
      </c>
      <c r="F22" s="2184">
        <v>278</v>
      </c>
      <c r="G22" s="2184">
        <v>278</v>
      </c>
      <c r="H22" s="2156">
        <f t="shared" si="0"/>
        <v>100</v>
      </c>
      <c r="I22" s="2165"/>
    </row>
    <row r="23" spans="1:9" ht="15" x14ac:dyDescent="0.2">
      <c r="A23" s="2147">
        <v>2212</v>
      </c>
      <c r="B23" s="2247">
        <v>6121</v>
      </c>
      <c r="C23" s="2247">
        <v>38100874</v>
      </c>
      <c r="D23" s="2174" t="s">
        <v>671</v>
      </c>
      <c r="E23" s="2184">
        <v>0</v>
      </c>
      <c r="F23" s="2184">
        <v>314</v>
      </c>
      <c r="G23" s="2184">
        <v>313</v>
      </c>
      <c r="H23" s="2156">
        <f t="shared" si="0"/>
        <v>99.681528662420376</v>
      </c>
      <c r="I23" s="2165"/>
    </row>
    <row r="24" spans="1:9" ht="15.75" thickBot="1" x14ac:dyDescent="0.25">
      <c r="A24" s="2147">
        <v>2212</v>
      </c>
      <c r="B24" s="2247">
        <v>6121</v>
      </c>
      <c r="C24" s="2247">
        <v>38500871</v>
      </c>
      <c r="D24" s="2174" t="s">
        <v>671</v>
      </c>
      <c r="E24" s="2184">
        <v>0</v>
      </c>
      <c r="F24" s="2184">
        <v>4725</v>
      </c>
      <c r="G24" s="2184">
        <v>4725</v>
      </c>
      <c r="H24" s="2156">
        <f t="shared" si="0"/>
        <v>100</v>
      </c>
      <c r="I24" s="2165"/>
    </row>
    <row r="25" spans="1:9" ht="16.5" thickTop="1" thickBot="1" x14ac:dyDescent="0.3">
      <c r="A25" s="2175" t="s">
        <v>849</v>
      </c>
      <c r="B25" s="2176"/>
      <c r="C25" s="2176"/>
      <c r="D25" s="2177"/>
      <c r="E25" s="2152">
        <f>SUM(E20:E24)</f>
        <v>0</v>
      </c>
      <c r="F25" s="2152">
        <f>SUM(F20:F24)</f>
        <v>5895</v>
      </c>
      <c r="G25" s="2152">
        <f>SUM(G20:G24)</f>
        <v>5894</v>
      </c>
      <c r="H25" s="2157">
        <f t="shared" si="0"/>
        <v>99.98303647158609</v>
      </c>
      <c r="I25" s="2165"/>
    </row>
    <row r="26" spans="1:9" ht="15.75" thickTop="1" x14ac:dyDescent="0.25">
      <c r="A26" s="2189"/>
      <c r="B26" s="2189"/>
      <c r="C26" s="2189"/>
      <c r="D26" s="2189"/>
      <c r="E26" s="2159"/>
      <c r="F26" s="2159"/>
      <c r="G26" s="2159"/>
      <c r="H26" s="2190"/>
      <c r="I26" s="2165"/>
    </row>
    <row r="27" spans="1:9" s="1868" customFormat="1" ht="15" x14ac:dyDescent="0.25">
      <c r="A27" s="2136" t="s">
        <v>1073</v>
      </c>
      <c r="B27" s="2130"/>
      <c r="C27" s="2130"/>
      <c r="D27" s="2130"/>
      <c r="E27" s="2131"/>
      <c r="F27" s="2165"/>
      <c r="G27" s="2165"/>
      <c r="H27" s="2165"/>
      <c r="I27" s="2131"/>
    </row>
    <row r="28" spans="1:9" s="1791" customFormat="1" ht="15.75" thickBot="1" x14ac:dyDescent="0.3">
      <c r="A28" s="2136" t="s">
        <v>1565</v>
      </c>
      <c r="B28" s="2130"/>
      <c r="C28" s="2130"/>
      <c r="D28" s="2130"/>
      <c r="E28" s="2131"/>
      <c r="F28" s="2165"/>
      <c r="G28" s="2165"/>
      <c r="H28" s="2240" t="s">
        <v>179</v>
      </c>
      <c r="I28" s="2131"/>
    </row>
    <row r="29" spans="1:9" ht="25.5" thickTop="1" thickBot="1" x14ac:dyDescent="0.25">
      <c r="A29" s="2138" t="s">
        <v>180</v>
      </c>
      <c r="B29" s="2139" t="s">
        <v>847</v>
      </c>
      <c r="C29" s="2139" t="s">
        <v>414</v>
      </c>
      <c r="D29" s="2140" t="s">
        <v>182</v>
      </c>
      <c r="E29" s="2171" t="s">
        <v>700</v>
      </c>
      <c r="F29" s="2171" t="s">
        <v>701</v>
      </c>
      <c r="G29" s="2172" t="s">
        <v>986</v>
      </c>
      <c r="H29" s="2173" t="s">
        <v>987</v>
      </c>
    </row>
    <row r="30" spans="1:9" ht="14.25" thickTop="1" thickBot="1" x14ac:dyDescent="0.25">
      <c r="A30" s="1854">
        <v>1</v>
      </c>
      <c r="B30" s="1853">
        <v>2</v>
      </c>
      <c r="C30" s="1853">
        <v>3</v>
      </c>
      <c r="D30" s="1853">
        <v>5</v>
      </c>
      <c r="E30" s="1852">
        <v>6</v>
      </c>
      <c r="F30" s="1852">
        <v>7</v>
      </c>
      <c r="G30" s="2223">
        <v>8</v>
      </c>
      <c r="H30" s="2146" t="s">
        <v>848</v>
      </c>
    </row>
    <row r="31" spans="1:9" ht="15.75" thickTop="1" x14ac:dyDescent="0.2">
      <c r="A31" s="2147">
        <v>2212</v>
      </c>
      <c r="B31" s="2148">
        <v>6121</v>
      </c>
      <c r="C31" s="2148">
        <v>38100870</v>
      </c>
      <c r="D31" s="2174" t="s">
        <v>671</v>
      </c>
      <c r="E31" s="2184">
        <v>0</v>
      </c>
      <c r="F31" s="2184">
        <v>23166</v>
      </c>
      <c r="G31" s="2184">
        <v>23163</v>
      </c>
      <c r="H31" s="2156">
        <f>G31/F31*100</f>
        <v>99.987049987049986</v>
      </c>
      <c r="I31" s="2165"/>
    </row>
    <row r="32" spans="1:9" ht="15" x14ac:dyDescent="0.2">
      <c r="A32" s="2147">
        <v>2212</v>
      </c>
      <c r="B32" s="2247">
        <v>6121</v>
      </c>
      <c r="C32" s="2247">
        <v>38100874</v>
      </c>
      <c r="D32" s="2174" t="s">
        <v>671</v>
      </c>
      <c r="E32" s="2184">
        <v>0</v>
      </c>
      <c r="F32" s="2184">
        <v>13798</v>
      </c>
      <c r="G32" s="2184">
        <v>10159</v>
      </c>
      <c r="H32" s="2156">
        <f>G32/F32*100</f>
        <v>73.626612552543847</v>
      </c>
      <c r="I32" s="2165"/>
    </row>
    <row r="33" spans="1:10" ht="15.75" thickBot="1" x14ac:dyDescent="0.25">
      <c r="A33" s="2147">
        <v>2212</v>
      </c>
      <c r="B33" s="2247">
        <v>6121</v>
      </c>
      <c r="C33" s="2247">
        <v>38500871</v>
      </c>
      <c r="D33" s="2174" t="s">
        <v>671</v>
      </c>
      <c r="E33" s="2184">
        <v>0</v>
      </c>
      <c r="F33" s="2184">
        <v>69500</v>
      </c>
      <c r="G33" s="2184">
        <v>69489</v>
      </c>
      <c r="H33" s="2156">
        <f>G33/F33*100</f>
        <v>99.984172661870502</v>
      </c>
      <c r="I33" s="2165"/>
    </row>
    <row r="34" spans="1:10" ht="16.5" thickTop="1" thickBot="1" x14ac:dyDescent="0.3">
      <c r="A34" s="2175" t="s">
        <v>849</v>
      </c>
      <c r="B34" s="2176"/>
      <c r="C34" s="2176"/>
      <c r="D34" s="2177"/>
      <c r="E34" s="2152">
        <f>SUM(E31:E33)</f>
        <v>0</v>
      </c>
      <c r="F34" s="2152">
        <f>SUM(F31:F33)</f>
        <v>106464</v>
      </c>
      <c r="G34" s="2152">
        <f>SUM(G31:G33)</f>
        <v>102811</v>
      </c>
      <c r="H34" s="2157">
        <f>G34/F34*100</f>
        <v>96.568793207093478</v>
      </c>
      <c r="I34" s="2165"/>
    </row>
    <row r="35" spans="1:10" s="2248" customFormat="1" ht="18.75" thickTop="1" x14ac:dyDescent="0.25">
      <c r="A35" s="2134"/>
      <c r="B35" s="2130"/>
      <c r="C35" s="2130"/>
      <c r="D35" s="2130"/>
      <c r="E35" s="2131"/>
      <c r="F35" s="2165"/>
      <c r="G35" s="2165"/>
      <c r="H35" s="2165"/>
      <c r="I35" s="2131"/>
      <c r="J35" s="2212"/>
    </row>
    <row r="36" spans="1:10" s="1868" customFormat="1" ht="15" x14ac:dyDescent="0.25">
      <c r="A36" s="2136" t="s">
        <v>1564</v>
      </c>
      <c r="B36" s="2130"/>
      <c r="C36" s="2130"/>
      <c r="D36" s="2130"/>
      <c r="E36" s="2131"/>
      <c r="F36" s="2165"/>
      <c r="G36" s="2165"/>
      <c r="H36" s="2165"/>
      <c r="I36" s="2131"/>
    </row>
    <row r="37" spans="1:10" s="1791" customFormat="1" ht="15.75" thickBot="1" x14ac:dyDescent="0.3">
      <c r="A37" s="2136" t="s">
        <v>1563</v>
      </c>
      <c r="B37" s="2130"/>
      <c r="C37" s="2130"/>
      <c r="D37" s="2130"/>
      <c r="E37" s="2131"/>
      <c r="F37" s="2165"/>
      <c r="G37" s="2165"/>
      <c r="H37" s="2240" t="s">
        <v>179</v>
      </c>
      <c r="I37" s="2131"/>
    </row>
    <row r="38" spans="1:10" ht="25.5" thickTop="1" thickBot="1" x14ac:dyDescent="0.25">
      <c r="A38" s="2138" t="s">
        <v>180</v>
      </c>
      <c r="B38" s="2139" t="s">
        <v>847</v>
      </c>
      <c r="C38" s="2139" t="s">
        <v>414</v>
      </c>
      <c r="D38" s="2140" t="s">
        <v>182</v>
      </c>
      <c r="E38" s="2171" t="s">
        <v>700</v>
      </c>
      <c r="F38" s="2171" t="s">
        <v>701</v>
      </c>
      <c r="G38" s="2172" t="s">
        <v>986</v>
      </c>
      <c r="H38" s="2173" t="s">
        <v>987</v>
      </c>
    </row>
    <row r="39" spans="1:10" ht="14.25" thickTop="1" thickBot="1" x14ac:dyDescent="0.25">
      <c r="A39" s="1854">
        <v>1</v>
      </c>
      <c r="B39" s="1853">
        <v>2</v>
      </c>
      <c r="C39" s="1853">
        <v>3</v>
      </c>
      <c r="D39" s="1853">
        <v>5</v>
      </c>
      <c r="E39" s="1852">
        <v>6</v>
      </c>
      <c r="F39" s="1852">
        <v>7</v>
      </c>
      <c r="G39" s="2223">
        <v>8</v>
      </c>
      <c r="H39" s="2146" t="s">
        <v>848</v>
      </c>
    </row>
    <row r="40" spans="1:10" ht="15.75" thickTop="1" x14ac:dyDescent="0.2">
      <c r="A40" s="2147">
        <v>2212</v>
      </c>
      <c r="B40" s="2148">
        <v>5169</v>
      </c>
      <c r="C40" s="2148">
        <v>38100874</v>
      </c>
      <c r="D40" s="2174" t="s">
        <v>955</v>
      </c>
      <c r="E40" s="2184">
        <v>0</v>
      </c>
      <c r="F40" s="2184">
        <v>178</v>
      </c>
      <c r="G40" s="2184">
        <v>178</v>
      </c>
      <c r="H40" s="2156">
        <f>G40/F40*100</f>
        <v>100</v>
      </c>
    </row>
    <row r="41" spans="1:10" ht="15" x14ac:dyDescent="0.2">
      <c r="A41" s="2147">
        <v>2212</v>
      </c>
      <c r="B41" s="2148">
        <v>6121</v>
      </c>
      <c r="C41" s="2148">
        <v>38100870</v>
      </c>
      <c r="D41" s="2174" t="s">
        <v>671</v>
      </c>
      <c r="E41" s="2184">
        <v>0</v>
      </c>
      <c r="F41" s="2184">
        <v>8205</v>
      </c>
      <c r="G41" s="2184">
        <v>7162</v>
      </c>
      <c r="H41" s="2156">
        <f>G41/F41*100</f>
        <v>87.288238878732486</v>
      </c>
      <c r="I41" s="2165"/>
    </row>
    <row r="42" spans="1:10" ht="15" x14ac:dyDescent="0.2">
      <c r="A42" s="2147">
        <v>2212</v>
      </c>
      <c r="B42" s="2247">
        <v>6121</v>
      </c>
      <c r="C42" s="2247">
        <v>38100874</v>
      </c>
      <c r="D42" s="2174" t="s">
        <v>671</v>
      </c>
      <c r="E42" s="2184">
        <v>0</v>
      </c>
      <c r="F42" s="2184">
        <v>422</v>
      </c>
      <c r="G42" s="2184">
        <v>337</v>
      </c>
      <c r="H42" s="2156">
        <f>G42/F42*100</f>
        <v>79.857819905213262</v>
      </c>
      <c r="I42" s="2165"/>
    </row>
    <row r="43" spans="1:10" ht="15.75" thickBot="1" x14ac:dyDescent="0.25">
      <c r="A43" s="2147">
        <v>2212</v>
      </c>
      <c r="B43" s="2247">
        <v>6121</v>
      </c>
      <c r="C43" s="2247">
        <v>38500871</v>
      </c>
      <c r="D43" s="2174" t="s">
        <v>671</v>
      </c>
      <c r="E43" s="2184">
        <v>0</v>
      </c>
      <c r="F43" s="2184">
        <v>21764</v>
      </c>
      <c r="G43" s="2184">
        <v>21487</v>
      </c>
      <c r="H43" s="2156">
        <f>G43/F43*100</f>
        <v>98.727256019114122</v>
      </c>
      <c r="I43" s="2165"/>
    </row>
    <row r="44" spans="1:10" ht="16.5" thickTop="1" thickBot="1" x14ac:dyDescent="0.3">
      <c r="A44" s="2175" t="s">
        <v>849</v>
      </c>
      <c r="B44" s="2176"/>
      <c r="C44" s="2176"/>
      <c r="D44" s="2177"/>
      <c r="E44" s="2152">
        <f>SUM(E40:E43)</f>
        <v>0</v>
      </c>
      <c r="F44" s="2152">
        <f>SUM(F40:F43)</f>
        <v>30569</v>
      </c>
      <c r="G44" s="2152">
        <f>SUM(G40:G43)</f>
        <v>29164</v>
      </c>
      <c r="H44" s="2157">
        <f>G44/F44*100</f>
        <v>95.403840492001706</v>
      </c>
      <c r="I44" s="2165"/>
    </row>
    <row r="45" spans="1:10" s="2248" customFormat="1" ht="18.75" thickTop="1" x14ac:dyDescent="0.25">
      <c r="A45" s="2134"/>
      <c r="B45" s="2130"/>
      <c r="C45" s="2130"/>
      <c r="D45" s="2130"/>
      <c r="E45" s="2131"/>
      <c r="F45" s="2165"/>
      <c r="G45" s="2165"/>
      <c r="H45" s="2165"/>
      <c r="I45" s="2131"/>
      <c r="J45" s="2212"/>
    </row>
    <row r="46" spans="1:10" s="2248" customFormat="1" ht="18" hidden="1" x14ac:dyDescent="0.25">
      <c r="A46" s="2134"/>
      <c r="B46" s="2130"/>
      <c r="C46" s="2130"/>
      <c r="D46" s="2130"/>
      <c r="E46" s="2131"/>
      <c r="F46" s="2165"/>
      <c r="G46" s="2165"/>
      <c r="H46" s="2165"/>
      <c r="I46" s="2131"/>
      <c r="J46" s="2212"/>
    </row>
    <row r="47" spans="1:10" ht="15" hidden="1" x14ac:dyDescent="0.25">
      <c r="A47" s="2136" t="s">
        <v>541</v>
      </c>
    </row>
    <row r="48" spans="1:10" ht="15" hidden="1" x14ac:dyDescent="0.25">
      <c r="A48" s="2136" t="s">
        <v>274</v>
      </c>
      <c r="H48" s="2165" t="s">
        <v>179</v>
      </c>
    </row>
    <row r="49" spans="1:8" ht="25.5" hidden="1" thickTop="1" thickBot="1" x14ac:dyDescent="0.25">
      <c r="A49" s="2138" t="s">
        <v>180</v>
      </c>
      <c r="B49" s="2139" t="s">
        <v>847</v>
      </c>
      <c r="C49" s="2139" t="s">
        <v>414</v>
      </c>
      <c r="D49" s="2140" t="s">
        <v>182</v>
      </c>
      <c r="E49" s="2171" t="s">
        <v>700</v>
      </c>
      <c r="F49" s="2171" t="s">
        <v>701</v>
      </c>
      <c r="G49" s="2172" t="s">
        <v>986</v>
      </c>
      <c r="H49" s="2173" t="s">
        <v>987</v>
      </c>
    </row>
    <row r="50" spans="1:8" ht="14.25" hidden="1" thickTop="1" thickBot="1" x14ac:dyDescent="0.25">
      <c r="A50" s="1854">
        <v>1</v>
      </c>
      <c r="B50" s="1853">
        <v>2</v>
      </c>
      <c r="C50" s="1853">
        <v>3</v>
      </c>
      <c r="D50" s="1853">
        <v>5</v>
      </c>
      <c r="E50" s="1852">
        <v>6</v>
      </c>
      <c r="F50" s="1852">
        <v>7</v>
      </c>
      <c r="G50" s="2223">
        <v>8</v>
      </c>
      <c r="H50" s="2146" t="s">
        <v>848</v>
      </c>
    </row>
    <row r="51" spans="1:8" ht="15" hidden="1" x14ac:dyDescent="0.2">
      <c r="A51" s="2147">
        <v>2212</v>
      </c>
      <c r="B51" s="2148">
        <v>6121</v>
      </c>
      <c r="C51" s="2247">
        <v>38100870</v>
      </c>
      <c r="D51" s="2174" t="s">
        <v>671</v>
      </c>
      <c r="E51" s="2184"/>
      <c r="F51" s="2184"/>
      <c r="G51" s="2184"/>
      <c r="H51" s="2156">
        <v>0</v>
      </c>
    </row>
    <row r="52" spans="1:8" ht="15" hidden="1" x14ac:dyDescent="0.2">
      <c r="A52" s="2147">
        <v>2212</v>
      </c>
      <c r="B52" s="2247">
        <v>6121</v>
      </c>
      <c r="C52" s="2247">
        <v>38100872</v>
      </c>
      <c r="D52" s="2174" t="s">
        <v>671</v>
      </c>
      <c r="E52" s="2184"/>
      <c r="F52" s="2184"/>
      <c r="G52" s="2233"/>
      <c r="H52" s="2156">
        <v>0</v>
      </c>
    </row>
    <row r="53" spans="1:8" ht="15.75" hidden="1" thickBot="1" x14ac:dyDescent="0.25">
      <c r="A53" s="2147">
        <v>2212</v>
      </c>
      <c r="B53" s="2247">
        <v>6121</v>
      </c>
      <c r="C53" s="2247">
        <v>38500871</v>
      </c>
      <c r="D53" s="2174" t="s">
        <v>671</v>
      </c>
      <c r="E53" s="2184"/>
      <c r="F53" s="2181"/>
      <c r="G53" s="2181"/>
      <c r="H53" s="2156" t="e">
        <f>G53/F53*100</f>
        <v>#DIV/0!</v>
      </c>
    </row>
    <row r="54" spans="1:8" ht="16.5" hidden="1" thickTop="1" thickBot="1" x14ac:dyDescent="0.3">
      <c r="A54" s="2175" t="s">
        <v>849</v>
      </c>
      <c r="B54" s="2176"/>
      <c r="C54" s="2176"/>
      <c r="D54" s="2177"/>
      <c r="E54" s="2152">
        <f>SUM(E51:E53)</f>
        <v>0</v>
      </c>
      <c r="F54" s="2152">
        <f>SUM(F51:F53)</f>
        <v>0</v>
      </c>
      <c r="G54" s="2152">
        <f>SUM(G51:G53)</f>
        <v>0</v>
      </c>
      <c r="H54" s="2157" t="e">
        <f>G54/F54*100</f>
        <v>#DIV/0!</v>
      </c>
    </row>
    <row r="55" spans="1:8" ht="18" hidden="1" x14ac:dyDescent="0.25">
      <c r="A55" s="2134"/>
    </row>
    <row r="56" spans="1:8" ht="18" hidden="1" x14ac:dyDescent="0.25">
      <c r="A56" s="2134"/>
    </row>
    <row r="57" spans="1:8" ht="15" hidden="1" x14ac:dyDescent="0.25">
      <c r="A57" s="2136" t="s">
        <v>542</v>
      </c>
    </row>
    <row r="58" spans="1:8" ht="15" hidden="1" x14ac:dyDescent="0.25">
      <c r="A58" s="2136" t="s">
        <v>275</v>
      </c>
      <c r="H58" s="2165" t="s">
        <v>179</v>
      </c>
    </row>
    <row r="59" spans="1:8" ht="25.5" hidden="1" thickTop="1" thickBot="1" x14ac:dyDescent="0.25">
      <c r="A59" s="2138" t="s">
        <v>180</v>
      </c>
      <c r="B59" s="2139" t="s">
        <v>847</v>
      </c>
      <c r="C59" s="2139" t="s">
        <v>414</v>
      </c>
      <c r="D59" s="2140" t="s">
        <v>182</v>
      </c>
      <c r="E59" s="2171" t="s">
        <v>700</v>
      </c>
      <c r="F59" s="2171" t="s">
        <v>701</v>
      </c>
      <c r="G59" s="2172" t="s">
        <v>986</v>
      </c>
      <c r="H59" s="2173" t="s">
        <v>987</v>
      </c>
    </row>
    <row r="60" spans="1:8" ht="14.25" hidden="1" thickTop="1" thickBot="1" x14ac:dyDescent="0.25">
      <c r="A60" s="1854">
        <v>1</v>
      </c>
      <c r="B60" s="1853">
        <v>2</v>
      </c>
      <c r="C60" s="1853">
        <v>3</v>
      </c>
      <c r="D60" s="1853">
        <v>5</v>
      </c>
      <c r="E60" s="1852">
        <v>6</v>
      </c>
      <c r="F60" s="1852">
        <v>7</v>
      </c>
      <c r="G60" s="2223">
        <v>8</v>
      </c>
      <c r="H60" s="2146" t="s">
        <v>848</v>
      </c>
    </row>
    <row r="61" spans="1:8" ht="15" hidden="1" x14ac:dyDescent="0.2">
      <c r="A61" s="2147">
        <v>2212</v>
      </c>
      <c r="B61" s="2148">
        <v>6121</v>
      </c>
      <c r="C61" s="2247">
        <v>38100870</v>
      </c>
      <c r="D61" s="2174" t="s">
        <v>671</v>
      </c>
      <c r="E61" s="2184"/>
      <c r="F61" s="2184"/>
      <c r="G61" s="2184"/>
      <c r="H61" s="2156" t="e">
        <f>G61/F61*100</f>
        <v>#DIV/0!</v>
      </c>
    </row>
    <row r="62" spans="1:8" ht="15" hidden="1" x14ac:dyDescent="0.2">
      <c r="A62" s="2147">
        <v>2212</v>
      </c>
      <c r="B62" s="2247">
        <v>6121</v>
      </c>
      <c r="C62" s="2247">
        <v>38100872</v>
      </c>
      <c r="D62" s="2174" t="s">
        <v>671</v>
      </c>
      <c r="E62" s="2184"/>
      <c r="F62" s="2184"/>
      <c r="G62" s="2233"/>
      <c r="H62" s="2156">
        <v>0</v>
      </c>
    </row>
    <row r="63" spans="1:8" ht="15.75" hidden="1" thickBot="1" x14ac:dyDescent="0.25">
      <c r="A63" s="2147">
        <v>2212</v>
      </c>
      <c r="B63" s="2247">
        <v>6121</v>
      </c>
      <c r="C63" s="2247">
        <v>38500871</v>
      </c>
      <c r="D63" s="2174" t="s">
        <v>671</v>
      </c>
      <c r="E63" s="2184"/>
      <c r="F63" s="2181"/>
      <c r="G63" s="2181"/>
      <c r="H63" s="2156" t="e">
        <f>G63/F63*100</f>
        <v>#DIV/0!</v>
      </c>
    </row>
    <row r="64" spans="1:8" ht="16.5" hidden="1" thickTop="1" thickBot="1" x14ac:dyDescent="0.3">
      <c r="A64" s="2175" t="s">
        <v>849</v>
      </c>
      <c r="B64" s="2176"/>
      <c r="C64" s="2176"/>
      <c r="D64" s="2177"/>
      <c r="E64" s="2152">
        <f>SUM(E61:E63)</f>
        <v>0</v>
      </c>
      <c r="F64" s="2152">
        <f>SUM(F61:F63)</f>
        <v>0</v>
      </c>
      <c r="G64" s="2152">
        <f>SUM(G61:G63)</f>
        <v>0</v>
      </c>
      <c r="H64" s="2157" t="e">
        <f>G64/F64*100</f>
        <v>#DIV/0!</v>
      </c>
    </row>
    <row r="65" spans="1:9" ht="18" hidden="1" x14ac:dyDescent="0.25">
      <c r="A65" s="2134"/>
    </row>
    <row r="66" spans="1:9" ht="18" hidden="1" x14ac:dyDescent="0.25">
      <c r="A66" s="2134"/>
    </row>
    <row r="67" spans="1:9" ht="15" x14ac:dyDescent="0.25">
      <c r="A67" s="2136" t="s">
        <v>1932</v>
      </c>
    </row>
    <row r="68" spans="1:9" ht="15.75" thickBot="1" x14ac:dyDescent="0.3">
      <c r="A68" s="2136" t="s">
        <v>1202</v>
      </c>
      <c r="H68" s="2240" t="s">
        <v>179</v>
      </c>
    </row>
    <row r="69" spans="1:9" ht="25.5" thickTop="1" thickBot="1" x14ac:dyDescent="0.25">
      <c r="A69" s="2138" t="s">
        <v>180</v>
      </c>
      <c r="B69" s="2139" t="s">
        <v>847</v>
      </c>
      <c r="C69" s="2139" t="s">
        <v>414</v>
      </c>
      <c r="D69" s="2140" t="s">
        <v>182</v>
      </c>
      <c r="E69" s="2171" t="s">
        <v>700</v>
      </c>
      <c r="F69" s="2171" t="s">
        <v>701</v>
      </c>
      <c r="G69" s="2172" t="s">
        <v>986</v>
      </c>
      <c r="H69" s="2173" t="s">
        <v>987</v>
      </c>
    </row>
    <row r="70" spans="1:9" ht="14.25" thickTop="1" thickBot="1" x14ac:dyDescent="0.25">
      <c r="A70" s="1854">
        <v>1</v>
      </c>
      <c r="B70" s="1853">
        <v>2</v>
      </c>
      <c r="C70" s="1853">
        <v>3</v>
      </c>
      <c r="D70" s="1853">
        <v>5</v>
      </c>
      <c r="E70" s="1852">
        <v>6</v>
      </c>
      <c r="F70" s="1852">
        <v>7</v>
      </c>
      <c r="G70" s="2223">
        <v>8</v>
      </c>
      <c r="H70" s="2146" t="s">
        <v>848</v>
      </c>
    </row>
    <row r="71" spans="1:9" ht="16.5" thickTop="1" thickBot="1" x14ac:dyDescent="0.25">
      <c r="A71" s="2147">
        <v>2212</v>
      </c>
      <c r="B71" s="2247">
        <v>6121</v>
      </c>
      <c r="C71" s="2247">
        <v>21</v>
      </c>
      <c r="D71" s="2174" t="s">
        <v>671</v>
      </c>
      <c r="E71" s="2184">
        <v>0</v>
      </c>
      <c r="F71" s="2184">
        <v>5</v>
      </c>
      <c r="G71" s="2184">
        <v>5</v>
      </c>
      <c r="H71" s="2156">
        <f t="shared" ref="H71:H76" si="1">G71/F71*100</f>
        <v>100</v>
      </c>
    </row>
    <row r="72" spans="1:9" ht="15.75" hidden="1" thickBot="1" x14ac:dyDescent="0.25">
      <c r="A72" s="2147">
        <v>2212</v>
      </c>
      <c r="B72" s="2247">
        <v>6121</v>
      </c>
      <c r="C72" s="2247">
        <v>38100872</v>
      </c>
      <c r="D72" s="2174" t="s">
        <v>677</v>
      </c>
      <c r="E72" s="2184">
        <v>0</v>
      </c>
      <c r="F72" s="2184"/>
      <c r="G72" s="2184"/>
      <c r="H72" s="2156" t="e">
        <f t="shared" si="1"/>
        <v>#DIV/0!</v>
      </c>
    </row>
    <row r="73" spans="1:9" ht="15.75" hidden="1" thickBot="1" x14ac:dyDescent="0.25">
      <c r="A73" s="2147">
        <v>2212</v>
      </c>
      <c r="B73" s="2247">
        <v>6121</v>
      </c>
      <c r="C73" s="2247">
        <v>38100874</v>
      </c>
      <c r="D73" s="2174" t="s">
        <v>677</v>
      </c>
      <c r="E73" s="2184">
        <v>0</v>
      </c>
      <c r="F73" s="2184"/>
      <c r="G73" s="2184"/>
      <c r="H73" s="2156" t="e">
        <f t="shared" si="1"/>
        <v>#DIV/0!</v>
      </c>
    </row>
    <row r="74" spans="1:9" ht="15.75" hidden="1" thickBot="1" x14ac:dyDescent="0.25">
      <c r="A74" s="2147">
        <v>2212</v>
      </c>
      <c r="B74" s="2247">
        <v>6121</v>
      </c>
      <c r="C74" s="2247">
        <v>38500871</v>
      </c>
      <c r="D74" s="2174" t="s">
        <v>671</v>
      </c>
      <c r="E74" s="2184">
        <v>0</v>
      </c>
      <c r="F74" s="2184"/>
      <c r="G74" s="2184"/>
      <c r="H74" s="2156" t="e">
        <f t="shared" si="1"/>
        <v>#DIV/0!</v>
      </c>
    </row>
    <row r="75" spans="1:9" ht="15.75" hidden="1" thickBot="1" x14ac:dyDescent="0.25">
      <c r="A75" s="2147">
        <v>2212</v>
      </c>
      <c r="B75" s="2247">
        <v>6121</v>
      </c>
      <c r="C75" s="2247">
        <v>38591628</v>
      </c>
      <c r="D75" s="2174" t="s">
        <v>671</v>
      </c>
      <c r="E75" s="2184">
        <v>0</v>
      </c>
      <c r="F75" s="2184"/>
      <c r="G75" s="2184"/>
      <c r="H75" s="2156" t="e">
        <f t="shared" si="1"/>
        <v>#DIV/0!</v>
      </c>
    </row>
    <row r="76" spans="1:9" ht="16.5" thickTop="1" thickBot="1" x14ac:dyDescent="0.3">
      <c r="A76" s="2175" t="s">
        <v>849</v>
      </c>
      <c r="B76" s="2176"/>
      <c r="C76" s="2176"/>
      <c r="D76" s="2177"/>
      <c r="E76" s="2152">
        <f>SUM(E74:E75)</f>
        <v>0</v>
      </c>
      <c r="F76" s="2152">
        <f>SUM(F71:F75)</f>
        <v>5</v>
      </c>
      <c r="G76" s="2152">
        <f>SUM(G71:G75)</f>
        <v>5</v>
      </c>
      <c r="H76" s="2157">
        <f t="shared" si="1"/>
        <v>100</v>
      </c>
    </row>
    <row r="77" spans="1:9" ht="14.25" customHeight="1" thickTop="1" x14ac:dyDescent="0.2">
      <c r="A77" s="2241"/>
      <c r="B77" s="2241"/>
      <c r="C77" s="2241"/>
      <c r="D77" s="2241"/>
      <c r="E77" s="2243"/>
      <c r="F77" s="2242"/>
      <c r="G77" s="2242"/>
      <c r="H77" s="2242"/>
      <c r="I77" s="2241"/>
    </row>
    <row r="78" spans="1:9" s="1868" customFormat="1" ht="15" x14ac:dyDescent="0.25">
      <c r="A78" s="2136" t="s">
        <v>1808</v>
      </c>
      <c r="B78" s="2130"/>
      <c r="C78" s="2130"/>
      <c r="D78" s="2130"/>
      <c r="E78" s="2131"/>
      <c r="F78" s="2165"/>
      <c r="G78" s="2165"/>
      <c r="H78" s="2165"/>
      <c r="I78" s="2131"/>
    </row>
    <row r="79" spans="1:9" s="1791" customFormat="1" ht="15.75" thickBot="1" x14ac:dyDescent="0.3">
      <c r="A79" s="2136" t="s">
        <v>1809</v>
      </c>
      <c r="B79" s="2130"/>
      <c r="C79" s="2130"/>
      <c r="D79" s="2130"/>
      <c r="E79" s="2131"/>
      <c r="F79" s="2165"/>
      <c r="G79" s="2165"/>
      <c r="H79" s="2240" t="s">
        <v>179</v>
      </c>
      <c r="I79" s="2131"/>
    </row>
    <row r="80" spans="1:9" ht="25.5" thickTop="1" thickBot="1" x14ac:dyDescent="0.25">
      <c r="A80" s="2138" t="s">
        <v>180</v>
      </c>
      <c r="B80" s="2139" t="s">
        <v>847</v>
      </c>
      <c r="C80" s="2139" t="s">
        <v>414</v>
      </c>
      <c r="D80" s="2140" t="s">
        <v>182</v>
      </c>
      <c r="E80" s="2171" t="s">
        <v>700</v>
      </c>
      <c r="F80" s="2171" t="s">
        <v>701</v>
      </c>
      <c r="G80" s="2172" t="s">
        <v>986</v>
      </c>
      <c r="H80" s="2173" t="s">
        <v>987</v>
      </c>
    </row>
    <row r="81" spans="1:9" ht="14.25" thickTop="1" thickBot="1" x14ac:dyDescent="0.25">
      <c r="A81" s="1854">
        <v>1</v>
      </c>
      <c r="B81" s="1853">
        <v>2</v>
      </c>
      <c r="C81" s="1853">
        <v>3</v>
      </c>
      <c r="D81" s="1853">
        <v>5</v>
      </c>
      <c r="E81" s="1852">
        <v>6</v>
      </c>
      <c r="F81" s="1852">
        <v>7</v>
      </c>
      <c r="G81" s="2223">
        <v>8</v>
      </c>
      <c r="H81" s="2146" t="s">
        <v>848</v>
      </c>
    </row>
    <row r="82" spans="1:9" ht="15.75" thickTop="1" x14ac:dyDescent="0.2">
      <c r="A82" s="2147">
        <v>2212</v>
      </c>
      <c r="B82" s="2148">
        <v>5169</v>
      </c>
      <c r="C82" s="2148">
        <v>38100874</v>
      </c>
      <c r="D82" s="2174" t="s">
        <v>955</v>
      </c>
      <c r="E82" s="2184">
        <v>0</v>
      </c>
      <c r="F82" s="2184">
        <v>50</v>
      </c>
      <c r="G82" s="2184">
        <v>0</v>
      </c>
      <c r="H82" s="2156">
        <v>0</v>
      </c>
    </row>
    <row r="83" spans="1:9" ht="15" x14ac:dyDescent="0.2">
      <c r="A83" s="2147">
        <v>2212</v>
      </c>
      <c r="B83" s="2148">
        <v>6121</v>
      </c>
      <c r="C83" s="2148">
        <v>38100870</v>
      </c>
      <c r="D83" s="2174" t="s">
        <v>671</v>
      </c>
      <c r="E83" s="2184">
        <v>0</v>
      </c>
      <c r="F83" s="2184">
        <v>4380</v>
      </c>
      <c r="G83" s="2184">
        <v>4336</v>
      </c>
      <c r="H83" s="2156">
        <f>G83/F83*100</f>
        <v>98.995433789954333</v>
      </c>
      <c r="I83" s="2165"/>
    </row>
    <row r="84" spans="1:9" ht="15" x14ac:dyDescent="0.2">
      <c r="A84" s="2147">
        <v>2212</v>
      </c>
      <c r="B84" s="2247">
        <v>6121</v>
      </c>
      <c r="C84" s="2247">
        <v>38100874</v>
      </c>
      <c r="D84" s="2174" t="s">
        <v>671</v>
      </c>
      <c r="E84" s="2184">
        <v>0</v>
      </c>
      <c r="F84" s="2184">
        <v>1357</v>
      </c>
      <c r="G84" s="2184">
        <v>1133</v>
      </c>
      <c r="H84" s="2156">
        <f>G84/F84*100</f>
        <v>83.492999263080321</v>
      </c>
      <c r="I84" s="2165"/>
    </row>
    <row r="85" spans="1:9" ht="15.75" thickBot="1" x14ac:dyDescent="0.25">
      <c r="A85" s="2147">
        <v>2212</v>
      </c>
      <c r="B85" s="2247">
        <v>6121</v>
      </c>
      <c r="C85" s="2247">
        <v>38500871</v>
      </c>
      <c r="D85" s="2174" t="s">
        <v>671</v>
      </c>
      <c r="E85" s="2184">
        <v>0</v>
      </c>
      <c r="F85" s="2184">
        <v>24820</v>
      </c>
      <c r="G85" s="2184">
        <v>24569</v>
      </c>
      <c r="H85" s="2156">
        <f>G85/F85*100</f>
        <v>98.988718775181312</v>
      </c>
      <c r="I85" s="2165"/>
    </row>
    <row r="86" spans="1:9" ht="16.5" thickTop="1" thickBot="1" x14ac:dyDescent="0.3">
      <c r="A86" s="2175" t="s">
        <v>849</v>
      </c>
      <c r="B86" s="2176"/>
      <c r="C86" s="2176"/>
      <c r="D86" s="2177"/>
      <c r="E86" s="2152">
        <f>SUM(E82:E85)</f>
        <v>0</v>
      </c>
      <c r="F86" s="2152">
        <f>SUM(F82:F85)</f>
        <v>30607</v>
      </c>
      <c r="G86" s="2152">
        <f>SUM(G82:G85)</f>
        <v>30038</v>
      </c>
      <c r="H86" s="2157">
        <f>G86/F86*100</f>
        <v>98.140948149116213</v>
      </c>
      <c r="I86" s="2165"/>
    </row>
    <row r="87" spans="1:9" ht="14.25" customHeight="1" thickTop="1" x14ac:dyDescent="0.2">
      <c r="A87" s="2241"/>
      <c r="B87" s="2241"/>
      <c r="C87" s="2241"/>
      <c r="D87" s="2241"/>
      <c r="E87" s="2243"/>
      <c r="F87" s="2242"/>
      <c r="G87" s="2242"/>
      <c r="H87" s="2242"/>
      <c r="I87" s="2241"/>
    </row>
    <row r="88" spans="1:9" s="1868" customFormat="1" ht="15" x14ac:dyDescent="0.25">
      <c r="A88" s="2136" t="s">
        <v>1562</v>
      </c>
      <c r="B88" s="2130"/>
      <c r="C88" s="2130"/>
      <c r="D88" s="2130"/>
      <c r="E88" s="2131"/>
      <c r="F88" s="2165"/>
      <c r="G88" s="2165"/>
      <c r="H88" s="2165"/>
      <c r="I88" s="2131"/>
    </row>
    <row r="89" spans="1:9" s="1791" customFormat="1" ht="15.75" thickBot="1" x14ac:dyDescent="0.3">
      <c r="A89" s="2136" t="s">
        <v>1561</v>
      </c>
      <c r="B89" s="2130"/>
      <c r="C89" s="2130"/>
      <c r="D89" s="2130"/>
      <c r="E89" s="2131"/>
      <c r="F89" s="2165"/>
      <c r="G89" s="2165"/>
      <c r="H89" s="2240" t="s">
        <v>179</v>
      </c>
      <c r="I89" s="2131"/>
    </row>
    <row r="90" spans="1:9" ht="25.5" thickTop="1" thickBot="1" x14ac:dyDescent="0.25">
      <c r="A90" s="2138" t="s">
        <v>180</v>
      </c>
      <c r="B90" s="2139" t="s">
        <v>847</v>
      </c>
      <c r="C90" s="2139" t="s">
        <v>414</v>
      </c>
      <c r="D90" s="2140" t="s">
        <v>182</v>
      </c>
      <c r="E90" s="2171" t="s">
        <v>700</v>
      </c>
      <c r="F90" s="2171" t="s">
        <v>701</v>
      </c>
      <c r="G90" s="2172" t="s">
        <v>986</v>
      </c>
      <c r="H90" s="2173" t="s">
        <v>987</v>
      </c>
    </row>
    <row r="91" spans="1:9" ht="14.25" thickTop="1" thickBot="1" x14ac:dyDescent="0.25">
      <c r="A91" s="1854">
        <v>1</v>
      </c>
      <c r="B91" s="1853">
        <v>2</v>
      </c>
      <c r="C91" s="1853">
        <v>3</v>
      </c>
      <c r="D91" s="1853">
        <v>5</v>
      </c>
      <c r="E91" s="1852">
        <v>6</v>
      </c>
      <c r="F91" s="1852">
        <v>7</v>
      </c>
      <c r="G91" s="2223">
        <v>8</v>
      </c>
      <c r="H91" s="2146" t="s">
        <v>848</v>
      </c>
    </row>
    <row r="92" spans="1:9" ht="15.75" thickTop="1" x14ac:dyDescent="0.2">
      <c r="A92" s="2147">
        <v>2212</v>
      </c>
      <c r="B92" s="2148">
        <v>6121</v>
      </c>
      <c r="C92" s="2148">
        <v>38100870</v>
      </c>
      <c r="D92" s="2174" t="s">
        <v>671</v>
      </c>
      <c r="E92" s="2184">
        <v>0</v>
      </c>
      <c r="F92" s="2184">
        <v>4875</v>
      </c>
      <c r="G92" s="2184">
        <v>4595</v>
      </c>
      <c r="H92" s="2156">
        <f>G92/F92*100</f>
        <v>94.256410256410263</v>
      </c>
      <c r="I92" s="2165"/>
    </row>
    <row r="93" spans="1:9" ht="15" x14ac:dyDescent="0.2">
      <c r="A93" s="2147">
        <v>2212</v>
      </c>
      <c r="B93" s="2247">
        <v>6121</v>
      </c>
      <c r="C93" s="2247">
        <v>38100874</v>
      </c>
      <c r="D93" s="2174" t="s">
        <v>671</v>
      </c>
      <c r="E93" s="2184">
        <v>0</v>
      </c>
      <c r="F93" s="2184">
        <v>1400</v>
      </c>
      <c r="G93" s="2184">
        <v>7</v>
      </c>
      <c r="H93" s="2156">
        <f>G93/F93*100</f>
        <v>0.5</v>
      </c>
      <c r="I93" s="2165"/>
    </row>
    <row r="94" spans="1:9" ht="15.75" thickBot="1" x14ac:dyDescent="0.25">
      <c r="A94" s="2147">
        <v>2212</v>
      </c>
      <c r="B94" s="2247">
        <v>6121</v>
      </c>
      <c r="C94" s="2247">
        <v>38500871</v>
      </c>
      <c r="D94" s="2174" t="s">
        <v>671</v>
      </c>
      <c r="E94" s="2184">
        <v>0</v>
      </c>
      <c r="F94" s="2184">
        <v>14625</v>
      </c>
      <c r="G94" s="2184">
        <v>13784</v>
      </c>
      <c r="H94" s="2156">
        <f>G94/F94*100</f>
        <v>94.249572649572656</v>
      </c>
      <c r="I94" s="2165"/>
    </row>
    <row r="95" spans="1:9" ht="16.5" thickTop="1" thickBot="1" x14ac:dyDescent="0.3">
      <c r="A95" s="2175" t="s">
        <v>849</v>
      </c>
      <c r="B95" s="2176"/>
      <c r="C95" s="2176"/>
      <c r="D95" s="2177"/>
      <c r="E95" s="2152">
        <f>SUM(E92:E94)</f>
        <v>0</v>
      </c>
      <c r="F95" s="2152">
        <f>SUM(F92:F94)</f>
        <v>20900</v>
      </c>
      <c r="G95" s="2152">
        <f>SUM(G92:G94)</f>
        <v>18386</v>
      </c>
      <c r="H95" s="2157">
        <f>G95/F95*100</f>
        <v>87.971291866028707</v>
      </c>
      <c r="I95" s="2165"/>
    </row>
    <row r="96" spans="1:9" ht="15.75" thickTop="1" x14ac:dyDescent="0.25">
      <c r="A96" s="2189"/>
      <c r="B96" s="2189"/>
      <c r="C96" s="2189"/>
      <c r="D96" s="2189"/>
      <c r="E96" s="2159"/>
      <c r="F96" s="2159"/>
      <c r="G96" s="2159"/>
      <c r="H96" s="2190"/>
      <c r="I96" s="2165"/>
    </row>
    <row r="97" spans="1:12" s="1868" customFormat="1" ht="15" x14ac:dyDescent="0.25">
      <c r="A97" s="2136" t="s">
        <v>1451</v>
      </c>
      <c r="B97" s="2130"/>
      <c r="C97" s="2130"/>
      <c r="D97" s="2130"/>
      <c r="E97" s="2131"/>
      <c r="F97" s="2165"/>
      <c r="G97" s="2165"/>
      <c r="H97" s="2165"/>
      <c r="I97" s="2131"/>
    </row>
    <row r="98" spans="1:12" s="1791" customFormat="1" ht="15.75" thickBot="1" x14ac:dyDescent="0.3">
      <c r="A98" s="2136" t="s">
        <v>1452</v>
      </c>
      <c r="B98" s="2130"/>
      <c r="C98" s="2130"/>
      <c r="D98" s="2130"/>
      <c r="E98" s="2131"/>
      <c r="F98" s="2165"/>
      <c r="G98" s="2165"/>
      <c r="H98" s="2240" t="s">
        <v>179</v>
      </c>
      <c r="I98" s="2131"/>
    </row>
    <row r="99" spans="1:12" ht="25.5" thickTop="1" thickBot="1" x14ac:dyDescent="0.25">
      <c r="A99" s="2138" t="s">
        <v>180</v>
      </c>
      <c r="B99" s="2139" t="s">
        <v>847</v>
      </c>
      <c r="C99" s="2139" t="s">
        <v>414</v>
      </c>
      <c r="D99" s="2140" t="s">
        <v>182</v>
      </c>
      <c r="E99" s="2171" t="s">
        <v>700</v>
      </c>
      <c r="F99" s="2171" t="s">
        <v>701</v>
      </c>
      <c r="G99" s="2172" t="s">
        <v>986</v>
      </c>
      <c r="H99" s="2173" t="s">
        <v>987</v>
      </c>
    </row>
    <row r="100" spans="1:12" ht="14.25" thickTop="1" thickBot="1" x14ac:dyDescent="0.25">
      <c r="A100" s="1854">
        <v>1</v>
      </c>
      <c r="B100" s="1853">
        <v>2</v>
      </c>
      <c r="C100" s="1853">
        <v>3</v>
      </c>
      <c r="D100" s="1853">
        <v>5</v>
      </c>
      <c r="E100" s="1852">
        <v>6</v>
      </c>
      <c r="F100" s="1852">
        <v>7</v>
      </c>
      <c r="G100" s="2223">
        <v>8</v>
      </c>
      <c r="H100" s="2146" t="s">
        <v>848</v>
      </c>
    </row>
    <row r="101" spans="1:12" ht="15.75" thickTop="1" x14ac:dyDescent="0.2">
      <c r="A101" s="2147">
        <v>2212</v>
      </c>
      <c r="B101" s="2247">
        <v>5363</v>
      </c>
      <c r="C101" s="2148">
        <v>38100884</v>
      </c>
      <c r="D101" s="2174" t="s">
        <v>1824</v>
      </c>
      <c r="E101" s="2184">
        <v>0</v>
      </c>
      <c r="F101" s="2184">
        <v>1</v>
      </c>
      <c r="G101" s="2184">
        <v>1</v>
      </c>
      <c r="H101" s="2156">
        <f t="shared" ref="H101:H106" si="2">G101/F101*100</f>
        <v>100</v>
      </c>
    </row>
    <row r="102" spans="1:12" ht="15" x14ac:dyDescent="0.2">
      <c r="A102" s="2147">
        <v>2212</v>
      </c>
      <c r="B102" s="2148">
        <v>6121</v>
      </c>
      <c r="C102" s="2148">
        <v>38100870</v>
      </c>
      <c r="D102" s="2174" t="s">
        <v>671</v>
      </c>
      <c r="E102" s="2184">
        <v>0</v>
      </c>
      <c r="F102" s="2184">
        <v>628</v>
      </c>
      <c r="G102" s="2184">
        <v>628</v>
      </c>
      <c r="H102" s="2156">
        <f t="shared" si="2"/>
        <v>100</v>
      </c>
      <c r="I102" s="2165"/>
    </row>
    <row r="103" spans="1:12" ht="15" x14ac:dyDescent="0.2">
      <c r="A103" s="2147">
        <v>2212</v>
      </c>
      <c r="B103" s="2247">
        <v>6121</v>
      </c>
      <c r="C103" s="2247">
        <v>38100872</v>
      </c>
      <c r="D103" s="2174" t="s">
        <v>671</v>
      </c>
      <c r="E103" s="2184">
        <v>0</v>
      </c>
      <c r="F103" s="2184">
        <v>314</v>
      </c>
      <c r="G103" s="2184">
        <v>314</v>
      </c>
      <c r="H103" s="2156">
        <f t="shared" si="2"/>
        <v>100</v>
      </c>
      <c r="I103" s="2165"/>
      <c r="K103" s="1791"/>
      <c r="L103" s="1791"/>
    </row>
    <row r="104" spans="1:12" ht="15" x14ac:dyDescent="0.2">
      <c r="A104" s="2147">
        <v>2212</v>
      </c>
      <c r="B104" s="2247">
        <v>6121</v>
      </c>
      <c r="C104" s="2247">
        <v>38100874</v>
      </c>
      <c r="D104" s="2174" t="s">
        <v>671</v>
      </c>
      <c r="E104" s="2184">
        <v>0</v>
      </c>
      <c r="F104" s="2184">
        <v>1449</v>
      </c>
      <c r="G104" s="2184">
        <v>1428</v>
      </c>
      <c r="H104" s="2156">
        <f t="shared" si="2"/>
        <v>98.550724637681171</v>
      </c>
      <c r="I104" s="2165"/>
    </row>
    <row r="105" spans="1:12" ht="15.75" thickBot="1" x14ac:dyDescent="0.25">
      <c r="A105" s="2147">
        <v>2212</v>
      </c>
      <c r="B105" s="2247">
        <v>6121</v>
      </c>
      <c r="C105" s="2247">
        <v>38500871</v>
      </c>
      <c r="D105" s="2174" t="s">
        <v>671</v>
      </c>
      <c r="E105" s="2184">
        <v>0</v>
      </c>
      <c r="F105" s="2184">
        <v>5338</v>
      </c>
      <c r="G105" s="2184">
        <v>5338</v>
      </c>
      <c r="H105" s="2156">
        <f t="shared" si="2"/>
        <v>100</v>
      </c>
      <c r="I105" s="2165"/>
    </row>
    <row r="106" spans="1:12" ht="16.5" thickTop="1" thickBot="1" x14ac:dyDescent="0.3">
      <c r="A106" s="2175" t="s">
        <v>849</v>
      </c>
      <c r="B106" s="2176"/>
      <c r="C106" s="2176"/>
      <c r="D106" s="2177"/>
      <c r="E106" s="2152">
        <f>SUM(E102:E105)</f>
        <v>0</v>
      </c>
      <c r="F106" s="2152">
        <f>SUM(F102:F105)</f>
        <v>7729</v>
      </c>
      <c r="G106" s="2152">
        <f>SUM(G102:G105)</f>
        <v>7708</v>
      </c>
      <c r="H106" s="2157">
        <f t="shared" si="2"/>
        <v>99.728296027946698</v>
      </c>
      <c r="I106" s="2165"/>
    </row>
    <row r="107" spans="1:12" ht="14.25" customHeight="1" thickTop="1" x14ac:dyDescent="0.2">
      <c r="A107" s="2241"/>
      <c r="B107" s="2241"/>
      <c r="C107" s="2241"/>
      <c r="D107" s="2241"/>
      <c r="E107" s="2243"/>
      <c r="F107" s="2242"/>
      <c r="G107" s="2242"/>
      <c r="H107" s="2242"/>
      <c r="I107" s="2241"/>
    </row>
    <row r="108" spans="1:12" ht="14.25" customHeight="1" x14ac:dyDescent="0.25">
      <c r="A108" s="2136" t="s">
        <v>1810</v>
      </c>
      <c r="I108" s="2241"/>
    </row>
    <row r="109" spans="1:12" ht="14.25" customHeight="1" thickBot="1" x14ac:dyDescent="0.3">
      <c r="A109" s="2136" t="s">
        <v>1811</v>
      </c>
      <c r="H109" s="2240" t="s">
        <v>179</v>
      </c>
      <c r="I109" s="2241"/>
    </row>
    <row r="110" spans="1:12" ht="27" customHeight="1" thickTop="1" thickBot="1" x14ac:dyDescent="0.25">
      <c r="A110" s="2138" t="s">
        <v>180</v>
      </c>
      <c r="B110" s="2139" t="s">
        <v>847</v>
      </c>
      <c r="C110" s="2139" t="s">
        <v>414</v>
      </c>
      <c r="D110" s="2140" t="s">
        <v>182</v>
      </c>
      <c r="E110" s="2171" t="s">
        <v>700</v>
      </c>
      <c r="F110" s="2171" t="s">
        <v>701</v>
      </c>
      <c r="G110" s="2172" t="s">
        <v>986</v>
      </c>
      <c r="H110" s="2173" t="s">
        <v>987</v>
      </c>
      <c r="I110" s="2241"/>
    </row>
    <row r="111" spans="1:12" ht="14.25" customHeight="1" thickTop="1" thickBot="1" x14ac:dyDescent="0.25">
      <c r="A111" s="1854">
        <v>1</v>
      </c>
      <c r="B111" s="1853">
        <v>2</v>
      </c>
      <c r="C111" s="1853">
        <v>3</v>
      </c>
      <c r="D111" s="1853">
        <v>5</v>
      </c>
      <c r="E111" s="1852">
        <v>6</v>
      </c>
      <c r="F111" s="1852">
        <v>7</v>
      </c>
      <c r="G111" s="2223">
        <v>8</v>
      </c>
      <c r="H111" s="2146" t="s">
        <v>848</v>
      </c>
      <c r="I111" s="2241"/>
    </row>
    <row r="112" spans="1:12" ht="16.5" thickTop="1" thickBot="1" x14ac:dyDescent="0.25">
      <c r="A112" s="2147">
        <v>2212</v>
      </c>
      <c r="B112" s="2247">
        <v>6121</v>
      </c>
      <c r="C112" s="2247">
        <v>38100874</v>
      </c>
      <c r="D112" s="2174" t="s">
        <v>671</v>
      </c>
      <c r="E112" s="2184">
        <v>0</v>
      </c>
      <c r="F112" s="2184">
        <v>1000</v>
      </c>
      <c r="G112" s="2184">
        <v>673</v>
      </c>
      <c r="H112" s="2156">
        <f>G112/F112*100</f>
        <v>67.300000000000011</v>
      </c>
      <c r="I112" s="2165"/>
    </row>
    <row r="113" spans="1:9" ht="14.25" customHeight="1" thickTop="1" thickBot="1" x14ac:dyDescent="0.3">
      <c r="A113" s="2175" t="s">
        <v>849</v>
      </c>
      <c r="B113" s="2176"/>
      <c r="C113" s="2176"/>
      <c r="D113" s="2177"/>
      <c r="E113" s="2152">
        <f>SUM(E112:E112)</f>
        <v>0</v>
      </c>
      <c r="F113" s="2152">
        <f>SUM(F112:F112)</f>
        <v>1000</v>
      </c>
      <c r="G113" s="2152">
        <f>SUM(G112:G112)</f>
        <v>673</v>
      </c>
      <c r="H113" s="2157">
        <f>G113/F113*100</f>
        <v>67.300000000000011</v>
      </c>
      <c r="I113" s="2241"/>
    </row>
    <row r="114" spans="1:9" ht="14.25" customHeight="1" thickTop="1" x14ac:dyDescent="0.25">
      <c r="A114" s="2189"/>
      <c r="B114" s="2189"/>
      <c r="C114" s="2189"/>
      <c r="D114" s="2189"/>
      <c r="E114" s="2159"/>
      <c r="F114" s="2159"/>
      <c r="G114" s="2159"/>
      <c r="H114" s="2190"/>
      <c r="I114" s="2241"/>
    </row>
    <row r="115" spans="1:9" ht="14.25" customHeight="1" x14ac:dyDescent="0.25">
      <c r="A115" s="2136" t="s">
        <v>1823</v>
      </c>
      <c r="I115" s="2241"/>
    </row>
    <row r="116" spans="1:9" ht="14.25" customHeight="1" thickBot="1" x14ac:dyDescent="0.3">
      <c r="A116" s="2136" t="s">
        <v>1202</v>
      </c>
      <c r="H116" s="2240" t="s">
        <v>179</v>
      </c>
      <c r="I116" s="2241"/>
    </row>
    <row r="117" spans="1:9" ht="27" customHeight="1" thickTop="1" thickBot="1" x14ac:dyDescent="0.25">
      <c r="A117" s="2138" t="s">
        <v>180</v>
      </c>
      <c r="B117" s="2139" t="s">
        <v>847</v>
      </c>
      <c r="C117" s="2139" t="s">
        <v>414</v>
      </c>
      <c r="D117" s="2140" t="s">
        <v>182</v>
      </c>
      <c r="E117" s="2171" t="s">
        <v>700</v>
      </c>
      <c r="F117" s="2171" t="s">
        <v>701</v>
      </c>
      <c r="G117" s="2172" t="s">
        <v>986</v>
      </c>
      <c r="H117" s="2173" t="s">
        <v>987</v>
      </c>
      <c r="I117" s="2241"/>
    </row>
    <row r="118" spans="1:9" ht="14.25" customHeight="1" thickTop="1" thickBot="1" x14ac:dyDescent="0.25">
      <c r="A118" s="1854">
        <v>1</v>
      </c>
      <c r="B118" s="1853">
        <v>2</v>
      </c>
      <c r="C118" s="1853">
        <v>3</v>
      </c>
      <c r="D118" s="1853">
        <v>5</v>
      </c>
      <c r="E118" s="1852">
        <v>6</v>
      </c>
      <c r="F118" s="1852">
        <v>7</v>
      </c>
      <c r="G118" s="2223">
        <v>8</v>
      </c>
      <c r="H118" s="2146" t="s">
        <v>848</v>
      </c>
      <c r="I118" s="2241"/>
    </row>
    <row r="119" spans="1:9" ht="49.5" customHeight="1" thickTop="1" thickBot="1" x14ac:dyDescent="0.25">
      <c r="A119" s="2246">
        <v>6402</v>
      </c>
      <c r="B119" s="2245">
        <v>5368</v>
      </c>
      <c r="C119" s="2245">
        <v>19</v>
      </c>
      <c r="D119" s="2244" t="s">
        <v>1822</v>
      </c>
      <c r="E119" s="2184">
        <v>0</v>
      </c>
      <c r="F119" s="2184">
        <v>35</v>
      </c>
      <c r="G119" s="2184">
        <v>31</v>
      </c>
      <c r="H119" s="2156">
        <f>G119/F119*100</f>
        <v>88.571428571428569</v>
      </c>
      <c r="I119" s="2165"/>
    </row>
    <row r="120" spans="1:9" ht="14.25" customHeight="1" thickTop="1" thickBot="1" x14ac:dyDescent="0.3">
      <c r="A120" s="2175" t="s">
        <v>849</v>
      </c>
      <c r="B120" s="2176"/>
      <c r="C120" s="2176"/>
      <c r="D120" s="2177"/>
      <c r="E120" s="2152">
        <f>SUM(E119:E119)</f>
        <v>0</v>
      </c>
      <c r="F120" s="2152">
        <f>SUM(F119:F119)</f>
        <v>35</v>
      </c>
      <c r="G120" s="2152">
        <f>SUM(G119:G119)</f>
        <v>31</v>
      </c>
      <c r="H120" s="2157">
        <f>G120/F120*100</f>
        <v>88.571428571428569</v>
      </c>
      <c r="I120" s="2241"/>
    </row>
    <row r="121" spans="1:9" ht="14.25" customHeight="1" thickTop="1" x14ac:dyDescent="0.25">
      <c r="A121" s="2189"/>
      <c r="B121" s="2189"/>
      <c r="C121" s="2189"/>
      <c r="D121" s="2189"/>
      <c r="E121" s="2159"/>
      <c r="F121" s="2159"/>
      <c r="G121" s="2159"/>
      <c r="H121" s="2190"/>
      <c r="I121" s="2241"/>
    </row>
    <row r="122" spans="1:9" ht="14.25" hidden="1" customHeight="1" x14ac:dyDescent="0.25">
      <c r="A122" s="2189"/>
      <c r="B122" s="2189"/>
      <c r="C122" s="2189"/>
      <c r="D122" s="2189"/>
      <c r="E122" s="2159"/>
      <c r="F122" s="2159"/>
      <c r="G122" s="2159"/>
      <c r="H122" s="2190"/>
      <c r="I122" s="2241"/>
    </row>
    <row r="123" spans="1:9" ht="14.25" hidden="1" customHeight="1" x14ac:dyDescent="0.2">
      <c r="A123" s="2241"/>
      <c r="B123" s="2241"/>
      <c r="C123" s="2241"/>
      <c r="D123" s="2241"/>
      <c r="E123" s="2243"/>
      <c r="F123" s="2242"/>
      <c r="G123" s="2242"/>
      <c r="H123" s="2242"/>
      <c r="I123" s="2241"/>
    </row>
    <row r="124" spans="1:9" x14ac:dyDescent="0.2">
      <c r="A124" s="2241"/>
      <c r="B124" s="2241"/>
      <c r="C124" s="2241"/>
      <c r="D124" s="2241"/>
      <c r="E124" s="2243"/>
      <c r="F124" s="2242"/>
      <c r="G124" s="2242"/>
      <c r="H124" s="2242"/>
      <c r="I124" s="2241"/>
    </row>
    <row r="125" spans="1:9" ht="15.75" thickBot="1" x14ac:dyDescent="0.3">
      <c r="A125" s="2136" t="s">
        <v>273</v>
      </c>
      <c r="H125" s="2240" t="s">
        <v>179</v>
      </c>
      <c r="I125" s="2239"/>
    </row>
    <row r="126" spans="1:9" ht="25.5" thickTop="1" thickBot="1" x14ac:dyDescent="0.25">
      <c r="A126" s="2138" t="s">
        <v>180</v>
      </c>
      <c r="B126" s="2139" t="s">
        <v>847</v>
      </c>
      <c r="C126" s="2139" t="s">
        <v>414</v>
      </c>
      <c r="D126" s="2140" t="s">
        <v>182</v>
      </c>
      <c r="E126" s="2171" t="s">
        <v>700</v>
      </c>
      <c r="F126" s="2171" t="s">
        <v>701</v>
      </c>
      <c r="G126" s="2172" t="s">
        <v>986</v>
      </c>
      <c r="H126" s="2173" t="s">
        <v>987</v>
      </c>
    </row>
    <row r="127" spans="1:9" ht="14.25" thickTop="1" thickBot="1" x14ac:dyDescent="0.25">
      <c r="A127" s="1854">
        <v>1</v>
      </c>
      <c r="B127" s="1853">
        <v>2</v>
      </c>
      <c r="C127" s="1853">
        <v>3</v>
      </c>
      <c r="D127" s="1853">
        <v>5</v>
      </c>
      <c r="E127" s="1852">
        <v>6</v>
      </c>
      <c r="F127" s="1852">
        <v>7</v>
      </c>
      <c r="G127" s="2223">
        <v>8</v>
      </c>
      <c r="H127" s="2146" t="s">
        <v>848</v>
      </c>
    </row>
    <row r="128" spans="1:9" s="2168" customFormat="1" ht="16.5" thickTop="1" thickBot="1" x14ac:dyDescent="0.3">
      <c r="A128" s="2238">
        <v>6330</v>
      </c>
      <c r="B128" s="2148">
        <v>5345</v>
      </c>
      <c r="C128" s="2237"/>
      <c r="D128" s="2234" t="s">
        <v>853</v>
      </c>
      <c r="E128" s="2170">
        <v>0</v>
      </c>
      <c r="F128" s="2170">
        <v>0</v>
      </c>
      <c r="G128" s="2236">
        <v>74130</v>
      </c>
      <c r="H128" s="2153">
        <v>0</v>
      </c>
    </row>
    <row r="129" spans="1:13" s="2168" customFormat="1" ht="15.75" hidden="1" thickBot="1" x14ac:dyDescent="0.3">
      <c r="A129" s="2147">
        <v>6409</v>
      </c>
      <c r="B129" s="2148">
        <v>5909</v>
      </c>
      <c r="C129" s="2235"/>
      <c r="D129" s="2234" t="s">
        <v>870</v>
      </c>
      <c r="E129" s="2184">
        <v>0</v>
      </c>
      <c r="F129" s="2184">
        <v>0</v>
      </c>
      <c r="G129" s="2233">
        <v>0</v>
      </c>
      <c r="H129" s="2156">
        <v>0</v>
      </c>
    </row>
    <row r="130" spans="1:13" ht="16.5" thickTop="1" thickBot="1" x14ac:dyDescent="0.3">
      <c r="A130" s="2175" t="s">
        <v>849</v>
      </c>
      <c r="B130" s="2176"/>
      <c r="C130" s="2176"/>
      <c r="D130" s="2177"/>
      <c r="E130" s="2152">
        <f>SUM(E128:E129)</f>
        <v>0</v>
      </c>
      <c r="F130" s="2152">
        <f>SUM(F128:F129)</f>
        <v>0</v>
      </c>
      <c r="G130" s="2152">
        <f>SUM(G128:G129)</f>
        <v>74130</v>
      </c>
      <c r="H130" s="2157">
        <v>0</v>
      </c>
    </row>
    <row r="131" spans="1:13" ht="17.25" customHeight="1" thickTop="1" x14ac:dyDescent="0.2"/>
    <row r="132" spans="1:13" ht="14.25" customHeight="1" x14ac:dyDescent="0.2"/>
    <row r="133" spans="1:13" ht="15.75" customHeight="1" x14ac:dyDescent="0.2"/>
    <row r="134" spans="1:13" ht="12.75" customHeight="1" x14ac:dyDescent="0.2"/>
    <row r="135" spans="1:13" ht="18.75" customHeight="1" x14ac:dyDescent="0.2"/>
    <row r="136" spans="1:13" ht="15" customHeight="1" x14ac:dyDescent="0.2"/>
    <row r="137" spans="1:13" ht="19.5" customHeight="1" x14ac:dyDescent="0.2"/>
    <row r="138" spans="1:13" ht="18.75" customHeight="1" x14ac:dyDescent="0.2"/>
    <row r="139" spans="1:13" ht="16.5" x14ac:dyDescent="0.25">
      <c r="A139" s="2206" t="s">
        <v>508</v>
      </c>
      <c r="B139" s="2207"/>
      <c r="C139" s="2208"/>
      <c r="D139" s="2209"/>
      <c r="E139" s="2210">
        <f>SUM(E140:E142)</f>
        <v>0</v>
      </c>
      <c r="F139" s="2210">
        <f>F140+F141+F142+F143</f>
        <v>369554</v>
      </c>
      <c r="G139" s="2210">
        <f>G140+G141+G142+G143</f>
        <v>432031</v>
      </c>
      <c r="H139" s="2232">
        <f>G139/F139*100</f>
        <v>116.90605432494303</v>
      </c>
      <c r="K139" s="2212">
        <f>K140+K141+K142</f>
        <v>0</v>
      </c>
      <c r="L139" s="2212">
        <f>L140+L141+L142</f>
        <v>369554226.84999996</v>
      </c>
      <c r="M139" s="2212">
        <f>M140+M141+M142</f>
        <v>432031424.75</v>
      </c>
    </row>
    <row r="140" spans="1:13" ht="15" x14ac:dyDescent="0.2">
      <c r="A140" s="1810" t="s">
        <v>288</v>
      </c>
      <c r="B140" s="1813"/>
      <c r="C140" s="1808"/>
      <c r="D140" s="2213"/>
      <c r="E140" s="1811">
        <f>E20+E40+E82+E101+E119</f>
        <v>0</v>
      </c>
      <c r="F140" s="1811">
        <f>F20+F40+F82+F101+F119</f>
        <v>286</v>
      </c>
      <c r="G140" s="1811">
        <f>G20+G40+G82+G101+G119</f>
        <v>232</v>
      </c>
      <c r="H140" s="2231">
        <f>G140/F140*100</f>
        <v>81.11888111888112</v>
      </c>
      <c r="K140" s="2214">
        <v>0</v>
      </c>
      <c r="L140" s="2214">
        <v>285933.40000000002</v>
      </c>
      <c r="M140" s="2214">
        <v>231713.4</v>
      </c>
    </row>
    <row r="141" spans="1:13" ht="15" x14ac:dyDescent="0.2">
      <c r="A141" s="1810" t="s">
        <v>289</v>
      </c>
      <c r="B141" s="1809"/>
      <c r="C141" s="1808"/>
      <c r="D141" s="2215"/>
      <c r="E141" s="1811">
        <f>E11+E12+E13+E21+E22+E23+E24+E31+E32+E33+E41+E42+E43+E71+E83+E84+E85+E92+E93+E94+E102+E103+E104+E105+E112</f>
        <v>0</v>
      </c>
      <c r="F141" s="1811">
        <f>F11+F12+F13+F21+F22+F23+F24+F31+F32+F33+F41+F42+F43+F71+F83+F84+F85+F92+F93+F94+F102+F103+F104+F105+F112</f>
        <v>369268</v>
      </c>
      <c r="G141" s="1811">
        <f>G11+G12+G13+G21+G22+G23+G24+G31+G32+G33+G41+G42+G43+G71+G83+G84+G85+G92+G93+G94+G102+G103+G104+G105+G112</f>
        <v>357669</v>
      </c>
      <c r="H141" s="2231">
        <f>G141/F141*100</f>
        <v>96.858920892143374</v>
      </c>
      <c r="K141" s="2214">
        <v>0</v>
      </c>
      <c r="L141" s="2214">
        <v>369268293.44999999</v>
      </c>
      <c r="M141" s="2214">
        <v>357669401.97000003</v>
      </c>
    </row>
    <row r="142" spans="1:13" ht="15" x14ac:dyDescent="0.2">
      <c r="A142" s="1810" t="s">
        <v>509</v>
      </c>
      <c r="B142" s="1809"/>
      <c r="C142" s="1808"/>
      <c r="D142" s="2215"/>
      <c r="E142" s="1811">
        <f>E128</f>
        <v>0</v>
      </c>
      <c r="F142" s="1811">
        <f>F128</f>
        <v>0</v>
      </c>
      <c r="G142" s="1811">
        <f>G128</f>
        <v>74130</v>
      </c>
      <c r="H142" s="2231">
        <v>0</v>
      </c>
      <c r="K142" s="2214">
        <v>0</v>
      </c>
      <c r="L142" s="2214">
        <v>0</v>
      </c>
      <c r="M142" s="2214">
        <v>74130309.379999995</v>
      </c>
    </row>
    <row r="143" spans="1:13" ht="15" x14ac:dyDescent="0.2">
      <c r="A143" s="1810"/>
      <c r="B143" s="1809"/>
      <c r="C143" s="1808"/>
      <c r="D143" s="2215"/>
      <c r="E143" s="1811"/>
      <c r="F143" s="1811"/>
      <c r="G143" s="1811"/>
      <c r="H143" s="1807"/>
    </row>
    <row r="144" spans="1:13" ht="51" customHeight="1" thickBot="1" x14ac:dyDescent="0.4">
      <c r="A144" s="2800" t="s">
        <v>1821</v>
      </c>
      <c r="B144" s="2801"/>
      <c r="C144" s="2801"/>
      <c r="D144" s="2801"/>
      <c r="E144" s="1801">
        <f>SUM(E139)</f>
        <v>0</v>
      </c>
      <c r="F144" s="1801">
        <f>SUM(F139)</f>
        <v>369554</v>
      </c>
      <c r="G144" s="1801">
        <f>SUM(G139)</f>
        <v>432031</v>
      </c>
      <c r="H144" s="1800">
        <f>(G144/F144)*100</f>
        <v>116.90605432494303</v>
      </c>
    </row>
    <row r="145" ht="13.5" thickTop="1" x14ac:dyDescent="0.2"/>
  </sheetData>
  <mergeCells count="1">
    <mergeCell ref="A144:D144"/>
  </mergeCells>
  <pageMargins left="0.78740157480314965" right="0.98425196850393704" top="0.98425196850393704" bottom="0.98425196850393704" header="0.51181102362204722" footer="0.51181102362204722"/>
  <pageSetup paperSize="9" scale="70" firstPageNumber="132" orientation="portrait" useFirstPageNumber="1" r:id="rId1"/>
  <headerFooter alignWithMargins="0">
    <oddFooter xml:space="preserve">&amp;L&amp;"Arial,Kurzíva"Zastupitelstvo Olomouckého kraje 28. 6. 2013
6.- Závěrečný  účet Olomuckého kraje za rok 2012
Příloha č. 3: Plnění rozpočtu výdajů Olomouckého kraje k 31.12.2012&amp;R&amp;"Arial,Kurzíva"Strana &amp;P (Celkem 484)
</oddFooter>
  </headerFooter>
  <rowBreaks count="1" manualBreakCount="1">
    <brk id="87" max="7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147"/>
  <sheetViews>
    <sheetView showGridLines="0" view="pageBreakPreview" topLeftCell="A6" zoomScaleNormal="100" zoomScaleSheetLayoutView="100" workbookViewId="0">
      <selection activeCell="A23" sqref="A23:D23"/>
    </sheetView>
  </sheetViews>
  <sheetFormatPr defaultRowHeight="12.75" x14ac:dyDescent="0.2"/>
  <cols>
    <col min="1" max="1" width="4.7109375" style="2130" customWidth="1"/>
    <col min="2" max="2" width="6.7109375" style="2130" customWidth="1"/>
    <col min="3" max="3" width="8.85546875" style="2130" customWidth="1"/>
    <col min="4" max="4" width="46.42578125" style="2131" customWidth="1"/>
    <col min="5" max="5" width="12.85546875" style="2165" customWidth="1"/>
    <col min="6" max="6" width="15.5703125" style="2165" customWidth="1"/>
    <col min="7" max="7" width="15.85546875" style="2165" customWidth="1"/>
    <col min="8" max="8" width="9" style="2131" customWidth="1"/>
    <col min="9" max="9" width="5.28515625" style="2131" customWidth="1"/>
    <col min="10" max="10" width="9.140625" style="2131"/>
    <col min="11" max="11" width="15.5703125" style="2131" customWidth="1"/>
    <col min="12" max="12" width="16" style="2131" customWidth="1"/>
    <col min="13" max="256" width="9.140625" style="2131"/>
    <col min="257" max="257" width="4.7109375" style="2131" customWidth="1"/>
    <col min="258" max="258" width="6.7109375" style="2131" customWidth="1"/>
    <col min="259" max="259" width="8.85546875" style="2131" customWidth="1"/>
    <col min="260" max="260" width="46.42578125" style="2131" customWidth="1"/>
    <col min="261" max="261" width="12.85546875" style="2131" customWidth="1"/>
    <col min="262" max="262" width="15.5703125" style="2131" customWidth="1"/>
    <col min="263" max="263" width="15.85546875" style="2131" customWidth="1"/>
    <col min="264" max="264" width="7.140625" style="2131" customWidth="1"/>
    <col min="265" max="265" width="5.28515625" style="2131" customWidth="1"/>
    <col min="266" max="266" width="9.140625" style="2131"/>
    <col min="267" max="267" width="15.5703125" style="2131" customWidth="1"/>
    <col min="268" max="268" width="16" style="2131" customWidth="1"/>
    <col min="269" max="512" width="9.140625" style="2131"/>
    <col min="513" max="513" width="4.7109375" style="2131" customWidth="1"/>
    <col min="514" max="514" width="6.7109375" style="2131" customWidth="1"/>
    <col min="515" max="515" width="8.85546875" style="2131" customWidth="1"/>
    <col min="516" max="516" width="46.42578125" style="2131" customWidth="1"/>
    <col min="517" max="517" width="12.85546875" style="2131" customWidth="1"/>
    <col min="518" max="518" width="15.5703125" style="2131" customWidth="1"/>
    <col min="519" max="519" width="15.85546875" style="2131" customWidth="1"/>
    <col min="520" max="520" width="7.140625" style="2131" customWidth="1"/>
    <col min="521" max="521" width="5.28515625" style="2131" customWidth="1"/>
    <col min="522" max="522" width="9.140625" style="2131"/>
    <col min="523" max="523" width="15.5703125" style="2131" customWidth="1"/>
    <col min="524" max="524" width="16" style="2131" customWidth="1"/>
    <col min="525" max="768" width="9.140625" style="2131"/>
    <col min="769" max="769" width="4.7109375" style="2131" customWidth="1"/>
    <col min="770" max="770" width="6.7109375" style="2131" customWidth="1"/>
    <col min="771" max="771" width="8.85546875" style="2131" customWidth="1"/>
    <col min="772" max="772" width="46.42578125" style="2131" customWidth="1"/>
    <col min="773" max="773" width="12.85546875" style="2131" customWidth="1"/>
    <col min="774" max="774" width="15.5703125" style="2131" customWidth="1"/>
    <col min="775" max="775" width="15.85546875" style="2131" customWidth="1"/>
    <col min="776" max="776" width="7.140625" style="2131" customWidth="1"/>
    <col min="777" max="777" width="5.28515625" style="2131" customWidth="1"/>
    <col min="778" max="778" width="9.140625" style="2131"/>
    <col min="779" max="779" width="15.5703125" style="2131" customWidth="1"/>
    <col min="780" max="780" width="16" style="2131" customWidth="1"/>
    <col min="781" max="1024" width="9.140625" style="2131"/>
    <col min="1025" max="1025" width="4.7109375" style="2131" customWidth="1"/>
    <col min="1026" max="1026" width="6.7109375" style="2131" customWidth="1"/>
    <col min="1027" max="1027" width="8.85546875" style="2131" customWidth="1"/>
    <col min="1028" max="1028" width="46.42578125" style="2131" customWidth="1"/>
    <col min="1029" max="1029" width="12.85546875" style="2131" customWidth="1"/>
    <col min="1030" max="1030" width="15.5703125" style="2131" customWidth="1"/>
    <col min="1031" max="1031" width="15.85546875" style="2131" customWidth="1"/>
    <col min="1032" max="1032" width="7.140625" style="2131" customWidth="1"/>
    <col min="1033" max="1033" width="5.28515625" style="2131" customWidth="1"/>
    <col min="1034" max="1034" width="9.140625" style="2131"/>
    <col min="1035" max="1035" width="15.5703125" style="2131" customWidth="1"/>
    <col min="1036" max="1036" width="16" style="2131" customWidth="1"/>
    <col min="1037" max="1280" width="9.140625" style="2131"/>
    <col min="1281" max="1281" width="4.7109375" style="2131" customWidth="1"/>
    <col min="1282" max="1282" width="6.7109375" style="2131" customWidth="1"/>
    <col min="1283" max="1283" width="8.85546875" style="2131" customWidth="1"/>
    <col min="1284" max="1284" width="46.42578125" style="2131" customWidth="1"/>
    <col min="1285" max="1285" width="12.85546875" style="2131" customWidth="1"/>
    <col min="1286" max="1286" width="15.5703125" style="2131" customWidth="1"/>
    <col min="1287" max="1287" width="15.85546875" style="2131" customWidth="1"/>
    <col min="1288" max="1288" width="7.140625" style="2131" customWidth="1"/>
    <col min="1289" max="1289" width="5.28515625" style="2131" customWidth="1"/>
    <col min="1290" max="1290" width="9.140625" style="2131"/>
    <col min="1291" max="1291" width="15.5703125" style="2131" customWidth="1"/>
    <col min="1292" max="1292" width="16" style="2131" customWidth="1"/>
    <col min="1293" max="1536" width="9.140625" style="2131"/>
    <col min="1537" max="1537" width="4.7109375" style="2131" customWidth="1"/>
    <col min="1538" max="1538" width="6.7109375" style="2131" customWidth="1"/>
    <col min="1539" max="1539" width="8.85546875" style="2131" customWidth="1"/>
    <col min="1540" max="1540" width="46.42578125" style="2131" customWidth="1"/>
    <col min="1541" max="1541" width="12.85546875" style="2131" customWidth="1"/>
    <col min="1542" max="1542" width="15.5703125" style="2131" customWidth="1"/>
    <col min="1543" max="1543" width="15.85546875" style="2131" customWidth="1"/>
    <col min="1544" max="1544" width="7.140625" style="2131" customWidth="1"/>
    <col min="1545" max="1545" width="5.28515625" style="2131" customWidth="1"/>
    <col min="1546" max="1546" width="9.140625" style="2131"/>
    <col min="1547" max="1547" width="15.5703125" style="2131" customWidth="1"/>
    <col min="1548" max="1548" width="16" style="2131" customWidth="1"/>
    <col min="1549" max="1792" width="9.140625" style="2131"/>
    <col min="1793" max="1793" width="4.7109375" style="2131" customWidth="1"/>
    <col min="1794" max="1794" width="6.7109375" style="2131" customWidth="1"/>
    <col min="1795" max="1795" width="8.85546875" style="2131" customWidth="1"/>
    <col min="1796" max="1796" width="46.42578125" style="2131" customWidth="1"/>
    <col min="1797" max="1797" width="12.85546875" style="2131" customWidth="1"/>
    <col min="1798" max="1798" width="15.5703125" style="2131" customWidth="1"/>
    <col min="1799" max="1799" width="15.85546875" style="2131" customWidth="1"/>
    <col min="1800" max="1800" width="7.140625" style="2131" customWidth="1"/>
    <col min="1801" max="1801" width="5.28515625" style="2131" customWidth="1"/>
    <col min="1802" max="1802" width="9.140625" style="2131"/>
    <col min="1803" max="1803" width="15.5703125" style="2131" customWidth="1"/>
    <col min="1804" max="1804" width="16" style="2131" customWidth="1"/>
    <col min="1805" max="2048" width="9.140625" style="2131"/>
    <col min="2049" max="2049" width="4.7109375" style="2131" customWidth="1"/>
    <col min="2050" max="2050" width="6.7109375" style="2131" customWidth="1"/>
    <col min="2051" max="2051" width="8.85546875" style="2131" customWidth="1"/>
    <col min="2052" max="2052" width="46.42578125" style="2131" customWidth="1"/>
    <col min="2053" max="2053" width="12.85546875" style="2131" customWidth="1"/>
    <col min="2054" max="2054" width="15.5703125" style="2131" customWidth="1"/>
    <col min="2055" max="2055" width="15.85546875" style="2131" customWidth="1"/>
    <col min="2056" max="2056" width="7.140625" style="2131" customWidth="1"/>
    <col min="2057" max="2057" width="5.28515625" style="2131" customWidth="1"/>
    <col min="2058" max="2058" width="9.140625" style="2131"/>
    <col min="2059" max="2059" width="15.5703125" style="2131" customWidth="1"/>
    <col min="2060" max="2060" width="16" style="2131" customWidth="1"/>
    <col min="2061" max="2304" width="9.140625" style="2131"/>
    <col min="2305" max="2305" width="4.7109375" style="2131" customWidth="1"/>
    <col min="2306" max="2306" width="6.7109375" style="2131" customWidth="1"/>
    <col min="2307" max="2307" width="8.85546875" style="2131" customWidth="1"/>
    <col min="2308" max="2308" width="46.42578125" style="2131" customWidth="1"/>
    <col min="2309" max="2309" width="12.85546875" style="2131" customWidth="1"/>
    <col min="2310" max="2310" width="15.5703125" style="2131" customWidth="1"/>
    <col min="2311" max="2311" width="15.85546875" style="2131" customWidth="1"/>
    <col min="2312" max="2312" width="7.140625" style="2131" customWidth="1"/>
    <col min="2313" max="2313" width="5.28515625" style="2131" customWidth="1"/>
    <col min="2314" max="2314" width="9.140625" style="2131"/>
    <col min="2315" max="2315" width="15.5703125" style="2131" customWidth="1"/>
    <col min="2316" max="2316" width="16" style="2131" customWidth="1"/>
    <col min="2317" max="2560" width="9.140625" style="2131"/>
    <col min="2561" max="2561" width="4.7109375" style="2131" customWidth="1"/>
    <col min="2562" max="2562" width="6.7109375" style="2131" customWidth="1"/>
    <col min="2563" max="2563" width="8.85546875" style="2131" customWidth="1"/>
    <col min="2564" max="2564" width="46.42578125" style="2131" customWidth="1"/>
    <col min="2565" max="2565" width="12.85546875" style="2131" customWidth="1"/>
    <col min="2566" max="2566" width="15.5703125" style="2131" customWidth="1"/>
    <col min="2567" max="2567" width="15.85546875" style="2131" customWidth="1"/>
    <col min="2568" max="2568" width="7.140625" style="2131" customWidth="1"/>
    <col min="2569" max="2569" width="5.28515625" style="2131" customWidth="1"/>
    <col min="2570" max="2570" width="9.140625" style="2131"/>
    <col min="2571" max="2571" width="15.5703125" style="2131" customWidth="1"/>
    <col min="2572" max="2572" width="16" style="2131" customWidth="1"/>
    <col min="2573" max="2816" width="9.140625" style="2131"/>
    <col min="2817" max="2817" width="4.7109375" style="2131" customWidth="1"/>
    <col min="2818" max="2818" width="6.7109375" style="2131" customWidth="1"/>
    <col min="2819" max="2819" width="8.85546875" style="2131" customWidth="1"/>
    <col min="2820" max="2820" width="46.42578125" style="2131" customWidth="1"/>
    <col min="2821" max="2821" width="12.85546875" style="2131" customWidth="1"/>
    <col min="2822" max="2822" width="15.5703125" style="2131" customWidth="1"/>
    <col min="2823" max="2823" width="15.85546875" style="2131" customWidth="1"/>
    <col min="2824" max="2824" width="7.140625" style="2131" customWidth="1"/>
    <col min="2825" max="2825" width="5.28515625" style="2131" customWidth="1"/>
    <col min="2826" max="2826" width="9.140625" style="2131"/>
    <col min="2827" max="2827" width="15.5703125" style="2131" customWidth="1"/>
    <col min="2828" max="2828" width="16" style="2131" customWidth="1"/>
    <col min="2829" max="3072" width="9.140625" style="2131"/>
    <col min="3073" max="3073" width="4.7109375" style="2131" customWidth="1"/>
    <col min="3074" max="3074" width="6.7109375" style="2131" customWidth="1"/>
    <col min="3075" max="3075" width="8.85546875" style="2131" customWidth="1"/>
    <col min="3076" max="3076" width="46.42578125" style="2131" customWidth="1"/>
    <col min="3077" max="3077" width="12.85546875" style="2131" customWidth="1"/>
    <col min="3078" max="3078" width="15.5703125" style="2131" customWidth="1"/>
    <col min="3079" max="3079" width="15.85546875" style="2131" customWidth="1"/>
    <col min="3080" max="3080" width="7.140625" style="2131" customWidth="1"/>
    <col min="3081" max="3081" width="5.28515625" style="2131" customWidth="1"/>
    <col min="3082" max="3082" width="9.140625" style="2131"/>
    <col min="3083" max="3083" width="15.5703125" style="2131" customWidth="1"/>
    <col min="3084" max="3084" width="16" style="2131" customWidth="1"/>
    <col min="3085" max="3328" width="9.140625" style="2131"/>
    <col min="3329" max="3329" width="4.7109375" style="2131" customWidth="1"/>
    <col min="3330" max="3330" width="6.7109375" style="2131" customWidth="1"/>
    <col min="3331" max="3331" width="8.85546875" style="2131" customWidth="1"/>
    <col min="3332" max="3332" width="46.42578125" style="2131" customWidth="1"/>
    <col min="3333" max="3333" width="12.85546875" style="2131" customWidth="1"/>
    <col min="3334" max="3334" width="15.5703125" style="2131" customWidth="1"/>
    <col min="3335" max="3335" width="15.85546875" style="2131" customWidth="1"/>
    <col min="3336" max="3336" width="7.140625" style="2131" customWidth="1"/>
    <col min="3337" max="3337" width="5.28515625" style="2131" customWidth="1"/>
    <col min="3338" max="3338" width="9.140625" style="2131"/>
    <col min="3339" max="3339" width="15.5703125" style="2131" customWidth="1"/>
    <col min="3340" max="3340" width="16" style="2131" customWidth="1"/>
    <col min="3341" max="3584" width="9.140625" style="2131"/>
    <col min="3585" max="3585" width="4.7109375" style="2131" customWidth="1"/>
    <col min="3586" max="3586" width="6.7109375" style="2131" customWidth="1"/>
    <col min="3587" max="3587" width="8.85546875" style="2131" customWidth="1"/>
    <col min="3588" max="3588" width="46.42578125" style="2131" customWidth="1"/>
    <col min="3589" max="3589" width="12.85546875" style="2131" customWidth="1"/>
    <col min="3590" max="3590" width="15.5703125" style="2131" customWidth="1"/>
    <col min="3591" max="3591" width="15.85546875" style="2131" customWidth="1"/>
    <col min="3592" max="3592" width="7.140625" style="2131" customWidth="1"/>
    <col min="3593" max="3593" width="5.28515625" style="2131" customWidth="1"/>
    <col min="3594" max="3594" width="9.140625" style="2131"/>
    <col min="3595" max="3595" width="15.5703125" style="2131" customWidth="1"/>
    <col min="3596" max="3596" width="16" style="2131" customWidth="1"/>
    <col min="3597" max="3840" width="9.140625" style="2131"/>
    <col min="3841" max="3841" width="4.7109375" style="2131" customWidth="1"/>
    <col min="3842" max="3842" width="6.7109375" style="2131" customWidth="1"/>
    <col min="3843" max="3843" width="8.85546875" style="2131" customWidth="1"/>
    <col min="3844" max="3844" width="46.42578125" style="2131" customWidth="1"/>
    <col min="3845" max="3845" width="12.85546875" style="2131" customWidth="1"/>
    <col min="3846" max="3846" width="15.5703125" style="2131" customWidth="1"/>
    <col min="3847" max="3847" width="15.85546875" style="2131" customWidth="1"/>
    <col min="3848" max="3848" width="7.140625" style="2131" customWidth="1"/>
    <col min="3849" max="3849" width="5.28515625" style="2131" customWidth="1"/>
    <col min="3850" max="3850" width="9.140625" style="2131"/>
    <col min="3851" max="3851" width="15.5703125" style="2131" customWidth="1"/>
    <col min="3852" max="3852" width="16" style="2131" customWidth="1"/>
    <col min="3853" max="4096" width="9.140625" style="2131"/>
    <col min="4097" max="4097" width="4.7109375" style="2131" customWidth="1"/>
    <col min="4098" max="4098" width="6.7109375" style="2131" customWidth="1"/>
    <col min="4099" max="4099" width="8.85546875" style="2131" customWidth="1"/>
    <col min="4100" max="4100" width="46.42578125" style="2131" customWidth="1"/>
    <col min="4101" max="4101" width="12.85546875" style="2131" customWidth="1"/>
    <col min="4102" max="4102" width="15.5703125" style="2131" customWidth="1"/>
    <col min="4103" max="4103" width="15.85546875" style="2131" customWidth="1"/>
    <col min="4104" max="4104" width="7.140625" style="2131" customWidth="1"/>
    <col min="4105" max="4105" width="5.28515625" style="2131" customWidth="1"/>
    <col min="4106" max="4106" width="9.140625" style="2131"/>
    <col min="4107" max="4107" width="15.5703125" style="2131" customWidth="1"/>
    <col min="4108" max="4108" width="16" style="2131" customWidth="1"/>
    <col min="4109" max="4352" width="9.140625" style="2131"/>
    <col min="4353" max="4353" width="4.7109375" style="2131" customWidth="1"/>
    <col min="4354" max="4354" width="6.7109375" style="2131" customWidth="1"/>
    <col min="4355" max="4355" width="8.85546875" style="2131" customWidth="1"/>
    <col min="4356" max="4356" width="46.42578125" style="2131" customWidth="1"/>
    <col min="4357" max="4357" width="12.85546875" style="2131" customWidth="1"/>
    <col min="4358" max="4358" width="15.5703125" style="2131" customWidth="1"/>
    <col min="4359" max="4359" width="15.85546875" style="2131" customWidth="1"/>
    <col min="4360" max="4360" width="7.140625" style="2131" customWidth="1"/>
    <col min="4361" max="4361" width="5.28515625" style="2131" customWidth="1"/>
    <col min="4362" max="4362" width="9.140625" style="2131"/>
    <col min="4363" max="4363" width="15.5703125" style="2131" customWidth="1"/>
    <col min="4364" max="4364" width="16" style="2131" customWidth="1"/>
    <col min="4365" max="4608" width="9.140625" style="2131"/>
    <col min="4609" max="4609" width="4.7109375" style="2131" customWidth="1"/>
    <col min="4610" max="4610" width="6.7109375" style="2131" customWidth="1"/>
    <col min="4611" max="4611" width="8.85546875" style="2131" customWidth="1"/>
    <col min="4612" max="4612" width="46.42578125" style="2131" customWidth="1"/>
    <col min="4613" max="4613" width="12.85546875" style="2131" customWidth="1"/>
    <col min="4614" max="4614" width="15.5703125" style="2131" customWidth="1"/>
    <col min="4615" max="4615" width="15.85546875" style="2131" customWidth="1"/>
    <col min="4616" max="4616" width="7.140625" style="2131" customWidth="1"/>
    <col min="4617" max="4617" width="5.28515625" style="2131" customWidth="1"/>
    <col min="4618" max="4618" width="9.140625" style="2131"/>
    <col min="4619" max="4619" width="15.5703125" style="2131" customWidth="1"/>
    <col min="4620" max="4620" width="16" style="2131" customWidth="1"/>
    <col min="4621" max="4864" width="9.140625" style="2131"/>
    <col min="4865" max="4865" width="4.7109375" style="2131" customWidth="1"/>
    <col min="4866" max="4866" width="6.7109375" style="2131" customWidth="1"/>
    <col min="4867" max="4867" width="8.85546875" style="2131" customWidth="1"/>
    <col min="4868" max="4868" width="46.42578125" style="2131" customWidth="1"/>
    <col min="4869" max="4869" width="12.85546875" style="2131" customWidth="1"/>
    <col min="4870" max="4870" width="15.5703125" style="2131" customWidth="1"/>
    <col min="4871" max="4871" width="15.85546875" style="2131" customWidth="1"/>
    <col min="4872" max="4872" width="7.140625" style="2131" customWidth="1"/>
    <col min="4873" max="4873" width="5.28515625" style="2131" customWidth="1"/>
    <col min="4874" max="4874" width="9.140625" style="2131"/>
    <col min="4875" max="4875" width="15.5703125" style="2131" customWidth="1"/>
    <col min="4876" max="4876" width="16" style="2131" customWidth="1"/>
    <col min="4877" max="5120" width="9.140625" style="2131"/>
    <col min="5121" max="5121" width="4.7109375" style="2131" customWidth="1"/>
    <col min="5122" max="5122" width="6.7109375" style="2131" customWidth="1"/>
    <col min="5123" max="5123" width="8.85546875" style="2131" customWidth="1"/>
    <col min="5124" max="5124" width="46.42578125" style="2131" customWidth="1"/>
    <col min="5125" max="5125" width="12.85546875" style="2131" customWidth="1"/>
    <col min="5126" max="5126" width="15.5703125" style="2131" customWidth="1"/>
    <col min="5127" max="5127" width="15.85546875" style="2131" customWidth="1"/>
    <col min="5128" max="5128" width="7.140625" style="2131" customWidth="1"/>
    <col min="5129" max="5129" width="5.28515625" style="2131" customWidth="1"/>
    <col min="5130" max="5130" width="9.140625" style="2131"/>
    <col min="5131" max="5131" width="15.5703125" style="2131" customWidth="1"/>
    <col min="5132" max="5132" width="16" style="2131" customWidth="1"/>
    <col min="5133" max="5376" width="9.140625" style="2131"/>
    <col min="5377" max="5377" width="4.7109375" style="2131" customWidth="1"/>
    <col min="5378" max="5378" width="6.7109375" style="2131" customWidth="1"/>
    <col min="5379" max="5379" width="8.85546875" style="2131" customWidth="1"/>
    <col min="5380" max="5380" width="46.42578125" style="2131" customWidth="1"/>
    <col min="5381" max="5381" width="12.85546875" style="2131" customWidth="1"/>
    <col min="5382" max="5382" width="15.5703125" style="2131" customWidth="1"/>
    <col min="5383" max="5383" width="15.85546875" style="2131" customWidth="1"/>
    <col min="5384" max="5384" width="7.140625" style="2131" customWidth="1"/>
    <col min="5385" max="5385" width="5.28515625" style="2131" customWidth="1"/>
    <col min="5386" max="5386" width="9.140625" style="2131"/>
    <col min="5387" max="5387" width="15.5703125" style="2131" customWidth="1"/>
    <col min="5388" max="5388" width="16" style="2131" customWidth="1"/>
    <col min="5389" max="5632" width="9.140625" style="2131"/>
    <col min="5633" max="5633" width="4.7109375" style="2131" customWidth="1"/>
    <col min="5634" max="5634" width="6.7109375" style="2131" customWidth="1"/>
    <col min="5635" max="5635" width="8.85546875" style="2131" customWidth="1"/>
    <col min="5636" max="5636" width="46.42578125" style="2131" customWidth="1"/>
    <col min="5637" max="5637" width="12.85546875" style="2131" customWidth="1"/>
    <col min="5638" max="5638" width="15.5703125" style="2131" customWidth="1"/>
    <col min="5639" max="5639" width="15.85546875" style="2131" customWidth="1"/>
    <col min="5640" max="5640" width="7.140625" style="2131" customWidth="1"/>
    <col min="5641" max="5641" width="5.28515625" style="2131" customWidth="1"/>
    <col min="5642" max="5642" width="9.140625" style="2131"/>
    <col min="5643" max="5643" width="15.5703125" style="2131" customWidth="1"/>
    <col min="5644" max="5644" width="16" style="2131" customWidth="1"/>
    <col min="5645" max="5888" width="9.140625" style="2131"/>
    <col min="5889" max="5889" width="4.7109375" style="2131" customWidth="1"/>
    <col min="5890" max="5890" width="6.7109375" style="2131" customWidth="1"/>
    <col min="5891" max="5891" width="8.85546875" style="2131" customWidth="1"/>
    <col min="5892" max="5892" width="46.42578125" style="2131" customWidth="1"/>
    <col min="5893" max="5893" width="12.85546875" style="2131" customWidth="1"/>
    <col min="5894" max="5894" width="15.5703125" style="2131" customWidth="1"/>
    <col min="5895" max="5895" width="15.85546875" style="2131" customWidth="1"/>
    <col min="5896" max="5896" width="7.140625" style="2131" customWidth="1"/>
    <col min="5897" max="5897" width="5.28515625" style="2131" customWidth="1"/>
    <col min="5898" max="5898" width="9.140625" style="2131"/>
    <col min="5899" max="5899" width="15.5703125" style="2131" customWidth="1"/>
    <col min="5900" max="5900" width="16" style="2131" customWidth="1"/>
    <col min="5901" max="6144" width="9.140625" style="2131"/>
    <col min="6145" max="6145" width="4.7109375" style="2131" customWidth="1"/>
    <col min="6146" max="6146" width="6.7109375" style="2131" customWidth="1"/>
    <col min="6147" max="6147" width="8.85546875" style="2131" customWidth="1"/>
    <col min="6148" max="6148" width="46.42578125" style="2131" customWidth="1"/>
    <col min="6149" max="6149" width="12.85546875" style="2131" customWidth="1"/>
    <col min="6150" max="6150" width="15.5703125" style="2131" customWidth="1"/>
    <col min="6151" max="6151" width="15.85546875" style="2131" customWidth="1"/>
    <col min="6152" max="6152" width="7.140625" style="2131" customWidth="1"/>
    <col min="6153" max="6153" width="5.28515625" style="2131" customWidth="1"/>
    <col min="6154" max="6154" width="9.140625" style="2131"/>
    <col min="6155" max="6155" width="15.5703125" style="2131" customWidth="1"/>
    <col min="6156" max="6156" width="16" style="2131" customWidth="1"/>
    <col min="6157" max="6400" width="9.140625" style="2131"/>
    <col min="6401" max="6401" width="4.7109375" style="2131" customWidth="1"/>
    <col min="6402" max="6402" width="6.7109375" style="2131" customWidth="1"/>
    <col min="6403" max="6403" width="8.85546875" style="2131" customWidth="1"/>
    <col min="6404" max="6404" width="46.42578125" style="2131" customWidth="1"/>
    <col min="6405" max="6405" width="12.85546875" style="2131" customWidth="1"/>
    <col min="6406" max="6406" width="15.5703125" style="2131" customWidth="1"/>
    <col min="6407" max="6407" width="15.85546875" style="2131" customWidth="1"/>
    <col min="6408" max="6408" width="7.140625" style="2131" customWidth="1"/>
    <col min="6409" max="6409" width="5.28515625" style="2131" customWidth="1"/>
    <col min="6410" max="6410" width="9.140625" style="2131"/>
    <col min="6411" max="6411" width="15.5703125" style="2131" customWidth="1"/>
    <col min="6412" max="6412" width="16" style="2131" customWidth="1"/>
    <col min="6413" max="6656" width="9.140625" style="2131"/>
    <col min="6657" max="6657" width="4.7109375" style="2131" customWidth="1"/>
    <col min="6658" max="6658" width="6.7109375" style="2131" customWidth="1"/>
    <col min="6659" max="6659" width="8.85546875" style="2131" customWidth="1"/>
    <col min="6660" max="6660" width="46.42578125" style="2131" customWidth="1"/>
    <col min="6661" max="6661" width="12.85546875" style="2131" customWidth="1"/>
    <col min="6662" max="6662" width="15.5703125" style="2131" customWidth="1"/>
    <col min="6663" max="6663" width="15.85546875" style="2131" customWidth="1"/>
    <col min="6664" max="6664" width="7.140625" style="2131" customWidth="1"/>
    <col min="6665" max="6665" width="5.28515625" style="2131" customWidth="1"/>
    <col min="6666" max="6666" width="9.140625" style="2131"/>
    <col min="6667" max="6667" width="15.5703125" style="2131" customWidth="1"/>
    <col min="6668" max="6668" width="16" style="2131" customWidth="1"/>
    <col min="6669" max="6912" width="9.140625" style="2131"/>
    <col min="6913" max="6913" width="4.7109375" style="2131" customWidth="1"/>
    <col min="6914" max="6914" width="6.7109375" style="2131" customWidth="1"/>
    <col min="6915" max="6915" width="8.85546875" style="2131" customWidth="1"/>
    <col min="6916" max="6916" width="46.42578125" style="2131" customWidth="1"/>
    <col min="6917" max="6917" width="12.85546875" style="2131" customWidth="1"/>
    <col min="6918" max="6918" width="15.5703125" style="2131" customWidth="1"/>
    <col min="6919" max="6919" width="15.85546875" style="2131" customWidth="1"/>
    <col min="6920" max="6920" width="7.140625" style="2131" customWidth="1"/>
    <col min="6921" max="6921" width="5.28515625" style="2131" customWidth="1"/>
    <col min="6922" max="6922" width="9.140625" style="2131"/>
    <col min="6923" max="6923" width="15.5703125" style="2131" customWidth="1"/>
    <col min="6924" max="6924" width="16" style="2131" customWidth="1"/>
    <col min="6925" max="7168" width="9.140625" style="2131"/>
    <col min="7169" max="7169" width="4.7109375" style="2131" customWidth="1"/>
    <col min="7170" max="7170" width="6.7109375" style="2131" customWidth="1"/>
    <col min="7171" max="7171" width="8.85546875" style="2131" customWidth="1"/>
    <col min="7172" max="7172" width="46.42578125" style="2131" customWidth="1"/>
    <col min="7173" max="7173" width="12.85546875" style="2131" customWidth="1"/>
    <col min="7174" max="7174" width="15.5703125" style="2131" customWidth="1"/>
    <col min="7175" max="7175" width="15.85546875" style="2131" customWidth="1"/>
    <col min="7176" max="7176" width="7.140625" style="2131" customWidth="1"/>
    <col min="7177" max="7177" width="5.28515625" style="2131" customWidth="1"/>
    <col min="7178" max="7178" width="9.140625" style="2131"/>
    <col min="7179" max="7179" width="15.5703125" style="2131" customWidth="1"/>
    <col min="7180" max="7180" width="16" style="2131" customWidth="1"/>
    <col min="7181" max="7424" width="9.140625" style="2131"/>
    <col min="7425" max="7425" width="4.7109375" style="2131" customWidth="1"/>
    <col min="7426" max="7426" width="6.7109375" style="2131" customWidth="1"/>
    <col min="7427" max="7427" width="8.85546875" style="2131" customWidth="1"/>
    <col min="7428" max="7428" width="46.42578125" style="2131" customWidth="1"/>
    <col min="7429" max="7429" width="12.85546875" style="2131" customWidth="1"/>
    <col min="7430" max="7430" width="15.5703125" style="2131" customWidth="1"/>
    <col min="7431" max="7431" width="15.85546875" style="2131" customWidth="1"/>
    <col min="7432" max="7432" width="7.140625" style="2131" customWidth="1"/>
    <col min="7433" max="7433" width="5.28515625" style="2131" customWidth="1"/>
    <col min="7434" max="7434" width="9.140625" style="2131"/>
    <col min="7435" max="7435" width="15.5703125" style="2131" customWidth="1"/>
    <col min="7436" max="7436" width="16" style="2131" customWidth="1"/>
    <col min="7437" max="7680" width="9.140625" style="2131"/>
    <col min="7681" max="7681" width="4.7109375" style="2131" customWidth="1"/>
    <col min="7682" max="7682" width="6.7109375" style="2131" customWidth="1"/>
    <col min="7683" max="7683" width="8.85546875" style="2131" customWidth="1"/>
    <col min="7684" max="7684" width="46.42578125" style="2131" customWidth="1"/>
    <col min="7685" max="7685" width="12.85546875" style="2131" customWidth="1"/>
    <col min="7686" max="7686" width="15.5703125" style="2131" customWidth="1"/>
    <col min="7687" max="7687" width="15.85546875" style="2131" customWidth="1"/>
    <col min="7688" max="7688" width="7.140625" style="2131" customWidth="1"/>
    <col min="7689" max="7689" width="5.28515625" style="2131" customWidth="1"/>
    <col min="7690" max="7690" width="9.140625" style="2131"/>
    <col min="7691" max="7691" width="15.5703125" style="2131" customWidth="1"/>
    <col min="7692" max="7692" width="16" style="2131" customWidth="1"/>
    <col min="7693" max="7936" width="9.140625" style="2131"/>
    <col min="7937" max="7937" width="4.7109375" style="2131" customWidth="1"/>
    <col min="7938" max="7938" width="6.7109375" style="2131" customWidth="1"/>
    <col min="7939" max="7939" width="8.85546875" style="2131" customWidth="1"/>
    <col min="7940" max="7940" width="46.42578125" style="2131" customWidth="1"/>
    <col min="7941" max="7941" width="12.85546875" style="2131" customWidth="1"/>
    <col min="7942" max="7942" width="15.5703125" style="2131" customWidth="1"/>
    <col min="7943" max="7943" width="15.85546875" style="2131" customWidth="1"/>
    <col min="7944" max="7944" width="7.140625" style="2131" customWidth="1"/>
    <col min="7945" max="7945" width="5.28515625" style="2131" customWidth="1"/>
    <col min="7946" max="7946" width="9.140625" style="2131"/>
    <col min="7947" max="7947" width="15.5703125" style="2131" customWidth="1"/>
    <col min="7948" max="7948" width="16" style="2131" customWidth="1"/>
    <col min="7949" max="8192" width="9.140625" style="2131"/>
    <col min="8193" max="8193" width="4.7109375" style="2131" customWidth="1"/>
    <col min="8194" max="8194" width="6.7109375" style="2131" customWidth="1"/>
    <col min="8195" max="8195" width="8.85546875" style="2131" customWidth="1"/>
    <col min="8196" max="8196" width="46.42578125" style="2131" customWidth="1"/>
    <col min="8197" max="8197" width="12.85546875" style="2131" customWidth="1"/>
    <col min="8198" max="8198" width="15.5703125" style="2131" customWidth="1"/>
    <col min="8199" max="8199" width="15.85546875" style="2131" customWidth="1"/>
    <col min="8200" max="8200" width="7.140625" style="2131" customWidth="1"/>
    <col min="8201" max="8201" width="5.28515625" style="2131" customWidth="1"/>
    <col min="8202" max="8202" width="9.140625" style="2131"/>
    <col min="8203" max="8203" width="15.5703125" style="2131" customWidth="1"/>
    <col min="8204" max="8204" width="16" style="2131" customWidth="1"/>
    <col min="8205" max="8448" width="9.140625" style="2131"/>
    <col min="8449" max="8449" width="4.7109375" style="2131" customWidth="1"/>
    <col min="8450" max="8450" width="6.7109375" style="2131" customWidth="1"/>
    <col min="8451" max="8451" width="8.85546875" style="2131" customWidth="1"/>
    <col min="8452" max="8452" width="46.42578125" style="2131" customWidth="1"/>
    <col min="8453" max="8453" width="12.85546875" style="2131" customWidth="1"/>
    <col min="8454" max="8454" width="15.5703125" style="2131" customWidth="1"/>
    <col min="8455" max="8455" width="15.85546875" style="2131" customWidth="1"/>
    <col min="8456" max="8456" width="7.140625" style="2131" customWidth="1"/>
    <col min="8457" max="8457" width="5.28515625" style="2131" customWidth="1"/>
    <col min="8458" max="8458" width="9.140625" style="2131"/>
    <col min="8459" max="8459" width="15.5703125" style="2131" customWidth="1"/>
    <col min="8460" max="8460" width="16" style="2131" customWidth="1"/>
    <col min="8461" max="8704" width="9.140625" style="2131"/>
    <col min="8705" max="8705" width="4.7109375" style="2131" customWidth="1"/>
    <col min="8706" max="8706" width="6.7109375" style="2131" customWidth="1"/>
    <col min="8707" max="8707" width="8.85546875" style="2131" customWidth="1"/>
    <col min="8708" max="8708" width="46.42578125" style="2131" customWidth="1"/>
    <col min="8709" max="8709" width="12.85546875" style="2131" customWidth="1"/>
    <col min="8710" max="8710" width="15.5703125" style="2131" customWidth="1"/>
    <col min="8711" max="8711" width="15.85546875" style="2131" customWidth="1"/>
    <col min="8712" max="8712" width="7.140625" style="2131" customWidth="1"/>
    <col min="8713" max="8713" width="5.28515625" style="2131" customWidth="1"/>
    <col min="8714" max="8714" width="9.140625" style="2131"/>
    <col min="8715" max="8715" width="15.5703125" style="2131" customWidth="1"/>
    <col min="8716" max="8716" width="16" style="2131" customWidth="1"/>
    <col min="8717" max="8960" width="9.140625" style="2131"/>
    <col min="8961" max="8961" width="4.7109375" style="2131" customWidth="1"/>
    <col min="8962" max="8962" width="6.7109375" style="2131" customWidth="1"/>
    <col min="8963" max="8963" width="8.85546875" style="2131" customWidth="1"/>
    <col min="8964" max="8964" width="46.42578125" style="2131" customWidth="1"/>
    <col min="8965" max="8965" width="12.85546875" style="2131" customWidth="1"/>
    <col min="8966" max="8966" width="15.5703125" style="2131" customWidth="1"/>
    <col min="8967" max="8967" width="15.85546875" style="2131" customWidth="1"/>
    <col min="8968" max="8968" width="7.140625" style="2131" customWidth="1"/>
    <col min="8969" max="8969" width="5.28515625" style="2131" customWidth="1"/>
    <col min="8970" max="8970" width="9.140625" style="2131"/>
    <col min="8971" max="8971" width="15.5703125" style="2131" customWidth="1"/>
    <col min="8972" max="8972" width="16" style="2131" customWidth="1"/>
    <col min="8973" max="9216" width="9.140625" style="2131"/>
    <col min="9217" max="9217" width="4.7109375" style="2131" customWidth="1"/>
    <col min="9218" max="9218" width="6.7109375" style="2131" customWidth="1"/>
    <col min="9219" max="9219" width="8.85546875" style="2131" customWidth="1"/>
    <col min="9220" max="9220" width="46.42578125" style="2131" customWidth="1"/>
    <col min="9221" max="9221" width="12.85546875" style="2131" customWidth="1"/>
    <col min="9222" max="9222" width="15.5703125" style="2131" customWidth="1"/>
    <col min="9223" max="9223" width="15.85546875" style="2131" customWidth="1"/>
    <col min="9224" max="9224" width="7.140625" style="2131" customWidth="1"/>
    <col min="9225" max="9225" width="5.28515625" style="2131" customWidth="1"/>
    <col min="9226" max="9226" width="9.140625" style="2131"/>
    <col min="9227" max="9227" width="15.5703125" style="2131" customWidth="1"/>
    <col min="9228" max="9228" width="16" style="2131" customWidth="1"/>
    <col min="9229" max="9472" width="9.140625" style="2131"/>
    <col min="9473" max="9473" width="4.7109375" style="2131" customWidth="1"/>
    <col min="9474" max="9474" width="6.7109375" style="2131" customWidth="1"/>
    <col min="9475" max="9475" width="8.85546875" style="2131" customWidth="1"/>
    <col min="9476" max="9476" width="46.42578125" style="2131" customWidth="1"/>
    <col min="9477" max="9477" width="12.85546875" style="2131" customWidth="1"/>
    <col min="9478" max="9478" width="15.5703125" style="2131" customWidth="1"/>
    <col min="9479" max="9479" width="15.85546875" style="2131" customWidth="1"/>
    <col min="9480" max="9480" width="7.140625" style="2131" customWidth="1"/>
    <col min="9481" max="9481" width="5.28515625" style="2131" customWidth="1"/>
    <col min="9482" max="9482" width="9.140625" style="2131"/>
    <col min="9483" max="9483" width="15.5703125" style="2131" customWidth="1"/>
    <col min="9484" max="9484" width="16" style="2131" customWidth="1"/>
    <col min="9485" max="9728" width="9.140625" style="2131"/>
    <col min="9729" max="9729" width="4.7109375" style="2131" customWidth="1"/>
    <col min="9730" max="9730" width="6.7109375" style="2131" customWidth="1"/>
    <col min="9731" max="9731" width="8.85546875" style="2131" customWidth="1"/>
    <col min="9732" max="9732" width="46.42578125" style="2131" customWidth="1"/>
    <col min="9733" max="9733" width="12.85546875" style="2131" customWidth="1"/>
    <col min="9734" max="9734" width="15.5703125" style="2131" customWidth="1"/>
    <col min="9735" max="9735" width="15.85546875" style="2131" customWidth="1"/>
    <col min="9736" max="9736" width="7.140625" style="2131" customWidth="1"/>
    <col min="9737" max="9737" width="5.28515625" style="2131" customWidth="1"/>
    <col min="9738" max="9738" width="9.140625" style="2131"/>
    <col min="9739" max="9739" width="15.5703125" style="2131" customWidth="1"/>
    <col min="9740" max="9740" width="16" style="2131" customWidth="1"/>
    <col min="9741" max="9984" width="9.140625" style="2131"/>
    <col min="9985" max="9985" width="4.7109375" style="2131" customWidth="1"/>
    <col min="9986" max="9986" width="6.7109375" style="2131" customWidth="1"/>
    <col min="9987" max="9987" width="8.85546875" style="2131" customWidth="1"/>
    <col min="9988" max="9988" width="46.42578125" style="2131" customWidth="1"/>
    <col min="9989" max="9989" width="12.85546875" style="2131" customWidth="1"/>
    <col min="9990" max="9990" width="15.5703125" style="2131" customWidth="1"/>
    <col min="9991" max="9991" width="15.85546875" style="2131" customWidth="1"/>
    <col min="9992" max="9992" width="7.140625" style="2131" customWidth="1"/>
    <col min="9993" max="9993" width="5.28515625" style="2131" customWidth="1"/>
    <col min="9994" max="9994" width="9.140625" style="2131"/>
    <col min="9995" max="9995" width="15.5703125" style="2131" customWidth="1"/>
    <col min="9996" max="9996" width="16" style="2131" customWidth="1"/>
    <col min="9997" max="10240" width="9.140625" style="2131"/>
    <col min="10241" max="10241" width="4.7109375" style="2131" customWidth="1"/>
    <col min="10242" max="10242" width="6.7109375" style="2131" customWidth="1"/>
    <col min="10243" max="10243" width="8.85546875" style="2131" customWidth="1"/>
    <col min="10244" max="10244" width="46.42578125" style="2131" customWidth="1"/>
    <col min="10245" max="10245" width="12.85546875" style="2131" customWidth="1"/>
    <col min="10246" max="10246" width="15.5703125" style="2131" customWidth="1"/>
    <col min="10247" max="10247" width="15.85546875" style="2131" customWidth="1"/>
    <col min="10248" max="10248" width="7.140625" style="2131" customWidth="1"/>
    <col min="10249" max="10249" width="5.28515625" style="2131" customWidth="1"/>
    <col min="10250" max="10250" width="9.140625" style="2131"/>
    <col min="10251" max="10251" width="15.5703125" style="2131" customWidth="1"/>
    <col min="10252" max="10252" width="16" style="2131" customWidth="1"/>
    <col min="10253" max="10496" width="9.140625" style="2131"/>
    <col min="10497" max="10497" width="4.7109375" style="2131" customWidth="1"/>
    <col min="10498" max="10498" width="6.7109375" style="2131" customWidth="1"/>
    <col min="10499" max="10499" width="8.85546875" style="2131" customWidth="1"/>
    <col min="10500" max="10500" width="46.42578125" style="2131" customWidth="1"/>
    <col min="10501" max="10501" width="12.85546875" style="2131" customWidth="1"/>
    <col min="10502" max="10502" width="15.5703125" style="2131" customWidth="1"/>
    <col min="10503" max="10503" width="15.85546875" style="2131" customWidth="1"/>
    <col min="10504" max="10504" width="7.140625" style="2131" customWidth="1"/>
    <col min="10505" max="10505" width="5.28515625" style="2131" customWidth="1"/>
    <col min="10506" max="10506" width="9.140625" style="2131"/>
    <col min="10507" max="10507" width="15.5703125" style="2131" customWidth="1"/>
    <col min="10508" max="10508" width="16" style="2131" customWidth="1"/>
    <col min="10509" max="10752" width="9.140625" style="2131"/>
    <col min="10753" max="10753" width="4.7109375" style="2131" customWidth="1"/>
    <col min="10754" max="10754" width="6.7109375" style="2131" customWidth="1"/>
    <col min="10755" max="10755" width="8.85546875" style="2131" customWidth="1"/>
    <col min="10756" max="10756" width="46.42578125" style="2131" customWidth="1"/>
    <col min="10757" max="10757" width="12.85546875" style="2131" customWidth="1"/>
    <col min="10758" max="10758" width="15.5703125" style="2131" customWidth="1"/>
    <col min="10759" max="10759" width="15.85546875" style="2131" customWidth="1"/>
    <col min="10760" max="10760" width="7.140625" style="2131" customWidth="1"/>
    <col min="10761" max="10761" width="5.28515625" style="2131" customWidth="1"/>
    <col min="10762" max="10762" width="9.140625" style="2131"/>
    <col min="10763" max="10763" width="15.5703125" style="2131" customWidth="1"/>
    <col min="10764" max="10764" width="16" style="2131" customWidth="1"/>
    <col min="10765" max="11008" width="9.140625" style="2131"/>
    <col min="11009" max="11009" width="4.7109375" style="2131" customWidth="1"/>
    <col min="11010" max="11010" width="6.7109375" style="2131" customWidth="1"/>
    <col min="11011" max="11011" width="8.85546875" style="2131" customWidth="1"/>
    <col min="11012" max="11012" width="46.42578125" style="2131" customWidth="1"/>
    <col min="11013" max="11013" width="12.85546875" style="2131" customWidth="1"/>
    <col min="11014" max="11014" width="15.5703125" style="2131" customWidth="1"/>
    <col min="11015" max="11015" width="15.85546875" style="2131" customWidth="1"/>
    <col min="11016" max="11016" width="7.140625" style="2131" customWidth="1"/>
    <col min="11017" max="11017" width="5.28515625" style="2131" customWidth="1"/>
    <col min="11018" max="11018" width="9.140625" style="2131"/>
    <col min="11019" max="11019" width="15.5703125" style="2131" customWidth="1"/>
    <col min="11020" max="11020" width="16" style="2131" customWidth="1"/>
    <col min="11021" max="11264" width="9.140625" style="2131"/>
    <col min="11265" max="11265" width="4.7109375" style="2131" customWidth="1"/>
    <col min="11266" max="11266" width="6.7109375" style="2131" customWidth="1"/>
    <col min="11267" max="11267" width="8.85546875" style="2131" customWidth="1"/>
    <col min="11268" max="11268" width="46.42578125" style="2131" customWidth="1"/>
    <col min="11269" max="11269" width="12.85546875" style="2131" customWidth="1"/>
    <col min="11270" max="11270" width="15.5703125" style="2131" customWidth="1"/>
    <col min="11271" max="11271" width="15.85546875" style="2131" customWidth="1"/>
    <col min="11272" max="11272" width="7.140625" style="2131" customWidth="1"/>
    <col min="11273" max="11273" width="5.28515625" style="2131" customWidth="1"/>
    <col min="11274" max="11274" width="9.140625" style="2131"/>
    <col min="11275" max="11275" width="15.5703125" style="2131" customWidth="1"/>
    <col min="11276" max="11276" width="16" style="2131" customWidth="1"/>
    <col min="11277" max="11520" width="9.140625" style="2131"/>
    <col min="11521" max="11521" width="4.7109375" style="2131" customWidth="1"/>
    <col min="11522" max="11522" width="6.7109375" style="2131" customWidth="1"/>
    <col min="11523" max="11523" width="8.85546875" style="2131" customWidth="1"/>
    <col min="11524" max="11524" width="46.42578125" style="2131" customWidth="1"/>
    <col min="11525" max="11525" width="12.85546875" style="2131" customWidth="1"/>
    <col min="11526" max="11526" width="15.5703125" style="2131" customWidth="1"/>
    <col min="11527" max="11527" width="15.85546875" style="2131" customWidth="1"/>
    <col min="11528" max="11528" width="7.140625" style="2131" customWidth="1"/>
    <col min="11529" max="11529" width="5.28515625" style="2131" customWidth="1"/>
    <col min="11530" max="11530" width="9.140625" style="2131"/>
    <col min="11531" max="11531" width="15.5703125" style="2131" customWidth="1"/>
    <col min="11532" max="11532" width="16" style="2131" customWidth="1"/>
    <col min="11533" max="11776" width="9.140625" style="2131"/>
    <col min="11777" max="11777" width="4.7109375" style="2131" customWidth="1"/>
    <col min="11778" max="11778" width="6.7109375" style="2131" customWidth="1"/>
    <col min="11779" max="11779" width="8.85546875" style="2131" customWidth="1"/>
    <col min="11780" max="11780" width="46.42578125" style="2131" customWidth="1"/>
    <col min="11781" max="11781" width="12.85546875" style="2131" customWidth="1"/>
    <col min="11782" max="11782" width="15.5703125" style="2131" customWidth="1"/>
    <col min="11783" max="11783" width="15.85546875" style="2131" customWidth="1"/>
    <col min="11784" max="11784" width="7.140625" style="2131" customWidth="1"/>
    <col min="11785" max="11785" width="5.28515625" style="2131" customWidth="1"/>
    <col min="11786" max="11786" width="9.140625" style="2131"/>
    <col min="11787" max="11787" width="15.5703125" style="2131" customWidth="1"/>
    <col min="11788" max="11788" width="16" style="2131" customWidth="1"/>
    <col min="11789" max="12032" width="9.140625" style="2131"/>
    <col min="12033" max="12033" width="4.7109375" style="2131" customWidth="1"/>
    <col min="12034" max="12034" width="6.7109375" style="2131" customWidth="1"/>
    <col min="12035" max="12035" width="8.85546875" style="2131" customWidth="1"/>
    <col min="12036" max="12036" width="46.42578125" style="2131" customWidth="1"/>
    <col min="12037" max="12037" width="12.85546875" style="2131" customWidth="1"/>
    <col min="12038" max="12038" width="15.5703125" style="2131" customWidth="1"/>
    <col min="12039" max="12039" width="15.85546875" style="2131" customWidth="1"/>
    <col min="12040" max="12040" width="7.140625" style="2131" customWidth="1"/>
    <col min="12041" max="12041" width="5.28515625" style="2131" customWidth="1"/>
    <col min="12042" max="12042" width="9.140625" style="2131"/>
    <col min="12043" max="12043" width="15.5703125" style="2131" customWidth="1"/>
    <col min="12044" max="12044" width="16" style="2131" customWidth="1"/>
    <col min="12045" max="12288" width="9.140625" style="2131"/>
    <col min="12289" max="12289" width="4.7109375" style="2131" customWidth="1"/>
    <col min="12290" max="12290" width="6.7109375" style="2131" customWidth="1"/>
    <col min="12291" max="12291" width="8.85546875" style="2131" customWidth="1"/>
    <col min="12292" max="12292" width="46.42578125" style="2131" customWidth="1"/>
    <col min="12293" max="12293" width="12.85546875" style="2131" customWidth="1"/>
    <col min="12294" max="12294" width="15.5703125" style="2131" customWidth="1"/>
    <col min="12295" max="12295" width="15.85546875" style="2131" customWidth="1"/>
    <col min="12296" max="12296" width="7.140625" style="2131" customWidth="1"/>
    <col min="12297" max="12297" width="5.28515625" style="2131" customWidth="1"/>
    <col min="12298" max="12298" width="9.140625" style="2131"/>
    <col min="12299" max="12299" width="15.5703125" style="2131" customWidth="1"/>
    <col min="12300" max="12300" width="16" style="2131" customWidth="1"/>
    <col min="12301" max="12544" width="9.140625" style="2131"/>
    <col min="12545" max="12545" width="4.7109375" style="2131" customWidth="1"/>
    <col min="12546" max="12546" width="6.7109375" style="2131" customWidth="1"/>
    <col min="12547" max="12547" width="8.85546875" style="2131" customWidth="1"/>
    <col min="12548" max="12548" width="46.42578125" style="2131" customWidth="1"/>
    <col min="12549" max="12549" width="12.85546875" style="2131" customWidth="1"/>
    <col min="12550" max="12550" width="15.5703125" style="2131" customWidth="1"/>
    <col min="12551" max="12551" width="15.85546875" style="2131" customWidth="1"/>
    <col min="12552" max="12552" width="7.140625" style="2131" customWidth="1"/>
    <col min="12553" max="12553" width="5.28515625" style="2131" customWidth="1"/>
    <col min="12554" max="12554" width="9.140625" style="2131"/>
    <col min="12555" max="12555" width="15.5703125" style="2131" customWidth="1"/>
    <col min="12556" max="12556" width="16" style="2131" customWidth="1"/>
    <col min="12557" max="12800" width="9.140625" style="2131"/>
    <col min="12801" max="12801" width="4.7109375" style="2131" customWidth="1"/>
    <col min="12802" max="12802" width="6.7109375" style="2131" customWidth="1"/>
    <col min="12803" max="12803" width="8.85546875" style="2131" customWidth="1"/>
    <col min="12804" max="12804" width="46.42578125" style="2131" customWidth="1"/>
    <col min="12805" max="12805" width="12.85546875" style="2131" customWidth="1"/>
    <col min="12806" max="12806" width="15.5703125" style="2131" customWidth="1"/>
    <col min="12807" max="12807" width="15.85546875" style="2131" customWidth="1"/>
    <col min="12808" max="12808" width="7.140625" style="2131" customWidth="1"/>
    <col min="12809" max="12809" width="5.28515625" style="2131" customWidth="1"/>
    <col min="12810" max="12810" width="9.140625" style="2131"/>
    <col min="12811" max="12811" width="15.5703125" style="2131" customWidth="1"/>
    <col min="12812" max="12812" width="16" style="2131" customWidth="1"/>
    <col min="12813" max="13056" width="9.140625" style="2131"/>
    <col min="13057" max="13057" width="4.7109375" style="2131" customWidth="1"/>
    <col min="13058" max="13058" width="6.7109375" style="2131" customWidth="1"/>
    <col min="13059" max="13059" width="8.85546875" style="2131" customWidth="1"/>
    <col min="13060" max="13060" width="46.42578125" style="2131" customWidth="1"/>
    <col min="13061" max="13061" width="12.85546875" style="2131" customWidth="1"/>
    <col min="13062" max="13062" width="15.5703125" style="2131" customWidth="1"/>
    <col min="13063" max="13063" width="15.85546875" style="2131" customWidth="1"/>
    <col min="13064" max="13064" width="7.140625" style="2131" customWidth="1"/>
    <col min="13065" max="13065" width="5.28515625" style="2131" customWidth="1"/>
    <col min="13066" max="13066" width="9.140625" style="2131"/>
    <col min="13067" max="13067" width="15.5703125" style="2131" customWidth="1"/>
    <col min="13068" max="13068" width="16" style="2131" customWidth="1"/>
    <col min="13069" max="13312" width="9.140625" style="2131"/>
    <col min="13313" max="13313" width="4.7109375" style="2131" customWidth="1"/>
    <col min="13314" max="13314" width="6.7109375" style="2131" customWidth="1"/>
    <col min="13315" max="13315" width="8.85546875" style="2131" customWidth="1"/>
    <col min="13316" max="13316" width="46.42578125" style="2131" customWidth="1"/>
    <col min="13317" max="13317" width="12.85546875" style="2131" customWidth="1"/>
    <col min="13318" max="13318" width="15.5703125" style="2131" customWidth="1"/>
    <col min="13319" max="13319" width="15.85546875" style="2131" customWidth="1"/>
    <col min="13320" max="13320" width="7.140625" style="2131" customWidth="1"/>
    <col min="13321" max="13321" width="5.28515625" style="2131" customWidth="1"/>
    <col min="13322" max="13322" width="9.140625" style="2131"/>
    <col min="13323" max="13323" width="15.5703125" style="2131" customWidth="1"/>
    <col min="13324" max="13324" width="16" style="2131" customWidth="1"/>
    <col min="13325" max="13568" width="9.140625" style="2131"/>
    <col min="13569" max="13569" width="4.7109375" style="2131" customWidth="1"/>
    <col min="13570" max="13570" width="6.7109375" style="2131" customWidth="1"/>
    <col min="13571" max="13571" width="8.85546875" style="2131" customWidth="1"/>
    <col min="13572" max="13572" width="46.42578125" style="2131" customWidth="1"/>
    <col min="13573" max="13573" width="12.85546875" style="2131" customWidth="1"/>
    <col min="13574" max="13574" width="15.5703125" style="2131" customWidth="1"/>
    <col min="13575" max="13575" width="15.85546875" style="2131" customWidth="1"/>
    <col min="13576" max="13576" width="7.140625" style="2131" customWidth="1"/>
    <col min="13577" max="13577" width="5.28515625" style="2131" customWidth="1"/>
    <col min="13578" max="13578" width="9.140625" style="2131"/>
    <col min="13579" max="13579" width="15.5703125" style="2131" customWidth="1"/>
    <col min="13580" max="13580" width="16" style="2131" customWidth="1"/>
    <col min="13581" max="13824" width="9.140625" style="2131"/>
    <col min="13825" max="13825" width="4.7109375" style="2131" customWidth="1"/>
    <col min="13826" max="13826" width="6.7109375" style="2131" customWidth="1"/>
    <col min="13827" max="13827" width="8.85546875" style="2131" customWidth="1"/>
    <col min="13828" max="13828" width="46.42578125" style="2131" customWidth="1"/>
    <col min="13829" max="13829" width="12.85546875" style="2131" customWidth="1"/>
    <col min="13830" max="13830" width="15.5703125" style="2131" customWidth="1"/>
    <col min="13831" max="13831" width="15.85546875" style="2131" customWidth="1"/>
    <col min="13832" max="13832" width="7.140625" style="2131" customWidth="1"/>
    <col min="13833" max="13833" width="5.28515625" style="2131" customWidth="1"/>
    <col min="13834" max="13834" width="9.140625" style="2131"/>
    <col min="13835" max="13835" width="15.5703125" style="2131" customWidth="1"/>
    <col min="13836" max="13836" width="16" style="2131" customWidth="1"/>
    <col min="13837" max="14080" width="9.140625" style="2131"/>
    <col min="14081" max="14081" width="4.7109375" style="2131" customWidth="1"/>
    <col min="14082" max="14082" width="6.7109375" style="2131" customWidth="1"/>
    <col min="14083" max="14083" width="8.85546875" style="2131" customWidth="1"/>
    <col min="14084" max="14084" width="46.42578125" style="2131" customWidth="1"/>
    <col min="14085" max="14085" width="12.85546875" style="2131" customWidth="1"/>
    <col min="14086" max="14086" width="15.5703125" style="2131" customWidth="1"/>
    <col min="14087" max="14087" width="15.85546875" style="2131" customWidth="1"/>
    <col min="14088" max="14088" width="7.140625" style="2131" customWidth="1"/>
    <col min="14089" max="14089" width="5.28515625" style="2131" customWidth="1"/>
    <col min="14090" max="14090" width="9.140625" style="2131"/>
    <col min="14091" max="14091" width="15.5703125" style="2131" customWidth="1"/>
    <col min="14092" max="14092" width="16" style="2131" customWidth="1"/>
    <col min="14093" max="14336" width="9.140625" style="2131"/>
    <col min="14337" max="14337" width="4.7109375" style="2131" customWidth="1"/>
    <col min="14338" max="14338" width="6.7109375" style="2131" customWidth="1"/>
    <col min="14339" max="14339" width="8.85546875" style="2131" customWidth="1"/>
    <col min="14340" max="14340" width="46.42578125" style="2131" customWidth="1"/>
    <col min="14341" max="14341" width="12.85546875" style="2131" customWidth="1"/>
    <col min="14342" max="14342" width="15.5703125" style="2131" customWidth="1"/>
    <col min="14343" max="14343" width="15.85546875" style="2131" customWidth="1"/>
    <col min="14344" max="14344" width="7.140625" style="2131" customWidth="1"/>
    <col min="14345" max="14345" width="5.28515625" style="2131" customWidth="1"/>
    <col min="14346" max="14346" width="9.140625" style="2131"/>
    <col min="14347" max="14347" width="15.5703125" style="2131" customWidth="1"/>
    <col min="14348" max="14348" width="16" style="2131" customWidth="1"/>
    <col min="14349" max="14592" width="9.140625" style="2131"/>
    <col min="14593" max="14593" width="4.7109375" style="2131" customWidth="1"/>
    <col min="14594" max="14594" width="6.7109375" style="2131" customWidth="1"/>
    <col min="14595" max="14595" width="8.85546875" style="2131" customWidth="1"/>
    <col min="14596" max="14596" width="46.42578125" style="2131" customWidth="1"/>
    <col min="14597" max="14597" width="12.85546875" style="2131" customWidth="1"/>
    <col min="14598" max="14598" width="15.5703125" style="2131" customWidth="1"/>
    <col min="14599" max="14599" width="15.85546875" style="2131" customWidth="1"/>
    <col min="14600" max="14600" width="7.140625" style="2131" customWidth="1"/>
    <col min="14601" max="14601" width="5.28515625" style="2131" customWidth="1"/>
    <col min="14602" max="14602" width="9.140625" style="2131"/>
    <col min="14603" max="14603" width="15.5703125" style="2131" customWidth="1"/>
    <col min="14604" max="14604" width="16" style="2131" customWidth="1"/>
    <col min="14605" max="14848" width="9.140625" style="2131"/>
    <col min="14849" max="14849" width="4.7109375" style="2131" customWidth="1"/>
    <col min="14850" max="14850" width="6.7109375" style="2131" customWidth="1"/>
    <col min="14851" max="14851" width="8.85546875" style="2131" customWidth="1"/>
    <col min="14852" max="14852" width="46.42578125" style="2131" customWidth="1"/>
    <col min="14853" max="14853" width="12.85546875" style="2131" customWidth="1"/>
    <col min="14854" max="14854" width="15.5703125" style="2131" customWidth="1"/>
    <col min="14855" max="14855" width="15.85546875" style="2131" customWidth="1"/>
    <col min="14856" max="14856" width="7.140625" style="2131" customWidth="1"/>
    <col min="14857" max="14857" width="5.28515625" style="2131" customWidth="1"/>
    <col min="14858" max="14858" width="9.140625" style="2131"/>
    <col min="14859" max="14859" width="15.5703125" style="2131" customWidth="1"/>
    <col min="14860" max="14860" width="16" style="2131" customWidth="1"/>
    <col min="14861" max="15104" width="9.140625" style="2131"/>
    <col min="15105" max="15105" width="4.7109375" style="2131" customWidth="1"/>
    <col min="15106" max="15106" width="6.7109375" style="2131" customWidth="1"/>
    <col min="15107" max="15107" width="8.85546875" style="2131" customWidth="1"/>
    <col min="15108" max="15108" width="46.42578125" style="2131" customWidth="1"/>
    <col min="15109" max="15109" width="12.85546875" style="2131" customWidth="1"/>
    <col min="15110" max="15110" width="15.5703125" style="2131" customWidth="1"/>
    <col min="15111" max="15111" width="15.85546875" style="2131" customWidth="1"/>
    <col min="15112" max="15112" width="7.140625" style="2131" customWidth="1"/>
    <col min="15113" max="15113" width="5.28515625" style="2131" customWidth="1"/>
    <col min="15114" max="15114" width="9.140625" style="2131"/>
    <col min="15115" max="15115" width="15.5703125" style="2131" customWidth="1"/>
    <col min="15116" max="15116" width="16" style="2131" customWidth="1"/>
    <col min="15117" max="15360" width="9.140625" style="2131"/>
    <col min="15361" max="15361" width="4.7109375" style="2131" customWidth="1"/>
    <col min="15362" max="15362" width="6.7109375" style="2131" customWidth="1"/>
    <col min="15363" max="15363" width="8.85546875" style="2131" customWidth="1"/>
    <col min="15364" max="15364" width="46.42578125" style="2131" customWidth="1"/>
    <col min="15365" max="15365" width="12.85546875" style="2131" customWidth="1"/>
    <col min="15366" max="15366" width="15.5703125" style="2131" customWidth="1"/>
    <col min="15367" max="15367" width="15.85546875" style="2131" customWidth="1"/>
    <col min="15368" max="15368" width="7.140625" style="2131" customWidth="1"/>
    <col min="15369" max="15369" width="5.28515625" style="2131" customWidth="1"/>
    <col min="15370" max="15370" width="9.140625" style="2131"/>
    <col min="15371" max="15371" width="15.5703125" style="2131" customWidth="1"/>
    <col min="15372" max="15372" width="16" style="2131" customWidth="1"/>
    <col min="15373" max="15616" width="9.140625" style="2131"/>
    <col min="15617" max="15617" width="4.7109375" style="2131" customWidth="1"/>
    <col min="15618" max="15618" width="6.7109375" style="2131" customWidth="1"/>
    <col min="15619" max="15619" width="8.85546875" style="2131" customWidth="1"/>
    <col min="15620" max="15620" width="46.42578125" style="2131" customWidth="1"/>
    <col min="15621" max="15621" width="12.85546875" style="2131" customWidth="1"/>
    <col min="15622" max="15622" width="15.5703125" style="2131" customWidth="1"/>
    <col min="15623" max="15623" width="15.85546875" style="2131" customWidth="1"/>
    <col min="15624" max="15624" width="7.140625" style="2131" customWidth="1"/>
    <col min="15625" max="15625" width="5.28515625" style="2131" customWidth="1"/>
    <col min="15626" max="15626" width="9.140625" style="2131"/>
    <col min="15627" max="15627" width="15.5703125" style="2131" customWidth="1"/>
    <col min="15628" max="15628" width="16" style="2131" customWidth="1"/>
    <col min="15629" max="15872" width="9.140625" style="2131"/>
    <col min="15873" max="15873" width="4.7109375" style="2131" customWidth="1"/>
    <col min="15874" max="15874" width="6.7109375" style="2131" customWidth="1"/>
    <col min="15875" max="15875" width="8.85546875" style="2131" customWidth="1"/>
    <col min="15876" max="15876" width="46.42578125" style="2131" customWidth="1"/>
    <col min="15877" max="15877" width="12.85546875" style="2131" customWidth="1"/>
    <col min="15878" max="15878" width="15.5703125" style="2131" customWidth="1"/>
    <col min="15879" max="15879" width="15.85546875" style="2131" customWidth="1"/>
    <col min="15880" max="15880" width="7.140625" style="2131" customWidth="1"/>
    <col min="15881" max="15881" width="5.28515625" style="2131" customWidth="1"/>
    <col min="15882" max="15882" width="9.140625" style="2131"/>
    <col min="15883" max="15883" width="15.5703125" style="2131" customWidth="1"/>
    <col min="15884" max="15884" width="16" style="2131" customWidth="1"/>
    <col min="15885" max="16128" width="9.140625" style="2131"/>
    <col min="16129" max="16129" width="4.7109375" style="2131" customWidth="1"/>
    <col min="16130" max="16130" width="6.7109375" style="2131" customWidth="1"/>
    <col min="16131" max="16131" width="8.85546875" style="2131" customWidth="1"/>
    <col min="16132" max="16132" width="46.42578125" style="2131" customWidth="1"/>
    <col min="16133" max="16133" width="12.85546875" style="2131" customWidth="1"/>
    <col min="16134" max="16134" width="15.5703125" style="2131" customWidth="1"/>
    <col min="16135" max="16135" width="15.85546875" style="2131" customWidth="1"/>
    <col min="16136" max="16136" width="7.140625" style="2131" customWidth="1"/>
    <col min="16137" max="16137" width="5.28515625" style="2131" customWidth="1"/>
    <col min="16138" max="16138" width="9.140625" style="2131"/>
    <col min="16139" max="16139" width="15.5703125" style="2131" customWidth="1"/>
    <col min="16140" max="16140" width="16" style="2131" customWidth="1"/>
    <col min="16141" max="16384" width="9.140625" style="2131"/>
  </cols>
  <sheetData>
    <row r="1" spans="1:9" ht="19.5" customHeight="1" thickBot="1" x14ac:dyDescent="0.3">
      <c r="A1" s="1944" t="s">
        <v>1028</v>
      </c>
      <c r="B1" s="1943"/>
      <c r="C1" s="2126"/>
      <c r="D1" s="1941"/>
      <c r="E1" s="1940"/>
      <c r="F1" s="1941"/>
      <c r="G1" s="2250"/>
      <c r="H1" s="1944"/>
    </row>
    <row r="2" spans="1:9" ht="19.5" customHeight="1" x14ac:dyDescent="0.25">
      <c r="A2" s="2134"/>
      <c r="B2" s="2328"/>
      <c r="C2" s="2328"/>
      <c r="D2" s="2328"/>
      <c r="E2" s="2328"/>
      <c r="F2" s="2328"/>
      <c r="G2" s="2328"/>
      <c r="H2" s="2328"/>
    </row>
    <row r="3" spans="1:9" ht="19.5" customHeight="1" x14ac:dyDescent="0.2">
      <c r="A3" s="1939" t="s">
        <v>404</v>
      </c>
      <c r="B3" s="2328"/>
      <c r="C3" s="2129" t="s">
        <v>379</v>
      </c>
      <c r="D3" s="2328"/>
      <c r="E3" s="2328"/>
      <c r="F3" s="2328"/>
      <c r="G3" s="2328"/>
      <c r="H3" s="2328"/>
    </row>
    <row r="4" spans="1:9" ht="18" x14ac:dyDescent="0.25">
      <c r="B4" s="2168"/>
      <c r="C4" s="2129" t="s">
        <v>380</v>
      </c>
      <c r="D4" s="2168"/>
      <c r="E4" s="2168"/>
      <c r="F4" s="2168"/>
      <c r="G4" s="2168"/>
      <c r="H4" s="2222" t="s">
        <v>1029</v>
      </c>
    </row>
    <row r="5" spans="1:9" ht="18" x14ac:dyDescent="0.25">
      <c r="A5" s="2134" t="s">
        <v>1030</v>
      </c>
      <c r="B5" s="2168"/>
      <c r="C5" s="2168"/>
      <c r="D5" s="2168"/>
      <c r="E5" s="2168"/>
      <c r="F5" s="2168"/>
      <c r="G5" s="2168"/>
      <c r="H5" s="2222"/>
    </row>
    <row r="6" spans="1:9" ht="18" x14ac:dyDescent="0.25">
      <c r="A6" s="2134"/>
      <c r="B6" s="2168"/>
      <c r="C6" s="2168"/>
      <c r="D6" s="2168"/>
      <c r="E6" s="2168"/>
      <c r="F6" s="2168"/>
      <c r="G6" s="2168"/>
      <c r="H6" s="2222"/>
    </row>
    <row r="7" spans="1:9" ht="18" x14ac:dyDescent="0.25">
      <c r="A7" s="2136" t="s">
        <v>1031</v>
      </c>
      <c r="B7" s="2168"/>
      <c r="C7" s="2168"/>
      <c r="D7" s="2168"/>
      <c r="E7" s="2168"/>
      <c r="F7" s="2168"/>
      <c r="G7" s="2168"/>
      <c r="H7" s="2222"/>
    </row>
    <row r="8" spans="1:9" ht="16.5" thickBot="1" x14ac:dyDescent="0.3">
      <c r="A8" s="2135" t="s">
        <v>276</v>
      </c>
      <c r="H8" s="2161" t="s">
        <v>179</v>
      </c>
    </row>
    <row r="9" spans="1:9" s="1849" customFormat="1" ht="25.5" thickTop="1" thickBot="1" x14ac:dyDescent="0.25">
      <c r="A9" s="2138" t="s">
        <v>180</v>
      </c>
      <c r="B9" s="2139" t="s">
        <v>847</v>
      </c>
      <c r="C9" s="2139" t="s">
        <v>414</v>
      </c>
      <c r="D9" s="2140" t="s">
        <v>182</v>
      </c>
      <c r="E9" s="2171" t="s">
        <v>700</v>
      </c>
      <c r="F9" s="2171" t="s">
        <v>701</v>
      </c>
      <c r="G9" s="2172" t="s">
        <v>986</v>
      </c>
      <c r="H9" s="2173" t="s">
        <v>987</v>
      </c>
    </row>
    <row r="10" spans="1:9" s="1849" customFormat="1" ht="13.5" thickTop="1" thickBot="1" x14ac:dyDescent="0.25">
      <c r="A10" s="1854">
        <v>1</v>
      </c>
      <c r="B10" s="1853">
        <v>2</v>
      </c>
      <c r="C10" s="1853">
        <v>3</v>
      </c>
      <c r="D10" s="1853">
        <v>4</v>
      </c>
      <c r="E10" s="1852">
        <v>5</v>
      </c>
      <c r="F10" s="1852">
        <v>6</v>
      </c>
      <c r="G10" s="2223">
        <v>7</v>
      </c>
      <c r="H10" s="2251" t="s">
        <v>61</v>
      </c>
    </row>
    <row r="11" spans="1:9" ht="15.75" thickTop="1" x14ac:dyDescent="0.2">
      <c r="A11" s="2246">
        <v>3742</v>
      </c>
      <c r="B11" s="2253">
        <v>5169</v>
      </c>
      <c r="C11" s="2258">
        <v>53190001</v>
      </c>
      <c r="D11" s="2174" t="s">
        <v>955</v>
      </c>
      <c r="E11" s="2170">
        <v>0</v>
      </c>
      <c r="F11" s="2170">
        <v>79</v>
      </c>
      <c r="G11" s="2170">
        <v>79</v>
      </c>
      <c r="H11" s="2153">
        <f>G11/F11*100</f>
        <v>100</v>
      </c>
    </row>
    <row r="12" spans="1:9" ht="15.75" thickBot="1" x14ac:dyDescent="0.25">
      <c r="A12" s="2246">
        <v>3742</v>
      </c>
      <c r="B12" s="2253">
        <v>5169</v>
      </c>
      <c r="C12" s="2258">
        <v>53515319</v>
      </c>
      <c r="D12" s="2174" t="s">
        <v>955</v>
      </c>
      <c r="E12" s="2184">
        <v>0</v>
      </c>
      <c r="F12" s="2184">
        <v>451</v>
      </c>
      <c r="G12" s="2184">
        <v>451</v>
      </c>
      <c r="H12" s="2156">
        <f>G12/F12*100</f>
        <v>100</v>
      </c>
    </row>
    <row r="13" spans="1:9" ht="15.75" hidden="1" customHeight="1" thickBot="1" x14ac:dyDescent="0.25">
      <c r="A13" s="2246">
        <v>6330</v>
      </c>
      <c r="B13" s="2253">
        <v>5345</v>
      </c>
      <c r="C13" s="2258"/>
      <c r="D13" s="2174" t="s">
        <v>853</v>
      </c>
      <c r="E13" s="2184">
        <v>0</v>
      </c>
      <c r="F13" s="2184">
        <v>0</v>
      </c>
      <c r="G13" s="2184">
        <v>0</v>
      </c>
      <c r="H13" s="2156">
        <v>0</v>
      </c>
    </row>
    <row r="14" spans="1:9" ht="15.75" hidden="1" thickBot="1" x14ac:dyDescent="0.25">
      <c r="A14" s="2246">
        <v>6330</v>
      </c>
      <c r="B14" s="2253">
        <v>5345</v>
      </c>
      <c r="C14" s="2258"/>
      <c r="D14" s="2174" t="s">
        <v>853</v>
      </c>
      <c r="E14" s="2184">
        <v>0</v>
      </c>
      <c r="F14" s="2184">
        <v>0</v>
      </c>
      <c r="G14" s="2184">
        <v>0</v>
      </c>
      <c r="H14" s="2163">
        <v>0</v>
      </c>
    </row>
    <row r="15" spans="1:9" s="2164" customFormat="1" ht="16.5" thickTop="1" thickBot="1" x14ac:dyDescent="0.3">
      <c r="A15" s="2806" t="s">
        <v>849</v>
      </c>
      <c r="B15" s="2807"/>
      <c r="C15" s="2807"/>
      <c r="D15" s="2807"/>
      <c r="E15" s="2152">
        <f>SUM(E11:E14)</f>
        <v>0</v>
      </c>
      <c r="F15" s="2152">
        <f>SUM(F11:F14)</f>
        <v>530</v>
      </c>
      <c r="G15" s="2152">
        <f>SUM(G11:G14)</f>
        <v>530</v>
      </c>
      <c r="H15" s="2157">
        <f>G15/F15*100</f>
        <v>100</v>
      </c>
      <c r="I15" s="2262"/>
    </row>
    <row r="16" spans="1:9" ht="13.5" thickTop="1" x14ac:dyDescent="0.2">
      <c r="I16" s="2165"/>
    </row>
    <row r="18" spans="1:12" ht="16.5" x14ac:dyDescent="0.25">
      <c r="A18" s="2206" t="s">
        <v>508</v>
      </c>
      <c r="B18" s="2207"/>
      <c r="C18" s="2208"/>
      <c r="D18" s="2209"/>
      <c r="E18" s="2210">
        <f>SUM(E19:E21)</f>
        <v>0</v>
      </c>
      <c r="F18" s="2210">
        <f>F19+F20+F21+F22</f>
        <v>530</v>
      </c>
      <c r="G18" s="2210">
        <f>G19+G20+G21+G22</f>
        <v>530</v>
      </c>
      <c r="H18" s="2232">
        <f>G18/F18*100</f>
        <v>100</v>
      </c>
      <c r="J18" s="2212">
        <f>J19+J20+J21</f>
        <v>0</v>
      </c>
      <c r="K18" s="2212">
        <f>K19+K20+K21</f>
        <v>530100</v>
      </c>
      <c r="L18" s="2212">
        <f>L19+L20+L21</f>
        <v>530100</v>
      </c>
    </row>
    <row r="19" spans="1:12" ht="15" x14ac:dyDescent="0.2">
      <c r="A19" s="1810" t="s">
        <v>288</v>
      </c>
      <c r="B19" s="1813"/>
      <c r="C19" s="1808"/>
      <c r="D19" s="2213"/>
      <c r="E19" s="1811">
        <f>E11+E12</f>
        <v>0</v>
      </c>
      <c r="F19" s="1811">
        <f>F11+F12</f>
        <v>530</v>
      </c>
      <c r="G19" s="1811">
        <f>G11+G12</f>
        <v>530</v>
      </c>
      <c r="H19" s="2231">
        <f>G19/F19*100</f>
        <v>100</v>
      </c>
      <c r="J19" s="2214">
        <v>0</v>
      </c>
      <c r="K19" s="2214">
        <v>530100</v>
      </c>
      <c r="L19" s="2214">
        <v>530100</v>
      </c>
    </row>
    <row r="20" spans="1:12" ht="15" x14ac:dyDescent="0.2">
      <c r="A20" s="1810" t="s">
        <v>289</v>
      </c>
      <c r="B20" s="1809"/>
      <c r="C20" s="1808"/>
      <c r="D20" s="2215"/>
      <c r="E20" s="1811">
        <v>0</v>
      </c>
      <c r="F20" s="1811">
        <v>0</v>
      </c>
      <c r="G20" s="1811">
        <v>0</v>
      </c>
      <c r="H20" s="2231">
        <v>0</v>
      </c>
      <c r="J20" s="2214">
        <v>0</v>
      </c>
      <c r="K20" s="2214">
        <v>0</v>
      </c>
      <c r="L20" s="2214">
        <v>0</v>
      </c>
    </row>
    <row r="21" spans="1:12" ht="15" x14ac:dyDescent="0.2">
      <c r="A21" s="1810" t="s">
        <v>509</v>
      </c>
      <c r="B21" s="1809"/>
      <c r="C21" s="1808"/>
      <c r="D21" s="2215"/>
      <c r="E21" s="1811">
        <f>E13</f>
        <v>0</v>
      </c>
      <c r="F21" s="1811">
        <f>F13</f>
        <v>0</v>
      </c>
      <c r="G21" s="1811">
        <f>G13</f>
        <v>0</v>
      </c>
      <c r="H21" s="2231">
        <v>0</v>
      </c>
      <c r="J21" s="2214">
        <v>0</v>
      </c>
      <c r="K21" s="2214">
        <v>0</v>
      </c>
      <c r="L21" s="2214">
        <v>0</v>
      </c>
    </row>
    <row r="22" spans="1:12" ht="9.75" customHeight="1" x14ac:dyDescent="0.2">
      <c r="A22" s="1810"/>
      <c r="B22" s="1809"/>
      <c r="C22" s="1808"/>
      <c r="D22" s="2215"/>
      <c r="E22" s="1811"/>
      <c r="F22" s="1811"/>
      <c r="G22" s="1811"/>
      <c r="H22" s="1807"/>
    </row>
    <row r="23" spans="1:12" ht="48.75" customHeight="1" thickBot="1" x14ac:dyDescent="0.4">
      <c r="A23" s="2800" t="s">
        <v>1031</v>
      </c>
      <c r="B23" s="2801"/>
      <c r="C23" s="2801"/>
      <c r="D23" s="2801"/>
      <c r="E23" s="1801">
        <f>SUM(E18)</f>
        <v>0</v>
      </c>
      <c r="F23" s="1801">
        <f>SUM(F18)</f>
        <v>530</v>
      </c>
      <c r="G23" s="1801">
        <f>SUM(G18)</f>
        <v>530</v>
      </c>
      <c r="H23" s="1800">
        <f>(G23/F23)*100</f>
        <v>100</v>
      </c>
    </row>
    <row r="24" spans="1:12" ht="13.5" thickTop="1" x14ac:dyDescent="0.2"/>
    <row r="145" spans="1:5" ht="13.5" thickBot="1" x14ac:dyDescent="0.25">
      <c r="A145" s="2179"/>
      <c r="B145" s="2179"/>
      <c r="C145" s="2179"/>
      <c r="D145" s="2264"/>
      <c r="E145" s="2265"/>
    </row>
    <row r="146" spans="1:5" ht="13.5" thickTop="1" x14ac:dyDescent="0.2">
      <c r="A146" s="2204"/>
      <c r="B146" s="2204"/>
      <c r="C146" s="2204"/>
      <c r="D146" s="2193"/>
      <c r="E146" s="2266"/>
    </row>
    <row r="147" spans="1:5" x14ac:dyDescent="0.2">
      <c r="D147" s="2131" t="e">
        <f>#REF!+#REF!</f>
        <v>#REF!</v>
      </c>
    </row>
  </sheetData>
  <mergeCells count="2">
    <mergeCell ref="A15:D15"/>
    <mergeCell ref="A23:D23"/>
  </mergeCells>
  <pageMargins left="0.78740157480314965" right="0.98425196850393704" top="0.98425196850393704" bottom="0.98425196850393704" header="0.51181102362204722" footer="0.51181102362204722"/>
  <pageSetup paperSize="9" scale="70" firstPageNumber="134" orientation="portrait" useFirstPageNumber="1" r:id="rId1"/>
  <headerFooter alignWithMargins="0">
    <oddFooter xml:space="preserve">&amp;L&amp;"Arial,Kurzíva"Zastupitelstvo Olomouckého kraje 28. 6. 2013
6.- Závěrečný  účet Olomuckého kraje za rok 2012
Příloha č. 3: Plnění rozpočtu výdajů Olomouckého kraje k 31.12.2012&amp;R&amp;"Arial,Kurzíva"Strana &amp;P (Celkem 484)
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165"/>
  <sheetViews>
    <sheetView showGridLines="0" view="pageBreakPreview" zoomScaleNormal="100" zoomScaleSheetLayoutView="100" workbookViewId="0">
      <selection activeCell="B31" sqref="B31"/>
    </sheetView>
  </sheetViews>
  <sheetFormatPr defaultRowHeight="12.75" x14ac:dyDescent="0.2"/>
  <cols>
    <col min="1" max="1" width="4.7109375" style="2130" customWidth="1"/>
    <col min="2" max="2" width="6.7109375" style="2130" customWidth="1"/>
    <col min="3" max="3" width="8.85546875" style="2130" customWidth="1"/>
    <col min="4" max="4" width="46.42578125" style="2131" customWidth="1"/>
    <col min="5" max="5" width="12.85546875" style="2165" customWidth="1"/>
    <col min="6" max="6" width="15.5703125" style="2165" customWidth="1"/>
    <col min="7" max="7" width="15.85546875" style="2165" customWidth="1"/>
    <col min="8" max="8" width="9.7109375" style="2131" customWidth="1"/>
    <col min="9" max="9" width="14.28515625" style="2131" bestFit="1" customWidth="1"/>
    <col min="10" max="10" width="9.140625" style="2131"/>
    <col min="11" max="12" width="14.7109375" style="2131" bestFit="1" customWidth="1"/>
    <col min="13" max="256" width="9.140625" style="2131"/>
    <col min="257" max="257" width="4.7109375" style="2131" customWidth="1"/>
    <col min="258" max="258" width="6.7109375" style="2131" customWidth="1"/>
    <col min="259" max="259" width="8.85546875" style="2131" customWidth="1"/>
    <col min="260" max="260" width="46.42578125" style="2131" customWidth="1"/>
    <col min="261" max="261" width="12.85546875" style="2131" customWidth="1"/>
    <col min="262" max="262" width="15.5703125" style="2131" customWidth="1"/>
    <col min="263" max="263" width="15.85546875" style="2131" customWidth="1"/>
    <col min="264" max="264" width="6.42578125" style="2131" customWidth="1"/>
    <col min="265" max="265" width="14.28515625" style="2131" bestFit="1" customWidth="1"/>
    <col min="266" max="266" width="9.140625" style="2131"/>
    <col min="267" max="268" width="14.7109375" style="2131" bestFit="1" customWidth="1"/>
    <col min="269" max="512" width="9.140625" style="2131"/>
    <col min="513" max="513" width="4.7109375" style="2131" customWidth="1"/>
    <col min="514" max="514" width="6.7109375" style="2131" customWidth="1"/>
    <col min="515" max="515" width="8.85546875" style="2131" customWidth="1"/>
    <col min="516" max="516" width="46.42578125" style="2131" customWidth="1"/>
    <col min="517" max="517" width="12.85546875" style="2131" customWidth="1"/>
    <col min="518" max="518" width="15.5703125" style="2131" customWidth="1"/>
    <col min="519" max="519" width="15.85546875" style="2131" customWidth="1"/>
    <col min="520" max="520" width="6.42578125" style="2131" customWidth="1"/>
    <col min="521" max="521" width="14.28515625" style="2131" bestFit="1" customWidth="1"/>
    <col min="522" max="522" width="9.140625" style="2131"/>
    <col min="523" max="524" width="14.7109375" style="2131" bestFit="1" customWidth="1"/>
    <col min="525" max="768" width="9.140625" style="2131"/>
    <col min="769" max="769" width="4.7109375" style="2131" customWidth="1"/>
    <col min="770" max="770" width="6.7109375" style="2131" customWidth="1"/>
    <col min="771" max="771" width="8.85546875" style="2131" customWidth="1"/>
    <col min="772" max="772" width="46.42578125" style="2131" customWidth="1"/>
    <col min="773" max="773" width="12.85546875" style="2131" customWidth="1"/>
    <col min="774" max="774" width="15.5703125" style="2131" customWidth="1"/>
    <col min="775" max="775" width="15.85546875" style="2131" customWidth="1"/>
    <col min="776" max="776" width="6.42578125" style="2131" customWidth="1"/>
    <col min="777" max="777" width="14.28515625" style="2131" bestFit="1" customWidth="1"/>
    <col min="778" max="778" width="9.140625" style="2131"/>
    <col min="779" max="780" width="14.7109375" style="2131" bestFit="1" customWidth="1"/>
    <col min="781" max="1024" width="9.140625" style="2131"/>
    <col min="1025" max="1025" width="4.7109375" style="2131" customWidth="1"/>
    <col min="1026" max="1026" width="6.7109375" style="2131" customWidth="1"/>
    <col min="1027" max="1027" width="8.85546875" style="2131" customWidth="1"/>
    <col min="1028" max="1028" width="46.42578125" style="2131" customWidth="1"/>
    <col min="1029" max="1029" width="12.85546875" style="2131" customWidth="1"/>
    <col min="1030" max="1030" width="15.5703125" style="2131" customWidth="1"/>
    <col min="1031" max="1031" width="15.85546875" style="2131" customWidth="1"/>
    <col min="1032" max="1032" width="6.42578125" style="2131" customWidth="1"/>
    <col min="1033" max="1033" width="14.28515625" style="2131" bestFit="1" customWidth="1"/>
    <col min="1034" max="1034" width="9.140625" style="2131"/>
    <col min="1035" max="1036" width="14.7109375" style="2131" bestFit="1" customWidth="1"/>
    <col min="1037" max="1280" width="9.140625" style="2131"/>
    <col min="1281" max="1281" width="4.7109375" style="2131" customWidth="1"/>
    <col min="1282" max="1282" width="6.7109375" style="2131" customWidth="1"/>
    <col min="1283" max="1283" width="8.85546875" style="2131" customWidth="1"/>
    <col min="1284" max="1284" width="46.42578125" style="2131" customWidth="1"/>
    <col min="1285" max="1285" width="12.85546875" style="2131" customWidth="1"/>
    <col min="1286" max="1286" width="15.5703125" style="2131" customWidth="1"/>
    <col min="1287" max="1287" width="15.85546875" style="2131" customWidth="1"/>
    <col min="1288" max="1288" width="6.42578125" style="2131" customWidth="1"/>
    <col min="1289" max="1289" width="14.28515625" style="2131" bestFit="1" customWidth="1"/>
    <col min="1290" max="1290" width="9.140625" style="2131"/>
    <col min="1291" max="1292" width="14.7109375" style="2131" bestFit="1" customWidth="1"/>
    <col min="1293" max="1536" width="9.140625" style="2131"/>
    <col min="1537" max="1537" width="4.7109375" style="2131" customWidth="1"/>
    <col min="1538" max="1538" width="6.7109375" style="2131" customWidth="1"/>
    <col min="1539" max="1539" width="8.85546875" style="2131" customWidth="1"/>
    <col min="1540" max="1540" width="46.42578125" style="2131" customWidth="1"/>
    <col min="1541" max="1541" width="12.85546875" style="2131" customWidth="1"/>
    <col min="1542" max="1542" width="15.5703125" style="2131" customWidth="1"/>
    <col min="1543" max="1543" width="15.85546875" style="2131" customWidth="1"/>
    <col min="1544" max="1544" width="6.42578125" style="2131" customWidth="1"/>
    <col min="1545" max="1545" width="14.28515625" style="2131" bestFit="1" customWidth="1"/>
    <col min="1546" max="1546" width="9.140625" style="2131"/>
    <col min="1547" max="1548" width="14.7109375" style="2131" bestFit="1" customWidth="1"/>
    <col min="1549" max="1792" width="9.140625" style="2131"/>
    <col min="1793" max="1793" width="4.7109375" style="2131" customWidth="1"/>
    <col min="1794" max="1794" width="6.7109375" style="2131" customWidth="1"/>
    <col min="1795" max="1795" width="8.85546875" style="2131" customWidth="1"/>
    <col min="1796" max="1796" width="46.42578125" style="2131" customWidth="1"/>
    <col min="1797" max="1797" width="12.85546875" style="2131" customWidth="1"/>
    <col min="1798" max="1798" width="15.5703125" style="2131" customWidth="1"/>
    <col min="1799" max="1799" width="15.85546875" style="2131" customWidth="1"/>
    <col min="1800" max="1800" width="6.42578125" style="2131" customWidth="1"/>
    <col min="1801" max="1801" width="14.28515625" style="2131" bestFit="1" customWidth="1"/>
    <col min="1802" max="1802" width="9.140625" style="2131"/>
    <col min="1803" max="1804" width="14.7109375" style="2131" bestFit="1" customWidth="1"/>
    <col min="1805" max="2048" width="9.140625" style="2131"/>
    <col min="2049" max="2049" width="4.7109375" style="2131" customWidth="1"/>
    <col min="2050" max="2050" width="6.7109375" style="2131" customWidth="1"/>
    <col min="2051" max="2051" width="8.85546875" style="2131" customWidth="1"/>
    <col min="2052" max="2052" width="46.42578125" style="2131" customWidth="1"/>
    <col min="2053" max="2053" width="12.85546875" style="2131" customWidth="1"/>
    <col min="2054" max="2054" width="15.5703125" style="2131" customWidth="1"/>
    <col min="2055" max="2055" width="15.85546875" style="2131" customWidth="1"/>
    <col min="2056" max="2056" width="6.42578125" style="2131" customWidth="1"/>
    <col min="2057" max="2057" width="14.28515625" style="2131" bestFit="1" customWidth="1"/>
    <col min="2058" max="2058" width="9.140625" style="2131"/>
    <col min="2059" max="2060" width="14.7109375" style="2131" bestFit="1" customWidth="1"/>
    <col min="2061" max="2304" width="9.140625" style="2131"/>
    <col min="2305" max="2305" width="4.7109375" style="2131" customWidth="1"/>
    <col min="2306" max="2306" width="6.7109375" style="2131" customWidth="1"/>
    <col min="2307" max="2307" width="8.85546875" style="2131" customWidth="1"/>
    <col min="2308" max="2308" width="46.42578125" style="2131" customWidth="1"/>
    <col min="2309" max="2309" width="12.85546875" style="2131" customWidth="1"/>
    <col min="2310" max="2310" width="15.5703125" style="2131" customWidth="1"/>
    <col min="2311" max="2311" width="15.85546875" style="2131" customWidth="1"/>
    <col min="2312" max="2312" width="6.42578125" style="2131" customWidth="1"/>
    <col min="2313" max="2313" width="14.28515625" style="2131" bestFit="1" customWidth="1"/>
    <col min="2314" max="2314" width="9.140625" style="2131"/>
    <col min="2315" max="2316" width="14.7109375" style="2131" bestFit="1" customWidth="1"/>
    <col min="2317" max="2560" width="9.140625" style="2131"/>
    <col min="2561" max="2561" width="4.7109375" style="2131" customWidth="1"/>
    <col min="2562" max="2562" width="6.7109375" style="2131" customWidth="1"/>
    <col min="2563" max="2563" width="8.85546875" style="2131" customWidth="1"/>
    <col min="2564" max="2564" width="46.42578125" style="2131" customWidth="1"/>
    <col min="2565" max="2565" width="12.85546875" style="2131" customWidth="1"/>
    <col min="2566" max="2566" width="15.5703125" style="2131" customWidth="1"/>
    <col min="2567" max="2567" width="15.85546875" style="2131" customWidth="1"/>
    <col min="2568" max="2568" width="6.42578125" style="2131" customWidth="1"/>
    <col min="2569" max="2569" width="14.28515625" style="2131" bestFit="1" customWidth="1"/>
    <col min="2570" max="2570" width="9.140625" style="2131"/>
    <col min="2571" max="2572" width="14.7109375" style="2131" bestFit="1" customWidth="1"/>
    <col min="2573" max="2816" width="9.140625" style="2131"/>
    <col min="2817" max="2817" width="4.7109375" style="2131" customWidth="1"/>
    <col min="2818" max="2818" width="6.7109375" style="2131" customWidth="1"/>
    <col min="2819" max="2819" width="8.85546875" style="2131" customWidth="1"/>
    <col min="2820" max="2820" width="46.42578125" style="2131" customWidth="1"/>
    <col min="2821" max="2821" width="12.85546875" style="2131" customWidth="1"/>
    <col min="2822" max="2822" width="15.5703125" style="2131" customWidth="1"/>
    <col min="2823" max="2823" width="15.85546875" style="2131" customWidth="1"/>
    <col min="2824" max="2824" width="6.42578125" style="2131" customWidth="1"/>
    <col min="2825" max="2825" width="14.28515625" style="2131" bestFit="1" customWidth="1"/>
    <col min="2826" max="2826" width="9.140625" style="2131"/>
    <col min="2827" max="2828" width="14.7109375" style="2131" bestFit="1" customWidth="1"/>
    <col min="2829" max="3072" width="9.140625" style="2131"/>
    <col min="3073" max="3073" width="4.7109375" style="2131" customWidth="1"/>
    <col min="3074" max="3074" width="6.7109375" style="2131" customWidth="1"/>
    <col min="3075" max="3075" width="8.85546875" style="2131" customWidth="1"/>
    <col min="3076" max="3076" width="46.42578125" style="2131" customWidth="1"/>
    <col min="3077" max="3077" width="12.85546875" style="2131" customWidth="1"/>
    <col min="3078" max="3078" width="15.5703125" style="2131" customWidth="1"/>
    <col min="3079" max="3079" width="15.85546875" style="2131" customWidth="1"/>
    <col min="3080" max="3080" width="6.42578125" style="2131" customWidth="1"/>
    <col min="3081" max="3081" width="14.28515625" style="2131" bestFit="1" customWidth="1"/>
    <col min="3082" max="3082" width="9.140625" style="2131"/>
    <col min="3083" max="3084" width="14.7109375" style="2131" bestFit="1" customWidth="1"/>
    <col min="3085" max="3328" width="9.140625" style="2131"/>
    <col min="3329" max="3329" width="4.7109375" style="2131" customWidth="1"/>
    <col min="3330" max="3330" width="6.7109375" style="2131" customWidth="1"/>
    <col min="3331" max="3331" width="8.85546875" style="2131" customWidth="1"/>
    <col min="3332" max="3332" width="46.42578125" style="2131" customWidth="1"/>
    <col min="3333" max="3333" width="12.85546875" style="2131" customWidth="1"/>
    <col min="3334" max="3334" width="15.5703125" style="2131" customWidth="1"/>
    <col min="3335" max="3335" width="15.85546875" style="2131" customWidth="1"/>
    <col min="3336" max="3336" width="6.42578125" style="2131" customWidth="1"/>
    <col min="3337" max="3337" width="14.28515625" style="2131" bestFit="1" customWidth="1"/>
    <col min="3338" max="3338" width="9.140625" style="2131"/>
    <col min="3339" max="3340" width="14.7109375" style="2131" bestFit="1" customWidth="1"/>
    <col min="3341" max="3584" width="9.140625" style="2131"/>
    <col min="3585" max="3585" width="4.7109375" style="2131" customWidth="1"/>
    <col min="3586" max="3586" width="6.7109375" style="2131" customWidth="1"/>
    <col min="3587" max="3587" width="8.85546875" style="2131" customWidth="1"/>
    <col min="3588" max="3588" width="46.42578125" style="2131" customWidth="1"/>
    <col min="3589" max="3589" width="12.85546875" style="2131" customWidth="1"/>
    <col min="3590" max="3590" width="15.5703125" style="2131" customWidth="1"/>
    <col min="3591" max="3591" width="15.85546875" style="2131" customWidth="1"/>
    <col min="3592" max="3592" width="6.42578125" style="2131" customWidth="1"/>
    <col min="3593" max="3593" width="14.28515625" style="2131" bestFit="1" customWidth="1"/>
    <col min="3594" max="3594" width="9.140625" style="2131"/>
    <col min="3595" max="3596" width="14.7109375" style="2131" bestFit="1" customWidth="1"/>
    <col min="3597" max="3840" width="9.140625" style="2131"/>
    <col min="3841" max="3841" width="4.7109375" style="2131" customWidth="1"/>
    <col min="3842" max="3842" width="6.7109375" style="2131" customWidth="1"/>
    <col min="3843" max="3843" width="8.85546875" style="2131" customWidth="1"/>
    <col min="3844" max="3844" width="46.42578125" style="2131" customWidth="1"/>
    <col min="3845" max="3845" width="12.85546875" style="2131" customWidth="1"/>
    <col min="3846" max="3846" width="15.5703125" style="2131" customWidth="1"/>
    <col min="3847" max="3847" width="15.85546875" style="2131" customWidth="1"/>
    <col min="3848" max="3848" width="6.42578125" style="2131" customWidth="1"/>
    <col min="3849" max="3849" width="14.28515625" style="2131" bestFit="1" customWidth="1"/>
    <col min="3850" max="3850" width="9.140625" style="2131"/>
    <col min="3851" max="3852" width="14.7109375" style="2131" bestFit="1" customWidth="1"/>
    <col min="3853" max="4096" width="9.140625" style="2131"/>
    <col min="4097" max="4097" width="4.7109375" style="2131" customWidth="1"/>
    <col min="4098" max="4098" width="6.7109375" style="2131" customWidth="1"/>
    <col min="4099" max="4099" width="8.85546875" style="2131" customWidth="1"/>
    <col min="4100" max="4100" width="46.42578125" style="2131" customWidth="1"/>
    <col min="4101" max="4101" width="12.85546875" style="2131" customWidth="1"/>
    <col min="4102" max="4102" width="15.5703125" style="2131" customWidth="1"/>
    <col min="4103" max="4103" width="15.85546875" style="2131" customWidth="1"/>
    <col min="4104" max="4104" width="6.42578125" style="2131" customWidth="1"/>
    <col min="4105" max="4105" width="14.28515625" style="2131" bestFit="1" customWidth="1"/>
    <col min="4106" max="4106" width="9.140625" style="2131"/>
    <col min="4107" max="4108" width="14.7109375" style="2131" bestFit="1" customWidth="1"/>
    <col min="4109" max="4352" width="9.140625" style="2131"/>
    <col min="4353" max="4353" width="4.7109375" style="2131" customWidth="1"/>
    <col min="4354" max="4354" width="6.7109375" style="2131" customWidth="1"/>
    <col min="4355" max="4355" width="8.85546875" style="2131" customWidth="1"/>
    <col min="4356" max="4356" width="46.42578125" style="2131" customWidth="1"/>
    <col min="4357" max="4357" width="12.85546875" style="2131" customWidth="1"/>
    <col min="4358" max="4358" width="15.5703125" style="2131" customWidth="1"/>
    <col min="4359" max="4359" width="15.85546875" style="2131" customWidth="1"/>
    <col min="4360" max="4360" width="6.42578125" style="2131" customWidth="1"/>
    <col min="4361" max="4361" width="14.28515625" style="2131" bestFit="1" customWidth="1"/>
    <col min="4362" max="4362" width="9.140625" style="2131"/>
    <col min="4363" max="4364" width="14.7109375" style="2131" bestFit="1" customWidth="1"/>
    <col min="4365" max="4608" width="9.140625" style="2131"/>
    <col min="4609" max="4609" width="4.7109375" style="2131" customWidth="1"/>
    <col min="4610" max="4610" width="6.7109375" style="2131" customWidth="1"/>
    <col min="4611" max="4611" width="8.85546875" style="2131" customWidth="1"/>
    <col min="4612" max="4612" width="46.42578125" style="2131" customWidth="1"/>
    <col min="4613" max="4613" width="12.85546875" style="2131" customWidth="1"/>
    <col min="4614" max="4614" width="15.5703125" style="2131" customWidth="1"/>
    <col min="4615" max="4615" width="15.85546875" style="2131" customWidth="1"/>
    <col min="4616" max="4616" width="6.42578125" style="2131" customWidth="1"/>
    <col min="4617" max="4617" width="14.28515625" style="2131" bestFit="1" customWidth="1"/>
    <col min="4618" max="4618" width="9.140625" style="2131"/>
    <col min="4619" max="4620" width="14.7109375" style="2131" bestFit="1" customWidth="1"/>
    <col min="4621" max="4864" width="9.140625" style="2131"/>
    <col min="4865" max="4865" width="4.7109375" style="2131" customWidth="1"/>
    <col min="4866" max="4866" width="6.7109375" style="2131" customWidth="1"/>
    <col min="4867" max="4867" width="8.85546875" style="2131" customWidth="1"/>
    <col min="4868" max="4868" width="46.42578125" style="2131" customWidth="1"/>
    <col min="4869" max="4869" width="12.85546875" style="2131" customWidth="1"/>
    <col min="4870" max="4870" width="15.5703125" style="2131" customWidth="1"/>
    <col min="4871" max="4871" width="15.85546875" style="2131" customWidth="1"/>
    <col min="4872" max="4872" width="6.42578125" style="2131" customWidth="1"/>
    <col min="4873" max="4873" width="14.28515625" style="2131" bestFit="1" customWidth="1"/>
    <col min="4874" max="4874" width="9.140625" style="2131"/>
    <col min="4875" max="4876" width="14.7109375" style="2131" bestFit="1" customWidth="1"/>
    <col min="4877" max="5120" width="9.140625" style="2131"/>
    <col min="5121" max="5121" width="4.7109375" style="2131" customWidth="1"/>
    <col min="5122" max="5122" width="6.7109375" style="2131" customWidth="1"/>
    <col min="5123" max="5123" width="8.85546875" style="2131" customWidth="1"/>
    <col min="5124" max="5124" width="46.42578125" style="2131" customWidth="1"/>
    <col min="5125" max="5125" width="12.85546875" style="2131" customWidth="1"/>
    <col min="5126" max="5126" width="15.5703125" style="2131" customWidth="1"/>
    <col min="5127" max="5127" width="15.85546875" style="2131" customWidth="1"/>
    <col min="5128" max="5128" width="6.42578125" style="2131" customWidth="1"/>
    <col min="5129" max="5129" width="14.28515625" style="2131" bestFit="1" customWidth="1"/>
    <col min="5130" max="5130" width="9.140625" style="2131"/>
    <col min="5131" max="5132" width="14.7109375" style="2131" bestFit="1" customWidth="1"/>
    <col min="5133" max="5376" width="9.140625" style="2131"/>
    <col min="5377" max="5377" width="4.7109375" style="2131" customWidth="1"/>
    <col min="5378" max="5378" width="6.7109375" style="2131" customWidth="1"/>
    <col min="5379" max="5379" width="8.85546875" style="2131" customWidth="1"/>
    <col min="5380" max="5380" width="46.42578125" style="2131" customWidth="1"/>
    <col min="5381" max="5381" width="12.85546875" style="2131" customWidth="1"/>
    <col min="5382" max="5382" width="15.5703125" style="2131" customWidth="1"/>
    <col min="5383" max="5383" width="15.85546875" style="2131" customWidth="1"/>
    <col min="5384" max="5384" width="6.42578125" style="2131" customWidth="1"/>
    <col min="5385" max="5385" width="14.28515625" style="2131" bestFit="1" customWidth="1"/>
    <col min="5386" max="5386" width="9.140625" style="2131"/>
    <col min="5387" max="5388" width="14.7109375" style="2131" bestFit="1" customWidth="1"/>
    <col min="5389" max="5632" width="9.140625" style="2131"/>
    <col min="5633" max="5633" width="4.7109375" style="2131" customWidth="1"/>
    <col min="5634" max="5634" width="6.7109375" style="2131" customWidth="1"/>
    <col min="5635" max="5635" width="8.85546875" style="2131" customWidth="1"/>
    <col min="5636" max="5636" width="46.42578125" style="2131" customWidth="1"/>
    <col min="5637" max="5637" width="12.85546875" style="2131" customWidth="1"/>
    <col min="5638" max="5638" width="15.5703125" style="2131" customWidth="1"/>
    <col min="5639" max="5639" width="15.85546875" style="2131" customWidth="1"/>
    <col min="5640" max="5640" width="6.42578125" style="2131" customWidth="1"/>
    <col min="5641" max="5641" width="14.28515625" style="2131" bestFit="1" customWidth="1"/>
    <col min="5642" max="5642" width="9.140625" style="2131"/>
    <col min="5643" max="5644" width="14.7109375" style="2131" bestFit="1" customWidth="1"/>
    <col min="5645" max="5888" width="9.140625" style="2131"/>
    <col min="5889" max="5889" width="4.7109375" style="2131" customWidth="1"/>
    <col min="5890" max="5890" width="6.7109375" style="2131" customWidth="1"/>
    <col min="5891" max="5891" width="8.85546875" style="2131" customWidth="1"/>
    <col min="5892" max="5892" width="46.42578125" style="2131" customWidth="1"/>
    <col min="5893" max="5893" width="12.85546875" style="2131" customWidth="1"/>
    <col min="5894" max="5894" width="15.5703125" style="2131" customWidth="1"/>
    <col min="5895" max="5895" width="15.85546875" style="2131" customWidth="1"/>
    <col min="5896" max="5896" width="6.42578125" style="2131" customWidth="1"/>
    <col min="5897" max="5897" width="14.28515625" style="2131" bestFit="1" customWidth="1"/>
    <col min="5898" max="5898" width="9.140625" style="2131"/>
    <col min="5899" max="5900" width="14.7109375" style="2131" bestFit="1" customWidth="1"/>
    <col min="5901" max="6144" width="9.140625" style="2131"/>
    <col min="6145" max="6145" width="4.7109375" style="2131" customWidth="1"/>
    <col min="6146" max="6146" width="6.7109375" style="2131" customWidth="1"/>
    <col min="6147" max="6147" width="8.85546875" style="2131" customWidth="1"/>
    <col min="6148" max="6148" width="46.42578125" style="2131" customWidth="1"/>
    <col min="6149" max="6149" width="12.85546875" style="2131" customWidth="1"/>
    <col min="6150" max="6150" width="15.5703125" style="2131" customWidth="1"/>
    <col min="6151" max="6151" width="15.85546875" style="2131" customWidth="1"/>
    <col min="6152" max="6152" width="6.42578125" style="2131" customWidth="1"/>
    <col min="6153" max="6153" width="14.28515625" style="2131" bestFit="1" customWidth="1"/>
    <col min="6154" max="6154" width="9.140625" style="2131"/>
    <col min="6155" max="6156" width="14.7109375" style="2131" bestFit="1" customWidth="1"/>
    <col min="6157" max="6400" width="9.140625" style="2131"/>
    <col min="6401" max="6401" width="4.7109375" style="2131" customWidth="1"/>
    <col min="6402" max="6402" width="6.7109375" style="2131" customWidth="1"/>
    <col min="6403" max="6403" width="8.85546875" style="2131" customWidth="1"/>
    <col min="6404" max="6404" width="46.42578125" style="2131" customWidth="1"/>
    <col min="6405" max="6405" width="12.85546875" style="2131" customWidth="1"/>
    <col min="6406" max="6406" width="15.5703125" style="2131" customWidth="1"/>
    <col min="6407" max="6407" width="15.85546875" style="2131" customWidth="1"/>
    <col min="6408" max="6408" width="6.42578125" style="2131" customWidth="1"/>
    <col min="6409" max="6409" width="14.28515625" style="2131" bestFit="1" customWidth="1"/>
    <col min="6410" max="6410" width="9.140625" style="2131"/>
    <col min="6411" max="6412" width="14.7109375" style="2131" bestFit="1" customWidth="1"/>
    <col min="6413" max="6656" width="9.140625" style="2131"/>
    <col min="6657" max="6657" width="4.7109375" style="2131" customWidth="1"/>
    <col min="6658" max="6658" width="6.7109375" style="2131" customWidth="1"/>
    <col min="6659" max="6659" width="8.85546875" style="2131" customWidth="1"/>
    <col min="6660" max="6660" width="46.42578125" style="2131" customWidth="1"/>
    <col min="6661" max="6661" width="12.85546875" style="2131" customWidth="1"/>
    <col min="6662" max="6662" width="15.5703125" style="2131" customWidth="1"/>
    <col min="6663" max="6663" width="15.85546875" style="2131" customWidth="1"/>
    <col min="6664" max="6664" width="6.42578125" style="2131" customWidth="1"/>
    <col min="6665" max="6665" width="14.28515625" style="2131" bestFit="1" customWidth="1"/>
    <col min="6666" max="6666" width="9.140625" style="2131"/>
    <col min="6667" max="6668" width="14.7109375" style="2131" bestFit="1" customWidth="1"/>
    <col min="6669" max="6912" width="9.140625" style="2131"/>
    <col min="6913" max="6913" width="4.7109375" style="2131" customWidth="1"/>
    <col min="6914" max="6914" width="6.7109375" style="2131" customWidth="1"/>
    <col min="6915" max="6915" width="8.85546875" style="2131" customWidth="1"/>
    <col min="6916" max="6916" width="46.42578125" style="2131" customWidth="1"/>
    <col min="6917" max="6917" width="12.85546875" style="2131" customWidth="1"/>
    <col min="6918" max="6918" width="15.5703125" style="2131" customWidth="1"/>
    <col min="6919" max="6919" width="15.85546875" style="2131" customWidth="1"/>
    <col min="6920" max="6920" width="6.42578125" style="2131" customWidth="1"/>
    <col min="6921" max="6921" width="14.28515625" style="2131" bestFit="1" customWidth="1"/>
    <col min="6922" max="6922" width="9.140625" style="2131"/>
    <col min="6923" max="6924" width="14.7109375" style="2131" bestFit="1" customWidth="1"/>
    <col min="6925" max="7168" width="9.140625" style="2131"/>
    <col min="7169" max="7169" width="4.7109375" style="2131" customWidth="1"/>
    <col min="7170" max="7170" width="6.7109375" style="2131" customWidth="1"/>
    <col min="7171" max="7171" width="8.85546875" style="2131" customWidth="1"/>
    <col min="7172" max="7172" width="46.42578125" style="2131" customWidth="1"/>
    <col min="7173" max="7173" width="12.85546875" style="2131" customWidth="1"/>
    <col min="7174" max="7174" width="15.5703125" style="2131" customWidth="1"/>
    <col min="7175" max="7175" width="15.85546875" style="2131" customWidth="1"/>
    <col min="7176" max="7176" width="6.42578125" style="2131" customWidth="1"/>
    <col min="7177" max="7177" width="14.28515625" style="2131" bestFit="1" customWidth="1"/>
    <col min="7178" max="7178" width="9.140625" style="2131"/>
    <col min="7179" max="7180" width="14.7109375" style="2131" bestFit="1" customWidth="1"/>
    <col min="7181" max="7424" width="9.140625" style="2131"/>
    <col min="7425" max="7425" width="4.7109375" style="2131" customWidth="1"/>
    <col min="7426" max="7426" width="6.7109375" style="2131" customWidth="1"/>
    <col min="7427" max="7427" width="8.85546875" style="2131" customWidth="1"/>
    <col min="7428" max="7428" width="46.42578125" style="2131" customWidth="1"/>
    <col min="7429" max="7429" width="12.85546875" style="2131" customWidth="1"/>
    <col min="7430" max="7430" width="15.5703125" style="2131" customWidth="1"/>
    <col min="7431" max="7431" width="15.85546875" style="2131" customWidth="1"/>
    <col min="7432" max="7432" width="6.42578125" style="2131" customWidth="1"/>
    <col min="7433" max="7433" width="14.28515625" style="2131" bestFit="1" customWidth="1"/>
    <col min="7434" max="7434" width="9.140625" style="2131"/>
    <col min="7435" max="7436" width="14.7109375" style="2131" bestFit="1" customWidth="1"/>
    <col min="7437" max="7680" width="9.140625" style="2131"/>
    <col min="7681" max="7681" width="4.7109375" style="2131" customWidth="1"/>
    <col min="7682" max="7682" width="6.7109375" style="2131" customWidth="1"/>
    <col min="7683" max="7683" width="8.85546875" style="2131" customWidth="1"/>
    <col min="7684" max="7684" width="46.42578125" style="2131" customWidth="1"/>
    <col min="7685" max="7685" width="12.85546875" style="2131" customWidth="1"/>
    <col min="7686" max="7686" width="15.5703125" style="2131" customWidth="1"/>
    <col min="7687" max="7687" width="15.85546875" style="2131" customWidth="1"/>
    <col min="7688" max="7688" width="6.42578125" style="2131" customWidth="1"/>
    <col min="7689" max="7689" width="14.28515625" style="2131" bestFit="1" customWidth="1"/>
    <col min="7690" max="7690" width="9.140625" style="2131"/>
    <col min="7691" max="7692" width="14.7109375" style="2131" bestFit="1" customWidth="1"/>
    <col min="7693" max="7936" width="9.140625" style="2131"/>
    <col min="7937" max="7937" width="4.7109375" style="2131" customWidth="1"/>
    <col min="7938" max="7938" width="6.7109375" style="2131" customWidth="1"/>
    <col min="7939" max="7939" width="8.85546875" style="2131" customWidth="1"/>
    <col min="7940" max="7940" width="46.42578125" style="2131" customWidth="1"/>
    <col min="7941" max="7941" width="12.85546875" style="2131" customWidth="1"/>
    <col min="7942" max="7942" width="15.5703125" style="2131" customWidth="1"/>
    <col min="7943" max="7943" width="15.85546875" style="2131" customWidth="1"/>
    <col min="7944" max="7944" width="6.42578125" style="2131" customWidth="1"/>
    <col min="7945" max="7945" width="14.28515625" style="2131" bestFit="1" customWidth="1"/>
    <col min="7946" max="7946" width="9.140625" style="2131"/>
    <col min="7947" max="7948" width="14.7109375" style="2131" bestFit="1" customWidth="1"/>
    <col min="7949" max="8192" width="9.140625" style="2131"/>
    <col min="8193" max="8193" width="4.7109375" style="2131" customWidth="1"/>
    <col min="8194" max="8194" width="6.7109375" style="2131" customWidth="1"/>
    <col min="8195" max="8195" width="8.85546875" style="2131" customWidth="1"/>
    <col min="8196" max="8196" width="46.42578125" style="2131" customWidth="1"/>
    <col min="8197" max="8197" width="12.85546875" style="2131" customWidth="1"/>
    <col min="8198" max="8198" width="15.5703125" style="2131" customWidth="1"/>
    <col min="8199" max="8199" width="15.85546875" style="2131" customWidth="1"/>
    <col min="8200" max="8200" width="6.42578125" style="2131" customWidth="1"/>
    <col min="8201" max="8201" width="14.28515625" style="2131" bestFit="1" customWidth="1"/>
    <col min="8202" max="8202" width="9.140625" style="2131"/>
    <col min="8203" max="8204" width="14.7109375" style="2131" bestFit="1" customWidth="1"/>
    <col min="8205" max="8448" width="9.140625" style="2131"/>
    <col min="8449" max="8449" width="4.7109375" style="2131" customWidth="1"/>
    <col min="8450" max="8450" width="6.7109375" style="2131" customWidth="1"/>
    <col min="8451" max="8451" width="8.85546875" style="2131" customWidth="1"/>
    <col min="8452" max="8452" width="46.42578125" style="2131" customWidth="1"/>
    <col min="8453" max="8453" width="12.85546875" style="2131" customWidth="1"/>
    <col min="8454" max="8454" width="15.5703125" style="2131" customWidth="1"/>
    <col min="8455" max="8455" width="15.85546875" style="2131" customWidth="1"/>
    <col min="8456" max="8456" width="6.42578125" style="2131" customWidth="1"/>
    <col min="8457" max="8457" width="14.28515625" style="2131" bestFit="1" customWidth="1"/>
    <col min="8458" max="8458" width="9.140625" style="2131"/>
    <col min="8459" max="8460" width="14.7109375" style="2131" bestFit="1" customWidth="1"/>
    <col min="8461" max="8704" width="9.140625" style="2131"/>
    <col min="8705" max="8705" width="4.7109375" style="2131" customWidth="1"/>
    <col min="8706" max="8706" width="6.7109375" style="2131" customWidth="1"/>
    <col min="8707" max="8707" width="8.85546875" style="2131" customWidth="1"/>
    <col min="8708" max="8708" width="46.42578125" style="2131" customWidth="1"/>
    <col min="8709" max="8709" width="12.85546875" style="2131" customWidth="1"/>
    <col min="8710" max="8710" width="15.5703125" style="2131" customWidth="1"/>
    <col min="8711" max="8711" width="15.85546875" style="2131" customWidth="1"/>
    <col min="8712" max="8712" width="6.42578125" style="2131" customWidth="1"/>
    <col min="8713" max="8713" width="14.28515625" style="2131" bestFit="1" customWidth="1"/>
    <col min="8714" max="8714" width="9.140625" style="2131"/>
    <col min="8715" max="8716" width="14.7109375" style="2131" bestFit="1" customWidth="1"/>
    <col min="8717" max="8960" width="9.140625" style="2131"/>
    <col min="8961" max="8961" width="4.7109375" style="2131" customWidth="1"/>
    <col min="8962" max="8962" width="6.7109375" style="2131" customWidth="1"/>
    <col min="8963" max="8963" width="8.85546875" style="2131" customWidth="1"/>
    <col min="8964" max="8964" width="46.42578125" style="2131" customWidth="1"/>
    <col min="8965" max="8965" width="12.85546875" style="2131" customWidth="1"/>
    <col min="8966" max="8966" width="15.5703125" style="2131" customWidth="1"/>
    <col min="8967" max="8967" width="15.85546875" style="2131" customWidth="1"/>
    <col min="8968" max="8968" width="6.42578125" style="2131" customWidth="1"/>
    <col min="8969" max="8969" width="14.28515625" style="2131" bestFit="1" customWidth="1"/>
    <col min="8970" max="8970" width="9.140625" style="2131"/>
    <col min="8971" max="8972" width="14.7109375" style="2131" bestFit="1" customWidth="1"/>
    <col min="8973" max="9216" width="9.140625" style="2131"/>
    <col min="9217" max="9217" width="4.7109375" style="2131" customWidth="1"/>
    <col min="9218" max="9218" width="6.7109375" style="2131" customWidth="1"/>
    <col min="9219" max="9219" width="8.85546875" style="2131" customWidth="1"/>
    <col min="9220" max="9220" width="46.42578125" style="2131" customWidth="1"/>
    <col min="9221" max="9221" width="12.85546875" style="2131" customWidth="1"/>
    <col min="9222" max="9222" width="15.5703125" style="2131" customWidth="1"/>
    <col min="9223" max="9223" width="15.85546875" style="2131" customWidth="1"/>
    <col min="9224" max="9224" width="6.42578125" style="2131" customWidth="1"/>
    <col min="9225" max="9225" width="14.28515625" style="2131" bestFit="1" customWidth="1"/>
    <col min="9226" max="9226" width="9.140625" style="2131"/>
    <col min="9227" max="9228" width="14.7109375" style="2131" bestFit="1" customWidth="1"/>
    <col min="9229" max="9472" width="9.140625" style="2131"/>
    <col min="9473" max="9473" width="4.7109375" style="2131" customWidth="1"/>
    <col min="9474" max="9474" width="6.7109375" style="2131" customWidth="1"/>
    <col min="9475" max="9475" width="8.85546875" style="2131" customWidth="1"/>
    <col min="9476" max="9476" width="46.42578125" style="2131" customWidth="1"/>
    <col min="9477" max="9477" width="12.85546875" style="2131" customWidth="1"/>
    <col min="9478" max="9478" width="15.5703125" style="2131" customWidth="1"/>
    <col min="9479" max="9479" width="15.85546875" style="2131" customWidth="1"/>
    <col min="9480" max="9480" width="6.42578125" style="2131" customWidth="1"/>
    <col min="9481" max="9481" width="14.28515625" style="2131" bestFit="1" customWidth="1"/>
    <col min="9482" max="9482" width="9.140625" style="2131"/>
    <col min="9483" max="9484" width="14.7109375" style="2131" bestFit="1" customWidth="1"/>
    <col min="9485" max="9728" width="9.140625" style="2131"/>
    <col min="9729" max="9729" width="4.7109375" style="2131" customWidth="1"/>
    <col min="9730" max="9730" width="6.7109375" style="2131" customWidth="1"/>
    <col min="9731" max="9731" width="8.85546875" style="2131" customWidth="1"/>
    <col min="9732" max="9732" width="46.42578125" style="2131" customWidth="1"/>
    <col min="9733" max="9733" width="12.85546875" style="2131" customWidth="1"/>
    <col min="9734" max="9734" width="15.5703125" style="2131" customWidth="1"/>
    <col min="9735" max="9735" width="15.85546875" style="2131" customWidth="1"/>
    <col min="9736" max="9736" width="6.42578125" style="2131" customWidth="1"/>
    <col min="9737" max="9737" width="14.28515625" style="2131" bestFit="1" customWidth="1"/>
    <col min="9738" max="9738" width="9.140625" style="2131"/>
    <col min="9739" max="9740" width="14.7109375" style="2131" bestFit="1" customWidth="1"/>
    <col min="9741" max="9984" width="9.140625" style="2131"/>
    <col min="9985" max="9985" width="4.7109375" style="2131" customWidth="1"/>
    <col min="9986" max="9986" width="6.7109375" style="2131" customWidth="1"/>
    <col min="9987" max="9987" width="8.85546875" style="2131" customWidth="1"/>
    <col min="9988" max="9988" width="46.42578125" style="2131" customWidth="1"/>
    <col min="9989" max="9989" width="12.85546875" style="2131" customWidth="1"/>
    <col min="9990" max="9990" width="15.5703125" style="2131" customWidth="1"/>
    <col min="9991" max="9991" width="15.85546875" style="2131" customWidth="1"/>
    <col min="9992" max="9992" width="6.42578125" style="2131" customWidth="1"/>
    <col min="9993" max="9993" width="14.28515625" style="2131" bestFit="1" customWidth="1"/>
    <col min="9994" max="9994" width="9.140625" style="2131"/>
    <col min="9995" max="9996" width="14.7109375" style="2131" bestFit="1" customWidth="1"/>
    <col min="9997" max="10240" width="9.140625" style="2131"/>
    <col min="10241" max="10241" width="4.7109375" style="2131" customWidth="1"/>
    <col min="10242" max="10242" width="6.7109375" style="2131" customWidth="1"/>
    <col min="10243" max="10243" width="8.85546875" style="2131" customWidth="1"/>
    <col min="10244" max="10244" width="46.42578125" style="2131" customWidth="1"/>
    <col min="10245" max="10245" width="12.85546875" style="2131" customWidth="1"/>
    <col min="10246" max="10246" width="15.5703125" style="2131" customWidth="1"/>
    <col min="10247" max="10247" width="15.85546875" style="2131" customWidth="1"/>
    <col min="10248" max="10248" width="6.42578125" style="2131" customWidth="1"/>
    <col min="10249" max="10249" width="14.28515625" style="2131" bestFit="1" customWidth="1"/>
    <col min="10250" max="10250" width="9.140625" style="2131"/>
    <col min="10251" max="10252" width="14.7109375" style="2131" bestFit="1" customWidth="1"/>
    <col min="10253" max="10496" width="9.140625" style="2131"/>
    <col min="10497" max="10497" width="4.7109375" style="2131" customWidth="1"/>
    <col min="10498" max="10498" width="6.7109375" style="2131" customWidth="1"/>
    <col min="10499" max="10499" width="8.85546875" style="2131" customWidth="1"/>
    <col min="10500" max="10500" width="46.42578125" style="2131" customWidth="1"/>
    <col min="10501" max="10501" width="12.85546875" style="2131" customWidth="1"/>
    <col min="10502" max="10502" width="15.5703125" style="2131" customWidth="1"/>
    <col min="10503" max="10503" width="15.85546875" style="2131" customWidth="1"/>
    <col min="10504" max="10504" width="6.42578125" style="2131" customWidth="1"/>
    <col min="10505" max="10505" width="14.28515625" style="2131" bestFit="1" customWidth="1"/>
    <col min="10506" max="10506" width="9.140625" style="2131"/>
    <col min="10507" max="10508" width="14.7109375" style="2131" bestFit="1" customWidth="1"/>
    <col min="10509" max="10752" width="9.140625" style="2131"/>
    <col min="10753" max="10753" width="4.7109375" style="2131" customWidth="1"/>
    <col min="10754" max="10754" width="6.7109375" style="2131" customWidth="1"/>
    <col min="10755" max="10755" width="8.85546875" style="2131" customWidth="1"/>
    <col min="10756" max="10756" width="46.42578125" style="2131" customWidth="1"/>
    <col min="10757" max="10757" width="12.85546875" style="2131" customWidth="1"/>
    <col min="10758" max="10758" width="15.5703125" style="2131" customWidth="1"/>
    <col min="10759" max="10759" width="15.85546875" style="2131" customWidth="1"/>
    <col min="10760" max="10760" width="6.42578125" style="2131" customWidth="1"/>
    <col min="10761" max="10761" width="14.28515625" style="2131" bestFit="1" customWidth="1"/>
    <col min="10762" max="10762" width="9.140625" style="2131"/>
    <col min="10763" max="10764" width="14.7109375" style="2131" bestFit="1" customWidth="1"/>
    <col min="10765" max="11008" width="9.140625" style="2131"/>
    <col min="11009" max="11009" width="4.7109375" style="2131" customWidth="1"/>
    <col min="11010" max="11010" width="6.7109375" style="2131" customWidth="1"/>
    <col min="11011" max="11011" width="8.85546875" style="2131" customWidth="1"/>
    <col min="11012" max="11012" width="46.42578125" style="2131" customWidth="1"/>
    <col min="11013" max="11013" width="12.85546875" style="2131" customWidth="1"/>
    <col min="11014" max="11014" width="15.5703125" style="2131" customWidth="1"/>
    <col min="11015" max="11015" width="15.85546875" style="2131" customWidth="1"/>
    <col min="11016" max="11016" width="6.42578125" style="2131" customWidth="1"/>
    <col min="11017" max="11017" width="14.28515625" style="2131" bestFit="1" customWidth="1"/>
    <col min="11018" max="11018" width="9.140625" style="2131"/>
    <col min="11019" max="11020" width="14.7109375" style="2131" bestFit="1" customWidth="1"/>
    <col min="11021" max="11264" width="9.140625" style="2131"/>
    <col min="11265" max="11265" width="4.7109375" style="2131" customWidth="1"/>
    <col min="11266" max="11266" width="6.7109375" style="2131" customWidth="1"/>
    <col min="11267" max="11267" width="8.85546875" style="2131" customWidth="1"/>
    <col min="11268" max="11268" width="46.42578125" style="2131" customWidth="1"/>
    <col min="11269" max="11269" width="12.85546875" style="2131" customWidth="1"/>
    <col min="11270" max="11270" width="15.5703125" style="2131" customWidth="1"/>
    <col min="11271" max="11271" width="15.85546875" style="2131" customWidth="1"/>
    <col min="11272" max="11272" width="6.42578125" style="2131" customWidth="1"/>
    <col min="11273" max="11273" width="14.28515625" style="2131" bestFit="1" customWidth="1"/>
    <col min="11274" max="11274" width="9.140625" style="2131"/>
    <col min="11275" max="11276" width="14.7109375" style="2131" bestFit="1" customWidth="1"/>
    <col min="11277" max="11520" width="9.140625" style="2131"/>
    <col min="11521" max="11521" width="4.7109375" style="2131" customWidth="1"/>
    <col min="11522" max="11522" width="6.7109375" style="2131" customWidth="1"/>
    <col min="11523" max="11523" width="8.85546875" style="2131" customWidth="1"/>
    <col min="11524" max="11524" width="46.42578125" style="2131" customWidth="1"/>
    <col min="11525" max="11525" width="12.85546875" style="2131" customWidth="1"/>
    <col min="11526" max="11526" width="15.5703125" style="2131" customWidth="1"/>
    <col min="11527" max="11527" width="15.85546875" style="2131" customWidth="1"/>
    <col min="11528" max="11528" width="6.42578125" style="2131" customWidth="1"/>
    <col min="11529" max="11529" width="14.28515625" style="2131" bestFit="1" customWidth="1"/>
    <col min="11530" max="11530" width="9.140625" style="2131"/>
    <col min="11531" max="11532" width="14.7109375" style="2131" bestFit="1" customWidth="1"/>
    <col min="11533" max="11776" width="9.140625" style="2131"/>
    <col min="11777" max="11777" width="4.7109375" style="2131" customWidth="1"/>
    <col min="11778" max="11778" width="6.7109375" style="2131" customWidth="1"/>
    <col min="11779" max="11779" width="8.85546875" style="2131" customWidth="1"/>
    <col min="11780" max="11780" width="46.42578125" style="2131" customWidth="1"/>
    <col min="11781" max="11781" width="12.85546875" style="2131" customWidth="1"/>
    <col min="11782" max="11782" width="15.5703125" style="2131" customWidth="1"/>
    <col min="11783" max="11783" width="15.85546875" style="2131" customWidth="1"/>
    <col min="11784" max="11784" width="6.42578125" style="2131" customWidth="1"/>
    <col min="11785" max="11785" width="14.28515625" style="2131" bestFit="1" customWidth="1"/>
    <col min="11786" max="11786" width="9.140625" style="2131"/>
    <col min="11787" max="11788" width="14.7109375" style="2131" bestFit="1" customWidth="1"/>
    <col min="11789" max="12032" width="9.140625" style="2131"/>
    <col min="12033" max="12033" width="4.7109375" style="2131" customWidth="1"/>
    <col min="12034" max="12034" width="6.7109375" style="2131" customWidth="1"/>
    <col min="12035" max="12035" width="8.85546875" style="2131" customWidth="1"/>
    <col min="12036" max="12036" width="46.42578125" style="2131" customWidth="1"/>
    <col min="12037" max="12037" width="12.85546875" style="2131" customWidth="1"/>
    <col min="12038" max="12038" width="15.5703125" style="2131" customWidth="1"/>
    <col min="12039" max="12039" width="15.85546875" style="2131" customWidth="1"/>
    <col min="12040" max="12040" width="6.42578125" style="2131" customWidth="1"/>
    <col min="12041" max="12041" width="14.28515625" style="2131" bestFit="1" customWidth="1"/>
    <col min="12042" max="12042" width="9.140625" style="2131"/>
    <col min="12043" max="12044" width="14.7109375" style="2131" bestFit="1" customWidth="1"/>
    <col min="12045" max="12288" width="9.140625" style="2131"/>
    <col min="12289" max="12289" width="4.7109375" style="2131" customWidth="1"/>
    <col min="12290" max="12290" width="6.7109375" style="2131" customWidth="1"/>
    <col min="12291" max="12291" width="8.85546875" style="2131" customWidth="1"/>
    <col min="12292" max="12292" width="46.42578125" style="2131" customWidth="1"/>
    <col min="12293" max="12293" width="12.85546875" style="2131" customWidth="1"/>
    <col min="12294" max="12294" width="15.5703125" style="2131" customWidth="1"/>
    <col min="12295" max="12295" width="15.85546875" style="2131" customWidth="1"/>
    <col min="12296" max="12296" width="6.42578125" style="2131" customWidth="1"/>
    <col min="12297" max="12297" width="14.28515625" style="2131" bestFit="1" customWidth="1"/>
    <col min="12298" max="12298" width="9.140625" style="2131"/>
    <col min="12299" max="12300" width="14.7109375" style="2131" bestFit="1" customWidth="1"/>
    <col min="12301" max="12544" width="9.140625" style="2131"/>
    <col min="12545" max="12545" width="4.7109375" style="2131" customWidth="1"/>
    <col min="12546" max="12546" width="6.7109375" style="2131" customWidth="1"/>
    <col min="12547" max="12547" width="8.85546875" style="2131" customWidth="1"/>
    <col min="12548" max="12548" width="46.42578125" style="2131" customWidth="1"/>
    <col min="12549" max="12549" width="12.85546875" style="2131" customWidth="1"/>
    <col min="12550" max="12550" width="15.5703125" style="2131" customWidth="1"/>
    <col min="12551" max="12551" width="15.85546875" style="2131" customWidth="1"/>
    <col min="12552" max="12552" width="6.42578125" style="2131" customWidth="1"/>
    <col min="12553" max="12553" width="14.28515625" style="2131" bestFit="1" customWidth="1"/>
    <col min="12554" max="12554" width="9.140625" style="2131"/>
    <col min="12555" max="12556" width="14.7109375" style="2131" bestFit="1" customWidth="1"/>
    <col min="12557" max="12800" width="9.140625" style="2131"/>
    <col min="12801" max="12801" width="4.7109375" style="2131" customWidth="1"/>
    <col min="12802" max="12802" width="6.7109375" style="2131" customWidth="1"/>
    <col min="12803" max="12803" width="8.85546875" style="2131" customWidth="1"/>
    <col min="12804" max="12804" width="46.42578125" style="2131" customWidth="1"/>
    <col min="12805" max="12805" width="12.85546875" style="2131" customWidth="1"/>
    <col min="12806" max="12806" width="15.5703125" style="2131" customWidth="1"/>
    <col min="12807" max="12807" width="15.85546875" style="2131" customWidth="1"/>
    <col min="12808" max="12808" width="6.42578125" style="2131" customWidth="1"/>
    <col min="12809" max="12809" width="14.28515625" style="2131" bestFit="1" customWidth="1"/>
    <col min="12810" max="12810" width="9.140625" style="2131"/>
    <col min="12811" max="12812" width="14.7109375" style="2131" bestFit="1" customWidth="1"/>
    <col min="12813" max="13056" width="9.140625" style="2131"/>
    <col min="13057" max="13057" width="4.7109375" style="2131" customWidth="1"/>
    <col min="13058" max="13058" width="6.7109375" style="2131" customWidth="1"/>
    <col min="13059" max="13059" width="8.85546875" style="2131" customWidth="1"/>
    <col min="13060" max="13060" width="46.42578125" style="2131" customWidth="1"/>
    <col min="13061" max="13061" width="12.85546875" style="2131" customWidth="1"/>
    <col min="13062" max="13062" width="15.5703125" style="2131" customWidth="1"/>
    <col min="13063" max="13063" width="15.85546875" style="2131" customWidth="1"/>
    <col min="13064" max="13064" width="6.42578125" style="2131" customWidth="1"/>
    <col min="13065" max="13065" width="14.28515625" style="2131" bestFit="1" customWidth="1"/>
    <col min="13066" max="13066" width="9.140625" style="2131"/>
    <col min="13067" max="13068" width="14.7109375" style="2131" bestFit="1" customWidth="1"/>
    <col min="13069" max="13312" width="9.140625" style="2131"/>
    <col min="13313" max="13313" width="4.7109375" style="2131" customWidth="1"/>
    <col min="13314" max="13314" width="6.7109375" style="2131" customWidth="1"/>
    <col min="13315" max="13315" width="8.85546875" style="2131" customWidth="1"/>
    <col min="13316" max="13316" width="46.42578125" style="2131" customWidth="1"/>
    <col min="13317" max="13317" width="12.85546875" style="2131" customWidth="1"/>
    <col min="13318" max="13318" width="15.5703125" style="2131" customWidth="1"/>
    <col min="13319" max="13319" width="15.85546875" style="2131" customWidth="1"/>
    <col min="13320" max="13320" width="6.42578125" style="2131" customWidth="1"/>
    <col min="13321" max="13321" width="14.28515625" style="2131" bestFit="1" customWidth="1"/>
    <col min="13322" max="13322" width="9.140625" style="2131"/>
    <col min="13323" max="13324" width="14.7109375" style="2131" bestFit="1" customWidth="1"/>
    <col min="13325" max="13568" width="9.140625" style="2131"/>
    <col min="13569" max="13569" width="4.7109375" style="2131" customWidth="1"/>
    <col min="13570" max="13570" width="6.7109375" style="2131" customWidth="1"/>
    <col min="13571" max="13571" width="8.85546875" style="2131" customWidth="1"/>
    <col min="13572" max="13572" width="46.42578125" style="2131" customWidth="1"/>
    <col min="13573" max="13573" width="12.85546875" style="2131" customWidth="1"/>
    <col min="13574" max="13574" width="15.5703125" style="2131" customWidth="1"/>
    <col min="13575" max="13575" width="15.85546875" style="2131" customWidth="1"/>
    <col min="13576" max="13576" width="6.42578125" style="2131" customWidth="1"/>
    <col min="13577" max="13577" width="14.28515625" style="2131" bestFit="1" customWidth="1"/>
    <col min="13578" max="13578" width="9.140625" style="2131"/>
    <col min="13579" max="13580" width="14.7109375" style="2131" bestFit="1" customWidth="1"/>
    <col min="13581" max="13824" width="9.140625" style="2131"/>
    <col min="13825" max="13825" width="4.7109375" style="2131" customWidth="1"/>
    <col min="13826" max="13826" width="6.7109375" style="2131" customWidth="1"/>
    <col min="13827" max="13827" width="8.85546875" style="2131" customWidth="1"/>
    <col min="13828" max="13828" width="46.42578125" style="2131" customWidth="1"/>
    <col min="13829" max="13829" width="12.85546875" style="2131" customWidth="1"/>
    <col min="13830" max="13830" width="15.5703125" style="2131" customWidth="1"/>
    <col min="13831" max="13831" width="15.85546875" style="2131" customWidth="1"/>
    <col min="13832" max="13832" width="6.42578125" style="2131" customWidth="1"/>
    <col min="13833" max="13833" width="14.28515625" style="2131" bestFit="1" customWidth="1"/>
    <col min="13834" max="13834" width="9.140625" style="2131"/>
    <col min="13835" max="13836" width="14.7109375" style="2131" bestFit="1" customWidth="1"/>
    <col min="13837" max="14080" width="9.140625" style="2131"/>
    <col min="14081" max="14081" width="4.7109375" style="2131" customWidth="1"/>
    <col min="14082" max="14082" width="6.7109375" style="2131" customWidth="1"/>
    <col min="14083" max="14083" width="8.85546875" style="2131" customWidth="1"/>
    <col min="14084" max="14084" width="46.42578125" style="2131" customWidth="1"/>
    <col min="14085" max="14085" width="12.85546875" style="2131" customWidth="1"/>
    <col min="14086" max="14086" width="15.5703125" style="2131" customWidth="1"/>
    <col min="14087" max="14087" width="15.85546875" style="2131" customWidth="1"/>
    <col min="14088" max="14088" width="6.42578125" style="2131" customWidth="1"/>
    <col min="14089" max="14089" width="14.28515625" style="2131" bestFit="1" customWidth="1"/>
    <col min="14090" max="14090" width="9.140625" style="2131"/>
    <col min="14091" max="14092" width="14.7109375" style="2131" bestFit="1" customWidth="1"/>
    <col min="14093" max="14336" width="9.140625" style="2131"/>
    <col min="14337" max="14337" width="4.7109375" style="2131" customWidth="1"/>
    <col min="14338" max="14338" width="6.7109375" style="2131" customWidth="1"/>
    <col min="14339" max="14339" width="8.85546875" style="2131" customWidth="1"/>
    <col min="14340" max="14340" width="46.42578125" style="2131" customWidth="1"/>
    <col min="14341" max="14341" width="12.85546875" style="2131" customWidth="1"/>
    <col min="14342" max="14342" width="15.5703125" style="2131" customWidth="1"/>
    <col min="14343" max="14343" width="15.85546875" style="2131" customWidth="1"/>
    <col min="14344" max="14344" width="6.42578125" style="2131" customWidth="1"/>
    <col min="14345" max="14345" width="14.28515625" style="2131" bestFit="1" customWidth="1"/>
    <col min="14346" max="14346" width="9.140625" style="2131"/>
    <col min="14347" max="14348" width="14.7109375" style="2131" bestFit="1" customWidth="1"/>
    <col min="14349" max="14592" width="9.140625" style="2131"/>
    <col min="14593" max="14593" width="4.7109375" style="2131" customWidth="1"/>
    <col min="14594" max="14594" width="6.7109375" style="2131" customWidth="1"/>
    <col min="14595" max="14595" width="8.85546875" style="2131" customWidth="1"/>
    <col min="14596" max="14596" width="46.42578125" style="2131" customWidth="1"/>
    <col min="14597" max="14597" width="12.85546875" style="2131" customWidth="1"/>
    <col min="14598" max="14598" width="15.5703125" style="2131" customWidth="1"/>
    <col min="14599" max="14599" width="15.85546875" style="2131" customWidth="1"/>
    <col min="14600" max="14600" width="6.42578125" style="2131" customWidth="1"/>
    <col min="14601" max="14601" width="14.28515625" style="2131" bestFit="1" customWidth="1"/>
    <col min="14602" max="14602" width="9.140625" style="2131"/>
    <col min="14603" max="14604" width="14.7109375" style="2131" bestFit="1" customWidth="1"/>
    <col min="14605" max="14848" width="9.140625" style="2131"/>
    <col min="14849" max="14849" width="4.7109375" style="2131" customWidth="1"/>
    <col min="14850" max="14850" width="6.7109375" style="2131" customWidth="1"/>
    <col min="14851" max="14851" width="8.85546875" style="2131" customWidth="1"/>
    <col min="14852" max="14852" width="46.42578125" style="2131" customWidth="1"/>
    <col min="14853" max="14853" width="12.85546875" style="2131" customWidth="1"/>
    <col min="14854" max="14854" width="15.5703125" style="2131" customWidth="1"/>
    <col min="14855" max="14855" width="15.85546875" style="2131" customWidth="1"/>
    <col min="14856" max="14856" width="6.42578125" style="2131" customWidth="1"/>
    <col min="14857" max="14857" width="14.28515625" style="2131" bestFit="1" customWidth="1"/>
    <col min="14858" max="14858" width="9.140625" style="2131"/>
    <col min="14859" max="14860" width="14.7109375" style="2131" bestFit="1" customWidth="1"/>
    <col min="14861" max="15104" width="9.140625" style="2131"/>
    <col min="15105" max="15105" width="4.7109375" style="2131" customWidth="1"/>
    <col min="15106" max="15106" width="6.7109375" style="2131" customWidth="1"/>
    <col min="15107" max="15107" width="8.85546875" style="2131" customWidth="1"/>
    <col min="15108" max="15108" width="46.42578125" style="2131" customWidth="1"/>
    <col min="15109" max="15109" width="12.85546875" style="2131" customWidth="1"/>
    <col min="15110" max="15110" width="15.5703125" style="2131" customWidth="1"/>
    <col min="15111" max="15111" width="15.85546875" style="2131" customWidth="1"/>
    <col min="15112" max="15112" width="6.42578125" style="2131" customWidth="1"/>
    <col min="15113" max="15113" width="14.28515625" style="2131" bestFit="1" customWidth="1"/>
    <col min="15114" max="15114" width="9.140625" style="2131"/>
    <col min="15115" max="15116" width="14.7109375" style="2131" bestFit="1" customWidth="1"/>
    <col min="15117" max="15360" width="9.140625" style="2131"/>
    <col min="15361" max="15361" width="4.7109375" style="2131" customWidth="1"/>
    <col min="15362" max="15362" width="6.7109375" style="2131" customWidth="1"/>
    <col min="15363" max="15363" width="8.85546875" style="2131" customWidth="1"/>
    <col min="15364" max="15364" width="46.42578125" style="2131" customWidth="1"/>
    <col min="15365" max="15365" width="12.85546875" style="2131" customWidth="1"/>
    <col min="15366" max="15366" width="15.5703125" style="2131" customWidth="1"/>
    <col min="15367" max="15367" width="15.85546875" style="2131" customWidth="1"/>
    <col min="15368" max="15368" width="6.42578125" style="2131" customWidth="1"/>
    <col min="15369" max="15369" width="14.28515625" style="2131" bestFit="1" customWidth="1"/>
    <col min="15370" max="15370" width="9.140625" style="2131"/>
    <col min="15371" max="15372" width="14.7109375" style="2131" bestFit="1" customWidth="1"/>
    <col min="15373" max="15616" width="9.140625" style="2131"/>
    <col min="15617" max="15617" width="4.7109375" style="2131" customWidth="1"/>
    <col min="15618" max="15618" width="6.7109375" style="2131" customWidth="1"/>
    <col min="15619" max="15619" width="8.85546875" style="2131" customWidth="1"/>
    <col min="15620" max="15620" width="46.42578125" style="2131" customWidth="1"/>
    <col min="15621" max="15621" width="12.85546875" style="2131" customWidth="1"/>
    <col min="15622" max="15622" width="15.5703125" style="2131" customWidth="1"/>
    <col min="15623" max="15623" width="15.85546875" style="2131" customWidth="1"/>
    <col min="15624" max="15624" width="6.42578125" style="2131" customWidth="1"/>
    <col min="15625" max="15625" width="14.28515625" style="2131" bestFit="1" customWidth="1"/>
    <col min="15626" max="15626" width="9.140625" style="2131"/>
    <col min="15627" max="15628" width="14.7109375" style="2131" bestFit="1" customWidth="1"/>
    <col min="15629" max="15872" width="9.140625" style="2131"/>
    <col min="15873" max="15873" width="4.7109375" style="2131" customWidth="1"/>
    <col min="15874" max="15874" width="6.7109375" style="2131" customWidth="1"/>
    <col min="15875" max="15875" width="8.85546875" style="2131" customWidth="1"/>
    <col min="15876" max="15876" width="46.42578125" style="2131" customWidth="1"/>
    <col min="15877" max="15877" width="12.85546875" style="2131" customWidth="1"/>
    <col min="15878" max="15878" width="15.5703125" style="2131" customWidth="1"/>
    <col min="15879" max="15879" width="15.85546875" style="2131" customWidth="1"/>
    <col min="15880" max="15880" width="6.42578125" style="2131" customWidth="1"/>
    <col min="15881" max="15881" width="14.28515625" style="2131" bestFit="1" customWidth="1"/>
    <col min="15882" max="15882" width="9.140625" style="2131"/>
    <col min="15883" max="15884" width="14.7109375" style="2131" bestFit="1" customWidth="1"/>
    <col min="15885" max="16128" width="9.140625" style="2131"/>
    <col min="16129" max="16129" width="4.7109375" style="2131" customWidth="1"/>
    <col min="16130" max="16130" width="6.7109375" style="2131" customWidth="1"/>
    <col min="16131" max="16131" width="8.85546875" style="2131" customWidth="1"/>
    <col min="16132" max="16132" width="46.42578125" style="2131" customWidth="1"/>
    <col min="16133" max="16133" width="12.85546875" style="2131" customWidth="1"/>
    <col min="16134" max="16134" width="15.5703125" style="2131" customWidth="1"/>
    <col min="16135" max="16135" width="15.85546875" style="2131" customWidth="1"/>
    <col min="16136" max="16136" width="6.42578125" style="2131" customWidth="1"/>
    <col min="16137" max="16137" width="14.28515625" style="2131" bestFit="1" customWidth="1"/>
    <col min="16138" max="16138" width="9.140625" style="2131"/>
    <col min="16139" max="16140" width="14.7109375" style="2131" bestFit="1" customWidth="1"/>
    <col min="16141" max="16384" width="9.140625" style="2131"/>
  </cols>
  <sheetData>
    <row r="1" spans="1:8" ht="19.5" customHeight="1" thickBot="1" x14ac:dyDescent="0.3">
      <c r="A1" s="1944" t="s">
        <v>1221</v>
      </c>
      <c r="B1" s="1943"/>
      <c r="C1" s="2126"/>
      <c r="D1" s="1941"/>
      <c r="E1" s="1940"/>
      <c r="F1" s="1941"/>
      <c r="G1" s="2250"/>
      <c r="H1" s="1944"/>
    </row>
    <row r="2" spans="1:8" ht="18" x14ac:dyDescent="0.25">
      <c r="A2" s="2135"/>
      <c r="B2" s="2168"/>
      <c r="C2" s="2168"/>
      <c r="D2" s="2168"/>
      <c r="E2" s="2168"/>
      <c r="F2" s="2168"/>
      <c r="G2" s="2168"/>
      <c r="H2" s="2222" t="s">
        <v>1222</v>
      </c>
    </row>
    <row r="3" spans="1:8" ht="18" x14ac:dyDescent="0.25">
      <c r="A3" s="1939" t="s">
        <v>404</v>
      </c>
      <c r="B3" s="2168"/>
      <c r="C3" s="2129" t="s">
        <v>379</v>
      </c>
      <c r="D3" s="2168"/>
      <c r="E3" s="2168"/>
      <c r="F3" s="2168"/>
      <c r="G3" s="2168"/>
      <c r="H3" s="2222"/>
    </row>
    <row r="4" spans="1:8" ht="18" x14ac:dyDescent="0.25">
      <c r="A4" s="1939"/>
      <c r="B4" s="2168"/>
      <c r="C4" s="2129" t="s">
        <v>380</v>
      </c>
      <c r="D4" s="2168"/>
      <c r="E4" s="2168"/>
      <c r="F4" s="2168"/>
      <c r="G4" s="2168"/>
      <c r="H4" s="2222"/>
    </row>
    <row r="5" spans="1:8" ht="18" x14ac:dyDescent="0.25">
      <c r="A5" s="2134" t="s">
        <v>1223</v>
      </c>
      <c r="B5" s="2168"/>
      <c r="C5" s="2168"/>
      <c r="D5" s="2168"/>
      <c r="E5" s="2168"/>
      <c r="F5" s="2168"/>
      <c r="G5" s="2168"/>
      <c r="H5" s="2222"/>
    </row>
    <row r="6" spans="1:8" ht="18" x14ac:dyDescent="0.25">
      <c r="A6" s="2134"/>
      <c r="B6" s="2168"/>
      <c r="C6" s="2168"/>
      <c r="D6" s="2168"/>
      <c r="E6" s="2168"/>
      <c r="F6" s="2168"/>
      <c r="G6" s="2168"/>
      <c r="H6" s="2222"/>
    </row>
    <row r="7" spans="1:8" ht="13.5" thickBot="1" x14ac:dyDescent="0.25">
      <c r="H7" s="2161" t="s">
        <v>179</v>
      </c>
    </row>
    <row r="8" spans="1:8" s="1849" customFormat="1" ht="25.5" thickTop="1" thickBot="1" x14ac:dyDescent="0.25">
      <c r="A8" s="2138" t="s">
        <v>180</v>
      </c>
      <c r="B8" s="2139" t="s">
        <v>847</v>
      </c>
      <c r="C8" s="2139" t="s">
        <v>414</v>
      </c>
      <c r="D8" s="2140" t="s">
        <v>182</v>
      </c>
      <c r="E8" s="2171" t="s">
        <v>700</v>
      </c>
      <c r="F8" s="2171" t="s">
        <v>701</v>
      </c>
      <c r="G8" s="2172" t="s">
        <v>986</v>
      </c>
      <c r="H8" s="2173" t="s">
        <v>987</v>
      </c>
    </row>
    <row r="9" spans="1:8" s="1849" customFormat="1" ht="13.5" thickTop="1" thickBot="1" x14ac:dyDescent="0.25">
      <c r="A9" s="1854">
        <v>1</v>
      </c>
      <c r="B9" s="1853">
        <v>2</v>
      </c>
      <c r="C9" s="1853">
        <v>3</v>
      </c>
      <c r="D9" s="1853">
        <v>4</v>
      </c>
      <c r="E9" s="1852">
        <v>5</v>
      </c>
      <c r="F9" s="1852">
        <v>6</v>
      </c>
      <c r="G9" s="2223">
        <v>7</v>
      </c>
      <c r="H9" s="2251" t="s">
        <v>61</v>
      </c>
    </row>
    <row r="10" spans="1:8" ht="15.75" thickTop="1" x14ac:dyDescent="0.25">
      <c r="A10" s="2166">
        <v>3299</v>
      </c>
      <c r="B10" s="2149">
        <v>5011</v>
      </c>
      <c r="C10" s="2252">
        <v>32133007</v>
      </c>
      <c r="D10" s="2169" t="s">
        <v>225</v>
      </c>
      <c r="E10" s="2170">
        <v>0</v>
      </c>
      <c r="F10" s="2170">
        <v>307</v>
      </c>
      <c r="G10" s="2170">
        <v>307</v>
      </c>
      <c r="H10" s="2153">
        <f t="shared" ref="H10:H23" si="0">G10/F10*100</f>
        <v>100</v>
      </c>
    </row>
    <row r="11" spans="1:8" ht="15" x14ac:dyDescent="0.2">
      <c r="A11" s="2246">
        <v>3299</v>
      </c>
      <c r="B11" s="2253">
        <v>5011</v>
      </c>
      <c r="C11" s="2254">
        <v>32533007</v>
      </c>
      <c r="D11" s="2255" t="s">
        <v>225</v>
      </c>
      <c r="E11" s="2184">
        <v>0</v>
      </c>
      <c r="F11" s="2184">
        <v>1743</v>
      </c>
      <c r="G11" s="2184">
        <v>1743</v>
      </c>
      <c r="H11" s="2156">
        <f t="shared" si="0"/>
        <v>100</v>
      </c>
    </row>
    <row r="12" spans="1:8" s="2259" customFormat="1" ht="30" x14ac:dyDescent="0.2">
      <c r="A12" s="2256">
        <v>3299</v>
      </c>
      <c r="B12" s="2257">
        <v>5031</v>
      </c>
      <c r="C12" s="2258">
        <v>32133007</v>
      </c>
      <c r="D12" s="2174" t="s">
        <v>1459</v>
      </c>
      <c r="E12" s="2184">
        <v>0</v>
      </c>
      <c r="F12" s="2184">
        <v>77</v>
      </c>
      <c r="G12" s="2184">
        <v>77</v>
      </c>
      <c r="H12" s="2156">
        <f t="shared" si="0"/>
        <v>100</v>
      </c>
    </row>
    <row r="13" spans="1:8" s="2259" customFormat="1" ht="30" x14ac:dyDescent="0.2">
      <c r="A13" s="2256">
        <v>3299</v>
      </c>
      <c r="B13" s="2257">
        <v>5031</v>
      </c>
      <c r="C13" s="2258">
        <v>32533007</v>
      </c>
      <c r="D13" s="2174" t="s">
        <v>1459</v>
      </c>
      <c r="E13" s="2184">
        <v>0</v>
      </c>
      <c r="F13" s="2184">
        <v>436</v>
      </c>
      <c r="G13" s="2184">
        <v>436</v>
      </c>
      <c r="H13" s="2156">
        <f t="shared" si="0"/>
        <v>100</v>
      </c>
    </row>
    <row r="14" spans="1:8" s="2185" customFormat="1" ht="30" x14ac:dyDescent="0.2">
      <c r="A14" s="2246">
        <v>3299</v>
      </c>
      <c r="B14" s="2253">
        <v>5032</v>
      </c>
      <c r="C14" s="2258">
        <v>32133007</v>
      </c>
      <c r="D14" s="2174" t="s">
        <v>1460</v>
      </c>
      <c r="E14" s="2184">
        <v>0</v>
      </c>
      <c r="F14" s="2184">
        <v>27</v>
      </c>
      <c r="G14" s="2184">
        <v>27</v>
      </c>
      <c r="H14" s="2156">
        <f t="shared" si="0"/>
        <v>100</v>
      </c>
    </row>
    <row r="15" spans="1:8" s="2185" customFormat="1" ht="30" x14ac:dyDescent="0.2">
      <c r="A15" s="2246">
        <v>3299</v>
      </c>
      <c r="B15" s="2253">
        <v>5032</v>
      </c>
      <c r="C15" s="2258">
        <v>32533007</v>
      </c>
      <c r="D15" s="2174" t="s">
        <v>1460</v>
      </c>
      <c r="E15" s="2184">
        <v>0</v>
      </c>
      <c r="F15" s="2184">
        <v>157</v>
      </c>
      <c r="G15" s="2184">
        <v>157</v>
      </c>
      <c r="H15" s="2156">
        <f t="shared" si="0"/>
        <v>100</v>
      </c>
    </row>
    <row r="16" spans="1:8" ht="15" x14ac:dyDescent="0.2">
      <c r="A16" s="2246">
        <v>3299</v>
      </c>
      <c r="B16" s="2253">
        <v>5163</v>
      </c>
      <c r="C16" s="2258">
        <v>32133007</v>
      </c>
      <c r="D16" s="2174" t="s">
        <v>997</v>
      </c>
      <c r="E16" s="2184">
        <v>0</v>
      </c>
      <c r="F16" s="2184">
        <v>0</v>
      </c>
      <c r="G16" s="2184">
        <v>0</v>
      </c>
      <c r="H16" s="2156">
        <v>0</v>
      </c>
    </row>
    <row r="17" spans="1:10" ht="15" x14ac:dyDescent="0.2">
      <c r="A17" s="2246">
        <v>3299</v>
      </c>
      <c r="B17" s="2253">
        <v>5163</v>
      </c>
      <c r="C17" s="2258">
        <v>32533007</v>
      </c>
      <c r="D17" s="2174" t="s">
        <v>997</v>
      </c>
      <c r="E17" s="2184">
        <v>0</v>
      </c>
      <c r="F17" s="2184">
        <v>1</v>
      </c>
      <c r="G17" s="2184">
        <v>1</v>
      </c>
      <c r="H17" s="2156">
        <f t="shared" si="0"/>
        <v>100</v>
      </c>
    </row>
    <row r="18" spans="1:10" ht="15" hidden="1" x14ac:dyDescent="0.2">
      <c r="A18" s="2246">
        <v>3299</v>
      </c>
      <c r="B18" s="2253">
        <v>5164</v>
      </c>
      <c r="C18" s="2258">
        <v>32133007</v>
      </c>
      <c r="D18" s="2174" t="s">
        <v>188</v>
      </c>
      <c r="E18" s="2184">
        <v>0</v>
      </c>
      <c r="F18" s="2184">
        <v>0</v>
      </c>
      <c r="G18" s="2184">
        <v>0</v>
      </c>
      <c r="H18" s="2156" t="e">
        <f t="shared" si="0"/>
        <v>#DIV/0!</v>
      </c>
    </row>
    <row r="19" spans="1:10" ht="15" hidden="1" x14ac:dyDescent="0.2">
      <c r="A19" s="2246">
        <v>3299</v>
      </c>
      <c r="B19" s="2253">
        <v>5164</v>
      </c>
      <c r="C19" s="2258">
        <v>32533007</v>
      </c>
      <c r="D19" s="2174" t="s">
        <v>188</v>
      </c>
      <c r="E19" s="2184">
        <v>0</v>
      </c>
      <c r="F19" s="2184">
        <v>0</v>
      </c>
      <c r="G19" s="2184">
        <v>0</v>
      </c>
      <c r="H19" s="2156" t="e">
        <f t="shared" si="0"/>
        <v>#DIV/0!</v>
      </c>
    </row>
    <row r="20" spans="1:10" ht="15" x14ac:dyDescent="0.2">
      <c r="A20" s="2246">
        <v>3299</v>
      </c>
      <c r="B20" s="2253">
        <v>5166</v>
      </c>
      <c r="C20" s="2258">
        <v>32133007</v>
      </c>
      <c r="D20" s="2255" t="s">
        <v>677</v>
      </c>
      <c r="E20" s="2184">
        <v>0</v>
      </c>
      <c r="F20" s="2184">
        <v>14</v>
      </c>
      <c r="G20" s="2184">
        <v>14</v>
      </c>
      <c r="H20" s="2156">
        <f t="shared" si="0"/>
        <v>100</v>
      </c>
    </row>
    <row r="21" spans="1:10" ht="15" x14ac:dyDescent="0.2">
      <c r="A21" s="2246">
        <v>3299</v>
      </c>
      <c r="B21" s="2253">
        <v>5166</v>
      </c>
      <c r="C21" s="2258">
        <v>32533007</v>
      </c>
      <c r="D21" s="2255" t="s">
        <v>677</v>
      </c>
      <c r="E21" s="2184">
        <v>0</v>
      </c>
      <c r="F21" s="2184">
        <v>79</v>
      </c>
      <c r="G21" s="2184">
        <v>79</v>
      </c>
      <c r="H21" s="2156">
        <f t="shared" si="0"/>
        <v>100</v>
      </c>
    </row>
    <row r="22" spans="1:10" ht="15" hidden="1" x14ac:dyDescent="0.2">
      <c r="A22" s="2246">
        <v>3299</v>
      </c>
      <c r="B22" s="2253">
        <v>5167</v>
      </c>
      <c r="C22" s="2258">
        <v>32133007</v>
      </c>
      <c r="D22" s="2255" t="s">
        <v>1000</v>
      </c>
      <c r="E22" s="2184">
        <v>0</v>
      </c>
      <c r="F22" s="2184">
        <v>0</v>
      </c>
      <c r="G22" s="2184">
        <v>0</v>
      </c>
      <c r="H22" s="2156" t="e">
        <f t="shared" si="0"/>
        <v>#DIV/0!</v>
      </c>
    </row>
    <row r="23" spans="1:10" ht="15" hidden="1" x14ac:dyDescent="0.2">
      <c r="A23" s="2246">
        <v>3299</v>
      </c>
      <c r="B23" s="2253">
        <v>5167</v>
      </c>
      <c r="C23" s="2258">
        <v>32533007</v>
      </c>
      <c r="D23" s="2255" t="s">
        <v>1000</v>
      </c>
      <c r="E23" s="2184">
        <v>0</v>
      </c>
      <c r="F23" s="2184">
        <v>0</v>
      </c>
      <c r="G23" s="2184">
        <v>0</v>
      </c>
      <c r="H23" s="2156" t="e">
        <f t="shared" si="0"/>
        <v>#DIV/0!</v>
      </c>
      <c r="J23" s="2260"/>
    </row>
    <row r="24" spans="1:10" s="2168" customFormat="1" ht="15" hidden="1" x14ac:dyDescent="0.2">
      <c r="A24" s="2246">
        <v>3299</v>
      </c>
      <c r="B24" s="2253">
        <v>5169</v>
      </c>
      <c r="C24" s="2258">
        <v>32133007</v>
      </c>
      <c r="D24" s="2174" t="s">
        <v>955</v>
      </c>
      <c r="E24" s="2184">
        <v>0</v>
      </c>
      <c r="F24" s="2184">
        <v>0</v>
      </c>
      <c r="G24" s="2184">
        <v>0</v>
      </c>
      <c r="H24" s="2156">
        <v>0</v>
      </c>
    </row>
    <row r="25" spans="1:10" s="2168" customFormat="1" ht="15" hidden="1" x14ac:dyDescent="0.2">
      <c r="A25" s="2246">
        <v>3299</v>
      </c>
      <c r="B25" s="2253">
        <v>5169</v>
      </c>
      <c r="C25" s="2258">
        <v>32533007</v>
      </c>
      <c r="D25" s="2174" t="s">
        <v>955</v>
      </c>
      <c r="E25" s="2184">
        <v>0</v>
      </c>
      <c r="F25" s="2184">
        <v>0</v>
      </c>
      <c r="G25" s="2184">
        <v>0</v>
      </c>
      <c r="H25" s="2156">
        <v>0</v>
      </c>
    </row>
    <row r="26" spans="1:10" ht="15" hidden="1" x14ac:dyDescent="0.2">
      <c r="A26" s="2246">
        <v>3299</v>
      </c>
      <c r="B26" s="2253">
        <v>5172</v>
      </c>
      <c r="C26" s="2258">
        <v>32133007</v>
      </c>
      <c r="D26" s="2174" t="s">
        <v>1002</v>
      </c>
      <c r="E26" s="2184">
        <v>0</v>
      </c>
      <c r="F26" s="2184">
        <v>0</v>
      </c>
      <c r="G26" s="2184">
        <v>0</v>
      </c>
      <c r="H26" s="2156">
        <v>0</v>
      </c>
    </row>
    <row r="27" spans="1:10" ht="15" hidden="1" x14ac:dyDescent="0.2">
      <c r="A27" s="2246">
        <v>3299</v>
      </c>
      <c r="B27" s="2253">
        <v>5172</v>
      </c>
      <c r="C27" s="2258">
        <v>32533007</v>
      </c>
      <c r="D27" s="2174" t="s">
        <v>1002</v>
      </c>
      <c r="E27" s="2184">
        <v>0</v>
      </c>
      <c r="F27" s="2184">
        <v>0</v>
      </c>
      <c r="G27" s="2184">
        <v>0</v>
      </c>
      <c r="H27" s="2156">
        <v>0</v>
      </c>
    </row>
    <row r="28" spans="1:10" ht="15" hidden="1" x14ac:dyDescent="0.2">
      <c r="A28" s="2246">
        <v>3299</v>
      </c>
      <c r="B28" s="2253">
        <v>5175</v>
      </c>
      <c r="C28" s="2258">
        <v>32133007</v>
      </c>
      <c r="D28" s="2174" t="s">
        <v>740</v>
      </c>
      <c r="E28" s="2184">
        <v>0</v>
      </c>
      <c r="F28" s="2184">
        <v>0</v>
      </c>
      <c r="G28" s="2184">
        <v>0</v>
      </c>
      <c r="H28" s="2156" t="e">
        <f>G28/F28*100</f>
        <v>#DIV/0!</v>
      </c>
    </row>
    <row r="29" spans="1:10" ht="15" hidden="1" x14ac:dyDescent="0.2">
      <c r="A29" s="2246">
        <v>3299</v>
      </c>
      <c r="B29" s="2253">
        <v>5175</v>
      </c>
      <c r="C29" s="2258">
        <v>32533007</v>
      </c>
      <c r="D29" s="2174" t="s">
        <v>740</v>
      </c>
      <c r="E29" s="2184">
        <v>0</v>
      </c>
      <c r="F29" s="2184">
        <v>0</v>
      </c>
      <c r="G29" s="2184">
        <v>0</v>
      </c>
      <c r="H29" s="2156" t="e">
        <f>G29/F29*100</f>
        <v>#DIV/0!</v>
      </c>
    </row>
    <row r="30" spans="1:10" ht="15" hidden="1" x14ac:dyDescent="0.2">
      <c r="A30" s="2246">
        <v>3299</v>
      </c>
      <c r="B30" s="2253">
        <v>5901</v>
      </c>
      <c r="C30" s="2258">
        <v>32133007</v>
      </c>
      <c r="D30" s="2174" t="s">
        <v>670</v>
      </c>
      <c r="E30" s="2184"/>
      <c r="F30" s="2184">
        <v>0</v>
      </c>
      <c r="G30" s="2184">
        <v>0</v>
      </c>
      <c r="H30" s="2156" t="e">
        <f>G30/F30*100</f>
        <v>#DIV/0!</v>
      </c>
    </row>
    <row r="31" spans="1:10" ht="45.75" customHeight="1" thickBot="1" x14ac:dyDescent="0.25">
      <c r="A31" s="2246">
        <v>6402</v>
      </c>
      <c r="B31" s="2253">
        <v>5364</v>
      </c>
      <c r="C31" s="2258">
        <v>19</v>
      </c>
      <c r="D31" s="2261" t="s">
        <v>1825</v>
      </c>
      <c r="E31" s="2181">
        <v>0</v>
      </c>
      <c r="F31" s="2181">
        <v>8</v>
      </c>
      <c r="G31" s="2181">
        <v>8</v>
      </c>
      <c r="H31" s="2163">
        <f>G31/F31*100</f>
        <v>100</v>
      </c>
    </row>
    <row r="32" spans="1:10" s="2164" customFormat="1" ht="16.5" thickTop="1" thickBot="1" x14ac:dyDescent="0.3">
      <c r="A32" s="2806" t="s">
        <v>849</v>
      </c>
      <c r="B32" s="2807"/>
      <c r="C32" s="2807"/>
      <c r="D32" s="2807"/>
      <c r="E32" s="2152">
        <f>SUM(E10:E29)</f>
        <v>0</v>
      </c>
      <c r="F32" s="2152">
        <f>SUM(F10:F31)</f>
        <v>2849</v>
      </c>
      <c r="G32" s="2152">
        <f>SUM(G10:G31)</f>
        <v>2849</v>
      </c>
      <c r="H32" s="2163">
        <f>G32/F32*100</f>
        <v>100</v>
      </c>
      <c r="I32" s="2262"/>
    </row>
    <row r="33" spans="1:12" ht="18" customHeight="1" thickTop="1" x14ac:dyDescent="0.25">
      <c r="A33" s="2158"/>
      <c r="B33" s="2158"/>
      <c r="C33" s="2158"/>
      <c r="D33" s="2158"/>
      <c r="E33" s="2263"/>
      <c r="F33" s="2263"/>
      <c r="G33" s="2263"/>
      <c r="H33" s="2190"/>
      <c r="I33" s="2165"/>
    </row>
    <row r="34" spans="1:12" ht="18" customHeight="1" x14ac:dyDescent="0.25">
      <c r="A34" s="2158"/>
      <c r="B34" s="2158"/>
      <c r="C34" s="2158"/>
      <c r="D34" s="2158"/>
      <c r="E34" s="2263"/>
      <c r="F34" s="2263"/>
      <c r="G34" s="2263"/>
      <c r="H34" s="2190"/>
      <c r="I34" s="2165"/>
    </row>
    <row r="35" spans="1:12" ht="18" customHeight="1" x14ac:dyDescent="0.25">
      <c r="A35" s="2158"/>
      <c r="B35" s="2158"/>
      <c r="C35" s="2158"/>
      <c r="D35" s="2158"/>
      <c r="E35" s="2263"/>
      <c r="F35" s="2263"/>
      <c r="G35" s="2263"/>
      <c r="H35" s="2190"/>
      <c r="I35" s="2165"/>
    </row>
    <row r="36" spans="1:12" ht="16.5" x14ac:dyDescent="0.25">
      <c r="A36" s="2206" t="s">
        <v>508</v>
      </c>
      <c r="B36" s="2207"/>
      <c r="C36" s="2208"/>
      <c r="D36" s="2209"/>
      <c r="E36" s="2210">
        <f>SUM(E37:E39)</f>
        <v>0</v>
      </c>
      <c r="F36" s="2210">
        <f>F37+F38+F39+F40</f>
        <v>2849</v>
      </c>
      <c r="G36" s="2210">
        <f>G37+G38+G39+G40</f>
        <v>2849</v>
      </c>
      <c r="H36" s="2232">
        <f>G36/F36*100</f>
        <v>100</v>
      </c>
      <c r="J36" s="2212">
        <f>J37+J38+J39</f>
        <v>0</v>
      </c>
      <c r="K36" s="2212">
        <f>K37+K38+K39</f>
        <v>2849258.72</v>
      </c>
      <c r="L36" s="2212">
        <f>L37+L38+L39</f>
        <v>2849258.72</v>
      </c>
    </row>
    <row r="37" spans="1:12" ht="15" x14ac:dyDescent="0.2">
      <c r="A37" s="1810" t="s">
        <v>288</v>
      </c>
      <c r="B37" s="1813"/>
      <c r="C37" s="1808"/>
      <c r="D37" s="2213"/>
      <c r="E37" s="1811">
        <f>SUM(E32)</f>
        <v>0</v>
      </c>
      <c r="F37" s="1811">
        <f>SUM(F32)</f>
        <v>2849</v>
      </c>
      <c r="G37" s="1811">
        <f>SUM(G32)</f>
        <v>2849</v>
      </c>
      <c r="H37" s="2231">
        <f>G37/F37*100</f>
        <v>100</v>
      </c>
      <c r="J37" s="2214">
        <v>0</v>
      </c>
      <c r="K37" s="2214">
        <v>2849258.72</v>
      </c>
      <c r="L37" s="2214">
        <v>2849258.72</v>
      </c>
    </row>
    <row r="38" spans="1:12" ht="15" x14ac:dyDescent="0.2">
      <c r="A38" s="1810" t="s">
        <v>289</v>
      </c>
      <c r="B38" s="1809"/>
      <c r="C38" s="1808"/>
      <c r="D38" s="2215"/>
      <c r="E38" s="1811">
        <v>0</v>
      </c>
      <c r="F38" s="1811">
        <v>0</v>
      </c>
      <c r="G38" s="1811">
        <v>0</v>
      </c>
      <c r="H38" s="2231">
        <v>0</v>
      </c>
      <c r="J38" s="2214">
        <v>0</v>
      </c>
      <c r="K38" s="2214">
        <v>0</v>
      </c>
      <c r="L38" s="2214">
        <v>0</v>
      </c>
    </row>
    <row r="39" spans="1:12" ht="15" x14ac:dyDescent="0.2">
      <c r="A39" s="1810" t="s">
        <v>509</v>
      </c>
      <c r="B39" s="1809"/>
      <c r="C39" s="1808"/>
      <c r="D39" s="2215"/>
      <c r="E39" s="1811">
        <v>0</v>
      </c>
      <c r="F39" s="1811">
        <v>0</v>
      </c>
      <c r="G39" s="1811">
        <v>0</v>
      </c>
      <c r="H39" s="2231">
        <v>0</v>
      </c>
      <c r="J39" s="2214">
        <v>0</v>
      </c>
      <c r="K39" s="2214">
        <v>0</v>
      </c>
      <c r="L39" s="2214">
        <v>0</v>
      </c>
    </row>
    <row r="40" spans="1:12" ht="15" x14ac:dyDescent="0.2">
      <c r="A40" s="1810"/>
      <c r="B40" s="1809"/>
      <c r="C40" s="1808"/>
      <c r="D40" s="2215"/>
      <c r="E40" s="1811"/>
      <c r="F40" s="1811"/>
      <c r="G40" s="1811"/>
      <c r="H40" s="1807"/>
    </row>
    <row r="41" spans="1:12" ht="71.25" customHeight="1" thickBot="1" x14ac:dyDescent="0.4">
      <c r="A41" s="2800" t="s">
        <v>824</v>
      </c>
      <c r="B41" s="2801"/>
      <c r="C41" s="2801"/>
      <c r="D41" s="2801"/>
      <c r="E41" s="1801">
        <f>SUM(E36)</f>
        <v>0</v>
      </c>
      <c r="F41" s="1801">
        <f>SUM(F36)</f>
        <v>2849</v>
      </c>
      <c r="G41" s="1801">
        <f>SUM(G36)</f>
        <v>2849</v>
      </c>
      <c r="H41" s="1800">
        <f>(G41/F41)*100</f>
        <v>100</v>
      </c>
    </row>
    <row r="42" spans="1:12" ht="13.5" thickTop="1" x14ac:dyDescent="0.2"/>
    <row r="163" spans="1:5" ht="13.5" thickBot="1" x14ac:dyDescent="0.25">
      <c r="A163" s="2179"/>
      <c r="B163" s="2179"/>
      <c r="C163" s="2179"/>
      <c r="D163" s="2264"/>
      <c r="E163" s="2265"/>
    </row>
    <row r="164" spans="1:5" ht="13.5" thickTop="1" x14ac:dyDescent="0.2">
      <c r="A164" s="2204"/>
      <c r="B164" s="2204"/>
      <c r="C164" s="2204"/>
      <c r="D164" s="2193"/>
      <c r="E164" s="2266"/>
    </row>
    <row r="165" spans="1:5" x14ac:dyDescent="0.2">
      <c r="D165" s="2131" t="e">
        <f>#REF!+#REF!</f>
        <v>#REF!</v>
      </c>
    </row>
  </sheetData>
  <mergeCells count="2">
    <mergeCell ref="A32:D32"/>
    <mergeCell ref="A41:D41"/>
  </mergeCells>
  <pageMargins left="0.78740157480314965" right="0.98425196850393704" top="0.98425196850393704" bottom="0.98425196850393704" header="0.51181102362204722" footer="0.51181102362204722"/>
  <pageSetup paperSize="9" scale="70" firstPageNumber="135" orientation="portrait" useFirstPageNumber="1" r:id="rId1"/>
  <headerFooter alignWithMargins="0">
    <oddFooter xml:space="preserve">&amp;L&amp;"Arial,Kurzíva"Zastupitelstvo Olomouckého kraje 28. 6. 2013
6.- Závěrečný  účet Olomuckého kraje za rok 2012
Příloha č. 3: Plnění rozpočtu výdajů Olomouckého kraje k 31.12.2012&amp;R&amp;"Arial,Kurzíva"Strana &amp;P (Celkem 484)
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199"/>
  <sheetViews>
    <sheetView showGridLines="0" view="pageBreakPreview" zoomScaleNormal="100" zoomScaleSheetLayoutView="100" workbookViewId="0">
      <selection activeCell="B159" sqref="B159"/>
    </sheetView>
  </sheetViews>
  <sheetFormatPr defaultRowHeight="12.75" x14ac:dyDescent="0.2"/>
  <cols>
    <col min="1" max="1" width="4.7109375" style="1798" customWidth="1"/>
    <col min="2" max="2" width="4.7109375" style="1791" customWidth="1"/>
    <col min="3" max="3" width="8.85546875" style="1797" customWidth="1"/>
    <col min="4" max="4" width="47.28515625" style="1791" customWidth="1"/>
    <col min="5" max="5" width="12.85546875" style="1796" customWidth="1"/>
    <col min="6" max="6" width="15" style="1796" customWidth="1"/>
    <col min="7" max="7" width="14.85546875" style="1796" customWidth="1"/>
    <col min="8" max="8" width="8.28515625" style="1795" customWidth="1"/>
    <col min="9" max="16384" width="9.140625" style="1791"/>
  </cols>
  <sheetData>
    <row r="1" spans="1:9" ht="18.75" thickBot="1" x14ac:dyDescent="0.3">
      <c r="A1" s="1944" t="s">
        <v>1404</v>
      </c>
      <c r="B1" s="1943"/>
      <c r="C1" s="1943"/>
      <c r="D1" s="1942"/>
      <c r="E1" s="1941"/>
      <c r="F1" s="1940" t="s">
        <v>674</v>
      </c>
      <c r="I1" s="1865"/>
    </row>
    <row r="2" spans="1:9" ht="12.75" customHeight="1" x14ac:dyDescent="0.25">
      <c r="A2" s="1936"/>
      <c r="B2" s="1870"/>
      <c r="C2" s="1870"/>
      <c r="D2" s="1935"/>
      <c r="E2" s="1867"/>
      <c r="F2" s="1867"/>
      <c r="G2" s="1866"/>
      <c r="H2" s="1864"/>
      <c r="I2" s="1865"/>
    </row>
    <row r="3" spans="1:9" ht="12.75" customHeight="1" x14ac:dyDescent="0.25">
      <c r="A3" s="1939" t="s">
        <v>404</v>
      </c>
      <c r="B3" s="1870"/>
      <c r="C3" s="1937" t="s">
        <v>402</v>
      </c>
      <c r="D3" s="1938"/>
      <c r="E3" s="1867"/>
      <c r="F3" s="1866"/>
      <c r="G3" s="1865"/>
      <c r="H3" s="1864"/>
    </row>
    <row r="4" spans="1:9" ht="12.75" customHeight="1" x14ac:dyDescent="0.25">
      <c r="A4" s="1936"/>
      <c r="B4" s="1870"/>
      <c r="C4" s="1937" t="s">
        <v>403</v>
      </c>
      <c r="D4" s="1796"/>
      <c r="E4" s="1867"/>
      <c r="F4" s="1866"/>
      <c r="G4" s="1865"/>
      <c r="H4" s="1864"/>
    </row>
    <row r="5" spans="1:9" ht="12.75" customHeight="1" x14ac:dyDescent="0.25">
      <c r="A5" s="1936"/>
      <c r="B5" s="1870"/>
      <c r="C5" s="1870"/>
      <c r="D5" s="1935"/>
      <c r="E5" s="1867"/>
      <c r="F5" s="1867"/>
      <c r="G5" s="1866"/>
      <c r="H5" s="1864"/>
      <c r="I5" s="1865"/>
    </row>
    <row r="6" spans="1:9" ht="18" x14ac:dyDescent="0.25">
      <c r="A6" s="1871" t="s">
        <v>988</v>
      </c>
      <c r="B6" s="1870"/>
      <c r="C6" s="1870"/>
      <c r="D6" s="1935"/>
      <c r="E6" s="1867"/>
      <c r="F6" s="1867"/>
      <c r="G6" s="1866"/>
      <c r="H6" s="1864"/>
      <c r="I6" s="1865"/>
    </row>
    <row r="7" spans="1:9" ht="13.5" thickBot="1" x14ac:dyDescent="0.25">
      <c r="A7" s="1863"/>
      <c r="B7" s="1863"/>
      <c r="C7" s="1863"/>
      <c r="D7" s="1899"/>
      <c r="G7" s="1861"/>
      <c r="H7" s="1795" t="s">
        <v>179</v>
      </c>
    </row>
    <row r="8" spans="1:9" s="1855" customFormat="1" ht="20.25" customHeight="1" thickTop="1" thickBot="1" x14ac:dyDescent="0.25">
      <c r="A8" s="1860" t="s">
        <v>180</v>
      </c>
      <c r="B8" s="1859" t="s">
        <v>181</v>
      </c>
      <c r="C8" s="1898" t="s">
        <v>783</v>
      </c>
      <c r="D8" s="1898" t="s">
        <v>182</v>
      </c>
      <c r="E8" s="1898" t="s">
        <v>183</v>
      </c>
      <c r="F8" s="1898" t="s">
        <v>985</v>
      </c>
      <c r="G8" s="1898" t="s">
        <v>986</v>
      </c>
      <c r="H8" s="1856" t="s">
        <v>987</v>
      </c>
    </row>
    <row r="9" spans="1:9" s="1849" customFormat="1" ht="13.5" thickTop="1" thickBot="1" x14ac:dyDescent="0.25">
      <c r="A9" s="1854">
        <v>1</v>
      </c>
      <c r="B9" s="1853">
        <v>2</v>
      </c>
      <c r="C9" s="1853">
        <v>3</v>
      </c>
      <c r="D9" s="1853">
        <v>4</v>
      </c>
      <c r="E9" s="1853">
        <v>5</v>
      </c>
      <c r="F9" s="1852">
        <v>6</v>
      </c>
      <c r="G9" s="1852">
        <v>7</v>
      </c>
      <c r="H9" s="1851" t="s">
        <v>61</v>
      </c>
      <c r="I9" s="1850"/>
    </row>
    <row r="10" spans="1:9" s="1924" customFormat="1" ht="15.75" thickTop="1" x14ac:dyDescent="0.25">
      <c r="A10" s="1934">
        <v>2143</v>
      </c>
      <c r="B10" s="1933">
        <v>5139</v>
      </c>
      <c r="C10" s="1932"/>
      <c r="D10" s="1931" t="s">
        <v>693</v>
      </c>
      <c r="E10" s="1847">
        <v>300</v>
      </c>
      <c r="F10" s="1848">
        <v>300</v>
      </c>
      <c r="G10" s="1847">
        <v>300</v>
      </c>
      <c r="H10" s="1893">
        <f t="shared" ref="H10:H46" si="0">(G10/F10)*100</f>
        <v>100</v>
      </c>
    </row>
    <row r="11" spans="1:9" s="1924" customFormat="1" ht="15" customHeight="1" x14ac:dyDescent="0.25">
      <c r="A11" s="1930"/>
      <c r="B11" s="1929"/>
      <c r="C11" s="1835" t="s">
        <v>1704</v>
      </c>
      <c r="D11" s="1923" t="s">
        <v>1703</v>
      </c>
      <c r="E11" s="1926">
        <v>300</v>
      </c>
      <c r="F11" s="1925">
        <v>300</v>
      </c>
      <c r="G11" s="1828">
        <v>300</v>
      </c>
      <c r="H11" s="1889">
        <f t="shared" si="0"/>
        <v>100</v>
      </c>
    </row>
    <row r="12" spans="1:9" s="1924" customFormat="1" ht="15" customHeight="1" x14ac:dyDescent="0.25">
      <c r="A12" s="1916">
        <v>2143</v>
      </c>
      <c r="B12" s="1915">
        <v>5166</v>
      </c>
      <c r="C12" s="1835"/>
      <c r="D12" s="1888" t="s">
        <v>677</v>
      </c>
      <c r="E12" s="1927">
        <v>475</v>
      </c>
      <c r="F12" s="1928">
        <v>356</v>
      </c>
      <c r="G12" s="1837">
        <v>356</v>
      </c>
      <c r="H12" s="1893">
        <f t="shared" si="0"/>
        <v>100</v>
      </c>
    </row>
    <row r="13" spans="1:9" s="1924" customFormat="1" ht="15" customHeight="1" x14ac:dyDescent="0.2">
      <c r="A13" s="1916"/>
      <c r="B13" s="1915"/>
      <c r="C13" s="1835" t="s">
        <v>1704</v>
      </c>
      <c r="D13" s="1842" t="s">
        <v>1703</v>
      </c>
      <c r="E13" s="1926">
        <v>475</v>
      </c>
      <c r="F13" s="1925">
        <v>356</v>
      </c>
      <c r="G13" s="1828">
        <v>356</v>
      </c>
      <c r="H13" s="1889">
        <f t="shared" si="0"/>
        <v>100</v>
      </c>
    </row>
    <row r="14" spans="1:9" s="1826" customFormat="1" ht="15" x14ac:dyDescent="0.25">
      <c r="A14" s="1916">
        <v>2143</v>
      </c>
      <c r="B14" s="1915">
        <v>5169</v>
      </c>
      <c r="C14" s="1835"/>
      <c r="D14" s="1888" t="s">
        <v>955</v>
      </c>
      <c r="E14" s="1895">
        <f>E15+E16</f>
        <v>9635</v>
      </c>
      <c r="F14" s="1895">
        <f>F15+F16</f>
        <v>9154</v>
      </c>
      <c r="G14" s="1895">
        <f>G15+G16</f>
        <v>4845</v>
      </c>
      <c r="H14" s="1893">
        <f t="shared" si="0"/>
        <v>52.927681887699364</v>
      </c>
    </row>
    <row r="15" spans="1:9" s="1826" customFormat="1" ht="15" customHeight="1" x14ac:dyDescent="0.2">
      <c r="A15" s="1916"/>
      <c r="B15" s="1915"/>
      <c r="C15" s="1835" t="s">
        <v>1704</v>
      </c>
      <c r="D15" s="1842" t="s">
        <v>1703</v>
      </c>
      <c r="E15" s="1830">
        <v>5235</v>
      </c>
      <c r="F15" s="1829">
        <v>4754</v>
      </c>
      <c r="G15" s="1828">
        <v>4415</v>
      </c>
      <c r="H15" s="1889">
        <f t="shared" si="0"/>
        <v>92.869162810265038</v>
      </c>
    </row>
    <row r="16" spans="1:9" s="1826" customFormat="1" ht="15" customHeight="1" x14ac:dyDescent="0.2">
      <c r="A16" s="1916"/>
      <c r="B16" s="1915"/>
      <c r="C16" s="1179" t="s">
        <v>1536</v>
      </c>
      <c r="D16" s="1773" t="s">
        <v>1537</v>
      </c>
      <c r="E16" s="1830">
        <v>4400</v>
      </c>
      <c r="F16" s="1829">
        <v>4400</v>
      </c>
      <c r="G16" s="1828">
        <v>430</v>
      </c>
      <c r="H16" s="1889">
        <f t="shared" si="0"/>
        <v>9.7727272727272734</v>
      </c>
    </row>
    <row r="17" spans="1:8" s="1826" customFormat="1" ht="15" customHeight="1" x14ac:dyDescent="0.25">
      <c r="A17" s="1916">
        <v>2143</v>
      </c>
      <c r="B17" s="1915">
        <v>5175</v>
      </c>
      <c r="C17" s="1835"/>
      <c r="D17" s="1888" t="s">
        <v>740</v>
      </c>
      <c r="E17" s="1895">
        <v>15</v>
      </c>
      <c r="F17" s="1887">
        <v>15</v>
      </c>
      <c r="G17" s="1837">
        <v>15</v>
      </c>
      <c r="H17" s="1893">
        <f t="shared" si="0"/>
        <v>100</v>
      </c>
    </row>
    <row r="18" spans="1:8" s="1826" customFormat="1" ht="15" customHeight="1" x14ac:dyDescent="0.2">
      <c r="A18" s="1916"/>
      <c r="B18" s="1915"/>
      <c r="C18" s="1835" t="s">
        <v>1704</v>
      </c>
      <c r="D18" s="1842" t="s">
        <v>1703</v>
      </c>
      <c r="E18" s="1830">
        <v>15</v>
      </c>
      <c r="F18" s="1828">
        <v>15</v>
      </c>
      <c r="G18" s="1828">
        <v>15</v>
      </c>
      <c r="H18" s="1889">
        <f t="shared" si="0"/>
        <v>100</v>
      </c>
    </row>
    <row r="19" spans="1:8" s="1826" customFormat="1" ht="15" customHeight="1" x14ac:dyDescent="0.25">
      <c r="A19" s="1916">
        <v>2143</v>
      </c>
      <c r="B19" s="1915">
        <v>5212</v>
      </c>
      <c r="C19" s="1835"/>
      <c r="D19" s="1844" t="s">
        <v>1709</v>
      </c>
      <c r="E19" s="1843">
        <v>350</v>
      </c>
      <c r="F19" s="1837">
        <f>F20+F21</f>
        <v>550</v>
      </c>
      <c r="G19" s="1837">
        <f>G20+G21</f>
        <v>549</v>
      </c>
      <c r="H19" s="1893">
        <f t="shared" si="0"/>
        <v>99.818181818181813</v>
      </c>
    </row>
    <row r="20" spans="1:8" s="1826" customFormat="1" ht="15" customHeight="1" x14ac:dyDescent="0.2">
      <c r="A20" s="1916"/>
      <c r="B20" s="1915"/>
      <c r="C20" s="1835" t="s">
        <v>1708</v>
      </c>
      <c r="D20" s="1842" t="s">
        <v>1707</v>
      </c>
      <c r="E20" s="1830">
        <v>350</v>
      </c>
      <c r="F20" s="1828">
        <v>350</v>
      </c>
      <c r="G20" s="1828">
        <v>349</v>
      </c>
      <c r="H20" s="1889">
        <f t="shared" si="0"/>
        <v>99.714285714285708</v>
      </c>
    </row>
    <row r="21" spans="1:8" s="1826" customFormat="1" ht="15" customHeight="1" x14ac:dyDescent="0.2">
      <c r="A21" s="1916"/>
      <c r="B21" s="1915"/>
      <c r="C21" s="1835" t="s">
        <v>1710</v>
      </c>
      <c r="D21" s="1842" t="s">
        <v>1711</v>
      </c>
      <c r="E21" s="1830"/>
      <c r="F21" s="1828">
        <v>200</v>
      </c>
      <c r="G21" s="1828">
        <v>200</v>
      </c>
      <c r="H21" s="1889">
        <f t="shared" si="0"/>
        <v>100</v>
      </c>
    </row>
    <row r="22" spans="1:8" s="1826" customFormat="1" ht="15" customHeight="1" x14ac:dyDescent="0.25">
      <c r="A22" s="1916">
        <v>2143</v>
      </c>
      <c r="B22" s="1915">
        <v>5213</v>
      </c>
      <c r="C22" s="1835"/>
      <c r="D22" s="1888" t="s">
        <v>231</v>
      </c>
      <c r="E22" s="1830"/>
      <c r="F22" s="1837">
        <f>F23+F24</f>
        <v>255</v>
      </c>
      <c r="G22" s="1837">
        <f>G23+G24</f>
        <v>255</v>
      </c>
      <c r="H22" s="1886">
        <f t="shared" si="0"/>
        <v>100</v>
      </c>
    </row>
    <row r="23" spans="1:8" s="1826" customFormat="1" ht="15" customHeight="1" x14ac:dyDescent="0.25">
      <c r="A23" s="1916"/>
      <c r="B23" s="1915"/>
      <c r="C23" s="1835" t="s">
        <v>1710</v>
      </c>
      <c r="D23" s="1842" t="s">
        <v>1711</v>
      </c>
      <c r="E23" s="1830"/>
      <c r="F23" s="1828">
        <v>150</v>
      </c>
      <c r="G23" s="1828">
        <v>150</v>
      </c>
      <c r="H23" s="1886">
        <f t="shared" si="0"/>
        <v>100</v>
      </c>
    </row>
    <row r="24" spans="1:8" s="1826" customFormat="1" ht="15" customHeight="1" x14ac:dyDescent="0.2">
      <c r="A24" s="1916"/>
      <c r="B24" s="1915"/>
      <c r="C24" s="1835" t="s">
        <v>1712</v>
      </c>
      <c r="D24" s="1842" t="s">
        <v>1713</v>
      </c>
      <c r="E24" s="1830"/>
      <c r="F24" s="1828">
        <v>105</v>
      </c>
      <c r="G24" s="1828">
        <v>105</v>
      </c>
      <c r="H24" s="1889">
        <f t="shared" si="0"/>
        <v>100</v>
      </c>
    </row>
    <row r="25" spans="1:8" s="1826" customFormat="1" ht="15" customHeight="1" x14ac:dyDescent="0.25">
      <c r="A25" s="1916">
        <v>2143</v>
      </c>
      <c r="B25" s="1915">
        <v>5221</v>
      </c>
      <c r="C25" s="1835"/>
      <c r="D25" s="1888" t="s">
        <v>46</v>
      </c>
      <c r="E25" s="1830"/>
      <c r="F25" s="1837">
        <f>F26+F27</f>
        <v>90</v>
      </c>
      <c r="G25" s="1837">
        <f>G26+G27</f>
        <v>90</v>
      </c>
      <c r="H25" s="1886">
        <f t="shared" si="0"/>
        <v>100</v>
      </c>
    </row>
    <row r="26" spans="1:8" s="1826" customFormat="1" ht="15" customHeight="1" x14ac:dyDescent="0.2">
      <c r="A26" s="1916"/>
      <c r="B26" s="1915"/>
      <c r="C26" s="1835" t="s">
        <v>1710</v>
      </c>
      <c r="D26" s="1842" t="s">
        <v>1711</v>
      </c>
      <c r="E26" s="1830"/>
      <c r="F26" s="1829">
        <v>50</v>
      </c>
      <c r="G26" s="1828">
        <v>50</v>
      </c>
      <c r="H26" s="1889">
        <f t="shared" si="0"/>
        <v>100</v>
      </c>
    </row>
    <row r="27" spans="1:8" s="1826" customFormat="1" ht="15" customHeight="1" x14ac:dyDescent="0.2">
      <c r="A27" s="1916"/>
      <c r="B27" s="1915"/>
      <c r="C27" s="1835" t="s">
        <v>1712</v>
      </c>
      <c r="D27" s="1842" t="s">
        <v>1713</v>
      </c>
      <c r="E27" s="1830"/>
      <c r="F27" s="1829">
        <v>40</v>
      </c>
      <c r="G27" s="1828">
        <v>40</v>
      </c>
      <c r="H27" s="1889">
        <f t="shared" si="0"/>
        <v>100</v>
      </c>
    </row>
    <row r="28" spans="1:8" s="1826" customFormat="1" ht="15" x14ac:dyDescent="0.25">
      <c r="A28" s="1916">
        <v>2143</v>
      </c>
      <c r="B28" s="1915">
        <v>5222</v>
      </c>
      <c r="C28" s="1945"/>
      <c r="D28" s="1912" t="s">
        <v>241</v>
      </c>
      <c r="E28" s="1895">
        <v>400</v>
      </c>
      <c r="F28" s="1894">
        <f>F29+F31+F30+F32+F33</f>
        <v>1245</v>
      </c>
      <c r="G28" s="1894">
        <f>G29+G31+G30+G32+G33</f>
        <v>1245</v>
      </c>
      <c r="H28" s="1893">
        <f t="shared" si="0"/>
        <v>100</v>
      </c>
    </row>
    <row r="29" spans="1:8" s="1826" customFormat="1" ht="15" x14ac:dyDescent="0.25">
      <c r="A29" s="1916"/>
      <c r="B29" s="1915"/>
      <c r="C29" s="1840" t="s">
        <v>272</v>
      </c>
      <c r="D29" s="1841" t="s">
        <v>348</v>
      </c>
      <c r="E29" s="1895"/>
      <c r="F29" s="1829">
        <v>230</v>
      </c>
      <c r="G29" s="1828">
        <v>230</v>
      </c>
      <c r="H29" s="1889">
        <f t="shared" si="0"/>
        <v>100</v>
      </c>
    </row>
    <row r="30" spans="1:8" s="1826" customFormat="1" ht="15" x14ac:dyDescent="0.25">
      <c r="A30" s="1916"/>
      <c r="B30" s="1915"/>
      <c r="C30" s="1840" t="s">
        <v>1350</v>
      </c>
      <c r="D30" s="1841" t="s">
        <v>1737</v>
      </c>
      <c r="E30" s="1895"/>
      <c r="F30" s="1829">
        <v>15</v>
      </c>
      <c r="G30" s="1828">
        <v>15</v>
      </c>
      <c r="H30" s="1889">
        <f t="shared" si="0"/>
        <v>100</v>
      </c>
    </row>
    <row r="31" spans="1:8" s="1826" customFormat="1" ht="14.25" x14ac:dyDescent="0.2">
      <c r="A31" s="1916"/>
      <c r="B31" s="1915"/>
      <c r="C31" s="1835" t="s">
        <v>1706</v>
      </c>
      <c r="D31" s="1923" t="s">
        <v>1705</v>
      </c>
      <c r="E31" s="1830">
        <v>400</v>
      </c>
      <c r="F31" s="1829">
        <v>400</v>
      </c>
      <c r="G31" s="1828">
        <v>400</v>
      </c>
      <c r="H31" s="1889">
        <f t="shared" si="0"/>
        <v>100</v>
      </c>
    </row>
    <row r="32" spans="1:8" s="1826" customFormat="1" ht="14.25" x14ac:dyDescent="0.2">
      <c r="A32" s="1916"/>
      <c r="B32" s="1915"/>
      <c r="C32" s="1835" t="s">
        <v>1710</v>
      </c>
      <c r="D32" s="1842" t="s">
        <v>1711</v>
      </c>
      <c r="E32" s="1830"/>
      <c r="F32" s="1829">
        <v>550</v>
      </c>
      <c r="G32" s="1828">
        <v>550</v>
      </c>
      <c r="H32" s="1889">
        <f t="shared" si="0"/>
        <v>100</v>
      </c>
    </row>
    <row r="33" spans="1:8" s="1826" customFormat="1" ht="14.25" x14ac:dyDescent="0.2">
      <c r="A33" s="1916"/>
      <c r="B33" s="1915"/>
      <c r="C33" s="1835" t="s">
        <v>1712</v>
      </c>
      <c r="D33" s="1842" t="s">
        <v>1713</v>
      </c>
      <c r="E33" s="1830"/>
      <c r="F33" s="1829">
        <v>50</v>
      </c>
      <c r="G33" s="1828">
        <v>50</v>
      </c>
      <c r="H33" s="1889">
        <f t="shared" si="0"/>
        <v>100</v>
      </c>
    </row>
    <row r="34" spans="1:8" s="1826" customFormat="1" ht="15" x14ac:dyDescent="0.25">
      <c r="A34" s="1916">
        <v>2143</v>
      </c>
      <c r="B34" s="1915">
        <v>5229</v>
      </c>
      <c r="C34" s="1835"/>
      <c r="D34" s="1888" t="s">
        <v>1276</v>
      </c>
      <c r="E34" s="1895">
        <f>E35+E36+E37</f>
        <v>4449</v>
      </c>
      <c r="F34" s="1895">
        <f>F35+F36+F37</f>
        <v>5069</v>
      </c>
      <c r="G34" s="1895">
        <f>G35+G36+G37</f>
        <v>5069</v>
      </c>
      <c r="H34" s="1893">
        <f t="shared" si="0"/>
        <v>100</v>
      </c>
    </row>
    <row r="35" spans="1:8" s="1826" customFormat="1" ht="15" x14ac:dyDescent="0.25">
      <c r="A35" s="1916"/>
      <c r="B35" s="1915"/>
      <c r="C35" s="1840" t="s">
        <v>272</v>
      </c>
      <c r="D35" s="1841" t="s">
        <v>348</v>
      </c>
      <c r="E35" s="1895"/>
      <c r="F35" s="1922">
        <v>500</v>
      </c>
      <c r="G35" s="1828">
        <v>500</v>
      </c>
      <c r="H35" s="1889">
        <f t="shared" si="0"/>
        <v>100</v>
      </c>
    </row>
    <row r="36" spans="1:8" s="1826" customFormat="1" ht="14.25" x14ac:dyDescent="0.2">
      <c r="A36" s="1916"/>
      <c r="B36" s="1915"/>
      <c r="C36" s="1835" t="s">
        <v>1700</v>
      </c>
      <c r="D36" s="1834" t="s">
        <v>1701</v>
      </c>
      <c r="E36" s="1830">
        <v>4449</v>
      </c>
      <c r="F36" s="1829">
        <v>4449</v>
      </c>
      <c r="G36" s="1828">
        <v>4449</v>
      </c>
      <c r="H36" s="1889">
        <f t="shared" si="0"/>
        <v>100</v>
      </c>
    </row>
    <row r="37" spans="1:8" s="1826" customFormat="1" ht="14.25" customHeight="1" x14ac:dyDescent="0.2">
      <c r="A37" s="1916"/>
      <c r="B37" s="1915"/>
      <c r="C37" s="1835" t="s">
        <v>1710</v>
      </c>
      <c r="D37" s="1842" t="s">
        <v>1711</v>
      </c>
      <c r="E37" s="1830"/>
      <c r="F37" s="1829">
        <v>120</v>
      </c>
      <c r="G37" s="1828">
        <v>120</v>
      </c>
      <c r="H37" s="1889">
        <f t="shared" si="0"/>
        <v>100</v>
      </c>
    </row>
    <row r="38" spans="1:8" s="1826" customFormat="1" ht="14.25" customHeight="1" x14ac:dyDescent="0.25">
      <c r="A38" s="1916">
        <v>2143</v>
      </c>
      <c r="B38" s="1915">
        <v>5321</v>
      </c>
      <c r="C38" s="1835"/>
      <c r="D38" s="1888" t="s">
        <v>1349</v>
      </c>
      <c r="E38" s="1843">
        <f>E39+E40+E41</f>
        <v>800</v>
      </c>
      <c r="F38" s="1843">
        <f>F39+F40+F41</f>
        <v>845</v>
      </c>
      <c r="G38" s="1843">
        <f>G39+G40+G41</f>
        <v>805</v>
      </c>
      <c r="H38" s="1893">
        <f t="shared" si="0"/>
        <v>95.26627218934911</v>
      </c>
    </row>
    <row r="39" spans="1:8" s="1826" customFormat="1" ht="14.25" customHeight="1" x14ac:dyDescent="0.2">
      <c r="A39" s="1916"/>
      <c r="B39" s="1915"/>
      <c r="C39" s="1835" t="s">
        <v>1704</v>
      </c>
      <c r="D39" s="1842" t="s">
        <v>1703</v>
      </c>
      <c r="E39" s="1830">
        <v>800</v>
      </c>
      <c r="F39" s="1829">
        <v>0</v>
      </c>
      <c r="G39" s="1828">
        <v>0</v>
      </c>
      <c r="H39" s="1889">
        <v>0</v>
      </c>
    </row>
    <row r="40" spans="1:8" s="1826" customFormat="1" ht="14.25" customHeight="1" x14ac:dyDescent="0.2">
      <c r="A40" s="1916"/>
      <c r="B40" s="1915"/>
      <c r="C40" s="1835" t="s">
        <v>1710</v>
      </c>
      <c r="D40" s="1842" t="s">
        <v>1711</v>
      </c>
      <c r="E40" s="1830"/>
      <c r="F40" s="1829">
        <v>280</v>
      </c>
      <c r="G40" s="1828">
        <v>280</v>
      </c>
      <c r="H40" s="1889">
        <f t="shared" si="0"/>
        <v>100</v>
      </c>
    </row>
    <row r="41" spans="1:8" s="1826" customFormat="1" ht="14.25" customHeight="1" x14ac:dyDescent="0.2">
      <c r="A41" s="1916"/>
      <c r="B41" s="1915"/>
      <c r="C41" s="1835" t="s">
        <v>1712</v>
      </c>
      <c r="D41" s="1842" t="s">
        <v>1713</v>
      </c>
      <c r="E41" s="1830"/>
      <c r="F41" s="1829">
        <v>565</v>
      </c>
      <c r="G41" s="1828">
        <v>525</v>
      </c>
      <c r="H41" s="1889">
        <f t="shared" si="0"/>
        <v>92.920353982300881</v>
      </c>
    </row>
    <row r="42" spans="1:8" s="1826" customFormat="1" ht="15" x14ac:dyDescent="0.25">
      <c r="A42" s="1916">
        <v>2143</v>
      </c>
      <c r="B42" s="1915">
        <v>5329</v>
      </c>
      <c r="C42" s="1835"/>
      <c r="D42" s="1897" t="s">
        <v>1034</v>
      </c>
      <c r="E42" s="1843"/>
      <c r="F42" s="1838">
        <v>40</v>
      </c>
      <c r="G42" s="1837">
        <v>40</v>
      </c>
      <c r="H42" s="1886">
        <f t="shared" si="0"/>
        <v>100</v>
      </c>
    </row>
    <row r="43" spans="1:8" s="1826" customFormat="1" ht="14.25" x14ac:dyDescent="0.2">
      <c r="A43" s="1916"/>
      <c r="B43" s="1915"/>
      <c r="C43" s="1835" t="s">
        <v>1712</v>
      </c>
      <c r="D43" s="1842" t="s">
        <v>1713</v>
      </c>
      <c r="E43" s="1830"/>
      <c r="F43" s="1829">
        <v>40</v>
      </c>
      <c r="G43" s="1828">
        <v>40</v>
      </c>
      <c r="H43" s="1889">
        <f t="shared" si="0"/>
        <v>100</v>
      </c>
    </row>
    <row r="44" spans="1:8" s="1826" customFormat="1" ht="15" x14ac:dyDescent="0.25">
      <c r="A44" s="1916">
        <v>2143</v>
      </c>
      <c r="B44" s="1915">
        <v>5331</v>
      </c>
      <c r="C44" s="1835"/>
      <c r="D44" s="1919" t="s">
        <v>1066</v>
      </c>
      <c r="E44" s="1830"/>
      <c r="F44" s="1838">
        <v>150</v>
      </c>
      <c r="G44" s="1837">
        <v>150</v>
      </c>
      <c r="H44" s="1886">
        <f t="shared" si="0"/>
        <v>100</v>
      </c>
    </row>
    <row r="45" spans="1:8" s="1826" customFormat="1" ht="14.25" x14ac:dyDescent="0.2">
      <c r="A45" s="1916"/>
      <c r="B45" s="1915"/>
      <c r="C45" s="1835" t="s">
        <v>1710</v>
      </c>
      <c r="D45" s="1842" t="s">
        <v>1711</v>
      </c>
      <c r="E45" s="1830"/>
      <c r="F45" s="1829">
        <v>150</v>
      </c>
      <c r="G45" s="1828">
        <v>150</v>
      </c>
      <c r="H45" s="1889">
        <f t="shared" si="0"/>
        <v>100</v>
      </c>
    </row>
    <row r="46" spans="1:8" s="1826" customFormat="1" ht="15" x14ac:dyDescent="0.25">
      <c r="A46" s="1916">
        <v>2143</v>
      </c>
      <c r="B46" s="1915">
        <v>5629</v>
      </c>
      <c r="C46" s="1840"/>
      <c r="D46" s="2698" t="s">
        <v>1702</v>
      </c>
      <c r="E46" s="1843">
        <v>3795</v>
      </c>
      <c r="F46" s="1837">
        <f>F48</f>
        <v>3795</v>
      </c>
      <c r="G46" s="1837">
        <f>G48</f>
        <v>3795</v>
      </c>
      <c r="H46" s="1893">
        <f t="shared" si="0"/>
        <v>100</v>
      </c>
    </row>
    <row r="47" spans="1:8" s="1826" customFormat="1" ht="15" x14ac:dyDescent="0.25">
      <c r="A47" s="1916"/>
      <c r="B47" s="1915"/>
      <c r="C47" s="1840"/>
      <c r="D47" s="2698"/>
      <c r="E47" s="1830"/>
      <c r="F47" s="1838"/>
      <c r="G47" s="1828"/>
      <c r="H47" s="1889"/>
    </row>
    <row r="48" spans="1:8" s="1826" customFormat="1" ht="14.25" x14ac:dyDescent="0.2">
      <c r="A48" s="1916"/>
      <c r="B48" s="1915"/>
      <c r="C48" s="1835" t="s">
        <v>1700</v>
      </c>
      <c r="D48" s="1834" t="s">
        <v>1701</v>
      </c>
      <c r="E48" s="1830">
        <v>3795</v>
      </c>
      <c r="F48" s="1829">
        <v>3795</v>
      </c>
      <c r="G48" s="1828">
        <v>3795</v>
      </c>
      <c r="H48" s="1889">
        <f>(G48/F48)*100</f>
        <v>100</v>
      </c>
    </row>
    <row r="49" spans="1:8" s="1826" customFormat="1" ht="15" x14ac:dyDescent="0.25">
      <c r="A49" s="1916">
        <v>2144</v>
      </c>
      <c r="B49" s="1915">
        <v>5169</v>
      </c>
      <c r="C49" s="1896"/>
      <c r="D49" s="1888" t="s">
        <v>955</v>
      </c>
      <c r="E49" s="1843">
        <v>1100</v>
      </c>
      <c r="F49" s="1838">
        <v>1030</v>
      </c>
      <c r="G49" s="1837">
        <v>958</v>
      </c>
      <c r="H49" s="1886">
        <f t="shared" ref="H49:H65" si="1">(G49/F49)*100</f>
        <v>93.009708737864088</v>
      </c>
    </row>
    <row r="50" spans="1:8" s="1826" customFormat="1" ht="15" x14ac:dyDescent="0.25">
      <c r="A50" s="1916">
        <v>2144</v>
      </c>
      <c r="B50" s="1915">
        <v>5212</v>
      </c>
      <c r="C50" s="1896"/>
      <c r="D50" s="1844" t="s">
        <v>1709</v>
      </c>
      <c r="E50" s="1843"/>
      <c r="F50" s="1838">
        <v>18</v>
      </c>
      <c r="G50" s="1837">
        <v>18</v>
      </c>
      <c r="H50" s="1886">
        <f t="shared" si="1"/>
        <v>100</v>
      </c>
    </row>
    <row r="51" spans="1:8" s="1826" customFormat="1" ht="15" x14ac:dyDescent="0.25">
      <c r="A51" s="1916"/>
      <c r="B51" s="1915"/>
      <c r="C51" s="1835" t="s">
        <v>1714</v>
      </c>
      <c r="D51" s="1841" t="s">
        <v>1715</v>
      </c>
      <c r="E51" s="1843"/>
      <c r="F51" s="1829">
        <v>18</v>
      </c>
      <c r="G51" s="1828">
        <v>18</v>
      </c>
      <c r="H51" s="1889">
        <f t="shared" si="1"/>
        <v>100</v>
      </c>
    </row>
    <row r="52" spans="1:8" s="1826" customFormat="1" ht="15" x14ac:dyDescent="0.25">
      <c r="A52" s="1916">
        <v>2144</v>
      </c>
      <c r="B52" s="1915">
        <v>5222</v>
      </c>
      <c r="C52" s="1840"/>
      <c r="D52" s="1912" t="s">
        <v>241</v>
      </c>
      <c r="E52" s="1843"/>
      <c r="F52" s="1837">
        <f>F53+F54</f>
        <v>342</v>
      </c>
      <c r="G52" s="1837">
        <f>G53+G54</f>
        <v>342</v>
      </c>
      <c r="H52" s="1886">
        <f t="shared" si="1"/>
        <v>100</v>
      </c>
    </row>
    <row r="53" spans="1:8" s="1826" customFormat="1" ht="15" x14ac:dyDescent="0.25">
      <c r="A53" s="1916"/>
      <c r="B53" s="1915"/>
      <c r="C53" s="1840" t="s">
        <v>272</v>
      </c>
      <c r="D53" s="1841" t="s">
        <v>348</v>
      </c>
      <c r="E53" s="1843"/>
      <c r="F53" s="1829">
        <v>250</v>
      </c>
      <c r="G53" s="1828">
        <v>250</v>
      </c>
      <c r="H53" s="1889">
        <f t="shared" si="1"/>
        <v>100</v>
      </c>
    </row>
    <row r="54" spans="1:8" s="1826" customFormat="1" ht="15" x14ac:dyDescent="0.25">
      <c r="A54" s="1916"/>
      <c r="B54" s="1915"/>
      <c r="C54" s="1835" t="s">
        <v>1714</v>
      </c>
      <c r="D54" s="1841" t="s">
        <v>1715</v>
      </c>
      <c r="E54" s="1843"/>
      <c r="F54" s="1829">
        <v>92</v>
      </c>
      <c r="G54" s="1828">
        <v>92</v>
      </c>
      <c r="H54" s="1889">
        <f t="shared" si="1"/>
        <v>100</v>
      </c>
    </row>
    <row r="55" spans="1:8" s="1826" customFormat="1" ht="15" x14ac:dyDescent="0.25">
      <c r="A55" s="1916">
        <v>2144</v>
      </c>
      <c r="B55" s="1915">
        <v>5223</v>
      </c>
      <c r="C55" s="1835"/>
      <c r="D55" s="1839" t="s">
        <v>1716</v>
      </c>
      <c r="E55" s="1843"/>
      <c r="F55" s="1838">
        <v>20</v>
      </c>
      <c r="G55" s="1837">
        <v>20</v>
      </c>
      <c r="H55" s="1886">
        <f t="shared" si="1"/>
        <v>100</v>
      </c>
    </row>
    <row r="56" spans="1:8" s="1826" customFormat="1" ht="15" x14ac:dyDescent="0.25">
      <c r="A56" s="1916"/>
      <c r="B56" s="1915"/>
      <c r="C56" s="1835" t="s">
        <v>1714</v>
      </c>
      <c r="D56" s="1841" t="s">
        <v>1715</v>
      </c>
      <c r="E56" s="1843"/>
      <c r="F56" s="1829">
        <v>20</v>
      </c>
      <c r="G56" s="1828">
        <v>20</v>
      </c>
      <c r="H56" s="1889">
        <f t="shared" si="1"/>
        <v>100</v>
      </c>
    </row>
    <row r="57" spans="1:8" s="1826" customFormat="1" ht="15" x14ac:dyDescent="0.25">
      <c r="A57" s="1916">
        <v>2144</v>
      </c>
      <c r="B57" s="1915">
        <v>5229</v>
      </c>
      <c r="C57" s="1835"/>
      <c r="D57" s="1888" t="s">
        <v>1276</v>
      </c>
      <c r="E57" s="1843"/>
      <c r="F57" s="1838">
        <v>14</v>
      </c>
      <c r="G57" s="1837">
        <v>14</v>
      </c>
      <c r="H57" s="1886">
        <f t="shared" si="1"/>
        <v>100</v>
      </c>
    </row>
    <row r="58" spans="1:8" s="1826" customFormat="1" ht="15" x14ac:dyDescent="0.25">
      <c r="A58" s="1916"/>
      <c r="B58" s="1915"/>
      <c r="C58" s="1835" t="s">
        <v>1714</v>
      </c>
      <c r="D58" s="1841" t="s">
        <v>1715</v>
      </c>
      <c r="E58" s="1843"/>
      <c r="F58" s="1829">
        <v>14</v>
      </c>
      <c r="G58" s="1828">
        <v>14</v>
      </c>
      <c r="H58" s="1889">
        <f t="shared" si="1"/>
        <v>100</v>
      </c>
    </row>
    <row r="59" spans="1:8" s="1826" customFormat="1" ht="15" x14ac:dyDescent="0.25">
      <c r="A59" s="1916">
        <v>2144</v>
      </c>
      <c r="B59" s="1915">
        <v>5321</v>
      </c>
      <c r="C59" s="1896"/>
      <c r="D59" s="1912" t="s">
        <v>1349</v>
      </c>
      <c r="E59" s="1843">
        <v>350</v>
      </c>
      <c r="F59" s="1837">
        <f>F60+F61</f>
        <v>396</v>
      </c>
      <c r="G59" s="1837">
        <f>G60+G61</f>
        <v>396</v>
      </c>
      <c r="H59" s="1893">
        <f t="shared" si="1"/>
        <v>100</v>
      </c>
    </row>
    <row r="60" spans="1:8" s="1826" customFormat="1" ht="14.25" x14ac:dyDescent="0.2">
      <c r="A60" s="1916"/>
      <c r="B60" s="1915"/>
      <c r="C60" s="1835" t="s">
        <v>1699</v>
      </c>
      <c r="D60" s="1842" t="s">
        <v>1698</v>
      </c>
      <c r="E60" s="1830">
        <v>350</v>
      </c>
      <c r="F60" s="1829">
        <v>350</v>
      </c>
      <c r="G60" s="1828">
        <v>350</v>
      </c>
      <c r="H60" s="1889">
        <f t="shared" si="1"/>
        <v>100</v>
      </c>
    </row>
    <row r="61" spans="1:8" s="1826" customFormat="1" ht="14.25" x14ac:dyDescent="0.2">
      <c r="A61" s="1916"/>
      <c r="B61" s="1915"/>
      <c r="C61" s="1835" t="s">
        <v>1714</v>
      </c>
      <c r="D61" s="1841" t="s">
        <v>1715</v>
      </c>
      <c r="E61" s="1830"/>
      <c r="F61" s="1829">
        <v>46</v>
      </c>
      <c r="G61" s="1828">
        <v>46</v>
      </c>
      <c r="H61" s="1889">
        <f t="shared" si="1"/>
        <v>100</v>
      </c>
    </row>
    <row r="62" spans="1:8" s="1826" customFormat="1" ht="15" x14ac:dyDescent="0.25">
      <c r="A62" s="1916">
        <v>2144</v>
      </c>
      <c r="B62" s="1915">
        <v>5331</v>
      </c>
      <c r="C62" s="1840"/>
      <c r="D62" s="1919" t="s">
        <v>1066</v>
      </c>
      <c r="E62" s="1830"/>
      <c r="F62" s="1838">
        <v>90</v>
      </c>
      <c r="G62" s="1837">
        <v>90</v>
      </c>
      <c r="H62" s="1886">
        <f t="shared" si="1"/>
        <v>100</v>
      </c>
    </row>
    <row r="63" spans="1:8" s="1826" customFormat="1" ht="14.25" x14ac:dyDescent="0.2">
      <c r="A63" s="1916"/>
      <c r="B63" s="1915"/>
      <c r="C63" s="1835" t="s">
        <v>1714</v>
      </c>
      <c r="D63" s="1841" t="s">
        <v>1715</v>
      </c>
      <c r="E63" s="1830"/>
      <c r="F63" s="1829">
        <v>90</v>
      </c>
      <c r="G63" s="1828">
        <v>90</v>
      </c>
      <c r="H63" s="1889">
        <f t="shared" si="1"/>
        <v>100</v>
      </c>
    </row>
    <row r="64" spans="1:8" s="1826" customFormat="1" ht="15" x14ac:dyDescent="0.25">
      <c r="A64" s="1916">
        <v>2144</v>
      </c>
      <c r="B64" s="1915">
        <v>5339</v>
      </c>
      <c r="C64" s="1835"/>
      <c r="D64" s="1839" t="s">
        <v>1505</v>
      </c>
      <c r="E64" s="1830"/>
      <c r="F64" s="1838">
        <v>20</v>
      </c>
      <c r="G64" s="1837">
        <v>20</v>
      </c>
      <c r="H64" s="1886">
        <f t="shared" si="1"/>
        <v>100</v>
      </c>
    </row>
    <row r="65" spans="1:12" s="1826" customFormat="1" ht="14.25" x14ac:dyDescent="0.2">
      <c r="A65" s="1916"/>
      <c r="B65" s="1915"/>
      <c r="C65" s="1835" t="s">
        <v>1714</v>
      </c>
      <c r="D65" s="1841" t="s">
        <v>1715</v>
      </c>
      <c r="E65" s="1830"/>
      <c r="F65" s="1829">
        <v>20</v>
      </c>
      <c r="G65" s="1828">
        <v>20</v>
      </c>
      <c r="H65" s="1889">
        <f t="shared" si="1"/>
        <v>100</v>
      </c>
    </row>
    <row r="66" spans="1:12" s="1826" customFormat="1" ht="15.75" thickBot="1" x14ac:dyDescent="0.3">
      <c r="A66" s="1921">
        <v>2144</v>
      </c>
      <c r="B66" s="1920">
        <v>5499</v>
      </c>
      <c r="C66" s="1946"/>
      <c r="D66" s="1947" t="s">
        <v>1697</v>
      </c>
      <c r="E66" s="1881">
        <v>50</v>
      </c>
      <c r="F66" s="1880">
        <v>0</v>
      </c>
      <c r="G66" s="1948">
        <v>0</v>
      </c>
      <c r="H66" s="1949">
        <v>0</v>
      </c>
      <c r="J66" s="1900">
        <f>E10+E12+E14+E17+E19+E28+E34+E38+E46+E49+E59+E66</f>
        <v>21719</v>
      </c>
      <c r="K66" s="1900">
        <f>F10+F12+F14+F17+F19+F22+F25+F28+F34+F38+F42+F44+F46+F49+F50+F52+F55+F57+F59+F62+F64+F66</f>
        <v>23794</v>
      </c>
      <c r="L66" s="1900">
        <f>G10+G12+G14+G17+G19+G22+G25+G28+G34+G38+G42+G44+G46+G49+G50+G52+G55+G57+G59+G62+G64+G66</f>
        <v>19372</v>
      </c>
    </row>
    <row r="67" spans="1:12" ht="13.5" thickTop="1" x14ac:dyDescent="0.2">
      <c r="A67" s="1863"/>
      <c r="B67" s="1863"/>
      <c r="C67" s="1863"/>
      <c r="D67" s="1899"/>
      <c r="G67" s="1861"/>
    </row>
    <row r="68" spans="1:12" x14ac:dyDescent="0.2">
      <c r="A68" s="1863"/>
      <c r="B68" s="1863"/>
      <c r="C68" s="1863"/>
      <c r="D68" s="1899"/>
      <c r="G68" s="1861"/>
    </row>
    <row r="69" spans="1:12" x14ac:dyDescent="0.2">
      <c r="A69" s="1863"/>
      <c r="B69" s="1863"/>
      <c r="C69" s="1863"/>
      <c r="D69" s="1899"/>
      <c r="G69" s="1861"/>
    </row>
    <row r="70" spans="1:12" ht="13.5" thickBot="1" x14ac:dyDescent="0.25">
      <c r="A70" s="1863"/>
      <c r="B70" s="1863"/>
      <c r="C70" s="1863"/>
      <c r="D70" s="1899"/>
      <c r="G70" s="1861"/>
      <c r="H70" s="1795" t="s">
        <v>179</v>
      </c>
    </row>
    <row r="71" spans="1:12" s="1855" customFormat="1" ht="20.25" customHeight="1" thickTop="1" thickBot="1" x14ac:dyDescent="0.25">
      <c r="A71" s="1860" t="s">
        <v>180</v>
      </c>
      <c r="B71" s="1859" t="s">
        <v>181</v>
      </c>
      <c r="C71" s="1898" t="s">
        <v>783</v>
      </c>
      <c r="D71" s="1898" t="s">
        <v>182</v>
      </c>
      <c r="E71" s="1898" t="s">
        <v>183</v>
      </c>
      <c r="F71" s="1898" t="s">
        <v>985</v>
      </c>
      <c r="G71" s="1898" t="s">
        <v>986</v>
      </c>
      <c r="H71" s="1856" t="s">
        <v>987</v>
      </c>
    </row>
    <row r="72" spans="1:12" s="1849" customFormat="1" ht="13.5" thickTop="1" thickBot="1" x14ac:dyDescent="0.25">
      <c r="A72" s="1854">
        <v>1</v>
      </c>
      <c r="B72" s="1853">
        <v>2</v>
      </c>
      <c r="C72" s="1853">
        <v>3</v>
      </c>
      <c r="D72" s="1853">
        <v>4</v>
      </c>
      <c r="E72" s="1853">
        <v>5</v>
      </c>
      <c r="F72" s="1852">
        <v>6</v>
      </c>
      <c r="G72" s="1852">
        <v>7</v>
      </c>
      <c r="H72" s="1851" t="s">
        <v>61</v>
      </c>
      <c r="I72" s="1850"/>
    </row>
    <row r="73" spans="1:12" s="1826" customFormat="1" ht="15.75" thickTop="1" x14ac:dyDescent="0.25">
      <c r="A73" s="1916">
        <v>2212</v>
      </c>
      <c r="B73" s="1915">
        <v>5331</v>
      </c>
      <c r="C73" s="1914"/>
      <c r="D73" s="1919" t="s">
        <v>1066</v>
      </c>
      <c r="E73" s="1895"/>
      <c r="F73" s="1838">
        <v>1231</v>
      </c>
      <c r="G73" s="1837">
        <v>1231</v>
      </c>
      <c r="H73" s="1886">
        <f>(G73/F73)*100</f>
        <v>100</v>
      </c>
    </row>
    <row r="74" spans="1:12" s="1826" customFormat="1" ht="15" x14ac:dyDescent="0.25">
      <c r="A74" s="1916"/>
      <c r="B74" s="1915"/>
      <c r="C74" s="1914" t="s">
        <v>1506</v>
      </c>
      <c r="D74" s="2699" t="s">
        <v>1507</v>
      </c>
      <c r="E74" s="1895"/>
      <c r="F74" s="1829">
        <v>1231</v>
      </c>
      <c r="G74" s="1828">
        <v>1231</v>
      </c>
      <c r="H74" s="1889">
        <f>(G74/F74)*100</f>
        <v>100</v>
      </c>
    </row>
    <row r="75" spans="1:12" s="1826" customFormat="1" ht="15" x14ac:dyDescent="0.25">
      <c r="A75" s="1916"/>
      <c r="B75" s="1915"/>
      <c r="C75" s="1914"/>
      <c r="D75" s="2699"/>
      <c r="E75" s="1895"/>
      <c r="F75" s="1829"/>
      <c r="G75" s="1828"/>
      <c r="H75" s="1889"/>
    </row>
    <row r="76" spans="1:12" s="1826" customFormat="1" ht="15" x14ac:dyDescent="0.25">
      <c r="A76" s="1916">
        <v>3326</v>
      </c>
      <c r="B76" s="1915">
        <v>5321</v>
      </c>
      <c r="C76" s="1914"/>
      <c r="D76" s="1888" t="s">
        <v>1349</v>
      </c>
      <c r="E76" s="1895"/>
      <c r="F76" s="1838">
        <v>260</v>
      </c>
      <c r="G76" s="1837">
        <v>260</v>
      </c>
      <c r="H76" s="1893">
        <f>(G76/F76)*100</f>
        <v>100</v>
      </c>
    </row>
    <row r="77" spans="1:12" s="1826" customFormat="1" ht="15" x14ac:dyDescent="0.25">
      <c r="A77" s="1916">
        <v>3341</v>
      </c>
      <c r="B77" s="1915">
        <v>5169</v>
      </c>
      <c r="C77" s="1918"/>
      <c r="D77" s="1888" t="s">
        <v>955</v>
      </c>
      <c r="E77" s="1895">
        <v>3900</v>
      </c>
      <c r="F77" s="1887">
        <v>3900</v>
      </c>
      <c r="G77" s="1837">
        <v>3899</v>
      </c>
      <c r="H77" s="1893">
        <f>(G77/F77)*100</f>
        <v>99.974358974358978</v>
      </c>
    </row>
    <row r="78" spans="1:12" s="1826" customFormat="1" ht="14.25" x14ac:dyDescent="0.2">
      <c r="A78" s="1916"/>
      <c r="B78" s="1915"/>
      <c r="C78" s="1914" t="s">
        <v>1508</v>
      </c>
      <c r="D78" s="1841" t="s">
        <v>1509</v>
      </c>
      <c r="E78" s="1830">
        <v>3900</v>
      </c>
      <c r="F78" s="1829">
        <v>3900</v>
      </c>
      <c r="G78" s="1828">
        <v>3899</v>
      </c>
      <c r="H78" s="1889">
        <f>(G78/F78)*100</f>
        <v>99.974358974358978</v>
      </c>
    </row>
    <row r="79" spans="1:12" s="1826" customFormat="1" ht="15" x14ac:dyDescent="0.25">
      <c r="A79" s="1916">
        <v>3349</v>
      </c>
      <c r="B79" s="1915">
        <v>5169</v>
      </c>
      <c r="C79" s="1918"/>
      <c r="D79" s="1888" t="s">
        <v>955</v>
      </c>
      <c r="E79" s="1843">
        <v>6900</v>
      </c>
      <c r="F79" s="1838">
        <v>7200</v>
      </c>
      <c r="G79" s="1837">
        <v>7200</v>
      </c>
      <c r="H79" s="1886">
        <f>(G79/F79)*100</f>
        <v>100</v>
      </c>
    </row>
    <row r="80" spans="1:12" s="1826" customFormat="1" ht="14.25" x14ac:dyDescent="0.2">
      <c r="A80" s="1916"/>
      <c r="B80" s="1915"/>
      <c r="C80" s="1914" t="s">
        <v>1508</v>
      </c>
      <c r="D80" s="1841" t="s">
        <v>1509</v>
      </c>
      <c r="E80" s="1830">
        <v>6900</v>
      </c>
      <c r="F80" s="1829">
        <v>7200</v>
      </c>
      <c r="G80" s="1828">
        <v>7200</v>
      </c>
      <c r="H80" s="1889">
        <f>(G80/F80)*100</f>
        <v>100</v>
      </c>
    </row>
    <row r="81" spans="1:8" s="1826" customFormat="1" ht="15" x14ac:dyDescent="0.25">
      <c r="A81" s="1916">
        <v>3429</v>
      </c>
      <c r="B81" s="1915">
        <v>5222</v>
      </c>
      <c r="C81" s="1840"/>
      <c r="D81" s="1912" t="s">
        <v>241</v>
      </c>
      <c r="E81" s="1895"/>
      <c r="F81" s="1838">
        <v>520</v>
      </c>
      <c r="G81" s="1837">
        <v>511</v>
      </c>
      <c r="H81" s="1893">
        <f t="shared" ref="H81:H111" si="2">(G81/F81)*100</f>
        <v>98.269230769230759</v>
      </c>
    </row>
    <row r="82" spans="1:8" s="1826" customFormat="1" ht="15" x14ac:dyDescent="0.25">
      <c r="A82" s="1916"/>
      <c r="B82" s="1915"/>
      <c r="C82" s="1840" t="s">
        <v>272</v>
      </c>
      <c r="D82" s="1841" t="s">
        <v>348</v>
      </c>
      <c r="E82" s="1895"/>
      <c r="F82" s="1829">
        <v>500</v>
      </c>
      <c r="G82" s="1828">
        <v>500</v>
      </c>
      <c r="H82" s="1889">
        <f t="shared" si="2"/>
        <v>100</v>
      </c>
    </row>
    <row r="83" spans="1:8" s="1826" customFormat="1" ht="15" x14ac:dyDescent="0.25">
      <c r="A83" s="1916"/>
      <c r="B83" s="1915"/>
      <c r="C83" s="1840" t="s">
        <v>1350</v>
      </c>
      <c r="D83" s="1841" t="s">
        <v>1737</v>
      </c>
      <c r="E83" s="1895"/>
      <c r="F83" s="1829">
        <v>20</v>
      </c>
      <c r="G83" s="1828">
        <v>11</v>
      </c>
      <c r="H83" s="1889">
        <f t="shared" si="2"/>
        <v>55.000000000000007</v>
      </c>
    </row>
    <row r="84" spans="1:8" s="1826" customFormat="1" ht="15" x14ac:dyDescent="0.25">
      <c r="A84" s="1916">
        <v>3429</v>
      </c>
      <c r="B84" s="1915">
        <v>5493</v>
      </c>
      <c r="C84" s="1840"/>
      <c r="D84" s="1897" t="s">
        <v>1033</v>
      </c>
      <c r="E84" s="1895"/>
      <c r="F84" s="1838">
        <v>30</v>
      </c>
      <c r="G84" s="1837">
        <v>30</v>
      </c>
      <c r="H84" s="1886">
        <f t="shared" si="2"/>
        <v>100</v>
      </c>
    </row>
    <row r="85" spans="1:8" s="1826" customFormat="1" ht="15" x14ac:dyDescent="0.25">
      <c r="A85" s="1916"/>
      <c r="B85" s="1915"/>
      <c r="C85" s="1840" t="s">
        <v>1350</v>
      </c>
      <c r="D85" s="1841" t="s">
        <v>1737</v>
      </c>
      <c r="E85" s="1895"/>
      <c r="F85" s="1829">
        <v>30</v>
      </c>
      <c r="G85" s="1828">
        <v>30</v>
      </c>
      <c r="H85" s="1889">
        <f t="shared" si="2"/>
        <v>100</v>
      </c>
    </row>
    <row r="86" spans="1:8" s="1826" customFormat="1" ht="15" x14ac:dyDescent="0.25">
      <c r="A86" s="1916">
        <v>4349</v>
      </c>
      <c r="B86" s="1915">
        <v>5222</v>
      </c>
      <c r="C86" s="1840"/>
      <c r="D86" s="1912" t="s">
        <v>241</v>
      </c>
      <c r="E86" s="1895"/>
      <c r="F86" s="1838">
        <v>20</v>
      </c>
      <c r="G86" s="1837">
        <v>20</v>
      </c>
      <c r="H86" s="1893">
        <f t="shared" si="2"/>
        <v>100</v>
      </c>
    </row>
    <row r="87" spans="1:8" s="1826" customFormat="1" ht="15" x14ac:dyDescent="0.25">
      <c r="A87" s="1916"/>
      <c r="B87" s="1915"/>
      <c r="C87" s="1840" t="s">
        <v>1350</v>
      </c>
      <c r="D87" s="1841" t="s">
        <v>1737</v>
      </c>
      <c r="E87" s="1895"/>
      <c r="F87" s="1829">
        <v>20</v>
      </c>
      <c r="G87" s="1828">
        <v>20</v>
      </c>
      <c r="H87" s="1889">
        <f t="shared" si="2"/>
        <v>100</v>
      </c>
    </row>
    <row r="88" spans="1:8" s="1826" customFormat="1" ht="15" x14ac:dyDescent="0.25">
      <c r="A88" s="1916">
        <v>5272</v>
      </c>
      <c r="B88" s="1915">
        <v>5168</v>
      </c>
      <c r="C88" s="1917"/>
      <c r="D88" s="1844" t="s">
        <v>191</v>
      </c>
      <c r="E88" s="1895">
        <v>100</v>
      </c>
      <c r="F88" s="1887">
        <v>100</v>
      </c>
      <c r="G88" s="1837">
        <v>100</v>
      </c>
      <c r="H88" s="1893">
        <f t="shared" si="2"/>
        <v>100</v>
      </c>
    </row>
    <row r="89" spans="1:8" s="1826" customFormat="1" ht="15" x14ac:dyDescent="0.25">
      <c r="A89" s="1916">
        <v>5273</v>
      </c>
      <c r="B89" s="1915">
        <v>5134</v>
      </c>
      <c r="C89" s="1896"/>
      <c r="D89" s="1888" t="s">
        <v>675</v>
      </c>
      <c r="E89" s="1895">
        <v>5</v>
      </c>
      <c r="F89" s="1887">
        <v>5</v>
      </c>
      <c r="G89" s="1837">
        <v>0</v>
      </c>
      <c r="H89" s="1893">
        <f t="shared" si="2"/>
        <v>0</v>
      </c>
    </row>
    <row r="90" spans="1:8" s="1826" customFormat="1" ht="15" x14ac:dyDescent="0.25">
      <c r="A90" s="1916">
        <v>5273</v>
      </c>
      <c r="B90" s="1834">
        <v>5136</v>
      </c>
      <c r="C90" s="1896"/>
      <c r="D90" s="1888" t="s">
        <v>676</v>
      </c>
      <c r="E90" s="1895">
        <v>2</v>
      </c>
      <c r="F90" s="1887">
        <v>2</v>
      </c>
      <c r="G90" s="1837">
        <v>0</v>
      </c>
      <c r="H90" s="1893">
        <f t="shared" si="2"/>
        <v>0</v>
      </c>
    </row>
    <row r="91" spans="1:8" s="1826" customFormat="1" ht="15" x14ac:dyDescent="0.25">
      <c r="A91" s="1916">
        <v>5273</v>
      </c>
      <c r="B91" s="1915">
        <v>5137</v>
      </c>
      <c r="C91" s="1896"/>
      <c r="D91" s="1888" t="s">
        <v>173</v>
      </c>
      <c r="E91" s="1895">
        <v>5</v>
      </c>
      <c r="F91" s="1887">
        <v>5</v>
      </c>
      <c r="G91" s="1837">
        <v>5</v>
      </c>
      <c r="H91" s="1893">
        <f t="shared" si="2"/>
        <v>100</v>
      </c>
    </row>
    <row r="92" spans="1:8" s="1826" customFormat="1" ht="15" x14ac:dyDescent="0.25">
      <c r="A92" s="1916">
        <v>5273</v>
      </c>
      <c r="B92" s="1915">
        <v>5139</v>
      </c>
      <c r="C92" s="1896"/>
      <c r="D92" s="1839" t="s">
        <v>320</v>
      </c>
      <c r="E92" s="1895">
        <f>E93+E94+E95</f>
        <v>210</v>
      </c>
      <c r="F92" s="1895">
        <f>F93+F94+F95</f>
        <v>190</v>
      </c>
      <c r="G92" s="1895">
        <f>G93+G94+G95</f>
        <v>184</v>
      </c>
      <c r="H92" s="1893">
        <f t="shared" si="2"/>
        <v>96.84210526315789</v>
      </c>
    </row>
    <row r="93" spans="1:8" s="1826" customFormat="1" ht="14.25" x14ac:dyDescent="0.2">
      <c r="A93" s="1833"/>
      <c r="B93" s="1832"/>
      <c r="C93" s="1835" t="s">
        <v>838</v>
      </c>
      <c r="D93" s="1841" t="s">
        <v>1415</v>
      </c>
      <c r="E93" s="1830">
        <v>210</v>
      </c>
      <c r="F93" s="1829">
        <v>110</v>
      </c>
      <c r="G93" s="1828">
        <v>110</v>
      </c>
      <c r="H93" s="1889">
        <f t="shared" si="2"/>
        <v>100</v>
      </c>
    </row>
    <row r="94" spans="1:8" s="1826" customFormat="1" ht="14.25" x14ac:dyDescent="0.2">
      <c r="A94" s="1833"/>
      <c r="B94" s="1832"/>
      <c r="C94" s="1835" t="s">
        <v>270</v>
      </c>
      <c r="D94" s="1842" t="s">
        <v>32</v>
      </c>
      <c r="E94" s="1830"/>
      <c r="F94" s="1829">
        <v>60</v>
      </c>
      <c r="G94" s="1828">
        <v>60</v>
      </c>
      <c r="H94" s="1889">
        <f t="shared" si="2"/>
        <v>100</v>
      </c>
    </row>
    <row r="95" spans="1:8" s="1826" customFormat="1" ht="15" x14ac:dyDescent="0.25">
      <c r="A95" s="1833"/>
      <c r="B95" s="1832"/>
      <c r="C95" s="1831" t="s">
        <v>22</v>
      </c>
      <c r="D95" s="1841" t="s">
        <v>1351</v>
      </c>
      <c r="E95" s="1895"/>
      <c r="F95" s="1829">
        <v>20</v>
      </c>
      <c r="G95" s="1828">
        <v>14</v>
      </c>
      <c r="H95" s="1889">
        <f t="shared" si="2"/>
        <v>70</v>
      </c>
    </row>
    <row r="96" spans="1:8" s="1826" customFormat="1" ht="15" x14ac:dyDescent="0.25">
      <c r="A96" s="1833">
        <v>5273</v>
      </c>
      <c r="B96" s="1832">
        <v>5164</v>
      </c>
      <c r="C96" s="1896"/>
      <c r="D96" s="1888" t="s">
        <v>188</v>
      </c>
      <c r="E96" s="1895">
        <v>30</v>
      </c>
      <c r="F96" s="1887">
        <v>30</v>
      </c>
      <c r="G96" s="1894">
        <v>15</v>
      </c>
      <c r="H96" s="1893">
        <f t="shared" si="2"/>
        <v>50</v>
      </c>
    </row>
    <row r="97" spans="1:8" s="1826" customFormat="1" ht="15" x14ac:dyDescent="0.25">
      <c r="A97" s="1833">
        <v>5273</v>
      </c>
      <c r="B97" s="1832">
        <v>5169</v>
      </c>
      <c r="C97" s="1896"/>
      <c r="D97" s="1888" t="s">
        <v>955</v>
      </c>
      <c r="E97" s="1895">
        <f>E98+E99+E100</f>
        <v>250</v>
      </c>
      <c r="F97" s="1895">
        <f>F98+F99+F100</f>
        <v>494</v>
      </c>
      <c r="G97" s="1895">
        <f>G98+G99+G100</f>
        <v>455</v>
      </c>
      <c r="H97" s="1893">
        <f t="shared" si="2"/>
        <v>92.10526315789474</v>
      </c>
    </row>
    <row r="98" spans="1:8" s="1826" customFormat="1" ht="14.25" x14ac:dyDescent="0.2">
      <c r="A98" s="1833"/>
      <c r="B98" s="1832"/>
      <c r="C98" s="1835" t="s">
        <v>838</v>
      </c>
      <c r="D98" s="1841" t="s">
        <v>1415</v>
      </c>
      <c r="E98" s="1830">
        <v>250</v>
      </c>
      <c r="F98" s="1829">
        <v>250</v>
      </c>
      <c r="G98" s="1828">
        <v>245</v>
      </c>
      <c r="H98" s="1889">
        <f t="shared" si="2"/>
        <v>98</v>
      </c>
    </row>
    <row r="99" spans="1:8" s="1826" customFormat="1" ht="15" x14ac:dyDescent="0.25">
      <c r="A99" s="1833"/>
      <c r="B99" s="1832"/>
      <c r="C99" s="1835" t="s">
        <v>270</v>
      </c>
      <c r="D99" s="1842" t="s">
        <v>32</v>
      </c>
      <c r="E99" s="1895"/>
      <c r="F99" s="1829">
        <v>44</v>
      </c>
      <c r="G99" s="1828">
        <v>44</v>
      </c>
      <c r="H99" s="1889">
        <f t="shared" si="2"/>
        <v>100</v>
      </c>
    </row>
    <row r="100" spans="1:8" s="1826" customFormat="1" ht="15" x14ac:dyDescent="0.25">
      <c r="A100" s="1833"/>
      <c r="B100" s="1832"/>
      <c r="C100" s="1831" t="s">
        <v>22</v>
      </c>
      <c r="D100" s="1841" t="s">
        <v>1351</v>
      </c>
      <c r="E100" s="1895"/>
      <c r="F100" s="1829">
        <v>200</v>
      </c>
      <c r="G100" s="1828">
        <v>166</v>
      </c>
      <c r="H100" s="1889">
        <f t="shared" si="2"/>
        <v>83</v>
      </c>
    </row>
    <row r="101" spans="1:8" s="1826" customFormat="1" ht="15" x14ac:dyDescent="0.25">
      <c r="A101" s="1833">
        <v>5273</v>
      </c>
      <c r="B101" s="1832">
        <v>5175</v>
      </c>
      <c r="C101" s="1835"/>
      <c r="D101" s="1846" t="s">
        <v>740</v>
      </c>
      <c r="E101" s="1895">
        <v>170</v>
      </c>
      <c r="F101" s="1894">
        <f>F102+F103</f>
        <v>310</v>
      </c>
      <c r="G101" s="1894">
        <f>G102+G103</f>
        <v>264</v>
      </c>
      <c r="H101" s="1893">
        <f t="shared" si="2"/>
        <v>85.161290322580641</v>
      </c>
    </row>
    <row r="102" spans="1:8" s="1826" customFormat="1" ht="14.25" x14ac:dyDescent="0.2">
      <c r="A102" s="1833"/>
      <c r="B102" s="1832"/>
      <c r="C102" s="1835" t="s">
        <v>838</v>
      </c>
      <c r="D102" s="1841" t="s">
        <v>1415</v>
      </c>
      <c r="E102" s="1830">
        <v>170</v>
      </c>
      <c r="F102" s="1829">
        <v>170</v>
      </c>
      <c r="G102" s="1828">
        <v>141</v>
      </c>
      <c r="H102" s="1889">
        <f t="shared" si="2"/>
        <v>82.941176470588246</v>
      </c>
    </row>
    <row r="103" spans="1:8" s="1826" customFormat="1" ht="14.25" x14ac:dyDescent="0.2">
      <c r="A103" s="1833"/>
      <c r="B103" s="1832"/>
      <c r="C103" s="1835" t="s">
        <v>270</v>
      </c>
      <c r="D103" s="1842" t="s">
        <v>32</v>
      </c>
      <c r="E103" s="1830"/>
      <c r="F103" s="1829">
        <v>140</v>
      </c>
      <c r="G103" s="1828">
        <v>123</v>
      </c>
      <c r="H103" s="1889">
        <f t="shared" si="2"/>
        <v>87.857142857142861</v>
      </c>
    </row>
    <row r="104" spans="1:8" s="1826" customFormat="1" ht="15" x14ac:dyDescent="0.25">
      <c r="A104" s="1833">
        <v>5273</v>
      </c>
      <c r="B104" s="1832">
        <v>5192</v>
      </c>
      <c r="C104" s="1835"/>
      <c r="D104" s="1846" t="s">
        <v>1380</v>
      </c>
      <c r="E104" s="1895"/>
      <c r="F104" s="1887">
        <v>61</v>
      </c>
      <c r="G104" s="1894">
        <v>61</v>
      </c>
      <c r="H104" s="1893">
        <f t="shared" si="2"/>
        <v>100</v>
      </c>
    </row>
    <row r="105" spans="1:8" s="1826" customFormat="1" ht="15" x14ac:dyDescent="0.25">
      <c r="A105" s="1833"/>
      <c r="B105" s="1832"/>
      <c r="C105" s="1831" t="s">
        <v>22</v>
      </c>
      <c r="D105" s="1841" t="s">
        <v>1351</v>
      </c>
      <c r="E105" s="1895"/>
      <c r="F105" s="1829">
        <v>61</v>
      </c>
      <c r="G105" s="1828">
        <v>61</v>
      </c>
      <c r="H105" s="1889">
        <f t="shared" si="2"/>
        <v>100</v>
      </c>
    </row>
    <row r="106" spans="1:8" s="1826" customFormat="1" ht="15" x14ac:dyDescent="0.25">
      <c r="A106" s="1833">
        <v>5273</v>
      </c>
      <c r="B106" s="1832">
        <v>5222</v>
      </c>
      <c r="C106" s="1835"/>
      <c r="D106" s="1912" t="s">
        <v>241</v>
      </c>
      <c r="E106" s="1895">
        <v>200</v>
      </c>
      <c r="F106" s="1894">
        <f>F107+F108+F109</f>
        <v>340</v>
      </c>
      <c r="G106" s="1894">
        <f>G107+G108+G109</f>
        <v>340</v>
      </c>
      <c r="H106" s="1893">
        <f t="shared" si="2"/>
        <v>100</v>
      </c>
    </row>
    <row r="107" spans="1:8" s="1826" customFormat="1" ht="15" x14ac:dyDescent="0.25">
      <c r="A107" s="1833"/>
      <c r="B107" s="1832"/>
      <c r="C107" s="1840" t="s">
        <v>272</v>
      </c>
      <c r="D107" s="1841" t="s">
        <v>348</v>
      </c>
      <c r="E107" s="1895"/>
      <c r="F107" s="1829">
        <v>120</v>
      </c>
      <c r="G107" s="1828">
        <v>120</v>
      </c>
      <c r="H107" s="1889">
        <f t="shared" si="2"/>
        <v>100</v>
      </c>
    </row>
    <row r="108" spans="1:8" s="1826" customFormat="1" ht="15" x14ac:dyDescent="0.25">
      <c r="A108" s="1833"/>
      <c r="B108" s="1832"/>
      <c r="C108" s="1840" t="s">
        <v>1350</v>
      </c>
      <c r="D108" s="1841" t="s">
        <v>1737</v>
      </c>
      <c r="E108" s="1895"/>
      <c r="F108" s="1829">
        <v>20</v>
      </c>
      <c r="G108" s="1828">
        <v>20</v>
      </c>
      <c r="H108" s="1889">
        <f t="shared" si="2"/>
        <v>100</v>
      </c>
    </row>
    <row r="109" spans="1:8" s="1826" customFormat="1" ht="14.25" x14ac:dyDescent="0.2">
      <c r="A109" s="1833"/>
      <c r="B109" s="1832"/>
      <c r="C109" s="1914" t="s">
        <v>385</v>
      </c>
      <c r="D109" s="1913" t="s">
        <v>996</v>
      </c>
      <c r="E109" s="1830">
        <v>200</v>
      </c>
      <c r="F109" s="1891">
        <v>200</v>
      </c>
      <c r="G109" s="1890">
        <v>200</v>
      </c>
      <c r="H109" s="1889">
        <f t="shared" si="2"/>
        <v>100</v>
      </c>
    </row>
    <row r="110" spans="1:8" s="1826" customFormat="1" ht="15" x14ac:dyDescent="0.25">
      <c r="A110" s="1833">
        <v>5273</v>
      </c>
      <c r="B110" s="1832">
        <v>5321</v>
      </c>
      <c r="C110" s="1914"/>
      <c r="D110" s="1888" t="s">
        <v>1349</v>
      </c>
      <c r="E110" s="1830"/>
      <c r="F110" s="1838">
        <v>200</v>
      </c>
      <c r="G110" s="1837">
        <v>200</v>
      </c>
      <c r="H110" s="1886">
        <f t="shared" si="2"/>
        <v>100</v>
      </c>
    </row>
    <row r="111" spans="1:8" s="1826" customFormat="1" ht="14.25" x14ac:dyDescent="0.2">
      <c r="A111" s="1833"/>
      <c r="B111" s="1832"/>
      <c r="C111" s="1840" t="s">
        <v>272</v>
      </c>
      <c r="D111" s="1841" t="s">
        <v>348</v>
      </c>
      <c r="E111" s="1830"/>
      <c r="F111" s="1891">
        <v>200</v>
      </c>
      <c r="G111" s="1890">
        <v>200</v>
      </c>
      <c r="H111" s="1889">
        <f t="shared" si="2"/>
        <v>100</v>
      </c>
    </row>
    <row r="112" spans="1:8" s="1826" customFormat="1" ht="15" x14ac:dyDescent="0.25">
      <c r="A112" s="1833">
        <v>5273</v>
      </c>
      <c r="B112" s="1832">
        <v>5901</v>
      </c>
      <c r="C112" s="1896"/>
      <c r="D112" s="1888" t="s">
        <v>887</v>
      </c>
      <c r="E112" s="1895">
        <v>6000</v>
      </c>
      <c r="F112" s="1887">
        <v>4995</v>
      </c>
      <c r="G112" s="1894">
        <v>0</v>
      </c>
      <c r="H112" s="1893">
        <v>0</v>
      </c>
    </row>
    <row r="113" spans="1:8" s="1826" customFormat="1" ht="14.25" x14ac:dyDescent="0.2">
      <c r="A113" s="1833"/>
      <c r="B113" s="1832"/>
      <c r="C113" s="1835" t="s">
        <v>270</v>
      </c>
      <c r="D113" s="1842" t="s">
        <v>32</v>
      </c>
      <c r="E113" s="1830">
        <v>6000</v>
      </c>
      <c r="F113" s="1891">
        <v>0</v>
      </c>
      <c r="G113" s="1890">
        <v>0</v>
      </c>
      <c r="H113" s="1889">
        <v>0</v>
      </c>
    </row>
    <row r="114" spans="1:8" s="1826" customFormat="1" ht="14.25" x14ac:dyDescent="0.2">
      <c r="A114" s="1833"/>
      <c r="B114" s="1832"/>
      <c r="C114" s="1831" t="s">
        <v>22</v>
      </c>
      <c r="D114" s="1841" t="s">
        <v>1351</v>
      </c>
      <c r="E114" s="1830"/>
      <c r="F114" s="1891">
        <v>4995</v>
      </c>
      <c r="G114" s="1890">
        <v>0</v>
      </c>
      <c r="H114" s="1889">
        <v>0</v>
      </c>
    </row>
    <row r="115" spans="1:8" s="1826" customFormat="1" ht="15" x14ac:dyDescent="0.25">
      <c r="A115" s="1833">
        <v>5274</v>
      </c>
      <c r="B115" s="1832">
        <v>5321</v>
      </c>
      <c r="C115" s="1831"/>
      <c r="D115" s="1888" t="s">
        <v>1349</v>
      </c>
      <c r="E115" s="1830"/>
      <c r="F115" s="1838">
        <v>390</v>
      </c>
      <c r="G115" s="1837">
        <v>390</v>
      </c>
      <c r="H115" s="1886">
        <f t="shared" ref="H115:H116" si="3">(G115/F115)*100</f>
        <v>100</v>
      </c>
    </row>
    <row r="116" spans="1:8" s="1826" customFormat="1" ht="14.25" x14ac:dyDescent="0.2">
      <c r="A116" s="1833"/>
      <c r="B116" s="1832"/>
      <c r="C116" s="1835" t="s">
        <v>270</v>
      </c>
      <c r="D116" s="1842" t="s">
        <v>32</v>
      </c>
      <c r="E116" s="1830"/>
      <c r="F116" s="1891">
        <v>390</v>
      </c>
      <c r="G116" s="1890">
        <v>390</v>
      </c>
      <c r="H116" s="1889">
        <f t="shared" si="3"/>
        <v>100</v>
      </c>
    </row>
    <row r="117" spans="1:8" s="1826" customFormat="1" ht="15" x14ac:dyDescent="0.25">
      <c r="A117" s="1833">
        <v>5511</v>
      </c>
      <c r="B117" s="1832">
        <v>5311</v>
      </c>
      <c r="C117" s="1835"/>
      <c r="D117" s="1846" t="s">
        <v>47</v>
      </c>
      <c r="E117" s="1843"/>
      <c r="F117" s="1894">
        <f>F118+F119</f>
        <v>3275</v>
      </c>
      <c r="G117" s="1894">
        <f>G118+G119</f>
        <v>3274</v>
      </c>
      <c r="H117" s="1886">
        <f t="shared" ref="H117:H146" si="4">(G117/F117)*100</f>
        <v>99.969465648854964</v>
      </c>
    </row>
    <row r="118" spans="1:8" s="1826" customFormat="1" ht="15" x14ac:dyDescent="0.25">
      <c r="A118" s="1833"/>
      <c r="B118" s="1832"/>
      <c r="C118" s="1835" t="s">
        <v>270</v>
      </c>
      <c r="D118" s="1842" t="s">
        <v>32</v>
      </c>
      <c r="E118" s="1843"/>
      <c r="F118" s="1891">
        <v>1367</v>
      </c>
      <c r="G118" s="1890">
        <v>1367</v>
      </c>
      <c r="H118" s="1889">
        <f t="shared" si="4"/>
        <v>100</v>
      </c>
    </row>
    <row r="119" spans="1:8" s="1826" customFormat="1" ht="15" x14ac:dyDescent="0.25">
      <c r="A119" s="1833"/>
      <c r="B119" s="1832"/>
      <c r="C119" s="1831" t="s">
        <v>22</v>
      </c>
      <c r="D119" s="1841" t="s">
        <v>1351</v>
      </c>
      <c r="E119" s="1843"/>
      <c r="F119" s="1891">
        <v>1908</v>
      </c>
      <c r="G119" s="1890">
        <v>1907</v>
      </c>
      <c r="H119" s="1889">
        <f t="shared" si="4"/>
        <v>99.94758909853249</v>
      </c>
    </row>
    <row r="120" spans="1:8" s="1826" customFormat="1" ht="15" x14ac:dyDescent="0.25">
      <c r="A120" s="1833">
        <v>5512</v>
      </c>
      <c r="B120" s="1832">
        <v>5222</v>
      </c>
      <c r="C120" s="1840"/>
      <c r="D120" s="1912" t="s">
        <v>241</v>
      </c>
      <c r="E120" s="1843"/>
      <c r="F120" s="1894">
        <f>F121+F122+F123+F124</f>
        <v>3669</v>
      </c>
      <c r="G120" s="1894">
        <f>G121+G122+G123+G124</f>
        <v>3640</v>
      </c>
      <c r="H120" s="1893">
        <f t="shared" si="4"/>
        <v>99.209593894794224</v>
      </c>
    </row>
    <row r="121" spans="1:8" s="1826" customFormat="1" ht="15" x14ac:dyDescent="0.25">
      <c r="A121" s="1833"/>
      <c r="B121" s="1832"/>
      <c r="C121" s="1840" t="s">
        <v>272</v>
      </c>
      <c r="D121" s="1841" t="s">
        <v>348</v>
      </c>
      <c r="E121" s="1843"/>
      <c r="F121" s="1891">
        <v>220</v>
      </c>
      <c r="G121" s="1890">
        <v>220</v>
      </c>
      <c r="H121" s="1889">
        <f t="shared" si="4"/>
        <v>100</v>
      </c>
    </row>
    <row r="122" spans="1:8" s="1826" customFormat="1" ht="15" x14ac:dyDescent="0.25">
      <c r="A122" s="1833"/>
      <c r="B122" s="1832"/>
      <c r="C122" s="1840" t="s">
        <v>1350</v>
      </c>
      <c r="D122" s="1841" t="s">
        <v>1737</v>
      </c>
      <c r="E122" s="1843"/>
      <c r="F122" s="1891">
        <v>2745</v>
      </c>
      <c r="G122" s="1890">
        <v>2716</v>
      </c>
      <c r="H122" s="1889">
        <f t="shared" si="4"/>
        <v>98.943533697632063</v>
      </c>
    </row>
    <row r="123" spans="1:8" s="1826" customFormat="1" ht="15" x14ac:dyDescent="0.25">
      <c r="A123" s="1833"/>
      <c r="B123" s="1832"/>
      <c r="C123" s="1835" t="s">
        <v>270</v>
      </c>
      <c r="D123" s="1842" t="s">
        <v>32</v>
      </c>
      <c r="E123" s="1843"/>
      <c r="F123" s="1891">
        <v>670</v>
      </c>
      <c r="G123" s="1890">
        <v>670</v>
      </c>
      <c r="H123" s="1889">
        <f t="shared" si="4"/>
        <v>100</v>
      </c>
    </row>
    <row r="124" spans="1:8" s="1826" customFormat="1" ht="15" x14ac:dyDescent="0.25">
      <c r="A124" s="1833"/>
      <c r="B124" s="1832"/>
      <c r="C124" s="1831" t="s">
        <v>22</v>
      </c>
      <c r="D124" s="1841" t="s">
        <v>1351</v>
      </c>
      <c r="E124" s="1843"/>
      <c r="F124" s="1891">
        <v>34</v>
      </c>
      <c r="G124" s="1890">
        <v>34</v>
      </c>
      <c r="H124" s="1889">
        <f t="shared" si="4"/>
        <v>100</v>
      </c>
    </row>
    <row r="125" spans="1:8" s="1826" customFormat="1" ht="15" x14ac:dyDescent="0.25">
      <c r="A125" s="1833">
        <v>5512</v>
      </c>
      <c r="B125" s="1832">
        <v>5321</v>
      </c>
      <c r="C125" s="1896"/>
      <c r="D125" s="1888" t="s">
        <v>1349</v>
      </c>
      <c r="E125" s="1895">
        <v>6000</v>
      </c>
      <c r="F125" s="1894">
        <f>SUM(F126:F135,F142:F146)</f>
        <v>25538</v>
      </c>
      <c r="G125" s="1894">
        <f>SUM(G126:G135,G142:G146)</f>
        <v>25402</v>
      </c>
      <c r="H125" s="1886">
        <f t="shared" si="4"/>
        <v>99.467460255305824</v>
      </c>
    </row>
    <row r="126" spans="1:8" s="1826" customFormat="1" ht="14.25" x14ac:dyDescent="0.2">
      <c r="A126" s="1833"/>
      <c r="B126" s="1832"/>
      <c r="C126" s="1835" t="s">
        <v>1352</v>
      </c>
      <c r="D126" s="1834" t="s">
        <v>1261</v>
      </c>
      <c r="E126" s="1830">
        <v>6000</v>
      </c>
      <c r="F126" s="1891">
        <v>7450</v>
      </c>
      <c r="G126" s="1890">
        <v>7316</v>
      </c>
      <c r="H126" s="1889">
        <f t="shared" si="4"/>
        <v>98.201342281879192</v>
      </c>
    </row>
    <row r="127" spans="1:8" s="1826" customFormat="1" ht="14.25" x14ac:dyDescent="0.2">
      <c r="A127" s="1833"/>
      <c r="B127" s="1832"/>
      <c r="C127" s="1914" t="s">
        <v>385</v>
      </c>
      <c r="D127" s="1913" t="s">
        <v>996</v>
      </c>
      <c r="E127" s="1830"/>
      <c r="F127" s="1891">
        <v>50</v>
      </c>
      <c r="G127" s="1890">
        <v>50</v>
      </c>
      <c r="H127" s="1889">
        <f t="shared" si="4"/>
        <v>100</v>
      </c>
    </row>
    <row r="128" spans="1:8" s="1826" customFormat="1" ht="14.25" x14ac:dyDescent="0.2">
      <c r="A128" s="1833"/>
      <c r="B128" s="1832"/>
      <c r="C128" s="1835" t="s">
        <v>330</v>
      </c>
      <c r="D128" s="1911" t="s">
        <v>216</v>
      </c>
      <c r="E128" s="1830"/>
      <c r="F128" s="1891">
        <v>4983</v>
      </c>
      <c r="G128" s="1890">
        <v>4981</v>
      </c>
      <c r="H128" s="1889">
        <f t="shared" si="4"/>
        <v>99.959863536022482</v>
      </c>
    </row>
    <row r="129" spans="1:12" s="1826" customFormat="1" ht="14.25" x14ac:dyDescent="0.2">
      <c r="A129" s="1833"/>
      <c r="B129" s="1832"/>
      <c r="C129" s="1831" t="s">
        <v>1506</v>
      </c>
      <c r="D129" s="2700" t="s">
        <v>1507</v>
      </c>
      <c r="E129" s="1830"/>
      <c r="F129" s="1891">
        <v>11775</v>
      </c>
      <c r="G129" s="1890">
        <v>11775</v>
      </c>
      <c r="H129" s="1889">
        <f t="shared" si="4"/>
        <v>100</v>
      </c>
    </row>
    <row r="130" spans="1:12" s="1826" customFormat="1" ht="14.25" x14ac:dyDescent="0.2">
      <c r="A130" s="1833"/>
      <c r="B130" s="1832"/>
      <c r="C130" s="1835"/>
      <c r="D130" s="2701"/>
      <c r="E130" s="1830"/>
      <c r="F130" s="1891"/>
      <c r="G130" s="1890"/>
      <c r="H130" s="1889"/>
    </row>
    <row r="131" spans="1:12" s="1826" customFormat="1" ht="14.25" x14ac:dyDescent="0.2">
      <c r="A131" s="1833"/>
      <c r="B131" s="1832"/>
      <c r="C131" s="1831" t="s">
        <v>1510</v>
      </c>
      <c r="D131" s="1910" t="s">
        <v>1511</v>
      </c>
      <c r="E131" s="1830"/>
      <c r="F131" s="1891">
        <v>3</v>
      </c>
      <c r="G131" s="1890">
        <v>3</v>
      </c>
      <c r="H131" s="1889">
        <f t="shared" si="4"/>
        <v>100</v>
      </c>
    </row>
    <row r="132" spans="1:12" s="1826" customFormat="1" ht="14.25" x14ac:dyDescent="0.2">
      <c r="A132" s="1833"/>
      <c r="B132" s="1832"/>
      <c r="C132" s="2702" t="s">
        <v>1512</v>
      </c>
      <c r="D132" s="2700" t="s">
        <v>1513</v>
      </c>
      <c r="E132" s="1830"/>
      <c r="F132" s="1891">
        <v>163</v>
      </c>
      <c r="G132" s="1890">
        <v>163</v>
      </c>
      <c r="H132" s="1889">
        <f t="shared" si="4"/>
        <v>100</v>
      </c>
    </row>
    <row r="133" spans="1:12" s="1826" customFormat="1" ht="14.25" x14ac:dyDescent="0.2">
      <c r="A133" s="1833"/>
      <c r="B133" s="1832"/>
      <c r="C133" s="2703"/>
      <c r="D133" s="2700"/>
      <c r="E133" s="1830"/>
      <c r="F133" s="1891"/>
      <c r="G133" s="1890"/>
      <c r="H133" s="1889"/>
    </row>
    <row r="134" spans="1:12" s="1826" customFormat="1" ht="14.25" x14ac:dyDescent="0.2">
      <c r="A134" s="1833"/>
      <c r="B134" s="1832"/>
      <c r="C134" s="1909" t="s">
        <v>1514</v>
      </c>
      <c r="D134" s="2700" t="s">
        <v>1515</v>
      </c>
      <c r="E134" s="1830"/>
      <c r="F134" s="1891">
        <v>53</v>
      </c>
      <c r="G134" s="1890">
        <v>53</v>
      </c>
      <c r="H134" s="1889">
        <f t="shared" si="4"/>
        <v>100</v>
      </c>
      <c r="J134" s="1900">
        <f>E77+E79+E88+E89+E90+E91+E92+E96+E97+E101+E106+E112+E125</f>
        <v>23772</v>
      </c>
      <c r="K134" s="1900">
        <f>F73+F76+F77+F79+F81+F84+F86+F88+F89+F90+F91+F92+F96+F97+F101+F104+F106+F110+F112+F117+F120+F125+F115</f>
        <v>52765</v>
      </c>
      <c r="L134" s="1900">
        <f>G73+G76+G77+G79+G81+G84+G86+G88+G89+G90+G91+G92+G96+G97+G101+G104+G106+G110+G112+G117+G120+G125+G115</f>
        <v>47481</v>
      </c>
    </row>
    <row r="135" spans="1:12" s="1826" customFormat="1" ht="15" thickBot="1" x14ac:dyDescent="0.25">
      <c r="A135" s="1885"/>
      <c r="B135" s="1884"/>
      <c r="C135" s="1904"/>
      <c r="D135" s="2704"/>
      <c r="E135" s="1954"/>
      <c r="F135" s="1903"/>
      <c r="G135" s="1902"/>
      <c r="H135" s="1901"/>
    </row>
    <row r="136" spans="1:12" s="1826" customFormat="1" ht="15" thickTop="1" x14ac:dyDescent="0.2">
      <c r="A136" s="1915"/>
      <c r="B136" s="1915"/>
      <c r="C136" s="1951"/>
      <c r="D136" s="1952"/>
      <c r="E136" s="1922"/>
      <c r="F136" s="1891"/>
      <c r="G136" s="1891"/>
      <c r="H136" s="1953"/>
    </row>
    <row r="137" spans="1:12" s="1826" customFormat="1" ht="14.25" x14ac:dyDescent="0.2">
      <c r="A137" s="1915"/>
      <c r="B137" s="1915"/>
      <c r="C137" s="1951"/>
      <c r="D137" s="1952"/>
      <c r="E137" s="1922"/>
      <c r="F137" s="1891"/>
      <c r="G137" s="1891"/>
      <c r="H137" s="1953"/>
    </row>
    <row r="138" spans="1:12" s="1826" customFormat="1" ht="14.25" x14ac:dyDescent="0.2">
      <c r="A138" s="1915"/>
      <c r="B138" s="1915"/>
      <c r="C138" s="1951"/>
      <c r="D138" s="1952"/>
      <c r="E138" s="1922"/>
      <c r="F138" s="1891"/>
      <c r="G138" s="1891"/>
      <c r="H138" s="1953"/>
    </row>
    <row r="139" spans="1:12" ht="13.5" thickBot="1" x14ac:dyDescent="0.25">
      <c r="A139" s="1863"/>
      <c r="B139" s="1863"/>
      <c r="C139" s="1863"/>
      <c r="D139" s="1899"/>
      <c r="G139" s="1861"/>
      <c r="H139" s="1795" t="s">
        <v>179</v>
      </c>
    </row>
    <row r="140" spans="1:12" s="1855" customFormat="1" ht="20.25" customHeight="1" thickTop="1" thickBot="1" x14ac:dyDescent="0.25">
      <c r="A140" s="1860" t="s">
        <v>180</v>
      </c>
      <c r="B140" s="1859" t="s">
        <v>181</v>
      </c>
      <c r="C140" s="1898" t="s">
        <v>783</v>
      </c>
      <c r="D140" s="1898" t="s">
        <v>182</v>
      </c>
      <c r="E140" s="1898" t="s">
        <v>183</v>
      </c>
      <c r="F140" s="1898" t="s">
        <v>985</v>
      </c>
      <c r="G140" s="1898" t="s">
        <v>986</v>
      </c>
      <c r="H140" s="1856" t="s">
        <v>987</v>
      </c>
    </row>
    <row r="141" spans="1:12" s="1849" customFormat="1" ht="13.5" thickTop="1" thickBot="1" x14ac:dyDescent="0.25">
      <c r="A141" s="1854">
        <v>1</v>
      </c>
      <c r="B141" s="1853">
        <v>2</v>
      </c>
      <c r="C141" s="1853">
        <v>3</v>
      </c>
      <c r="D141" s="1853">
        <v>4</v>
      </c>
      <c r="E141" s="1853">
        <v>5</v>
      </c>
      <c r="F141" s="1852">
        <v>6</v>
      </c>
      <c r="G141" s="1852">
        <v>7</v>
      </c>
      <c r="H141" s="1851" t="s">
        <v>61</v>
      </c>
      <c r="I141" s="1850"/>
    </row>
    <row r="142" spans="1:12" s="1826" customFormat="1" ht="15" thickTop="1" x14ac:dyDescent="0.2">
      <c r="A142" s="1833"/>
      <c r="B142" s="1832"/>
      <c r="C142" s="2705" t="s">
        <v>1516</v>
      </c>
      <c r="D142" s="2700" t="s">
        <v>1517</v>
      </c>
      <c r="E142" s="1830"/>
      <c r="F142" s="1891">
        <v>177</v>
      </c>
      <c r="G142" s="1890">
        <v>177</v>
      </c>
      <c r="H142" s="1889">
        <f t="shared" si="4"/>
        <v>100</v>
      </c>
    </row>
    <row r="143" spans="1:12" s="1826" customFormat="1" ht="14.25" x14ac:dyDescent="0.2">
      <c r="A143" s="1833"/>
      <c r="B143" s="1832"/>
      <c r="C143" s="2703"/>
      <c r="D143" s="2700"/>
      <c r="E143" s="1830"/>
      <c r="F143" s="1891"/>
      <c r="G143" s="1890"/>
      <c r="H143" s="1889"/>
    </row>
    <row r="144" spans="1:12" s="1826" customFormat="1" ht="25.5" x14ac:dyDescent="0.2">
      <c r="A144" s="1833"/>
      <c r="B144" s="1832"/>
      <c r="C144" s="1831" t="s">
        <v>1518</v>
      </c>
      <c r="D144" s="1908" t="s">
        <v>1519</v>
      </c>
      <c r="E144" s="1830"/>
      <c r="F144" s="1907">
        <v>65</v>
      </c>
      <c r="G144" s="1906">
        <v>65</v>
      </c>
      <c r="H144" s="1905">
        <f t="shared" si="4"/>
        <v>100</v>
      </c>
    </row>
    <row r="145" spans="1:12" s="1826" customFormat="1" ht="25.5" x14ac:dyDescent="0.2">
      <c r="A145" s="1833"/>
      <c r="B145" s="1832"/>
      <c r="C145" s="1831" t="s">
        <v>1520</v>
      </c>
      <c r="D145" s="1908" t="s">
        <v>1521</v>
      </c>
      <c r="E145" s="1830"/>
      <c r="F145" s="1907">
        <v>453</v>
      </c>
      <c r="G145" s="1906">
        <v>453</v>
      </c>
      <c r="H145" s="1905">
        <f t="shared" si="4"/>
        <v>100</v>
      </c>
    </row>
    <row r="146" spans="1:12" s="1826" customFormat="1" ht="25.5" x14ac:dyDescent="0.2">
      <c r="A146" s="1833"/>
      <c r="B146" s="1832"/>
      <c r="C146" s="1831" t="s">
        <v>1522</v>
      </c>
      <c r="D146" s="1908" t="s">
        <v>1523</v>
      </c>
      <c r="E146" s="1830"/>
      <c r="F146" s="1907">
        <v>366</v>
      </c>
      <c r="G146" s="1906">
        <v>366</v>
      </c>
      <c r="H146" s="1905">
        <f t="shared" si="4"/>
        <v>100</v>
      </c>
    </row>
    <row r="147" spans="1:12" s="1826" customFormat="1" ht="15" x14ac:dyDescent="0.25">
      <c r="A147" s="1833">
        <v>5529</v>
      </c>
      <c r="B147" s="1832">
        <v>5169</v>
      </c>
      <c r="C147" s="1896"/>
      <c r="D147" s="1888" t="s">
        <v>955</v>
      </c>
      <c r="E147" s="1895">
        <v>100</v>
      </c>
      <c r="F147" s="1887">
        <v>100</v>
      </c>
      <c r="G147" s="1894">
        <v>72</v>
      </c>
      <c r="H147" s="1893">
        <f>(G147/F147)*100</f>
        <v>72</v>
      </c>
    </row>
    <row r="148" spans="1:12" s="1826" customFormat="1" ht="15" x14ac:dyDescent="0.25">
      <c r="A148" s="1833">
        <v>5599</v>
      </c>
      <c r="B148" s="1832">
        <v>5221</v>
      </c>
      <c r="C148" s="1840"/>
      <c r="D148" s="1888" t="s">
        <v>46</v>
      </c>
      <c r="E148" s="1895"/>
      <c r="F148" s="1887">
        <v>150</v>
      </c>
      <c r="G148" s="1837">
        <v>150</v>
      </c>
      <c r="H148" s="1886">
        <f>(G148/F148)*100</f>
        <v>100</v>
      </c>
    </row>
    <row r="149" spans="1:12" s="1826" customFormat="1" ht="15" x14ac:dyDescent="0.25">
      <c r="A149" s="1833"/>
      <c r="B149" s="1832"/>
      <c r="C149" s="1835" t="s">
        <v>270</v>
      </c>
      <c r="D149" s="1842" t="s">
        <v>32</v>
      </c>
      <c r="E149" s="1895"/>
      <c r="F149" s="1891">
        <v>150</v>
      </c>
      <c r="G149" s="1890">
        <v>150</v>
      </c>
      <c r="H149" s="1889">
        <f>(G149/F149)*100</f>
        <v>100</v>
      </c>
      <c r="J149" s="1900"/>
      <c r="K149" s="1900"/>
      <c r="L149" s="1900"/>
    </row>
    <row r="150" spans="1:12" s="1826" customFormat="1" ht="15" x14ac:dyDescent="0.25">
      <c r="A150" s="1833">
        <v>6172</v>
      </c>
      <c r="B150" s="1832">
        <v>5139</v>
      </c>
      <c r="C150" s="1896"/>
      <c r="D150" s="1888" t="s">
        <v>851</v>
      </c>
      <c r="E150" s="1895">
        <v>2300</v>
      </c>
      <c r="F150" s="1887">
        <v>2454</v>
      </c>
      <c r="G150" s="1894">
        <v>2432</v>
      </c>
      <c r="H150" s="1893">
        <f t="shared" ref="H150:H161" si="5">(G150/F150)*100</f>
        <v>99.103504482477589</v>
      </c>
    </row>
    <row r="151" spans="1:12" s="1826" customFormat="1" ht="14.25" x14ac:dyDescent="0.2">
      <c r="A151" s="1833"/>
      <c r="B151" s="1832"/>
      <c r="C151" s="1914" t="s">
        <v>1508</v>
      </c>
      <c r="D151" s="1841" t="s">
        <v>1509</v>
      </c>
      <c r="E151" s="1830">
        <v>2300</v>
      </c>
      <c r="F151" s="1891">
        <v>2454</v>
      </c>
      <c r="G151" s="1890">
        <v>2432</v>
      </c>
      <c r="H151" s="1889">
        <f t="shared" si="5"/>
        <v>99.103504482477589</v>
      </c>
    </row>
    <row r="152" spans="1:12" s="1826" customFormat="1" ht="15" x14ac:dyDescent="0.25">
      <c r="A152" s="1833">
        <v>6172</v>
      </c>
      <c r="B152" s="1832">
        <v>5168</v>
      </c>
      <c r="C152" s="1835"/>
      <c r="D152" s="1888" t="s">
        <v>191</v>
      </c>
      <c r="E152" s="1895">
        <v>100</v>
      </c>
      <c r="F152" s="1887">
        <v>0</v>
      </c>
      <c r="G152" s="1894">
        <v>0</v>
      </c>
      <c r="H152" s="1886">
        <v>0</v>
      </c>
    </row>
    <row r="153" spans="1:12" s="1826" customFormat="1" ht="14.25" x14ac:dyDescent="0.2">
      <c r="A153" s="1833"/>
      <c r="B153" s="1832"/>
      <c r="C153" s="1892" t="s">
        <v>1508</v>
      </c>
      <c r="D153" s="1841" t="s">
        <v>1509</v>
      </c>
      <c r="E153" s="1830">
        <v>100</v>
      </c>
      <c r="F153" s="1829">
        <v>0</v>
      </c>
      <c r="G153" s="1828">
        <v>0</v>
      </c>
      <c r="H153" s="1889">
        <v>0</v>
      </c>
    </row>
    <row r="154" spans="1:12" s="1826" customFormat="1" ht="15" x14ac:dyDescent="0.25">
      <c r="A154" s="1833">
        <v>6172</v>
      </c>
      <c r="B154" s="1832">
        <v>5169</v>
      </c>
      <c r="C154" s="1835"/>
      <c r="D154" s="1888" t="s">
        <v>955</v>
      </c>
      <c r="E154" s="1895">
        <v>1300</v>
      </c>
      <c r="F154" s="1894">
        <f>F155+F156</f>
        <v>1300</v>
      </c>
      <c r="G154" s="1894">
        <f>G155+G156</f>
        <v>1253</v>
      </c>
      <c r="H154" s="1893">
        <f t="shared" si="5"/>
        <v>96.384615384615387</v>
      </c>
    </row>
    <row r="155" spans="1:12" s="1826" customFormat="1" ht="14.25" x14ac:dyDescent="0.2">
      <c r="A155" s="1833"/>
      <c r="B155" s="1832"/>
      <c r="C155" s="1835" t="s">
        <v>838</v>
      </c>
      <c r="D155" s="1841" t="s">
        <v>1415</v>
      </c>
      <c r="E155" s="1830">
        <v>100</v>
      </c>
      <c r="F155" s="1829">
        <v>0</v>
      </c>
      <c r="G155" s="1828">
        <v>0</v>
      </c>
      <c r="H155" s="1889">
        <v>0</v>
      </c>
    </row>
    <row r="156" spans="1:12" s="1826" customFormat="1" ht="14.25" x14ac:dyDescent="0.2">
      <c r="A156" s="1833"/>
      <c r="B156" s="1832"/>
      <c r="C156" s="1892" t="s">
        <v>1508</v>
      </c>
      <c r="D156" s="1841" t="s">
        <v>1509</v>
      </c>
      <c r="E156" s="1830">
        <v>1200</v>
      </c>
      <c r="F156" s="1891">
        <v>1300</v>
      </c>
      <c r="G156" s="1890">
        <v>1253</v>
      </c>
      <c r="H156" s="1889">
        <f t="shared" si="5"/>
        <v>96.384615384615387</v>
      </c>
    </row>
    <row r="157" spans="1:12" s="1826" customFormat="1" ht="15" x14ac:dyDescent="0.25">
      <c r="A157" s="1833">
        <v>6172</v>
      </c>
      <c r="B157" s="1832">
        <v>5175</v>
      </c>
      <c r="C157" s="1892"/>
      <c r="D157" s="1888" t="s">
        <v>740</v>
      </c>
      <c r="E157" s="1843">
        <v>100</v>
      </c>
      <c r="F157" s="1838">
        <v>50</v>
      </c>
      <c r="G157" s="1837">
        <v>14</v>
      </c>
      <c r="H157" s="1886">
        <f t="shared" si="5"/>
        <v>28.000000000000004</v>
      </c>
    </row>
    <row r="158" spans="1:12" s="1826" customFormat="1" ht="14.25" x14ac:dyDescent="0.2">
      <c r="A158" s="1833"/>
      <c r="B158" s="1832"/>
      <c r="C158" s="1892" t="s">
        <v>1508</v>
      </c>
      <c r="D158" s="1841" t="s">
        <v>1509</v>
      </c>
      <c r="E158" s="1830">
        <v>100</v>
      </c>
      <c r="F158" s="1891">
        <v>50</v>
      </c>
      <c r="G158" s="1890">
        <v>14</v>
      </c>
      <c r="H158" s="1889">
        <f t="shared" si="5"/>
        <v>28.000000000000004</v>
      </c>
    </row>
    <row r="159" spans="1:12" s="1826" customFormat="1" ht="15" x14ac:dyDescent="0.25">
      <c r="A159" s="1833">
        <v>6402</v>
      </c>
      <c r="B159" s="1832">
        <v>5364</v>
      </c>
      <c r="C159" s="1892"/>
      <c r="D159" s="2696" t="s">
        <v>1717</v>
      </c>
      <c r="E159" s="1830"/>
      <c r="F159" s="1838">
        <v>367</v>
      </c>
      <c r="G159" s="1837">
        <v>367</v>
      </c>
      <c r="H159" s="1886">
        <f t="shared" si="5"/>
        <v>100</v>
      </c>
    </row>
    <row r="160" spans="1:12" s="1826" customFormat="1" ht="15" x14ac:dyDescent="0.25">
      <c r="A160" s="1833"/>
      <c r="B160" s="1832"/>
      <c r="C160" s="1892"/>
      <c r="D160" s="2697"/>
      <c r="E160" s="1830"/>
      <c r="F160" s="1838"/>
      <c r="G160" s="1837"/>
      <c r="H160" s="1886"/>
    </row>
    <row r="161" spans="1:12" s="1826" customFormat="1" ht="14.25" x14ac:dyDescent="0.2">
      <c r="A161" s="1833"/>
      <c r="B161" s="1832"/>
      <c r="C161" s="1226" t="s">
        <v>638</v>
      </c>
      <c r="D161" s="1787" t="s">
        <v>494</v>
      </c>
      <c r="E161" s="1830"/>
      <c r="F161" s="1891">
        <v>367</v>
      </c>
      <c r="G161" s="1890">
        <v>367</v>
      </c>
      <c r="H161" s="1889">
        <f t="shared" si="5"/>
        <v>100</v>
      </c>
    </row>
    <row r="162" spans="1:12" s="1826" customFormat="1" ht="15.75" thickBot="1" x14ac:dyDescent="0.3">
      <c r="A162" s="1885">
        <v>6409</v>
      </c>
      <c r="B162" s="1884">
        <v>5169</v>
      </c>
      <c r="C162" s="1883"/>
      <c r="D162" s="1882" t="s">
        <v>955</v>
      </c>
      <c r="E162" s="1881">
        <v>5400</v>
      </c>
      <c r="F162" s="1880">
        <v>5400</v>
      </c>
      <c r="G162" s="1879">
        <v>5400</v>
      </c>
      <c r="H162" s="1878">
        <f>(G162/F162)*100</f>
        <v>100</v>
      </c>
      <c r="J162" s="1877">
        <f>E147+E150+E152+E154+E157+E162</f>
        <v>9300</v>
      </c>
      <c r="K162" s="1877">
        <f>F147+F148+F150+F152+F154+F157+F159+F162</f>
        <v>9821</v>
      </c>
      <c r="L162" s="1877">
        <f>G147+G148+G150+G152+G154+G157+G159+G162</f>
        <v>9688</v>
      </c>
    </row>
    <row r="163" spans="1:12" s="1819" customFormat="1" ht="35.25" customHeight="1" thickTop="1" thickBot="1" x14ac:dyDescent="0.3">
      <c r="A163" s="1825" t="s">
        <v>268</v>
      </c>
      <c r="B163" s="1824"/>
      <c r="C163" s="1876"/>
      <c r="D163" s="1824"/>
      <c r="E163" s="1821">
        <f>J66+J134+J162</f>
        <v>54791</v>
      </c>
      <c r="F163" s="1821">
        <f>K66+K134+K162</f>
        <v>86380</v>
      </c>
      <c r="G163" s="1821">
        <f>L66+L134+L162</f>
        <v>76541</v>
      </c>
      <c r="H163" s="1820">
        <f>(G163/F163)*100</f>
        <v>88.609631859226667</v>
      </c>
      <c r="I163" s="1791"/>
      <c r="J163" s="1796"/>
      <c r="K163" s="1796"/>
    </row>
    <row r="164" spans="1:12" ht="15.75" thickTop="1" x14ac:dyDescent="0.25">
      <c r="B164" s="1798"/>
      <c r="C164" s="1862"/>
      <c r="D164" s="1875"/>
      <c r="E164" s="1873"/>
      <c r="F164" s="1874"/>
      <c r="G164" s="1873"/>
      <c r="H164" s="1872"/>
    </row>
    <row r="165" spans="1:12" ht="15" x14ac:dyDescent="0.25">
      <c r="B165" s="1798"/>
      <c r="C165" s="1862"/>
      <c r="D165" s="1875"/>
      <c r="E165" s="1873"/>
      <c r="F165" s="1874"/>
      <c r="G165" s="1957"/>
      <c r="H165" s="1872"/>
    </row>
    <row r="166" spans="1:12" ht="15" x14ac:dyDescent="0.25">
      <c r="B166" s="1798"/>
      <c r="C166" s="1862"/>
      <c r="D166" s="1875"/>
      <c r="E166" s="1873"/>
      <c r="F166" s="1874"/>
      <c r="G166" s="1873"/>
      <c r="H166" s="1872"/>
    </row>
    <row r="167" spans="1:12" ht="18" x14ac:dyDescent="0.25">
      <c r="A167" s="1871" t="s">
        <v>1403</v>
      </c>
      <c r="B167" s="1870"/>
      <c r="C167" s="1869"/>
      <c r="D167" s="1868"/>
      <c r="E167" s="1867"/>
      <c r="F167" s="1866"/>
      <c r="G167" s="1865"/>
      <c r="H167" s="1864"/>
    </row>
    <row r="168" spans="1:12" ht="13.5" thickBot="1" x14ac:dyDescent="0.25">
      <c r="A168" s="1863"/>
      <c r="B168" s="1863"/>
      <c r="C168" s="1862"/>
      <c r="F168" s="1861"/>
      <c r="H168" s="1795" t="s">
        <v>179</v>
      </c>
      <c r="I168" s="1855"/>
    </row>
    <row r="169" spans="1:12" s="1855" customFormat="1" ht="20.25" customHeight="1" thickTop="1" thickBot="1" x14ac:dyDescent="0.25">
      <c r="A169" s="1860" t="s">
        <v>180</v>
      </c>
      <c r="B169" s="1859" t="s">
        <v>181</v>
      </c>
      <c r="C169" s="1858" t="s">
        <v>783</v>
      </c>
      <c r="D169" s="1857" t="s">
        <v>182</v>
      </c>
      <c r="E169" s="1857" t="s">
        <v>183</v>
      </c>
      <c r="F169" s="1857" t="s">
        <v>985</v>
      </c>
      <c r="G169" s="1857" t="s">
        <v>986</v>
      </c>
      <c r="H169" s="1856" t="s">
        <v>987</v>
      </c>
      <c r="I169" s="1791"/>
    </row>
    <row r="170" spans="1:12" s="1849" customFormat="1" ht="13.5" thickTop="1" thickBot="1" x14ac:dyDescent="0.25">
      <c r="A170" s="1854">
        <v>1</v>
      </c>
      <c r="B170" s="1853">
        <v>2</v>
      </c>
      <c r="C170" s="1853">
        <v>3</v>
      </c>
      <c r="D170" s="1853">
        <v>4</v>
      </c>
      <c r="E170" s="1853">
        <v>5</v>
      </c>
      <c r="F170" s="1852">
        <v>6</v>
      </c>
      <c r="G170" s="1852">
        <v>7</v>
      </c>
      <c r="H170" s="1851" t="s">
        <v>61</v>
      </c>
      <c r="I170" s="1850"/>
    </row>
    <row r="171" spans="1:12" s="1826" customFormat="1" ht="15.75" thickTop="1" x14ac:dyDescent="0.25">
      <c r="A171" s="1833">
        <v>3326</v>
      </c>
      <c r="B171" s="1832">
        <v>6341</v>
      </c>
      <c r="C171" s="1840"/>
      <c r="D171" s="1839" t="s">
        <v>271</v>
      </c>
      <c r="E171" s="1843">
        <v>1500</v>
      </c>
      <c r="F171" s="1838">
        <v>1240</v>
      </c>
      <c r="G171" s="1837">
        <v>1199</v>
      </c>
      <c r="H171" s="1845">
        <f t="shared" ref="H171:H186" si="6">(G171/F171)*100</f>
        <v>96.693548387096769</v>
      </c>
    </row>
    <row r="172" spans="1:12" s="1826" customFormat="1" ht="15" x14ac:dyDescent="0.25">
      <c r="A172" s="1833">
        <v>5273</v>
      </c>
      <c r="B172" s="1832">
        <v>6341</v>
      </c>
      <c r="C172" s="1840"/>
      <c r="D172" s="1839" t="s">
        <v>271</v>
      </c>
      <c r="E172" s="1843"/>
      <c r="F172" s="1838">
        <v>450</v>
      </c>
      <c r="G172" s="1837">
        <v>450</v>
      </c>
      <c r="H172" s="1845">
        <f t="shared" si="6"/>
        <v>100</v>
      </c>
    </row>
    <row r="173" spans="1:12" s="1826" customFormat="1" ht="14.25" x14ac:dyDescent="0.2">
      <c r="A173" s="1833"/>
      <c r="B173" s="1832"/>
      <c r="C173" s="1840" t="s">
        <v>272</v>
      </c>
      <c r="D173" s="1841" t="s">
        <v>348</v>
      </c>
      <c r="E173" s="1830"/>
      <c r="F173" s="1829">
        <v>450</v>
      </c>
      <c r="G173" s="1828">
        <v>450</v>
      </c>
      <c r="H173" s="1827">
        <f t="shared" si="6"/>
        <v>100</v>
      </c>
    </row>
    <row r="174" spans="1:12" s="1826" customFormat="1" ht="15" x14ac:dyDescent="0.25">
      <c r="A174" s="1833">
        <v>5311</v>
      </c>
      <c r="B174" s="1832">
        <v>6331</v>
      </c>
      <c r="C174" s="1835"/>
      <c r="D174" s="1844" t="s">
        <v>909</v>
      </c>
      <c r="E174" s="1843"/>
      <c r="F174" s="1838">
        <v>2000</v>
      </c>
      <c r="G174" s="1837">
        <v>2000</v>
      </c>
      <c r="H174" s="1836">
        <f t="shared" ref="H174:H175" si="7">(G174/F174)*100</f>
        <v>100</v>
      </c>
    </row>
    <row r="175" spans="1:12" s="1826" customFormat="1" ht="15" x14ac:dyDescent="0.25">
      <c r="A175" s="1833"/>
      <c r="B175" s="1832"/>
      <c r="C175" s="1831" t="s">
        <v>22</v>
      </c>
      <c r="D175" s="1841" t="s">
        <v>1351</v>
      </c>
      <c r="E175" s="1843"/>
      <c r="F175" s="1829">
        <v>2000</v>
      </c>
      <c r="G175" s="1828">
        <v>2000</v>
      </c>
      <c r="H175" s="1827">
        <f t="shared" si="7"/>
        <v>100</v>
      </c>
    </row>
    <row r="176" spans="1:12" s="1826" customFormat="1" ht="15" x14ac:dyDescent="0.25">
      <c r="A176" s="1833">
        <v>5511</v>
      </c>
      <c r="B176" s="1832">
        <v>6123</v>
      </c>
      <c r="C176" s="1831"/>
      <c r="D176" s="1839" t="s">
        <v>1384</v>
      </c>
      <c r="E176" s="1843"/>
      <c r="F176" s="1838">
        <v>3114</v>
      </c>
      <c r="G176" s="1837">
        <v>3114</v>
      </c>
      <c r="H176" s="1845">
        <f t="shared" si="6"/>
        <v>100</v>
      </c>
    </row>
    <row r="177" spans="1:9" s="1826" customFormat="1" ht="15" x14ac:dyDescent="0.25">
      <c r="A177" s="1833"/>
      <c r="B177" s="1832"/>
      <c r="C177" s="1835" t="s">
        <v>270</v>
      </c>
      <c r="D177" s="1842" t="s">
        <v>32</v>
      </c>
      <c r="E177" s="1843"/>
      <c r="F177" s="1829">
        <v>3114</v>
      </c>
      <c r="G177" s="1828">
        <v>3114</v>
      </c>
      <c r="H177" s="1827">
        <f t="shared" si="6"/>
        <v>100</v>
      </c>
    </row>
    <row r="178" spans="1:9" s="1826" customFormat="1" ht="15" x14ac:dyDescent="0.25">
      <c r="A178" s="1833">
        <v>5511</v>
      </c>
      <c r="B178" s="1832">
        <v>6331</v>
      </c>
      <c r="C178" s="1835"/>
      <c r="D178" s="1844" t="s">
        <v>909</v>
      </c>
      <c r="E178" s="1843"/>
      <c r="F178" s="1838">
        <v>250</v>
      </c>
      <c r="G178" s="1837">
        <v>249</v>
      </c>
      <c r="H178" s="1836">
        <f t="shared" si="6"/>
        <v>99.6</v>
      </c>
    </row>
    <row r="179" spans="1:9" s="1826" customFormat="1" ht="15" x14ac:dyDescent="0.25">
      <c r="A179" s="1833"/>
      <c r="B179" s="1832"/>
      <c r="C179" s="1831" t="s">
        <v>22</v>
      </c>
      <c r="D179" s="1841" t="s">
        <v>1351</v>
      </c>
      <c r="E179" s="1843"/>
      <c r="F179" s="1829">
        <v>250</v>
      </c>
      <c r="G179" s="1828">
        <v>249</v>
      </c>
      <c r="H179" s="1827">
        <f t="shared" si="6"/>
        <v>99.6</v>
      </c>
    </row>
    <row r="180" spans="1:9" s="1826" customFormat="1" ht="15" x14ac:dyDescent="0.25">
      <c r="A180" s="1833">
        <v>5512</v>
      </c>
      <c r="B180" s="1832">
        <v>6322</v>
      </c>
      <c r="C180" s="1831"/>
      <c r="D180" s="1839" t="s">
        <v>1290</v>
      </c>
      <c r="E180" s="1830"/>
      <c r="F180" s="1838">
        <v>80</v>
      </c>
      <c r="G180" s="1837">
        <v>80</v>
      </c>
      <c r="H180" s="1836">
        <f t="shared" si="6"/>
        <v>100</v>
      </c>
    </row>
    <row r="181" spans="1:9" s="1826" customFormat="1" ht="14.25" x14ac:dyDescent="0.2">
      <c r="A181" s="1833"/>
      <c r="B181" s="1832"/>
      <c r="C181" s="1840" t="s">
        <v>272</v>
      </c>
      <c r="D181" s="1841" t="s">
        <v>348</v>
      </c>
      <c r="E181" s="1830"/>
      <c r="F181" s="1829">
        <v>80</v>
      </c>
      <c r="G181" s="1828">
        <v>80</v>
      </c>
      <c r="H181" s="1827">
        <f t="shared" si="6"/>
        <v>100</v>
      </c>
    </row>
    <row r="182" spans="1:9" s="1826" customFormat="1" ht="15" x14ac:dyDescent="0.25">
      <c r="A182" s="1833">
        <v>5512</v>
      </c>
      <c r="B182" s="1832">
        <v>6341</v>
      </c>
      <c r="C182" s="1840"/>
      <c r="D182" s="1839" t="s">
        <v>271</v>
      </c>
      <c r="E182" s="1830"/>
      <c r="F182" s="1838">
        <v>4500</v>
      </c>
      <c r="G182" s="1837">
        <v>4456</v>
      </c>
      <c r="H182" s="1836">
        <f t="shared" si="6"/>
        <v>99.022222222222226</v>
      </c>
    </row>
    <row r="183" spans="1:9" s="1826" customFormat="1" ht="14.25" x14ac:dyDescent="0.2">
      <c r="A183" s="1833"/>
      <c r="B183" s="1832"/>
      <c r="C183" s="1835" t="s">
        <v>1352</v>
      </c>
      <c r="D183" s="1834" t="s">
        <v>1261</v>
      </c>
      <c r="E183" s="1830"/>
      <c r="F183" s="1829">
        <v>4500</v>
      </c>
      <c r="G183" s="1828">
        <v>4456</v>
      </c>
      <c r="H183" s="1827">
        <f t="shared" si="6"/>
        <v>99.022222222222226</v>
      </c>
    </row>
    <row r="184" spans="1:9" s="1826" customFormat="1" ht="15" x14ac:dyDescent="0.25">
      <c r="A184" s="1916">
        <v>6143</v>
      </c>
      <c r="B184" s="1832">
        <v>6123</v>
      </c>
      <c r="C184" s="1835"/>
      <c r="D184" s="1839" t="s">
        <v>1384</v>
      </c>
      <c r="E184" s="1830"/>
      <c r="F184" s="1838">
        <v>65</v>
      </c>
      <c r="G184" s="1837">
        <v>59</v>
      </c>
      <c r="H184" s="1836">
        <f t="shared" si="6"/>
        <v>90.769230769230774</v>
      </c>
    </row>
    <row r="185" spans="1:9" s="1826" customFormat="1" ht="15" thickBot="1" x14ac:dyDescent="0.25">
      <c r="A185" s="1921"/>
      <c r="B185" s="1915"/>
      <c r="C185" s="1835" t="s">
        <v>270</v>
      </c>
      <c r="D185" s="1950" t="s">
        <v>32</v>
      </c>
      <c r="E185" s="1830"/>
      <c r="F185" s="1829">
        <v>65</v>
      </c>
      <c r="G185" s="1828">
        <v>59</v>
      </c>
      <c r="H185" s="1827">
        <f t="shared" si="6"/>
        <v>90.769230769230774</v>
      </c>
    </row>
    <row r="186" spans="1:9" s="1819" customFormat="1" ht="35.25" customHeight="1" thickTop="1" thickBot="1" x14ac:dyDescent="0.3">
      <c r="A186" s="1825" t="s">
        <v>267</v>
      </c>
      <c r="B186" s="1824"/>
      <c r="C186" s="1823"/>
      <c r="D186" s="1822"/>
      <c r="E186" s="1821">
        <f>E171</f>
        <v>1500</v>
      </c>
      <c r="F186" s="1821">
        <f>F171+F172+F174+F176+F178+F180+F182+F184</f>
        <v>11699</v>
      </c>
      <c r="G186" s="1821">
        <f>G171+G172+G174+G176+G178+G180+G182+G184</f>
        <v>11607</v>
      </c>
      <c r="H186" s="1820">
        <f t="shared" si="6"/>
        <v>99.21360800068382</v>
      </c>
      <c r="I186" s="1791"/>
    </row>
    <row r="187" spans="1:9" ht="13.5" thickTop="1" x14ac:dyDescent="0.2">
      <c r="H187" s="1805"/>
    </row>
    <row r="188" spans="1:9" x14ac:dyDescent="0.2">
      <c r="H188" s="1805"/>
    </row>
    <row r="189" spans="1:9" x14ac:dyDescent="0.2">
      <c r="H189" s="1805"/>
    </row>
    <row r="190" spans="1:9" ht="16.5" x14ac:dyDescent="0.25">
      <c r="A190" s="1818" t="s">
        <v>530</v>
      </c>
      <c r="B190" s="1817"/>
      <c r="C190" s="1816"/>
      <c r="E190" s="1815">
        <f>E191+E192+E193+E194</f>
        <v>56291</v>
      </c>
      <c r="F190" s="1815">
        <f>F191+F192+F193+F194</f>
        <v>98079</v>
      </c>
      <c r="G190" s="1815">
        <f>G191+G192+G193+G194</f>
        <v>88148</v>
      </c>
      <c r="H190" s="1814">
        <f>(G190/F190)*100</f>
        <v>89.874488932391245</v>
      </c>
    </row>
    <row r="191" spans="1:9" ht="15" x14ac:dyDescent="0.2">
      <c r="A191" s="1810" t="s">
        <v>288</v>
      </c>
      <c r="B191" s="1813"/>
      <c r="C191" s="1808"/>
      <c r="E191" s="1812">
        <f>E163</f>
        <v>54791</v>
      </c>
      <c r="F191" s="1812">
        <f>F163-F193</f>
        <v>67111</v>
      </c>
      <c r="G191" s="1812">
        <f>G163-G193</f>
        <v>57274</v>
      </c>
      <c r="H191" s="1806">
        <f>(G191/F191)*100</f>
        <v>85.342194275156075</v>
      </c>
    </row>
    <row r="192" spans="1:9" ht="15" x14ac:dyDescent="0.2">
      <c r="A192" s="1810" t="s">
        <v>289</v>
      </c>
      <c r="B192" s="1809"/>
      <c r="C192" s="1808"/>
      <c r="E192" s="1807">
        <f>E186</f>
        <v>1500</v>
      </c>
      <c r="F192" s="1807">
        <f>F186</f>
        <v>11699</v>
      </c>
      <c r="G192" s="1807">
        <f>G186</f>
        <v>11607</v>
      </c>
      <c r="H192" s="1806">
        <f>(G192/F192)*100</f>
        <v>99.21360800068382</v>
      </c>
    </row>
    <row r="193" spans="1:9" ht="15" x14ac:dyDescent="0.2">
      <c r="A193" s="1810" t="s">
        <v>227</v>
      </c>
      <c r="B193" s="1809"/>
      <c r="C193" s="1808"/>
      <c r="E193" s="1807">
        <v>0</v>
      </c>
      <c r="F193" s="1811">
        <f>F74+F128+F129+F131+F132+F134+F142+F144+F145+F146</f>
        <v>19269</v>
      </c>
      <c r="G193" s="1811">
        <f>G74+G128+G129+G131+G132+G134+G142+G144+G145+G146</f>
        <v>19267</v>
      </c>
      <c r="H193" s="1806">
        <f>(G193/F193)*100</f>
        <v>99.989620634179261</v>
      </c>
    </row>
    <row r="194" spans="1:9" ht="15" x14ac:dyDescent="0.2">
      <c r="A194" s="1810" t="s">
        <v>1291</v>
      </c>
      <c r="B194" s="1809"/>
      <c r="C194" s="1808"/>
      <c r="E194" s="1807">
        <v>0</v>
      </c>
      <c r="F194" s="1807">
        <v>0</v>
      </c>
      <c r="G194" s="1807">
        <v>0</v>
      </c>
      <c r="H194" s="1806">
        <v>0</v>
      </c>
    </row>
    <row r="195" spans="1:9" x14ac:dyDescent="0.2">
      <c r="H195" s="1805"/>
    </row>
    <row r="196" spans="1:9" x14ac:dyDescent="0.2">
      <c r="H196" s="1805"/>
    </row>
    <row r="197" spans="1:9" ht="23.25" x14ac:dyDescent="0.35">
      <c r="H197" s="1805"/>
      <c r="I197" s="1799"/>
    </row>
    <row r="198" spans="1:9" s="1799" customFormat="1" ht="47.25" customHeight="1" thickBot="1" x14ac:dyDescent="0.4">
      <c r="A198" s="1804" t="s">
        <v>1405</v>
      </c>
      <c r="B198" s="1803"/>
      <c r="C198" s="1803"/>
      <c r="D198" s="1802"/>
      <c r="E198" s="1801">
        <f>SUM(E186,E163)</f>
        <v>56291</v>
      </c>
      <c r="F198" s="1801">
        <f>SUM(F186,F163)</f>
        <v>98079</v>
      </c>
      <c r="G198" s="1801">
        <f>SUM(G186,G163)</f>
        <v>88148</v>
      </c>
      <c r="H198" s="1800">
        <f>(G198/F198)*100</f>
        <v>89.874488932391245</v>
      </c>
      <c r="I198" s="1791"/>
    </row>
    <row r="199" spans="1:9" ht="13.5" thickTop="1" x14ac:dyDescent="0.2"/>
  </sheetData>
  <mergeCells count="9">
    <mergeCell ref="D159:D160"/>
    <mergeCell ref="D46:D47"/>
    <mergeCell ref="D74:D75"/>
    <mergeCell ref="D129:D130"/>
    <mergeCell ref="C132:C133"/>
    <mergeCell ref="D132:D133"/>
    <mergeCell ref="D134:D135"/>
    <mergeCell ref="C142:C143"/>
    <mergeCell ref="D142:D143"/>
  </mergeCells>
  <pageMargins left="0.98425196850393704" right="0.98425196850393704" top="0.98425196850393704" bottom="0.98425196850393704" header="0.51181102362204722" footer="0.51181102362204722"/>
  <pageSetup paperSize="9" scale="70" firstPageNumber="30" orientation="portrait" useFirstPageNumber="1" r:id="rId1"/>
  <headerFooter alignWithMargins="0">
    <oddFooter xml:space="preserve">&amp;L&amp;"Arial,Kurzíva"Zastupitelstvo Olomouckého kraje 28. 6. 2013
6.- Závěrečný  účet Olomuckého kraje za rok 2012
Příloha č. 3: Plnění rozpočtu výdajů Olomouckého kraje k 31.12.2012&amp;R&amp;"Arial,Kurzíva"Strana &amp;P (Celkem 484)
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151"/>
  <sheetViews>
    <sheetView showGridLines="0" view="pageBreakPreview" topLeftCell="A5" zoomScaleNormal="100" zoomScaleSheetLayoutView="100" workbookViewId="0">
      <selection activeCell="B17" sqref="B17"/>
    </sheetView>
  </sheetViews>
  <sheetFormatPr defaultRowHeight="12.75" x14ac:dyDescent="0.2"/>
  <cols>
    <col min="1" max="1" width="4.7109375" style="2130" customWidth="1"/>
    <col min="2" max="2" width="6.7109375" style="2130" customWidth="1"/>
    <col min="3" max="3" width="8.85546875" style="2130" customWidth="1"/>
    <col min="4" max="4" width="46.42578125" style="2131" customWidth="1"/>
    <col min="5" max="5" width="12.85546875" style="2165" customWidth="1"/>
    <col min="6" max="6" width="15.5703125" style="2165" customWidth="1"/>
    <col min="7" max="7" width="15.85546875" style="2165" customWidth="1"/>
    <col min="8" max="8" width="9.28515625" style="2131" customWidth="1"/>
    <col min="9" max="9" width="14.28515625" style="2131" bestFit="1" customWidth="1"/>
    <col min="10" max="10" width="9.28515625" style="2131" bestFit="1" customWidth="1"/>
    <col min="11" max="12" width="12.7109375" style="2131" bestFit="1" customWidth="1"/>
    <col min="13" max="256" width="9.140625" style="2131"/>
    <col min="257" max="257" width="4.7109375" style="2131" customWidth="1"/>
    <col min="258" max="258" width="6.7109375" style="2131" customWidth="1"/>
    <col min="259" max="259" width="8.85546875" style="2131" customWidth="1"/>
    <col min="260" max="260" width="46.42578125" style="2131" customWidth="1"/>
    <col min="261" max="261" width="12.85546875" style="2131" customWidth="1"/>
    <col min="262" max="262" width="15.5703125" style="2131" customWidth="1"/>
    <col min="263" max="263" width="15.85546875" style="2131" customWidth="1"/>
    <col min="264" max="264" width="6.42578125" style="2131" customWidth="1"/>
    <col min="265" max="265" width="14.28515625" style="2131" bestFit="1" customWidth="1"/>
    <col min="266" max="266" width="9.28515625" style="2131" bestFit="1" customWidth="1"/>
    <col min="267" max="268" width="12.7109375" style="2131" bestFit="1" customWidth="1"/>
    <col min="269" max="512" width="9.140625" style="2131"/>
    <col min="513" max="513" width="4.7109375" style="2131" customWidth="1"/>
    <col min="514" max="514" width="6.7109375" style="2131" customWidth="1"/>
    <col min="515" max="515" width="8.85546875" style="2131" customWidth="1"/>
    <col min="516" max="516" width="46.42578125" style="2131" customWidth="1"/>
    <col min="517" max="517" width="12.85546875" style="2131" customWidth="1"/>
    <col min="518" max="518" width="15.5703125" style="2131" customWidth="1"/>
    <col min="519" max="519" width="15.85546875" style="2131" customWidth="1"/>
    <col min="520" max="520" width="6.42578125" style="2131" customWidth="1"/>
    <col min="521" max="521" width="14.28515625" style="2131" bestFit="1" customWidth="1"/>
    <col min="522" max="522" width="9.28515625" style="2131" bestFit="1" customWidth="1"/>
    <col min="523" max="524" width="12.7109375" style="2131" bestFit="1" customWidth="1"/>
    <col min="525" max="768" width="9.140625" style="2131"/>
    <col min="769" max="769" width="4.7109375" style="2131" customWidth="1"/>
    <col min="770" max="770" width="6.7109375" style="2131" customWidth="1"/>
    <col min="771" max="771" width="8.85546875" style="2131" customWidth="1"/>
    <col min="772" max="772" width="46.42578125" style="2131" customWidth="1"/>
    <col min="773" max="773" width="12.85546875" style="2131" customWidth="1"/>
    <col min="774" max="774" width="15.5703125" style="2131" customWidth="1"/>
    <col min="775" max="775" width="15.85546875" style="2131" customWidth="1"/>
    <col min="776" max="776" width="6.42578125" style="2131" customWidth="1"/>
    <col min="777" max="777" width="14.28515625" style="2131" bestFit="1" customWidth="1"/>
    <col min="778" max="778" width="9.28515625" style="2131" bestFit="1" customWidth="1"/>
    <col min="779" max="780" width="12.7109375" style="2131" bestFit="1" customWidth="1"/>
    <col min="781" max="1024" width="9.140625" style="2131"/>
    <col min="1025" max="1025" width="4.7109375" style="2131" customWidth="1"/>
    <col min="1026" max="1026" width="6.7109375" style="2131" customWidth="1"/>
    <col min="1027" max="1027" width="8.85546875" style="2131" customWidth="1"/>
    <col min="1028" max="1028" width="46.42578125" style="2131" customWidth="1"/>
    <col min="1029" max="1029" width="12.85546875" style="2131" customWidth="1"/>
    <col min="1030" max="1030" width="15.5703125" style="2131" customWidth="1"/>
    <col min="1031" max="1031" width="15.85546875" style="2131" customWidth="1"/>
    <col min="1032" max="1032" width="6.42578125" style="2131" customWidth="1"/>
    <col min="1033" max="1033" width="14.28515625" style="2131" bestFit="1" customWidth="1"/>
    <col min="1034" max="1034" width="9.28515625" style="2131" bestFit="1" customWidth="1"/>
    <col min="1035" max="1036" width="12.7109375" style="2131" bestFit="1" customWidth="1"/>
    <col min="1037" max="1280" width="9.140625" style="2131"/>
    <col min="1281" max="1281" width="4.7109375" style="2131" customWidth="1"/>
    <col min="1282" max="1282" width="6.7109375" style="2131" customWidth="1"/>
    <col min="1283" max="1283" width="8.85546875" style="2131" customWidth="1"/>
    <col min="1284" max="1284" width="46.42578125" style="2131" customWidth="1"/>
    <col min="1285" max="1285" width="12.85546875" style="2131" customWidth="1"/>
    <col min="1286" max="1286" width="15.5703125" style="2131" customWidth="1"/>
    <col min="1287" max="1287" width="15.85546875" style="2131" customWidth="1"/>
    <col min="1288" max="1288" width="6.42578125" style="2131" customWidth="1"/>
    <col min="1289" max="1289" width="14.28515625" style="2131" bestFit="1" customWidth="1"/>
    <col min="1290" max="1290" width="9.28515625" style="2131" bestFit="1" customWidth="1"/>
    <col min="1291" max="1292" width="12.7109375" style="2131" bestFit="1" customWidth="1"/>
    <col min="1293" max="1536" width="9.140625" style="2131"/>
    <col min="1537" max="1537" width="4.7109375" style="2131" customWidth="1"/>
    <col min="1538" max="1538" width="6.7109375" style="2131" customWidth="1"/>
    <col min="1539" max="1539" width="8.85546875" style="2131" customWidth="1"/>
    <col min="1540" max="1540" width="46.42578125" style="2131" customWidth="1"/>
    <col min="1541" max="1541" width="12.85546875" style="2131" customWidth="1"/>
    <col min="1542" max="1542" width="15.5703125" style="2131" customWidth="1"/>
    <col min="1543" max="1543" width="15.85546875" style="2131" customWidth="1"/>
    <col min="1544" max="1544" width="6.42578125" style="2131" customWidth="1"/>
    <col min="1545" max="1545" width="14.28515625" style="2131" bestFit="1" customWidth="1"/>
    <col min="1546" max="1546" width="9.28515625" style="2131" bestFit="1" customWidth="1"/>
    <col min="1547" max="1548" width="12.7109375" style="2131" bestFit="1" customWidth="1"/>
    <col min="1549" max="1792" width="9.140625" style="2131"/>
    <col min="1793" max="1793" width="4.7109375" style="2131" customWidth="1"/>
    <col min="1794" max="1794" width="6.7109375" style="2131" customWidth="1"/>
    <col min="1795" max="1795" width="8.85546875" style="2131" customWidth="1"/>
    <col min="1796" max="1796" width="46.42578125" style="2131" customWidth="1"/>
    <col min="1797" max="1797" width="12.85546875" style="2131" customWidth="1"/>
    <col min="1798" max="1798" width="15.5703125" style="2131" customWidth="1"/>
    <col min="1799" max="1799" width="15.85546875" style="2131" customWidth="1"/>
    <col min="1800" max="1800" width="6.42578125" style="2131" customWidth="1"/>
    <col min="1801" max="1801" width="14.28515625" style="2131" bestFit="1" customWidth="1"/>
    <col min="1802" max="1802" width="9.28515625" style="2131" bestFit="1" customWidth="1"/>
    <col min="1803" max="1804" width="12.7109375" style="2131" bestFit="1" customWidth="1"/>
    <col min="1805" max="2048" width="9.140625" style="2131"/>
    <col min="2049" max="2049" width="4.7109375" style="2131" customWidth="1"/>
    <col min="2050" max="2050" width="6.7109375" style="2131" customWidth="1"/>
    <col min="2051" max="2051" width="8.85546875" style="2131" customWidth="1"/>
    <col min="2052" max="2052" width="46.42578125" style="2131" customWidth="1"/>
    <col min="2053" max="2053" width="12.85546875" style="2131" customWidth="1"/>
    <col min="2054" max="2054" width="15.5703125" style="2131" customWidth="1"/>
    <col min="2055" max="2055" width="15.85546875" style="2131" customWidth="1"/>
    <col min="2056" max="2056" width="6.42578125" style="2131" customWidth="1"/>
    <col min="2057" max="2057" width="14.28515625" style="2131" bestFit="1" customWidth="1"/>
    <col min="2058" max="2058" width="9.28515625" style="2131" bestFit="1" customWidth="1"/>
    <col min="2059" max="2060" width="12.7109375" style="2131" bestFit="1" customWidth="1"/>
    <col min="2061" max="2304" width="9.140625" style="2131"/>
    <col min="2305" max="2305" width="4.7109375" style="2131" customWidth="1"/>
    <col min="2306" max="2306" width="6.7109375" style="2131" customWidth="1"/>
    <col min="2307" max="2307" width="8.85546875" style="2131" customWidth="1"/>
    <col min="2308" max="2308" width="46.42578125" style="2131" customWidth="1"/>
    <col min="2309" max="2309" width="12.85546875" style="2131" customWidth="1"/>
    <col min="2310" max="2310" width="15.5703125" style="2131" customWidth="1"/>
    <col min="2311" max="2311" width="15.85546875" style="2131" customWidth="1"/>
    <col min="2312" max="2312" width="6.42578125" style="2131" customWidth="1"/>
    <col min="2313" max="2313" width="14.28515625" style="2131" bestFit="1" customWidth="1"/>
    <col min="2314" max="2314" width="9.28515625" style="2131" bestFit="1" customWidth="1"/>
    <col min="2315" max="2316" width="12.7109375" style="2131" bestFit="1" customWidth="1"/>
    <col min="2317" max="2560" width="9.140625" style="2131"/>
    <col min="2561" max="2561" width="4.7109375" style="2131" customWidth="1"/>
    <col min="2562" max="2562" width="6.7109375" style="2131" customWidth="1"/>
    <col min="2563" max="2563" width="8.85546875" style="2131" customWidth="1"/>
    <col min="2564" max="2564" width="46.42578125" style="2131" customWidth="1"/>
    <col min="2565" max="2565" width="12.85546875" style="2131" customWidth="1"/>
    <col min="2566" max="2566" width="15.5703125" style="2131" customWidth="1"/>
    <col min="2567" max="2567" width="15.85546875" style="2131" customWidth="1"/>
    <col min="2568" max="2568" width="6.42578125" style="2131" customWidth="1"/>
    <col min="2569" max="2569" width="14.28515625" style="2131" bestFit="1" customWidth="1"/>
    <col min="2570" max="2570" width="9.28515625" style="2131" bestFit="1" customWidth="1"/>
    <col min="2571" max="2572" width="12.7109375" style="2131" bestFit="1" customWidth="1"/>
    <col min="2573" max="2816" width="9.140625" style="2131"/>
    <col min="2817" max="2817" width="4.7109375" style="2131" customWidth="1"/>
    <col min="2818" max="2818" width="6.7109375" style="2131" customWidth="1"/>
    <col min="2819" max="2819" width="8.85546875" style="2131" customWidth="1"/>
    <col min="2820" max="2820" width="46.42578125" style="2131" customWidth="1"/>
    <col min="2821" max="2821" width="12.85546875" style="2131" customWidth="1"/>
    <col min="2822" max="2822" width="15.5703125" style="2131" customWidth="1"/>
    <col min="2823" max="2823" width="15.85546875" style="2131" customWidth="1"/>
    <col min="2824" max="2824" width="6.42578125" style="2131" customWidth="1"/>
    <col min="2825" max="2825" width="14.28515625" style="2131" bestFit="1" customWidth="1"/>
    <col min="2826" max="2826" width="9.28515625" style="2131" bestFit="1" customWidth="1"/>
    <col min="2827" max="2828" width="12.7109375" style="2131" bestFit="1" customWidth="1"/>
    <col min="2829" max="3072" width="9.140625" style="2131"/>
    <col min="3073" max="3073" width="4.7109375" style="2131" customWidth="1"/>
    <col min="3074" max="3074" width="6.7109375" style="2131" customWidth="1"/>
    <col min="3075" max="3075" width="8.85546875" style="2131" customWidth="1"/>
    <col min="3076" max="3076" width="46.42578125" style="2131" customWidth="1"/>
    <col min="3077" max="3077" width="12.85546875" style="2131" customWidth="1"/>
    <col min="3078" max="3078" width="15.5703125" style="2131" customWidth="1"/>
    <col min="3079" max="3079" width="15.85546875" style="2131" customWidth="1"/>
    <col min="3080" max="3080" width="6.42578125" style="2131" customWidth="1"/>
    <col min="3081" max="3081" width="14.28515625" style="2131" bestFit="1" customWidth="1"/>
    <col min="3082" max="3082" width="9.28515625" style="2131" bestFit="1" customWidth="1"/>
    <col min="3083" max="3084" width="12.7109375" style="2131" bestFit="1" customWidth="1"/>
    <col min="3085" max="3328" width="9.140625" style="2131"/>
    <col min="3329" max="3329" width="4.7109375" style="2131" customWidth="1"/>
    <col min="3330" max="3330" width="6.7109375" style="2131" customWidth="1"/>
    <col min="3331" max="3331" width="8.85546875" style="2131" customWidth="1"/>
    <col min="3332" max="3332" width="46.42578125" style="2131" customWidth="1"/>
    <col min="3333" max="3333" width="12.85546875" style="2131" customWidth="1"/>
    <col min="3334" max="3334" width="15.5703125" style="2131" customWidth="1"/>
    <col min="3335" max="3335" width="15.85546875" style="2131" customWidth="1"/>
    <col min="3336" max="3336" width="6.42578125" style="2131" customWidth="1"/>
    <col min="3337" max="3337" width="14.28515625" style="2131" bestFit="1" customWidth="1"/>
    <col min="3338" max="3338" width="9.28515625" style="2131" bestFit="1" customWidth="1"/>
    <col min="3339" max="3340" width="12.7109375" style="2131" bestFit="1" customWidth="1"/>
    <col min="3341" max="3584" width="9.140625" style="2131"/>
    <col min="3585" max="3585" width="4.7109375" style="2131" customWidth="1"/>
    <col min="3586" max="3586" width="6.7109375" style="2131" customWidth="1"/>
    <col min="3587" max="3587" width="8.85546875" style="2131" customWidth="1"/>
    <col min="3588" max="3588" width="46.42578125" style="2131" customWidth="1"/>
    <col min="3589" max="3589" width="12.85546875" style="2131" customWidth="1"/>
    <col min="3590" max="3590" width="15.5703125" style="2131" customWidth="1"/>
    <col min="3591" max="3591" width="15.85546875" style="2131" customWidth="1"/>
    <col min="3592" max="3592" width="6.42578125" style="2131" customWidth="1"/>
    <col min="3593" max="3593" width="14.28515625" style="2131" bestFit="1" customWidth="1"/>
    <col min="3594" max="3594" width="9.28515625" style="2131" bestFit="1" customWidth="1"/>
    <col min="3595" max="3596" width="12.7109375" style="2131" bestFit="1" customWidth="1"/>
    <col min="3597" max="3840" width="9.140625" style="2131"/>
    <col min="3841" max="3841" width="4.7109375" style="2131" customWidth="1"/>
    <col min="3842" max="3842" width="6.7109375" style="2131" customWidth="1"/>
    <col min="3843" max="3843" width="8.85546875" style="2131" customWidth="1"/>
    <col min="3844" max="3844" width="46.42578125" style="2131" customWidth="1"/>
    <col min="3845" max="3845" width="12.85546875" style="2131" customWidth="1"/>
    <col min="3846" max="3846" width="15.5703125" style="2131" customWidth="1"/>
    <col min="3847" max="3847" width="15.85546875" style="2131" customWidth="1"/>
    <col min="3848" max="3848" width="6.42578125" style="2131" customWidth="1"/>
    <col min="3849" max="3849" width="14.28515625" style="2131" bestFit="1" customWidth="1"/>
    <col min="3850" max="3850" width="9.28515625" style="2131" bestFit="1" customWidth="1"/>
    <col min="3851" max="3852" width="12.7109375" style="2131" bestFit="1" customWidth="1"/>
    <col min="3853" max="4096" width="9.140625" style="2131"/>
    <col min="4097" max="4097" width="4.7109375" style="2131" customWidth="1"/>
    <col min="4098" max="4098" width="6.7109375" style="2131" customWidth="1"/>
    <col min="4099" max="4099" width="8.85546875" style="2131" customWidth="1"/>
    <col min="4100" max="4100" width="46.42578125" style="2131" customWidth="1"/>
    <col min="4101" max="4101" width="12.85546875" style="2131" customWidth="1"/>
    <col min="4102" max="4102" width="15.5703125" style="2131" customWidth="1"/>
    <col min="4103" max="4103" width="15.85546875" style="2131" customWidth="1"/>
    <col min="4104" max="4104" width="6.42578125" style="2131" customWidth="1"/>
    <col min="4105" max="4105" width="14.28515625" style="2131" bestFit="1" customWidth="1"/>
    <col min="4106" max="4106" width="9.28515625" style="2131" bestFit="1" customWidth="1"/>
    <col min="4107" max="4108" width="12.7109375" style="2131" bestFit="1" customWidth="1"/>
    <col min="4109" max="4352" width="9.140625" style="2131"/>
    <col min="4353" max="4353" width="4.7109375" style="2131" customWidth="1"/>
    <col min="4354" max="4354" width="6.7109375" style="2131" customWidth="1"/>
    <col min="4355" max="4355" width="8.85546875" style="2131" customWidth="1"/>
    <col min="4356" max="4356" width="46.42578125" style="2131" customWidth="1"/>
    <col min="4357" max="4357" width="12.85546875" style="2131" customWidth="1"/>
    <col min="4358" max="4358" width="15.5703125" style="2131" customWidth="1"/>
    <col min="4359" max="4359" width="15.85546875" style="2131" customWidth="1"/>
    <col min="4360" max="4360" width="6.42578125" style="2131" customWidth="1"/>
    <col min="4361" max="4361" width="14.28515625" style="2131" bestFit="1" customWidth="1"/>
    <col min="4362" max="4362" width="9.28515625" style="2131" bestFit="1" customWidth="1"/>
    <col min="4363" max="4364" width="12.7109375" style="2131" bestFit="1" customWidth="1"/>
    <col min="4365" max="4608" width="9.140625" style="2131"/>
    <col min="4609" max="4609" width="4.7109375" style="2131" customWidth="1"/>
    <col min="4610" max="4610" width="6.7109375" style="2131" customWidth="1"/>
    <col min="4611" max="4611" width="8.85546875" style="2131" customWidth="1"/>
    <col min="4612" max="4612" width="46.42578125" style="2131" customWidth="1"/>
    <col min="4613" max="4613" width="12.85546875" style="2131" customWidth="1"/>
    <col min="4614" max="4614" width="15.5703125" style="2131" customWidth="1"/>
    <col min="4615" max="4615" width="15.85546875" style="2131" customWidth="1"/>
    <col min="4616" max="4616" width="6.42578125" style="2131" customWidth="1"/>
    <col min="4617" max="4617" width="14.28515625" style="2131" bestFit="1" customWidth="1"/>
    <col min="4618" max="4618" width="9.28515625" style="2131" bestFit="1" customWidth="1"/>
    <col min="4619" max="4620" width="12.7109375" style="2131" bestFit="1" customWidth="1"/>
    <col min="4621" max="4864" width="9.140625" style="2131"/>
    <col min="4865" max="4865" width="4.7109375" style="2131" customWidth="1"/>
    <col min="4866" max="4866" width="6.7109375" style="2131" customWidth="1"/>
    <col min="4867" max="4867" width="8.85546875" style="2131" customWidth="1"/>
    <col min="4868" max="4868" width="46.42578125" style="2131" customWidth="1"/>
    <col min="4869" max="4869" width="12.85546875" style="2131" customWidth="1"/>
    <col min="4870" max="4870" width="15.5703125" style="2131" customWidth="1"/>
    <col min="4871" max="4871" width="15.85546875" style="2131" customWidth="1"/>
    <col min="4872" max="4872" width="6.42578125" style="2131" customWidth="1"/>
    <col min="4873" max="4873" width="14.28515625" style="2131" bestFit="1" customWidth="1"/>
    <col min="4874" max="4874" width="9.28515625" style="2131" bestFit="1" customWidth="1"/>
    <col min="4875" max="4876" width="12.7109375" style="2131" bestFit="1" customWidth="1"/>
    <col min="4877" max="5120" width="9.140625" style="2131"/>
    <col min="5121" max="5121" width="4.7109375" style="2131" customWidth="1"/>
    <col min="5122" max="5122" width="6.7109375" style="2131" customWidth="1"/>
    <col min="5123" max="5123" width="8.85546875" style="2131" customWidth="1"/>
    <col min="5124" max="5124" width="46.42578125" style="2131" customWidth="1"/>
    <col min="5125" max="5125" width="12.85546875" style="2131" customWidth="1"/>
    <col min="5126" max="5126" width="15.5703125" style="2131" customWidth="1"/>
    <col min="5127" max="5127" width="15.85546875" style="2131" customWidth="1"/>
    <col min="5128" max="5128" width="6.42578125" style="2131" customWidth="1"/>
    <col min="5129" max="5129" width="14.28515625" style="2131" bestFit="1" customWidth="1"/>
    <col min="5130" max="5130" width="9.28515625" style="2131" bestFit="1" customWidth="1"/>
    <col min="5131" max="5132" width="12.7109375" style="2131" bestFit="1" customWidth="1"/>
    <col min="5133" max="5376" width="9.140625" style="2131"/>
    <col min="5377" max="5377" width="4.7109375" style="2131" customWidth="1"/>
    <col min="5378" max="5378" width="6.7109375" style="2131" customWidth="1"/>
    <col min="5379" max="5379" width="8.85546875" style="2131" customWidth="1"/>
    <col min="5380" max="5380" width="46.42578125" style="2131" customWidth="1"/>
    <col min="5381" max="5381" width="12.85546875" style="2131" customWidth="1"/>
    <col min="5382" max="5382" width="15.5703125" style="2131" customWidth="1"/>
    <col min="5383" max="5383" width="15.85546875" style="2131" customWidth="1"/>
    <col min="5384" max="5384" width="6.42578125" style="2131" customWidth="1"/>
    <col min="5385" max="5385" width="14.28515625" style="2131" bestFit="1" customWidth="1"/>
    <col min="5386" max="5386" width="9.28515625" style="2131" bestFit="1" customWidth="1"/>
    <col min="5387" max="5388" width="12.7109375" style="2131" bestFit="1" customWidth="1"/>
    <col min="5389" max="5632" width="9.140625" style="2131"/>
    <col min="5633" max="5633" width="4.7109375" style="2131" customWidth="1"/>
    <col min="5634" max="5634" width="6.7109375" style="2131" customWidth="1"/>
    <col min="5635" max="5635" width="8.85546875" style="2131" customWidth="1"/>
    <col min="5636" max="5636" width="46.42578125" style="2131" customWidth="1"/>
    <col min="5637" max="5637" width="12.85546875" style="2131" customWidth="1"/>
    <col min="5638" max="5638" width="15.5703125" style="2131" customWidth="1"/>
    <col min="5639" max="5639" width="15.85546875" style="2131" customWidth="1"/>
    <col min="5640" max="5640" width="6.42578125" style="2131" customWidth="1"/>
    <col min="5641" max="5641" width="14.28515625" style="2131" bestFit="1" customWidth="1"/>
    <col min="5642" max="5642" width="9.28515625" style="2131" bestFit="1" customWidth="1"/>
    <col min="5643" max="5644" width="12.7109375" style="2131" bestFit="1" customWidth="1"/>
    <col min="5645" max="5888" width="9.140625" style="2131"/>
    <col min="5889" max="5889" width="4.7109375" style="2131" customWidth="1"/>
    <col min="5890" max="5890" width="6.7109375" style="2131" customWidth="1"/>
    <col min="5891" max="5891" width="8.85546875" style="2131" customWidth="1"/>
    <col min="5892" max="5892" width="46.42578125" style="2131" customWidth="1"/>
    <col min="5893" max="5893" width="12.85546875" style="2131" customWidth="1"/>
    <col min="5894" max="5894" width="15.5703125" style="2131" customWidth="1"/>
    <col min="5895" max="5895" width="15.85546875" style="2131" customWidth="1"/>
    <col min="5896" max="5896" width="6.42578125" style="2131" customWidth="1"/>
    <col min="5897" max="5897" width="14.28515625" style="2131" bestFit="1" customWidth="1"/>
    <col min="5898" max="5898" width="9.28515625" style="2131" bestFit="1" customWidth="1"/>
    <col min="5899" max="5900" width="12.7109375" style="2131" bestFit="1" customWidth="1"/>
    <col min="5901" max="6144" width="9.140625" style="2131"/>
    <col min="6145" max="6145" width="4.7109375" style="2131" customWidth="1"/>
    <col min="6146" max="6146" width="6.7109375" style="2131" customWidth="1"/>
    <col min="6147" max="6147" width="8.85546875" style="2131" customWidth="1"/>
    <col min="6148" max="6148" width="46.42578125" style="2131" customWidth="1"/>
    <col min="6149" max="6149" width="12.85546875" style="2131" customWidth="1"/>
    <col min="6150" max="6150" width="15.5703125" style="2131" customWidth="1"/>
    <col min="6151" max="6151" width="15.85546875" style="2131" customWidth="1"/>
    <col min="6152" max="6152" width="6.42578125" style="2131" customWidth="1"/>
    <col min="6153" max="6153" width="14.28515625" style="2131" bestFit="1" customWidth="1"/>
    <col min="6154" max="6154" width="9.28515625" style="2131" bestFit="1" customWidth="1"/>
    <col min="6155" max="6156" width="12.7109375" style="2131" bestFit="1" customWidth="1"/>
    <col min="6157" max="6400" width="9.140625" style="2131"/>
    <col min="6401" max="6401" width="4.7109375" style="2131" customWidth="1"/>
    <col min="6402" max="6402" width="6.7109375" style="2131" customWidth="1"/>
    <col min="6403" max="6403" width="8.85546875" style="2131" customWidth="1"/>
    <col min="6404" max="6404" width="46.42578125" style="2131" customWidth="1"/>
    <col min="6405" max="6405" width="12.85546875" style="2131" customWidth="1"/>
    <col min="6406" max="6406" width="15.5703125" style="2131" customWidth="1"/>
    <col min="6407" max="6407" width="15.85546875" style="2131" customWidth="1"/>
    <col min="6408" max="6408" width="6.42578125" style="2131" customWidth="1"/>
    <col min="6409" max="6409" width="14.28515625" style="2131" bestFit="1" customWidth="1"/>
    <col min="6410" max="6410" width="9.28515625" style="2131" bestFit="1" customWidth="1"/>
    <col min="6411" max="6412" width="12.7109375" style="2131" bestFit="1" customWidth="1"/>
    <col min="6413" max="6656" width="9.140625" style="2131"/>
    <col min="6657" max="6657" width="4.7109375" style="2131" customWidth="1"/>
    <col min="6658" max="6658" width="6.7109375" style="2131" customWidth="1"/>
    <col min="6659" max="6659" width="8.85546875" style="2131" customWidth="1"/>
    <col min="6660" max="6660" width="46.42578125" style="2131" customWidth="1"/>
    <col min="6661" max="6661" width="12.85546875" style="2131" customWidth="1"/>
    <col min="6662" max="6662" width="15.5703125" style="2131" customWidth="1"/>
    <col min="6663" max="6663" width="15.85546875" style="2131" customWidth="1"/>
    <col min="6664" max="6664" width="6.42578125" style="2131" customWidth="1"/>
    <col min="6665" max="6665" width="14.28515625" style="2131" bestFit="1" customWidth="1"/>
    <col min="6666" max="6666" width="9.28515625" style="2131" bestFit="1" customWidth="1"/>
    <col min="6667" max="6668" width="12.7109375" style="2131" bestFit="1" customWidth="1"/>
    <col min="6669" max="6912" width="9.140625" style="2131"/>
    <col min="6913" max="6913" width="4.7109375" style="2131" customWidth="1"/>
    <col min="6914" max="6914" width="6.7109375" style="2131" customWidth="1"/>
    <col min="6915" max="6915" width="8.85546875" style="2131" customWidth="1"/>
    <col min="6916" max="6916" width="46.42578125" style="2131" customWidth="1"/>
    <col min="6917" max="6917" width="12.85546875" style="2131" customWidth="1"/>
    <col min="6918" max="6918" width="15.5703125" style="2131" customWidth="1"/>
    <col min="6919" max="6919" width="15.85546875" style="2131" customWidth="1"/>
    <col min="6920" max="6920" width="6.42578125" style="2131" customWidth="1"/>
    <col min="6921" max="6921" width="14.28515625" style="2131" bestFit="1" customWidth="1"/>
    <col min="6922" max="6922" width="9.28515625" style="2131" bestFit="1" customWidth="1"/>
    <col min="6923" max="6924" width="12.7109375" style="2131" bestFit="1" customWidth="1"/>
    <col min="6925" max="7168" width="9.140625" style="2131"/>
    <col min="7169" max="7169" width="4.7109375" style="2131" customWidth="1"/>
    <col min="7170" max="7170" width="6.7109375" style="2131" customWidth="1"/>
    <col min="7171" max="7171" width="8.85546875" style="2131" customWidth="1"/>
    <col min="7172" max="7172" width="46.42578125" style="2131" customWidth="1"/>
    <col min="7173" max="7173" width="12.85546875" style="2131" customWidth="1"/>
    <col min="7174" max="7174" width="15.5703125" style="2131" customWidth="1"/>
    <col min="7175" max="7175" width="15.85546875" style="2131" customWidth="1"/>
    <col min="7176" max="7176" width="6.42578125" style="2131" customWidth="1"/>
    <col min="7177" max="7177" width="14.28515625" style="2131" bestFit="1" customWidth="1"/>
    <col min="7178" max="7178" width="9.28515625" style="2131" bestFit="1" customWidth="1"/>
    <col min="7179" max="7180" width="12.7109375" style="2131" bestFit="1" customWidth="1"/>
    <col min="7181" max="7424" width="9.140625" style="2131"/>
    <col min="7425" max="7425" width="4.7109375" style="2131" customWidth="1"/>
    <col min="7426" max="7426" width="6.7109375" style="2131" customWidth="1"/>
    <col min="7427" max="7427" width="8.85546875" style="2131" customWidth="1"/>
    <col min="7428" max="7428" width="46.42578125" style="2131" customWidth="1"/>
    <col min="7429" max="7429" width="12.85546875" style="2131" customWidth="1"/>
    <col min="7430" max="7430" width="15.5703125" style="2131" customWidth="1"/>
    <col min="7431" max="7431" width="15.85546875" style="2131" customWidth="1"/>
    <col min="7432" max="7432" width="6.42578125" style="2131" customWidth="1"/>
    <col min="7433" max="7433" width="14.28515625" style="2131" bestFit="1" customWidth="1"/>
    <col min="7434" max="7434" width="9.28515625" style="2131" bestFit="1" customWidth="1"/>
    <col min="7435" max="7436" width="12.7109375" style="2131" bestFit="1" customWidth="1"/>
    <col min="7437" max="7680" width="9.140625" style="2131"/>
    <col min="7681" max="7681" width="4.7109375" style="2131" customWidth="1"/>
    <col min="7682" max="7682" width="6.7109375" style="2131" customWidth="1"/>
    <col min="7683" max="7683" width="8.85546875" style="2131" customWidth="1"/>
    <col min="7684" max="7684" width="46.42578125" style="2131" customWidth="1"/>
    <col min="7685" max="7685" width="12.85546875" style="2131" customWidth="1"/>
    <col min="7686" max="7686" width="15.5703125" style="2131" customWidth="1"/>
    <col min="7687" max="7687" width="15.85546875" style="2131" customWidth="1"/>
    <col min="7688" max="7688" width="6.42578125" style="2131" customWidth="1"/>
    <col min="7689" max="7689" width="14.28515625" style="2131" bestFit="1" customWidth="1"/>
    <col min="7690" max="7690" width="9.28515625" style="2131" bestFit="1" customWidth="1"/>
    <col min="7691" max="7692" width="12.7109375" style="2131" bestFit="1" customWidth="1"/>
    <col min="7693" max="7936" width="9.140625" style="2131"/>
    <col min="7937" max="7937" width="4.7109375" style="2131" customWidth="1"/>
    <col min="7938" max="7938" width="6.7109375" style="2131" customWidth="1"/>
    <col min="7939" max="7939" width="8.85546875" style="2131" customWidth="1"/>
    <col min="7940" max="7940" width="46.42578125" style="2131" customWidth="1"/>
    <col min="7941" max="7941" width="12.85546875" style="2131" customWidth="1"/>
    <col min="7942" max="7942" width="15.5703125" style="2131" customWidth="1"/>
    <col min="7943" max="7943" width="15.85546875" style="2131" customWidth="1"/>
    <col min="7944" max="7944" width="6.42578125" style="2131" customWidth="1"/>
    <col min="7945" max="7945" width="14.28515625" style="2131" bestFit="1" customWidth="1"/>
    <col min="7946" max="7946" width="9.28515625" style="2131" bestFit="1" customWidth="1"/>
    <col min="7947" max="7948" width="12.7109375" style="2131" bestFit="1" customWidth="1"/>
    <col min="7949" max="8192" width="9.140625" style="2131"/>
    <col min="8193" max="8193" width="4.7109375" style="2131" customWidth="1"/>
    <col min="8194" max="8194" width="6.7109375" style="2131" customWidth="1"/>
    <col min="8195" max="8195" width="8.85546875" style="2131" customWidth="1"/>
    <col min="8196" max="8196" width="46.42578125" style="2131" customWidth="1"/>
    <col min="8197" max="8197" width="12.85546875" style="2131" customWidth="1"/>
    <col min="8198" max="8198" width="15.5703125" style="2131" customWidth="1"/>
    <col min="8199" max="8199" width="15.85546875" style="2131" customWidth="1"/>
    <col min="8200" max="8200" width="6.42578125" style="2131" customWidth="1"/>
    <col min="8201" max="8201" width="14.28515625" style="2131" bestFit="1" customWidth="1"/>
    <col min="8202" max="8202" width="9.28515625" style="2131" bestFit="1" customWidth="1"/>
    <col min="8203" max="8204" width="12.7109375" style="2131" bestFit="1" customWidth="1"/>
    <col min="8205" max="8448" width="9.140625" style="2131"/>
    <col min="8449" max="8449" width="4.7109375" style="2131" customWidth="1"/>
    <col min="8450" max="8450" width="6.7109375" style="2131" customWidth="1"/>
    <col min="8451" max="8451" width="8.85546875" style="2131" customWidth="1"/>
    <col min="8452" max="8452" width="46.42578125" style="2131" customWidth="1"/>
    <col min="8453" max="8453" width="12.85546875" style="2131" customWidth="1"/>
    <col min="8454" max="8454" width="15.5703125" style="2131" customWidth="1"/>
    <col min="8455" max="8455" width="15.85546875" style="2131" customWidth="1"/>
    <col min="8456" max="8456" width="6.42578125" style="2131" customWidth="1"/>
    <col min="8457" max="8457" width="14.28515625" style="2131" bestFit="1" customWidth="1"/>
    <col min="8458" max="8458" width="9.28515625" style="2131" bestFit="1" customWidth="1"/>
    <col min="8459" max="8460" width="12.7109375" style="2131" bestFit="1" customWidth="1"/>
    <col min="8461" max="8704" width="9.140625" style="2131"/>
    <col min="8705" max="8705" width="4.7109375" style="2131" customWidth="1"/>
    <col min="8706" max="8706" width="6.7109375" style="2131" customWidth="1"/>
    <col min="8707" max="8707" width="8.85546875" style="2131" customWidth="1"/>
    <col min="8708" max="8708" width="46.42578125" style="2131" customWidth="1"/>
    <col min="8709" max="8709" width="12.85546875" style="2131" customWidth="1"/>
    <col min="8710" max="8710" width="15.5703125" style="2131" customWidth="1"/>
    <col min="8711" max="8711" width="15.85546875" style="2131" customWidth="1"/>
    <col min="8712" max="8712" width="6.42578125" style="2131" customWidth="1"/>
    <col min="8713" max="8713" width="14.28515625" style="2131" bestFit="1" customWidth="1"/>
    <col min="8714" max="8714" width="9.28515625" style="2131" bestFit="1" customWidth="1"/>
    <col min="8715" max="8716" width="12.7109375" style="2131" bestFit="1" customWidth="1"/>
    <col min="8717" max="8960" width="9.140625" style="2131"/>
    <col min="8961" max="8961" width="4.7109375" style="2131" customWidth="1"/>
    <col min="8962" max="8962" width="6.7109375" style="2131" customWidth="1"/>
    <col min="8963" max="8963" width="8.85546875" style="2131" customWidth="1"/>
    <col min="8964" max="8964" width="46.42578125" style="2131" customWidth="1"/>
    <col min="8965" max="8965" width="12.85546875" style="2131" customWidth="1"/>
    <col min="8966" max="8966" width="15.5703125" style="2131" customWidth="1"/>
    <col min="8967" max="8967" width="15.85546875" style="2131" customWidth="1"/>
    <col min="8968" max="8968" width="6.42578125" style="2131" customWidth="1"/>
    <col min="8969" max="8969" width="14.28515625" style="2131" bestFit="1" customWidth="1"/>
    <col min="8970" max="8970" width="9.28515625" style="2131" bestFit="1" customWidth="1"/>
    <col min="8971" max="8972" width="12.7109375" style="2131" bestFit="1" customWidth="1"/>
    <col min="8973" max="9216" width="9.140625" style="2131"/>
    <col min="9217" max="9217" width="4.7109375" style="2131" customWidth="1"/>
    <col min="9218" max="9218" width="6.7109375" style="2131" customWidth="1"/>
    <col min="9219" max="9219" width="8.85546875" style="2131" customWidth="1"/>
    <col min="9220" max="9220" width="46.42578125" style="2131" customWidth="1"/>
    <col min="9221" max="9221" width="12.85546875" style="2131" customWidth="1"/>
    <col min="9222" max="9222" width="15.5703125" style="2131" customWidth="1"/>
    <col min="9223" max="9223" width="15.85546875" style="2131" customWidth="1"/>
    <col min="9224" max="9224" width="6.42578125" style="2131" customWidth="1"/>
    <col min="9225" max="9225" width="14.28515625" style="2131" bestFit="1" customWidth="1"/>
    <col min="9226" max="9226" width="9.28515625" style="2131" bestFit="1" customWidth="1"/>
    <col min="9227" max="9228" width="12.7109375" style="2131" bestFit="1" customWidth="1"/>
    <col min="9229" max="9472" width="9.140625" style="2131"/>
    <col min="9473" max="9473" width="4.7109375" style="2131" customWidth="1"/>
    <col min="9474" max="9474" width="6.7109375" style="2131" customWidth="1"/>
    <col min="9475" max="9475" width="8.85546875" style="2131" customWidth="1"/>
    <col min="9476" max="9476" width="46.42578125" style="2131" customWidth="1"/>
    <col min="9477" max="9477" width="12.85546875" style="2131" customWidth="1"/>
    <col min="9478" max="9478" width="15.5703125" style="2131" customWidth="1"/>
    <col min="9479" max="9479" width="15.85546875" style="2131" customWidth="1"/>
    <col min="9480" max="9480" width="6.42578125" style="2131" customWidth="1"/>
    <col min="9481" max="9481" width="14.28515625" style="2131" bestFit="1" customWidth="1"/>
    <col min="9482" max="9482" width="9.28515625" style="2131" bestFit="1" customWidth="1"/>
    <col min="9483" max="9484" width="12.7109375" style="2131" bestFit="1" customWidth="1"/>
    <col min="9485" max="9728" width="9.140625" style="2131"/>
    <col min="9729" max="9729" width="4.7109375" style="2131" customWidth="1"/>
    <col min="9730" max="9730" width="6.7109375" style="2131" customWidth="1"/>
    <col min="9731" max="9731" width="8.85546875" style="2131" customWidth="1"/>
    <col min="9732" max="9732" width="46.42578125" style="2131" customWidth="1"/>
    <col min="9733" max="9733" width="12.85546875" style="2131" customWidth="1"/>
    <col min="9734" max="9734" width="15.5703125" style="2131" customWidth="1"/>
    <col min="9735" max="9735" width="15.85546875" style="2131" customWidth="1"/>
    <col min="9736" max="9736" width="6.42578125" style="2131" customWidth="1"/>
    <col min="9737" max="9737" width="14.28515625" style="2131" bestFit="1" customWidth="1"/>
    <col min="9738" max="9738" width="9.28515625" style="2131" bestFit="1" customWidth="1"/>
    <col min="9739" max="9740" width="12.7109375" style="2131" bestFit="1" customWidth="1"/>
    <col min="9741" max="9984" width="9.140625" style="2131"/>
    <col min="9985" max="9985" width="4.7109375" style="2131" customWidth="1"/>
    <col min="9986" max="9986" width="6.7109375" style="2131" customWidth="1"/>
    <col min="9987" max="9987" width="8.85546875" style="2131" customWidth="1"/>
    <col min="9988" max="9988" width="46.42578125" style="2131" customWidth="1"/>
    <col min="9989" max="9989" width="12.85546875" style="2131" customWidth="1"/>
    <col min="9990" max="9990" width="15.5703125" style="2131" customWidth="1"/>
    <col min="9991" max="9991" width="15.85546875" style="2131" customWidth="1"/>
    <col min="9992" max="9992" width="6.42578125" style="2131" customWidth="1"/>
    <col min="9993" max="9993" width="14.28515625" style="2131" bestFit="1" customWidth="1"/>
    <col min="9994" max="9994" width="9.28515625" style="2131" bestFit="1" customWidth="1"/>
    <col min="9995" max="9996" width="12.7109375" style="2131" bestFit="1" customWidth="1"/>
    <col min="9997" max="10240" width="9.140625" style="2131"/>
    <col min="10241" max="10241" width="4.7109375" style="2131" customWidth="1"/>
    <col min="10242" max="10242" width="6.7109375" style="2131" customWidth="1"/>
    <col min="10243" max="10243" width="8.85546875" style="2131" customWidth="1"/>
    <col min="10244" max="10244" width="46.42578125" style="2131" customWidth="1"/>
    <col min="10245" max="10245" width="12.85546875" style="2131" customWidth="1"/>
    <col min="10246" max="10246" width="15.5703125" style="2131" customWidth="1"/>
    <col min="10247" max="10247" width="15.85546875" style="2131" customWidth="1"/>
    <col min="10248" max="10248" width="6.42578125" style="2131" customWidth="1"/>
    <col min="10249" max="10249" width="14.28515625" style="2131" bestFit="1" customWidth="1"/>
    <col min="10250" max="10250" width="9.28515625" style="2131" bestFit="1" customWidth="1"/>
    <col min="10251" max="10252" width="12.7109375" style="2131" bestFit="1" customWidth="1"/>
    <col min="10253" max="10496" width="9.140625" style="2131"/>
    <col min="10497" max="10497" width="4.7109375" style="2131" customWidth="1"/>
    <col min="10498" max="10498" width="6.7109375" style="2131" customWidth="1"/>
    <col min="10499" max="10499" width="8.85546875" style="2131" customWidth="1"/>
    <col min="10500" max="10500" width="46.42578125" style="2131" customWidth="1"/>
    <col min="10501" max="10501" width="12.85546875" style="2131" customWidth="1"/>
    <col min="10502" max="10502" width="15.5703125" style="2131" customWidth="1"/>
    <col min="10503" max="10503" width="15.85546875" style="2131" customWidth="1"/>
    <col min="10504" max="10504" width="6.42578125" style="2131" customWidth="1"/>
    <col min="10505" max="10505" width="14.28515625" style="2131" bestFit="1" customWidth="1"/>
    <col min="10506" max="10506" width="9.28515625" style="2131" bestFit="1" customWidth="1"/>
    <col min="10507" max="10508" width="12.7109375" style="2131" bestFit="1" customWidth="1"/>
    <col min="10509" max="10752" width="9.140625" style="2131"/>
    <col min="10753" max="10753" width="4.7109375" style="2131" customWidth="1"/>
    <col min="10754" max="10754" width="6.7109375" style="2131" customWidth="1"/>
    <col min="10755" max="10755" width="8.85546875" style="2131" customWidth="1"/>
    <col min="10756" max="10756" width="46.42578125" style="2131" customWidth="1"/>
    <col min="10757" max="10757" width="12.85546875" style="2131" customWidth="1"/>
    <col min="10758" max="10758" width="15.5703125" style="2131" customWidth="1"/>
    <col min="10759" max="10759" width="15.85546875" style="2131" customWidth="1"/>
    <col min="10760" max="10760" width="6.42578125" style="2131" customWidth="1"/>
    <col min="10761" max="10761" width="14.28515625" style="2131" bestFit="1" customWidth="1"/>
    <col min="10762" max="10762" width="9.28515625" style="2131" bestFit="1" customWidth="1"/>
    <col min="10763" max="10764" width="12.7109375" style="2131" bestFit="1" customWidth="1"/>
    <col min="10765" max="11008" width="9.140625" style="2131"/>
    <col min="11009" max="11009" width="4.7109375" style="2131" customWidth="1"/>
    <col min="11010" max="11010" width="6.7109375" style="2131" customWidth="1"/>
    <col min="11011" max="11011" width="8.85546875" style="2131" customWidth="1"/>
    <col min="11012" max="11012" width="46.42578125" style="2131" customWidth="1"/>
    <col min="11013" max="11013" width="12.85546875" style="2131" customWidth="1"/>
    <col min="11014" max="11014" width="15.5703125" style="2131" customWidth="1"/>
    <col min="11015" max="11015" width="15.85546875" style="2131" customWidth="1"/>
    <col min="11016" max="11016" width="6.42578125" style="2131" customWidth="1"/>
    <col min="11017" max="11017" width="14.28515625" style="2131" bestFit="1" customWidth="1"/>
    <col min="11018" max="11018" width="9.28515625" style="2131" bestFit="1" customWidth="1"/>
    <col min="11019" max="11020" width="12.7109375" style="2131" bestFit="1" customWidth="1"/>
    <col min="11021" max="11264" width="9.140625" style="2131"/>
    <col min="11265" max="11265" width="4.7109375" style="2131" customWidth="1"/>
    <col min="11266" max="11266" width="6.7109375" style="2131" customWidth="1"/>
    <col min="11267" max="11267" width="8.85546875" style="2131" customWidth="1"/>
    <col min="11268" max="11268" width="46.42578125" style="2131" customWidth="1"/>
    <col min="11269" max="11269" width="12.85546875" style="2131" customWidth="1"/>
    <col min="11270" max="11270" width="15.5703125" style="2131" customWidth="1"/>
    <col min="11271" max="11271" width="15.85546875" style="2131" customWidth="1"/>
    <col min="11272" max="11272" width="6.42578125" style="2131" customWidth="1"/>
    <col min="11273" max="11273" width="14.28515625" style="2131" bestFit="1" customWidth="1"/>
    <col min="11274" max="11274" width="9.28515625" style="2131" bestFit="1" customWidth="1"/>
    <col min="11275" max="11276" width="12.7109375" style="2131" bestFit="1" customWidth="1"/>
    <col min="11277" max="11520" width="9.140625" style="2131"/>
    <col min="11521" max="11521" width="4.7109375" style="2131" customWidth="1"/>
    <col min="11522" max="11522" width="6.7109375" style="2131" customWidth="1"/>
    <col min="11523" max="11523" width="8.85546875" style="2131" customWidth="1"/>
    <col min="11524" max="11524" width="46.42578125" style="2131" customWidth="1"/>
    <col min="11525" max="11525" width="12.85546875" style="2131" customWidth="1"/>
    <col min="11526" max="11526" width="15.5703125" style="2131" customWidth="1"/>
    <col min="11527" max="11527" width="15.85546875" style="2131" customWidth="1"/>
    <col min="11528" max="11528" width="6.42578125" style="2131" customWidth="1"/>
    <col min="11529" max="11529" width="14.28515625" style="2131" bestFit="1" customWidth="1"/>
    <col min="11530" max="11530" width="9.28515625" style="2131" bestFit="1" customWidth="1"/>
    <col min="11531" max="11532" width="12.7109375" style="2131" bestFit="1" customWidth="1"/>
    <col min="11533" max="11776" width="9.140625" style="2131"/>
    <col min="11777" max="11777" width="4.7109375" style="2131" customWidth="1"/>
    <col min="11778" max="11778" width="6.7109375" style="2131" customWidth="1"/>
    <col min="11779" max="11779" width="8.85546875" style="2131" customWidth="1"/>
    <col min="11780" max="11780" width="46.42578125" style="2131" customWidth="1"/>
    <col min="11781" max="11781" width="12.85546875" style="2131" customWidth="1"/>
    <col min="11782" max="11782" width="15.5703125" style="2131" customWidth="1"/>
    <col min="11783" max="11783" width="15.85546875" style="2131" customWidth="1"/>
    <col min="11784" max="11784" width="6.42578125" style="2131" customWidth="1"/>
    <col min="11785" max="11785" width="14.28515625" style="2131" bestFit="1" customWidth="1"/>
    <col min="11786" max="11786" width="9.28515625" style="2131" bestFit="1" customWidth="1"/>
    <col min="11787" max="11788" width="12.7109375" style="2131" bestFit="1" customWidth="1"/>
    <col min="11789" max="12032" width="9.140625" style="2131"/>
    <col min="12033" max="12033" width="4.7109375" style="2131" customWidth="1"/>
    <col min="12034" max="12034" width="6.7109375" style="2131" customWidth="1"/>
    <col min="12035" max="12035" width="8.85546875" style="2131" customWidth="1"/>
    <col min="12036" max="12036" width="46.42578125" style="2131" customWidth="1"/>
    <col min="12037" max="12037" width="12.85546875" style="2131" customWidth="1"/>
    <col min="12038" max="12038" width="15.5703125" style="2131" customWidth="1"/>
    <col min="12039" max="12039" width="15.85546875" style="2131" customWidth="1"/>
    <col min="12040" max="12040" width="6.42578125" style="2131" customWidth="1"/>
    <col min="12041" max="12041" width="14.28515625" style="2131" bestFit="1" customWidth="1"/>
    <col min="12042" max="12042" width="9.28515625" style="2131" bestFit="1" customWidth="1"/>
    <col min="12043" max="12044" width="12.7109375" style="2131" bestFit="1" customWidth="1"/>
    <col min="12045" max="12288" width="9.140625" style="2131"/>
    <col min="12289" max="12289" width="4.7109375" style="2131" customWidth="1"/>
    <col min="12290" max="12290" width="6.7109375" style="2131" customWidth="1"/>
    <col min="12291" max="12291" width="8.85546875" style="2131" customWidth="1"/>
    <col min="12292" max="12292" width="46.42578125" style="2131" customWidth="1"/>
    <col min="12293" max="12293" width="12.85546875" style="2131" customWidth="1"/>
    <col min="12294" max="12294" width="15.5703125" style="2131" customWidth="1"/>
    <col min="12295" max="12295" width="15.85546875" style="2131" customWidth="1"/>
    <col min="12296" max="12296" width="6.42578125" style="2131" customWidth="1"/>
    <col min="12297" max="12297" width="14.28515625" style="2131" bestFit="1" customWidth="1"/>
    <col min="12298" max="12298" width="9.28515625" style="2131" bestFit="1" customWidth="1"/>
    <col min="12299" max="12300" width="12.7109375" style="2131" bestFit="1" customWidth="1"/>
    <col min="12301" max="12544" width="9.140625" style="2131"/>
    <col min="12545" max="12545" width="4.7109375" style="2131" customWidth="1"/>
    <col min="12546" max="12546" width="6.7109375" style="2131" customWidth="1"/>
    <col min="12547" max="12547" width="8.85546875" style="2131" customWidth="1"/>
    <col min="12548" max="12548" width="46.42578125" style="2131" customWidth="1"/>
    <col min="12549" max="12549" width="12.85546875" style="2131" customWidth="1"/>
    <col min="12550" max="12550" width="15.5703125" style="2131" customWidth="1"/>
    <col min="12551" max="12551" width="15.85546875" style="2131" customWidth="1"/>
    <col min="12552" max="12552" width="6.42578125" style="2131" customWidth="1"/>
    <col min="12553" max="12553" width="14.28515625" style="2131" bestFit="1" customWidth="1"/>
    <col min="12554" max="12554" width="9.28515625" style="2131" bestFit="1" customWidth="1"/>
    <col min="12555" max="12556" width="12.7109375" style="2131" bestFit="1" customWidth="1"/>
    <col min="12557" max="12800" width="9.140625" style="2131"/>
    <col min="12801" max="12801" width="4.7109375" style="2131" customWidth="1"/>
    <col min="12802" max="12802" width="6.7109375" style="2131" customWidth="1"/>
    <col min="12803" max="12803" width="8.85546875" style="2131" customWidth="1"/>
    <col min="12804" max="12804" width="46.42578125" style="2131" customWidth="1"/>
    <col min="12805" max="12805" width="12.85546875" style="2131" customWidth="1"/>
    <col min="12806" max="12806" width="15.5703125" style="2131" customWidth="1"/>
    <col min="12807" max="12807" width="15.85546875" style="2131" customWidth="1"/>
    <col min="12808" max="12808" width="6.42578125" style="2131" customWidth="1"/>
    <col min="12809" max="12809" width="14.28515625" style="2131" bestFit="1" customWidth="1"/>
    <col min="12810" max="12810" width="9.28515625" style="2131" bestFit="1" customWidth="1"/>
    <col min="12811" max="12812" width="12.7109375" style="2131" bestFit="1" customWidth="1"/>
    <col min="12813" max="13056" width="9.140625" style="2131"/>
    <col min="13057" max="13057" width="4.7109375" style="2131" customWidth="1"/>
    <col min="13058" max="13058" width="6.7109375" style="2131" customWidth="1"/>
    <col min="13059" max="13059" width="8.85546875" style="2131" customWidth="1"/>
    <col min="13060" max="13060" width="46.42578125" style="2131" customWidth="1"/>
    <col min="13061" max="13061" width="12.85546875" style="2131" customWidth="1"/>
    <col min="13062" max="13062" width="15.5703125" style="2131" customWidth="1"/>
    <col min="13063" max="13063" width="15.85546875" style="2131" customWidth="1"/>
    <col min="13064" max="13064" width="6.42578125" style="2131" customWidth="1"/>
    <col min="13065" max="13065" width="14.28515625" style="2131" bestFit="1" customWidth="1"/>
    <col min="13066" max="13066" width="9.28515625" style="2131" bestFit="1" customWidth="1"/>
    <col min="13067" max="13068" width="12.7109375" style="2131" bestFit="1" customWidth="1"/>
    <col min="13069" max="13312" width="9.140625" style="2131"/>
    <col min="13313" max="13313" width="4.7109375" style="2131" customWidth="1"/>
    <col min="13314" max="13314" width="6.7109375" style="2131" customWidth="1"/>
    <col min="13315" max="13315" width="8.85546875" style="2131" customWidth="1"/>
    <col min="13316" max="13316" width="46.42578125" style="2131" customWidth="1"/>
    <col min="13317" max="13317" width="12.85546875" style="2131" customWidth="1"/>
    <col min="13318" max="13318" width="15.5703125" style="2131" customWidth="1"/>
    <col min="13319" max="13319" width="15.85546875" style="2131" customWidth="1"/>
    <col min="13320" max="13320" width="6.42578125" style="2131" customWidth="1"/>
    <col min="13321" max="13321" width="14.28515625" style="2131" bestFit="1" customWidth="1"/>
    <col min="13322" max="13322" width="9.28515625" style="2131" bestFit="1" customWidth="1"/>
    <col min="13323" max="13324" width="12.7109375" style="2131" bestFit="1" customWidth="1"/>
    <col min="13325" max="13568" width="9.140625" style="2131"/>
    <col min="13569" max="13569" width="4.7109375" style="2131" customWidth="1"/>
    <col min="13570" max="13570" width="6.7109375" style="2131" customWidth="1"/>
    <col min="13571" max="13571" width="8.85546875" style="2131" customWidth="1"/>
    <col min="13572" max="13572" width="46.42578125" style="2131" customWidth="1"/>
    <col min="13573" max="13573" width="12.85546875" style="2131" customWidth="1"/>
    <col min="13574" max="13574" width="15.5703125" style="2131" customWidth="1"/>
    <col min="13575" max="13575" width="15.85546875" style="2131" customWidth="1"/>
    <col min="13576" max="13576" width="6.42578125" style="2131" customWidth="1"/>
    <col min="13577" max="13577" width="14.28515625" style="2131" bestFit="1" customWidth="1"/>
    <col min="13578" max="13578" width="9.28515625" style="2131" bestFit="1" customWidth="1"/>
    <col min="13579" max="13580" width="12.7109375" style="2131" bestFit="1" customWidth="1"/>
    <col min="13581" max="13824" width="9.140625" style="2131"/>
    <col min="13825" max="13825" width="4.7109375" style="2131" customWidth="1"/>
    <col min="13826" max="13826" width="6.7109375" style="2131" customWidth="1"/>
    <col min="13827" max="13827" width="8.85546875" style="2131" customWidth="1"/>
    <col min="13828" max="13828" width="46.42578125" style="2131" customWidth="1"/>
    <col min="13829" max="13829" width="12.85546875" style="2131" customWidth="1"/>
    <col min="13830" max="13830" width="15.5703125" style="2131" customWidth="1"/>
    <col min="13831" max="13831" width="15.85546875" style="2131" customWidth="1"/>
    <col min="13832" max="13832" width="6.42578125" style="2131" customWidth="1"/>
    <col min="13833" max="13833" width="14.28515625" style="2131" bestFit="1" customWidth="1"/>
    <col min="13834" max="13834" width="9.28515625" style="2131" bestFit="1" customWidth="1"/>
    <col min="13835" max="13836" width="12.7109375" style="2131" bestFit="1" customWidth="1"/>
    <col min="13837" max="14080" width="9.140625" style="2131"/>
    <col min="14081" max="14081" width="4.7109375" style="2131" customWidth="1"/>
    <col min="14082" max="14082" width="6.7109375" style="2131" customWidth="1"/>
    <col min="14083" max="14083" width="8.85546875" style="2131" customWidth="1"/>
    <col min="14084" max="14084" width="46.42578125" style="2131" customWidth="1"/>
    <col min="14085" max="14085" width="12.85546875" style="2131" customWidth="1"/>
    <col min="14086" max="14086" width="15.5703125" style="2131" customWidth="1"/>
    <col min="14087" max="14087" width="15.85546875" style="2131" customWidth="1"/>
    <col min="14088" max="14088" width="6.42578125" style="2131" customWidth="1"/>
    <col min="14089" max="14089" width="14.28515625" style="2131" bestFit="1" customWidth="1"/>
    <col min="14090" max="14090" width="9.28515625" style="2131" bestFit="1" customWidth="1"/>
    <col min="14091" max="14092" width="12.7109375" style="2131" bestFit="1" customWidth="1"/>
    <col min="14093" max="14336" width="9.140625" style="2131"/>
    <col min="14337" max="14337" width="4.7109375" style="2131" customWidth="1"/>
    <col min="14338" max="14338" width="6.7109375" style="2131" customWidth="1"/>
    <col min="14339" max="14339" width="8.85546875" style="2131" customWidth="1"/>
    <col min="14340" max="14340" width="46.42578125" style="2131" customWidth="1"/>
    <col min="14341" max="14341" width="12.85546875" style="2131" customWidth="1"/>
    <col min="14342" max="14342" width="15.5703125" style="2131" customWidth="1"/>
    <col min="14343" max="14343" width="15.85546875" style="2131" customWidth="1"/>
    <col min="14344" max="14344" width="6.42578125" style="2131" customWidth="1"/>
    <col min="14345" max="14345" width="14.28515625" style="2131" bestFit="1" customWidth="1"/>
    <col min="14346" max="14346" width="9.28515625" style="2131" bestFit="1" customWidth="1"/>
    <col min="14347" max="14348" width="12.7109375" style="2131" bestFit="1" customWidth="1"/>
    <col min="14349" max="14592" width="9.140625" style="2131"/>
    <col min="14593" max="14593" width="4.7109375" style="2131" customWidth="1"/>
    <col min="14594" max="14594" width="6.7109375" style="2131" customWidth="1"/>
    <col min="14595" max="14595" width="8.85546875" style="2131" customWidth="1"/>
    <col min="14596" max="14596" width="46.42578125" style="2131" customWidth="1"/>
    <col min="14597" max="14597" width="12.85546875" style="2131" customWidth="1"/>
    <col min="14598" max="14598" width="15.5703125" style="2131" customWidth="1"/>
    <col min="14599" max="14599" width="15.85546875" style="2131" customWidth="1"/>
    <col min="14600" max="14600" width="6.42578125" style="2131" customWidth="1"/>
    <col min="14601" max="14601" width="14.28515625" style="2131" bestFit="1" customWidth="1"/>
    <col min="14602" max="14602" width="9.28515625" style="2131" bestFit="1" customWidth="1"/>
    <col min="14603" max="14604" width="12.7109375" style="2131" bestFit="1" customWidth="1"/>
    <col min="14605" max="14848" width="9.140625" style="2131"/>
    <col min="14849" max="14849" width="4.7109375" style="2131" customWidth="1"/>
    <col min="14850" max="14850" width="6.7109375" style="2131" customWidth="1"/>
    <col min="14851" max="14851" width="8.85546875" style="2131" customWidth="1"/>
    <col min="14852" max="14852" width="46.42578125" style="2131" customWidth="1"/>
    <col min="14853" max="14853" width="12.85546875" style="2131" customWidth="1"/>
    <col min="14854" max="14854" width="15.5703125" style="2131" customWidth="1"/>
    <col min="14855" max="14855" width="15.85546875" style="2131" customWidth="1"/>
    <col min="14856" max="14856" width="6.42578125" style="2131" customWidth="1"/>
    <col min="14857" max="14857" width="14.28515625" style="2131" bestFit="1" customWidth="1"/>
    <col min="14858" max="14858" width="9.28515625" style="2131" bestFit="1" customWidth="1"/>
    <col min="14859" max="14860" width="12.7109375" style="2131" bestFit="1" customWidth="1"/>
    <col min="14861" max="15104" width="9.140625" style="2131"/>
    <col min="15105" max="15105" width="4.7109375" style="2131" customWidth="1"/>
    <col min="15106" max="15106" width="6.7109375" style="2131" customWidth="1"/>
    <col min="15107" max="15107" width="8.85546875" style="2131" customWidth="1"/>
    <col min="15108" max="15108" width="46.42578125" style="2131" customWidth="1"/>
    <col min="15109" max="15109" width="12.85546875" style="2131" customWidth="1"/>
    <col min="15110" max="15110" width="15.5703125" style="2131" customWidth="1"/>
    <col min="15111" max="15111" width="15.85546875" style="2131" customWidth="1"/>
    <col min="15112" max="15112" width="6.42578125" style="2131" customWidth="1"/>
    <col min="15113" max="15113" width="14.28515625" style="2131" bestFit="1" customWidth="1"/>
    <col min="15114" max="15114" width="9.28515625" style="2131" bestFit="1" customWidth="1"/>
    <col min="15115" max="15116" width="12.7109375" style="2131" bestFit="1" customWidth="1"/>
    <col min="15117" max="15360" width="9.140625" style="2131"/>
    <col min="15361" max="15361" width="4.7109375" style="2131" customWidth="1"/>
    <col min="15362" max="15362" width="6.7109375" style="2131" customWidth="1"/>
    <col min="15363" max="15363" width="8.85546875" style="2131" customWidth="1"/>
    <col min="15364" max="15364" width="46.42578125" style="2131" customWidth="1"/>
    <col min="15365" max="15365" width="12.85546875" style="2131" customWidth="1"/>
    <col min="15366" max="15366" width="15.5703125" style="2131" customWidth="1"/>
    <col min="15367" max="15367" width="15.85546875" style="2131" customWidth="1"/>
    <col min="15368" max="15368" width="6.42578125" style="2131" customWidth="1"/>
    <col min="15369" max="15369" width="14.28515625" style="2131" bestFit="1" customWidth="1"/>
    <col min="15370" max="15370" width="9.28515625" style="2131" bestFit="1" customWidth="1"/>
    <col min="15371" max="15372" width="12.7109375" style="2131" bestFit="1" customWidth="1"/>
    <col min="15373" max="15616" width="9.140625" style="2131"/>
    <col min="15617" max="15617" width="4.7109375" style="2131" customWidth="1"/>
    <col min="15618" max="15618" width="6.7109375" style="2131" customWidth="1"/>
    <col min="15619" max="15619" width="8.85546875" style="2131" customWidth="1"/>
    <col min="15620" max="15620" width="46.42578125" style="2131" customWidth="1"/>
    <col min="15621" max="15621" width="12.85546875" style="2131" customWidth="1"/>
    <col min="15622" max="15622" width="15.5703125" style="2131" customWidth="1"/>
    <col min="15623" max="15623" width="15.85546875" style="2131" customWidth="1"/>
    <col min="15624" max="15624" width="6.42578125" style="2131" customWidth="1"/>
    <col min="15625" max="15625" width="14.28515625" style="2131" bestFit="1" customWidth="1"/>
    <col min="15626" max="15626" width="9.28515625" style="2131" bestFit="1" customWidth="1"/>
    <col min="15627" max="15628" width="12.7109375" style="2131" bestFit="1" customWidth="1"/>
    <col min="15629" max="15872" width="9.140625" style="2131"/>
    <col min="15873" max="15873" width="4.7109375" style="2131" customWidth="1"/>
    <col min="15874" max="15874" width="6.7109375" style="2131" customWidth="1"/>
    <col min="15875" max="15875" width="8.85546875" style="2131" customWidth="1"/>
    <col min="15876" max="15876" width="46.42578125" style="2131" customWidth="1"/>
    <col min="15877" max="15877" width="12.85546875" style="2131" customWidth="1"/>
    <col min="15878" max="15878" width="15.5703125" style="2131" customWidth="1"/>
    <col min="15879" max="15879" width="15.85546875" style="2131" customWidth="1"/>
    <col min="15880" max="15880" width="6.42578125" style="2131" customWidth="1"/>
    <col min="15881" max="15881" width="14.28515625" style="2131" bestFit="1" customWidth="1"/>
    <col min="15882" max="15882" width="9.28515625" style="2131" bestFit="1" customWidth="1"/>
    <col min="15883" max="15884" width="12.7109375" style="2131" bestFit="1" customWidth="1"/>
    <col min="15885" max="16128" width="9.140625" style="2131"/>
    <col min="16129" max="16129" width="4.7109375" style="2131" customWidth="1"/>
    <col min="16130" max="16130" width="6.7109375" style="2131" customWidth="1"/>
    <col min="16131" max="16131" width="8.85546875" style="2131" customWidth="1"/>
    <col min="16132" max="16132" width="46.42578125" style="2131" customWidth="1"/>
    <col min="16133" max="16133" width="12.85546875" style="2131" customWidth="1"/>
    <col min="16134" max="16134" width="15.5703125" style="2131" customWidth="1"/>
    <col min="16135" max="16135" width="15.85546875" style="2131" customWidth="1"/>
    <col min="16136" max="16136" width="6.42578125" style="2131" customWidth="1"/>
    <col min="16137" max="16137" width="14.28515625" style="2131" bestFit="1" customWidth="1"/>
    <col min="16138" max="16138" width="9.28515625" style="2131" bestFit="1" customWidth="1"/>
    <col min="16139" max="16140" width="12.7109375" style="2131" bestFit="1" customWidth="1"/>
    <col min="16141" max="16384" width="9.140625" style="2131"/>
  </cols>
  <sheetData>
    <row r="1" spans="1:10" ht="19.5" customHeight="1" thickBot="1" x14ac:dyDescent="0.3">
      <c r="A1" s="1944" t="s">
        <v>825</v>
      </c>
      <c r="B1" s="1943"/>
      <c r="C1" s="2126"/>
      <c r="D1" s="1941"/>
      <c r="E1" s="1940"/>
      <c r="F1" s="1941"/>
      <c r="G1" s="2250"/>
      <c r="H1" s="1944"/>
    </row>
    <row r="2" spans="1:10" ht="18" x14ac:dyDescent="0.25">
      <c r="A2" s="2135"/>
      <c r="B2" s="2168"/>
      <c r="C2" s="2168"/>
      <c r="D2" s="2168"/>
      <c r="E2" s="2168"/>
      <c r="F2" s="2168"/>
      <c r="G2" s="2168"/>
      <c r="H2" s="2222" t="s">
        <v>826</v>
      </c>
    </row>
    <row r="3" spans="1:10" ht="18" x14ac:dyDescent="0.25">
      <c r="A3" s="1939" t="s">
        <v>404</v>
      </c>
      <c r="B3" s="2168"/>
      <c r="C3" s="2129" t="s">
        <v>379</v>
      </c>
      <c r="D3" s="2168"/>
      <c r="E3" s="2168"/>
      <c r="F3" s="2168"/>
      <c r="G3" s="2168"/>
      <c r="H3" s="2222"/>
    </row>
    <row r="4" spans="1:10" ht="18" x14ac:dyDescent="0.25">
      <c r="A4" s="2135"/>
      <c r="B4" s="2168"/>
      <c r="C4" s="2129" t="s">
        <v>380</v>
      </c>
      <c r="D4" s="2168"/>
      <c r="E4" s="2168"/>
      <c r="F4" s="2168"/>
      <c r="G4" s="2168"/>
      <c r="H4" s="2222"/>
    </row>
    <row r="5" spans="1:10" ht="18" x14ac:dyDescent="0.25">
      <c r="A5" s="2134" t="s">
        <v>1223</v>
      </c>
      <c r="B5" s="2168"/>
      <c r="C5" s="2168"/>
      <c r="D5" s="2168"/>
      <c r="E5" s="2168"/>
      <c r="F5" s="2168"/>
      <c r="G5" s="2168"/>
      <c r="H5" s="2222"/>
    </row>
    <row r="6" spans="1:10" ht="18.75" thickBot="1" x14ac:dyDescent="0.3">
      <c r="A6" s="2134"/>
      <c r="B6" s="2168"/>
      <c r="C6" s="2168"/>
      <c r="D6" s="2168"/>
      <c r="E6" s="2168"/>
      <c r="F6" s="2168"/>
      <c r="G6" s="2168"/>
      <c r="H6" s="2161" t="s">
        <v>179</v>
      </c>
    </row>
    <row r="7" spans="1:10" s="1849" customFormat="1" ht="25.5" thickTop="1" thickBot="1" x14ac:dyDescent="0.25">
      <c r="A7" s="2138" t="s">
        <v>180</v>
      </c>
      <c r="B7" s="2139" t="s">
        <v>847</v>
      </c>
      <c r="C7" s="2139" t="s">
        <v>414</v>
      </c>
      <c r="D7" s="2140" t="s">
        <v>182</v>
      </c>
      <c r="E7" s="2171" t="s">
        <v>700</v>
      </c>
      <c r="F7" s="2171" t="s">
        <v>701</v>
      </c>
      <c r="G7" s="2172" t="s">
        <v>986</v>
      </c>
      <c r="H7" s="2173" t="s">
        <v>987</v>
      </c>
    </row>
    <row r="8" spans="1:10" s="1849" customFormat="1" ht="13.5" thickTop="1" thickBot="1" x14ac:dyDescent="0.25">
      <c r="A8" s="1854">
        <v>1</v>
      </c>
      <c r="B8" s="1853">
        <v>2</v>
      </c>
      <c r="C8" s="1853">
        <v>3</v>
      </c>
      <c r="D8" s="1853">
        <v>4</v>
      </c>
      <c r="E8" s="1852">
        <v>5</v>
      </c>
      <c r="F8" s="1852">
        <v>6</v>
      </c>
      <c r="G8" s="2223">
        <v>7</v>
      </c>
      <c r="H8" s="2251" t="s">
        <v>61</v>
      </c>
    </row>
    <row r="9" spans="1:10" ht="15.75" hidden="1" thickTop="1" x14ac:dyDescent="0.2">
      <c r="A9" s="2246">
        <v>3299</v>
      </c>
      <c r="B9" s="2253">
        <v>5139</v>
      </c>
      <c r="C9" s="2258">
        <v>32133007</v>
      </c>
      <c r="D9" s="2174" t="s">
        <v>612</v>
      </c>
      <c r="E9" s="2170">
        <v>0</v>
      </c>
      <c r="F9" s="2170">
        <v>0</v>
      </c>
      <c r="G9" s="2170">
        <v>0</v>
      </c>
      <c r="H9" s="2153" t="e">
        <f t="shared" ref="H9:H18" si="0">G9/F9*100</f>
        <v>#DIV/0!</v>
      </c>
      <c r="J9" s="2267"/>
    </row>
    <row r="10" spans="1:10" ht="15.75" hidden="1" thickTop="1" x14ac:dyDescent="0.2">
      <c r="A10" s="2246">
        <v>3299</v>
      </c>
      <c r="B10" s="2253">
        <v>5139</v>
      </c>
      <c r="C10" s="2258">
        <v>32533007</v>
      </c>
      <c r="D10" s="2174" t="s">
        <v>612</v>
      </c>
      <c r="E10" s="2184">
        <v>0</v>
      </c>
      <c r="F10" s="2184">
        <v>0</v>
      </c>
      <c r="G10" s="2184">
        <v>0</v>
      </c>
      <c r="H10" s="2156" t="e">
        <f t="shared" si="0"/>
        <v>#DIV/0!</v>
      </c>
      <c r="J10" s="2267"/>
    </row>
    <row r="11" spans="1:10" ht="15.75" hidden="1" thickTop="1" x14ac:dyDescent="0.2">
      <c r="A11" s="2246">
        <v>3299</v>
      </c>
      <c r="B11" s="2253">
        <v>5164</v>
      </c>
      <c r="C11" s="2258">
        <v>32133007</v>
      </c>
      <c r="D11" s="2174" t="s">
        <v>188</v>
      </c>
      <c r="E11" s="2184">
        <v>0</v>
      </c>
      <c r="F11" s="2184">
        <v>0</v>
      </c>
      <c r="G11" s="2184">
        <v>0</v>
      </c>
      <c r="H11" s="2156" t="e">
        <f t="shared" si="0"/>
        <v>#DIV/0!</v>
      </c>
      <c r="J11" s="2267"/>
    </row>
    <row r="12" spans="1:10" ht="15.75" hidden="1" thickTop="1" x14ac:dyDescent="0.2">
      <c r="A12" s="2246">
        <v>3299</v>
      </c>
      <c r="B12" s="2253">
        <v>5164</v>
      </c>
      <c r="C12" s="2258">
        <v>32533007</v>
      </c>
      <c r="D12" s="2174" t="s">
        <v>188</v>
      </c>
      <c r="E12" s="2184">
        <v>0</v>
      </c>
      <c r="F12" s="2184">
        <v>0</v>
      </c>
      <c r="G12" s="2184">
        <v>0</v>
      </c>
      <c r="H12" s="2156" t="e">
        <f t="shared" si="0"/>
        <v>#DIV/0!</v>
      </c>
      <c r="J12" s="2267"/>
    </row>
    <row r="13" spans="1:10" ht="15.75" hidden="1" thickTop="1" x14ac:dyDescent="0.2">
      <c r="A13" s="2246">
        <v>3299</v>
      </c>
      <c r="B13" s="2253">
        <v>5169</v>
      </c>
      <c r="C13" s="2258">
        <v>32133007</v>
      </c>
      <c r="D13" s="2174" t="s">
        <v>955</v>
      </c>
      <c r="E13" s="2184">
        <v>0</v>
      </c>
      <c r="F13" s="2184">
        <v>0</v>
      </c>
      <c r="G13" s="2184">
        <v>0</v>
      </c>
      <c r="H13" s="2156" t="e">
        <f t="shared" si="0"/>
        <v>#DIV/0!</v>
      </c>
      <c r="J13" s="2267"/>
    </row>
    <row r="14" spans="1:10" ht="15.75" hidden="1" thickTop="1" x14ac:dyDescent="0.2">
      <c r="A14" s="2246">
        <v>3299</v>
      </c>
      <c r="B14" s="2253">
        <v>5169</v>
      </c>
      <c r="C14" s="2258">
        <v>32533007</v>
      </c>
      <c r="D14" s="2174" t="s">
        <v>955</v>
      </c>
      <c r="E14" s="2184">
        <v>0</v>
      </c>
      <c r="F14" s="2184">
        <v>0</v>
      </c>
      <c r="G14" s="2184">
        <v>0</v>
      </c>
      <c r="H14" s="2156" t="e">
        <f t="shared" si="0"/>
        <v>#DIV/0!</v>
      </c>
    </row>
    <row r="15" spans="1:10" ht="15.75" hidden="1" thickTop="1" x14ac:dyDescent="0.2">
      <c r="A15" s="2246">
        <v>3299</v>
      </c>
      <c r="B15" s="2253">
        <v>5175</v>
      </c>
      <c r="C15" s="2258">
        <v>32133007</v>
      </c>
      <c r="D15" s="2174" t="s">
        <v>740</v>
      </c>
      <c r="E15" s="2184">
        <v>0</v>
      </c>
      <c r="F15" s="2184">
        <v>0</v>
      </c>
      <c r="G15" s="2184">
        <v>0</v>
      </c>
      <c r="H15" s="2156" t="e">
        <f t="shared" si="0"/>
        <v>#DIV/0!</v>
      </c>
    </row>
    <row r="16" spans="1:10" ht="15.75" hidden="1" thickTop="1" x14ac:dyDescent="0.2">
      <c r="A16" s="2246">
        <v>3299</v>
      </c>
      <c r="B16" s="2253">
        <v>5175</v>
      </c>
      <c r="C16" s="2258">
        <v>32533007</v>
      </c>
      <c r="D16" s="2174" t="s">
        <v>740</v>
      </c>
      <c r="E16" s="2184">
        <v>0</v>
      </c>
      <c r="F16" s="2184">
        <v>0</v>
      </c>
      <c r="G16" s="2184">
        <v>0</v>
      </c>
      <c r="H16" s="2156" t="e">
        <f t="shared" si="0"/>
        <v>#DIV/0!</v>
      </c>
    </row>
    <row r="17" spans="1:12" ht="49.5" customHeight="1" thickTop="1" thickBot="1" x14ac:dyDescent="0.25">
      <c r="A17" s="2246">
        <v>6402</v>
      </c>
      <c r="B17" s="2253">
        <v>5364</v>
      </c>
      <c r="C17" s="2258">
        <v>19</v>
      </c>
      <c r="D17" s="2261" t="s">
        <v>1825</v>
      </c>
      <c r="E17" s="2184">
        <v>0</v>
      </c>
      <c r="F17" s="2184">
        <v>171</v>
      </c>
      <c r="G17" s="2184">
        <v>171</v>
      </c>
      <c r="H17" s="2163">
        <f t="shared" si="0"/>
        <v>100</v>
      </c>
    </row>
    <row r="18" spans="1:12" s="2164" customFormat="1" ht="16.5" thickTop="1" thickBot="1" x14ac:dyDescent="0.3">
      <c r="A18" s="2806" t="s">
        <v>849</v>
      </c>
      <c r="B18" s="2807"/>
      <c r="C18" s="2807"/>
      <c r="D18" s="2807"/>
      <c r="E18" s="2152">
        <f>SUM(E9:E17)</f>
        <v>0</v>
      </c>
      <c r="F18" s="2152">
        <f>SUM(F9:F17)</f>
        <v>171</v>
      </c>
      <c r="G18" s="2152">
        <f>SUM(G9:G17)</f>
        <v>171</v>
      </c>
      <c r="H18" s="2163">
        <f t="shared" si="0"/>
        <v>100</v>
      </c>
      <c r="I18" s="2262"/>
    </row>
    <row r="19" spans="1:12" ht="13.5" thickTop="1" x14ac:dyDescent="0.2">
      <c r="I19" s="2165"/>
    </row>
    <row r="20" spans="1:12" x14ac:dyDescent="0.2">
      <c r="I20" s="2165"/>
    </row>
    <row r="21" spans="1:12" x14ac:dyDescent="0.2">
      <c r="I21" s="2165"/>
    </row>
    <row r="23" spans="1:12" ht="16.5" x14ac:dyDescent="0.25">
      <c r="A23" s="2206" t="s">
        <v>508</v>
      </c>
      <c r="B23" s="2207"/>
      <c r="C23" s="2208"/>
      <c r="D23" s="2209"/>
      <c r="E23" s="2210">
        <f>SUM(E24:E26)</f>
        <v>0</v>
      </c>
      <c r="F23" s="2210">
        <f>F24+F25+F26+F27</f>
        <v>171</v>
      </c>
      <c r="G23" s="2210">
        <f>G24+G25+G26+G27</f>
        <v>171</v>
      </c>
      <c r="H23" s="2232">
        <f>G23/F23*100</f>
        <v>100</v>
      </c>
      <c r="J23" s="2212">
        <f>J24+J25+J26</f>
        <v>0</v>
      </c>
      <c r="K23" s="2212">
        <f>K24+K25+K26</f>
        <v>171141.26</v>
      </c>
      <c r="L23" s="2212">
        <f>L24+L25+L26</f>
        <v>171141.26</v>
      </c>
    </row>
    <row r="24" spans="1:12" ht="15" x14ac:dyDescent="0.2">
      <c r="A24" s="1810" t="s">
        <v>288</v>
      </c>
      <c r="B24" s="1813"/>
      <c r="C24" s="1808"/>
      <c r="D24" s="2213"/>
      <c r="E24" s="1811">
        <f>SUM(E18)</f>
        <v>0</v>
      </c>
      <c r="F24" s="1811">
        <f>SUM(F18)</f>
        <v>171</v>
      </c>
      <c r="G24" s="1811">
        <f>SUM(G18)</f>
        <v>171</v>
      </c>
      <c r="H24" s="2231">
        <f>G24/F24*100</f>
        <v>100</v>
      </c>
      <c r="J24" s="2214">
        <v>0</v>
      </c>
      <c r="K24" s="2214">
        <v>171141.26</v>
      </c>
      <c r="L24" s="2214">
        <v>171141.26</v>
      </c>
    </row>
    <row r="25" spans="1:12" ht="15" x14ac:dyDescent="0.2">
      <c r="A25" s="1810" t="s">
        <v>289</v>
      </c>
      <c r="B25" s="1809"/>
      <c r="C25" s="1808"/>
      <c r="D25" s="2215"/>
      <c r="E25" s="1811">
        <v>0</v>
      </c>
      <c r="F25" s="1811">
        <v>0</v>
      </c>
      <c r="G25" s="1811">
        <v>0</v>
      </c>
      <c r="H25" s="2231">
        <v>0</v>
      </c>
      <c r="J25" s="2214">
        <v>0</v>
      </c>
      <c r="K25" s="2214">
        <v>0</v>
      </c>
      <c r="L25" s="2214">
        <v>0</v>
      </c>
    </row>
    <row r="26" spans="1:12" ht="15" x14ac:dyDescent="0.2">
      <c r="A26" s="1810" t="s">
        <v>509</v>
      </c>
      <c r="B26" s="1809"/>
      <c r="C26" s="1808"/>
      <c r="D26" s="2215"/>
      <c r="E26" s="1811">
        <v>0</v>
      </c>
      <c r="F26" s="1811">
        <v>0</v>
      </c>
      <c r="G26" s="1811">
        <v>0</v>
      </c>
      <c r="H26" s="2231">
        <v>0</v>
      </c>
      <c r="J26" s="2214">
        <v>0</v>
      </c>
      <c r="K26" s="2214">
        <v>0</v>
      </c>
      <c r="L26" s="2214">
        <v>0</v>
      </c>
    </row>
    <row r="27" spans="1:12" ht="15" x14ac:dyDescent="0.2">
      <c r="A27" s="1810"/>
      <c r="B27" s="1809"/>
      <c r="C27" s="1808"/>
      <c r="D27" s="2215"/>
      <c r="E27" s="1811"/>
      <c r="F27" s="1811"/>
      <c r="G27" s="1811"/>
      <c r="H27" s="1807"/>
    </row>
    <row r="28" spans="1:12" ht="46.5" customHeight="1" thickBot="1" x14ac:dyDescent="0.4">
      <c r="A28" s="2800" t="s">
        <v>1076</v>
      </c>
      <c r="B28" s="2801"/>
      <c r="C28" s="2801"/>
      <c r="D28" s="2801"/>
      <c r="E28" s="1801">
        <f>SUM(E23)</f>
        <v>0</v>
      </c>
      <c r="F28" s="1801">
        <f>SUM(F23)</f>
        <v>171</v>
      </c>
      <c r="G28" s="1801">
        <f>SUM(G23)</f>
        <v>171</v>
      </c>
      <c r="H28" s="1800">
        <f>(G28/F28)*100</f>
        <v>100</v>
      </c>
    </row>
    <row r="29" spans="1:12" ht="13.5" thickTop="1" x14ac:dyDescent="0.2"/>
    <row r="149" spans="1:5" ht="13.5" thickBot="1" x14ac:dyDescent="0.25">
      <c r="A149" s="2179"/>
      <c r="B149" s="2179"/>
      <c r="C149" s="2179"/>
      <c r="D149" s="2264"/>
      <c r="E149" s="2265"/>
    </row>
    <row r="150" spans="1:5" ht="13.5" thickTop="1" x14ac:dyDescent="0.2">
      <c r="A150" s="2204"/>
      <c r="B150" s="2204"/>
      <c r="C150" s="2204"/>
      <c r="D150" s="2193"/>
      <c r="E150" s="2266"/>
    </row>
    <row r="151" spans="1:5" x14ac:dyDescent="0.2">
      <c r="D151" s="2131" t="e">
        <f>#REF!+#REF!</f>
        <v>#REF!</v>
      </c>
    </row>
  </sheetData>
  <mergeCells count="2">
    <mergeCell ref="A18:D18"/>
    <mergeCell ref="A28:D28"/>
  </mergeCells>
  <pageMargins left="0.78740157480314965" right="0.98425196850393704" top="0.98425196850393704" bottom="0.98425196850393704" header="0.51181102362204722" footer="0.51181102362204722"/>
  <pageSetup paperSize="9" scale="70" firstPageNumber="136" orientation="portrait" useFirstPageNumber="1" r:id="rId1"/>
  <headerFooter alignWithMargins="0">
    <oddFooter xml:space="preserve">&amp;L&amp;"Arial,Kurzíva"Zastupitelstvo Olomouckého kraje 28. 6. 2013
6.- Závěrečný  účet Olomuckého kraje za rok 2012
Příloha č. 3: Plnění rozpočtu výdajů Olomouckého kraje k 31.12.2012&amp;R&amp;"Arial,Kurzíva"Strana &amp;P (Celkem 484)
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152"/>
  <sheetViews>
    <sheetView showGridLines="0" view="pageBreakPreview" topLeftCell="A2" zoomScaleNormal="100" zoomScaleSheetLayoutView="100" workbookViewId="0">
      <selection activeCell="B21" sqref="B21"/>
    </sheetView>
  </sheetViews>
  <sheetFormatPr defaultRowHeight="12.75" x14ac:dyDescent="0.2"/>
  <cols>
    <col min="1" max="1" width="4.7109375" style="2130" customWidth="1"/>
    <col min="2" max="2" width="6.7109375" style="2130" customWidth="1"/>
    <col min="3" max="3" width="8.85546875" style="2130" customWidth="1"/>
    <col min="4" max="4" width="46.42578125" style="2131" customWidth="1"/>
    <col min="5" max="5" width="12.85546875" style="2165" customWidth="1"/>
    <col min="6" max="6" width="15.5703125" style="2165" customWidth="1"/>
    <col min="7" max="7" width="15.85546875" style="2165" customWidth="1"/>
    <col min="8" max="8" width="8.5703125" style="2131" customWidth="1"/>
    <col min="9" max="9" width="14.28515625" style="2131" bestFit="1" customWidth="1"/>
    <col min="10" max="10" width="9.140625" style="2131"/>
    <col min="11" max="11" width="12.7109375" style="2131" bestFit="1" customWidth="1"/>
    <col min="12" max="12" width="11.42578125" style="2131" bestFit="1" customWidth="1"/>
    <col min="13" max="256" width="9.140625" style="2131"/>
    <col min="257" max="257" width="4.7109375" style="2131" customWidth="1"/>
    <col min="258" max="258" width="6.7109375" style="2131" customWidth="1"/>
    <col min="259" max="259" width="8.85546875" style="2131" customWidth="1"/>
    <col min="260" max="260" width="46.42578125" style="2131" customWidth="1"/>
    <col min="261" max="261" width="12.85546875" style="2131" customWidth="1"/>
    <col min="262" max="262" width="15.5703125" style="2131" customWidth="1"/>
    <col min="263" max="263" width="15.85546875" style="2131" customWidth="1"/>
    <col min="264" max="264" width="6.42578125" style="2131" customWidth="1"/>
    <col min="265" max="265" width="14.28515625" style="2131" bestFit="1" customWidth="1"/>
    <col min="266" max="266" width="9.140625" style="2131"/>
    <col min="267" max="267" width="12.7109375" style="2131" bestFit="1" customWidth="1"/>
    <col min="268" max="268" width="11.42578125" style="2131" bestFit="1" customWidth="1"/>
    <col min="269" max="512" width="9.140625" style="2131"/>
    <col min="513" max="513" width="4.7109375" style="2131" customWidth="1"/>
    <col min="514" max="514" width="6.7109375" style="2131" customWidth="1"/>
    <col min="515" max="515" width="8.85546875" style="2131" customWidth="1"/>
    <col min="516" max="516" width="46.42578125" style="2131" customWidth="1"/>
    <col min="517" max="517" width="12.85546875" style="2131" customWidth="1"/>
    <col min="518" max="518" width="15.5703125" style="2131" customWidth="1"/>
    <col min="519" max="519" width="15.85546875" style="2131" customWidth="1"/>
    <col min="520" max="520" width="6.42578125" style="2131" customWidth="1"/>
    <col min="521" max="521" width="14.28515625" style="2131" bestFit="1" customWidth="1"/>
    <col min="522" max="522" width="9.140625" style="2131"/>
    <col min="523" max="523" width="12.7109375" style="2131" bestFit="1" customWidth="1"/>
    <col min="524" max="524" width="11.42578125" style="2131" bestFit="1" customWidth="1"/>
    <col min="525" max="768" width="9.140625" style="2131"/>
    <col min="769" max="769" width="4.7109375" style="2131" customWidth="1"/>
    <col min="770" max="770" width="6.7109375" style="2131" customWidth="1"/>
    <col min="771" max="771" width="8.85546875" style="2131" customWidth="1"/>
    <col min="772" max="772" width="46.42578125" style="2131" customWidth="1"/>
    <col min="773" max="773" width="12.85546875" style="2131" customWidth="1"/>
    <col min="774" max="774" width="15.5703125" style="2131" customWidth="1"/>
    <col min="775" max="775" width="15.85546875" style="2131" customWidth="1"/>
    <col min="776" max="776" width="6.42578125" style="2131" customWidth="1"/>
    <col min="777" max="777" width="14.28515625" style="2131" bestFit="1" customWidth="1"/>
    <col min="778" max="778" width="9.140625" style="2131"/>
    <col min="779" max="779" width="12.7109375" style="2131" bestFit="1" customWidth="1"/>
    <col min="780" max="780" width="11.42578125" style="2131" bestFit="1" customWidth="1"/>
    <col min="781" max="1024" width="9.140625" style="2131"/>
    <col min="1025" max="1025" width="4.7109375" style="2131" customWidth="1"/>
    <col min="1026" max="1026" width="6.7109375" style="2131" customWidth="1"/>
    <col min="1027" max="1027" width="8.85546875" style="2131" customWidth="1"/>
    <col min="1028" max="1028" width="46.42578125" style="2131" customWidth="1"/>
    <col min="1029" max="1029" width="12.85546875" style="2131" customWidth="1"/>
    <col min="1030" max="1030" width="15.5703125" style="2131" customWidth="1"/>
    <col min="1031" max="1031" width="15.85546875" style="2131" customWidth="1"/>
    <col min="1032" max="1032" width="6.42578125" style="2131" customWidth="1"/>
    <col min="1033" max="1033" width="14.28515625" style="2131" bestFit="1" customWidth="1"/>
    <col min="1034" max="1034" width="9.140625" style="2131"/>
    <col min="1035" max="1035" width="12.7109375" style="2131" bestFit="1" customWidth="1"/>
    <col min="1036" max="1036" width="11.42578125" style="2131" bestFit="1" customWidth="1"/>
    <col min="1037" max="1280" width="9.140625" style="2131"/>
    <col min="1281" max="1281" width="4.7109375" style="2131" customWidth="1"/>
    <col min="1282" max="1282" width="6.7109375" style="2131" customWidth="1"/>
    <col min="1283" max="1283" width="8.85546875" style="2131" customWidth="1"/>
    <col min="1284" max="1284" width="46.42578125" style="2131" customWidth="1"/>
    <col min="1285" max="1285" width="12.85546875" style="2131" customWidth="1"/>
    <col min="1286" max="1286" width="15.5703125" style="2131" customWidth="1"/>
    <col min="1287" max="1287" width="15.85546875" style="2131" customWidth="1"/>
    <col min="1288" max="1288" width="6.42578125" style="2131" customWidth="1"/>
    <col min="1289" max="1289" width="14.28515625" style="2131" bestFit="1" customWidth="1"/>
    <col min="1290" max="1290" width="9.140625" style="2131"/>
    <col min="1291" max="1291" width="12.7109375" style="2131" bestFit="1" customWidth="1"/>
    <col min="1292" max="1292" width="11.42578125" style="2131" bestFit="1" customWidth="1"/>
    <col min="1293" max="1536" width="9.140625" style="2131"/>
    <col min="1537" max="1537" width="4.7109375" style="2131" customWidth="1"/>
    <col min="1538" max="1538" width="6.7109375" style="2131" customWidth="1"/>
    <col min="1539" max="1539" width="8.85546875" style="2131" customWidth="1"/>
    <col min="1540" max="1540" width="46.42578125" style="2131" customWidth="1"/>
    <col min="1541" max="1541" width="12.85546875" style="2131" customWidth="1"/>
    <col min="1542" max="1542" width="15.5703125" style="2131" customWidth="1"/>
    <col min="1543" max="1543" width="15.85546875" style="2131" customWidth="1"/>
    <col min="1544" max="1544" width="6.42578125" style="2131" customWidth="1"/>
    <col min="1545" max="1545" width="14.28515625" style="2131" bestFit="1" customWidth="1"/>
    <col min="1546" max="1546" width="9.140625" style="2131"/>
    <col min="1547" max="1547" width="12.7109375" style="2131" bestFit="1" customWidth="1"/>
    <col min="1548" max="1548" width="11.42578125" style="2131" bestFit="1" customWidth="1"/>
    <col min="1549" max="1792" width="9.140625" style="2131"/>
    <col min="1793" max="1793" width="4.7109375" style="2131" customWidth="1"/>
    <col min="1794" max="1794" width="6.7109375" style="2131" customWidth="1"/>
    <col min="1795" max="1795" width="8.85546875" style="2131" customWidth="1"/>
    <col min="1796" max="1796" width="46.42578125" style="2131" customWidth="1"/>
    <col min="1797" max="1797" width="12.85546875" style="2131" customWidth="1"/>
    <col min="1798" max="1798" width="15.5703125" style="2131" customWidth="1"/>
    <col min="1799" max="1799" width="15.85546875" style="2131" customWidth="1"/>
    <col min="1800" max="1800" width="6.42578125" style="2131" customWidth="1"/>
    <col min="1801" max="1801" width="14.28515625" style="2131" bestFit="1" customWidth="1"/>
    <col min="1802" max="1802" width="9.140625" style="2131"/>
    <col min="1803" max="1803" width="12.7109375" style="2131" bestFit="1" customWidth="1"/>
    <col min="1804" max="1804" width="11.42578125" style="2131" bestFit="1" customWidth="1"/>
    <col min="1805" max="2048" width="9.140625" style="2131"/>
    <col min="2049" max="2049" width="4.7109375" style="2131" customWidth="1"/>
    <col min="2050" max="2050" width="6.7109375" style="2131" customWidth="1"/>
    <col min="2051" max="2051" width="8.85546875" style="2131" customWidth="1"/>
    <col min="2052" max="2052" width="46.42578125" style="2131" customWidth="1"/>
    <col min="2053" max="2053" width="12.85546875" style="2131" customWidth="1"/>
    <col min="2054" max="2054" width="15.5703125" style="2131" customWidth="1"/>
    <col min="2055" max="2055" width="15.85546875" style="2131" customWidth="1"/>
    <col min="2056" max="2056" width="6.42578125" style="2131" customWidth="1"/>
    <col min="2057" max="2057" width="14.28515625" style="2131" bestFit="1" customWidth="1"/>
    <col min="2058" max="2058" width="9.140625" style="2131"/>
    <col min="2059" max="2059" width="12.7109375" style="2131" bestFit="1" customWidth="1"/>
    <col min="2060" max="2060" width="11.42578125" style="2131" bestFit="1" customWidth="1"/>
    <col min="2061" max="2304" width="9.140625" style="2131"/>
    <col min="2305" max="2305" width="4.7109375" style="2131" customWidth="1"/>
    <col min="2306" max="2306" width="6.7109375" style="2131" customWidth="1"/>
    <col min="2307" max="2307" width="8.85546875" style="2131" customWidth="1"/>
    <col min="2308" max="2308" width="46.42578125" style="2131" customWidth="1"/>
    <col min="2309" max="2309" width="12.85546875" style="2131" customWidth="1"/>
    <col min="2310" max="2310" width="15.5703125" style="2131" customWidth="1"/>
    <col min="2311" max="2311" width="15.85546875" style="2131" customWidth="1"/>
    <col min="2312" max="2312" width="6.42578125" style="2131" customWidth="1"/>
    <col min="2313" max="2313" width="14.28515625" style="2131" bestFit="1" customWidth="1"/>
    <col min="2314" max="2314" width="9.140625" style="2131"/>
    <col min="2315" max="2315" width="12.7109375" style="2131" bestFit="1" customWidth="1"/>
    <col min="2316" max="2316" width="11.42578125" style="2131" bestFit="1" customWidth="1"/>
    <col min="2317" max="2560" width="9.140625" style="2131"/>
    <col min="2561" max="2561" width="4.7109375" style="2131" customWidth="1"/>
    <col min="2562" max="2562" width="6.7109375" style="2131" customWidth="1"/>
    <col min="2563" max="2563" width="8.85546875" style="2131" customWidth="1"/>
    <col min="2564" max="2564" width="46.42578125" style="2131" customWidth="1"/>
    <col min="2565" max="2565" width="12.85546875" style="2131" customWidth="1"/>
    <col min="2566" max="2566" width="15.5703125" style="2131" customWidth="1"/>
    <col min="2567" max="2567" width="15.85546875" style="2131" customWidth="1"/>
    <col min="2568" max="2568" width="6.42578125" style="2131" customWidth="1"/>
    <col min="2569" max="2569" width="14.28515625" style="2131" bestFit="1" customWidth="1"/>
    <col min="2570" max="2570" width="9.140625" style="2131"/>
    <col min="2571" max="2571" width="12.7109375" style="2131" bestFit="1" customWidth="1"/>
    <col min="2572" max="2572" width="11.42578125" style="2131" bestFit="1" customWidth="1"/>
    <col min="2573" max="2816" width="9.140625" style="2131"/>
    <col min="2817" max="2817" width="4.7109375" style="2131" customWidth="1"/>
    <col min="2818" max="2818" width="6.7109375" style="2131" customWidth="1"/>
    <col min="2819" max="2819" width="8.85546875" style="2131" customWidth="1"/>
    <col min="2820" max="2820" width="46.42578125" style="2131" customWidth="1"/>
    <col min="2821" max="2821" width="12.85546875" style="2131" customWidth="1"/>
    <col min="2822" max="2822" width="15.5703125" style="2131" customWidth="1"/>
    <col min="2823" max="2823" width="15.85546875" style="2131" customWidth="1"/>
    <col min="2824" max="2824" width="6.42578125" style="2131" customWidth="1"/>
    <col min="2825" max="2825" width="14.28515625" style="2131" bestFit="1" customWidth="1"/>
    <col min="2826" max="2826" width="9.140625" style="2131"/>
    <col min="2827" max="2827" width="12.7109375" style="2131" bestFit="1" customWidth="1"/>
    <col min="2828" max="2828" width="11.42578125" style="2131" bestFit="1" customWidth="1"/>
    <col min="2829" max="3072" width="9.140625" style="2131"/>
    <col min="3073" max="3073" width="4.7109375" style="2131" customWidth="1"/>
    <col min="3074" max="3074" width="6.7109375" style="2131" customWidth="1"/>
    <col min="3075" max="3075" width="8.85546875" style="2131" customWidth="1"/>
    <col min="3076" max="3076" width="46.42578125" style="2131" customWidth="1"/>
    <col min="3077" max="3077" width="12.85546875" style="2131" customWidth="1"/>
    <col min="3078" max="3078" width="15.5703125" style="2131" customWidth="1"/>
    <col min="3079" max="3079" width="15.85546875" style="2131" customWidth="1"/>
    <col min="3080" max="3080" width="6.42578125" style="2131" customWidth="1"/>
    <col min="3081" max="3081" width="14.28515625" style="2131" bestFit="1" customWidth="1"/>
    <col min="3082" max="3082" width="9.140625" style="2131"/>
    <col min="3083" max="3083" width="12.7109375" style="2131" bestFit="1" customWidth="1"/>
    <col min="3084" max="3084" width="11.42578125" style="2131" bestFit="1" customWidth="1"/>
    <col min="3085" max="3328" width="9.140625" style="2131"/>
    <col min="3329" max="3329" width="4.7109375" style="2131" customWidth="1"/>
    <col min="3330" max="3330" width="6.7109375" style="2131" customWidth="1"/>
    <col min="3331" max="3331" width="8.85546875" style="2131" customWidth="1"/>
    <col min="3332" max="3332" width="46.42578125" style="2131" customWidth="1"/>
    <col min="3333" max="3333" width="12.85546875" style="2131" customWidth="1"/>
    <col min="3334" max="3334" width="15.5703125" style="2131" customWidth="1"/>
    <col min="3335" max="3335" width="15.85546875" style="2131" customWidth="1"/>
    <col min="3336" max="3336" width="6.42578125" style="2131" customWidth="1"/>
    <col min="3337" max="3337" width="14.28515625" style="2131" bestFit="1" customWidth="1"/>
    <col min="3338" max="3338" width="9.140625" style="2131"/>
    <col min="3339" max="3339" width="12.7109375" style="2131" bestFit="1" customWidth="1"/>
    <col min="3340" max="3340" width="11.42578125" style="2131" bestFit="1" customWidth="1"/>
    <col min="3341" max="3584" width="9.140625" style="2131"/>
    <col min="3585" max="3585" width="4.7109375" style="2131" customWidth="1"/>
    <col min="3586" max="3586" width="6.7109375" style="2131" customWidth="1"/>
    <col min="3587" max="3587" width="8.85546875" style="2131" customWidth="1"/>
    <col min="3588" max="3588" width="46.42578125" style="2131" customWidth="1"/>
    <col min="3589" max="3589" width="12.85546875" style="2131" customWidth="1"/>
    <col min="3590" max="3590" width="15.5703125" style="2131" customWidth="1"/>
    <col min="3591" max="3591" width="15.85546875" style="2131" customWidth="1"/>
    <col min="3592" max="3592" width="6.42578125" style="2131" customWidth="1"/>
    <col min="3593" max="3593" width="14.28515625" style="2131" bestFit="1" customWidth="1"/>
    <col min="3594" max="3594" width="9.140625" style="2131"/>
    <col min="3595" max="3595" width="12.7109375" style="2131" bestFit="1" customWidth="1"/>
    <col min="3596" max="3596" width="11.42578125" style="2131" bestFit="1" customWidth="1"/>
    <col min="3597" max="3840" width="9.140625" style="2131"/>
    <col min="3841" max="3841" width="4.7109375" style="2131" customWidth="1"/>
    <col min="3842" max="3842" width="6.7109375" style="2131" customWidth="1"/>
    <col min="3843" max="3843" width="8.85546875" style="2131" customWidth="1"/>
    <col min="3844" max="3844" width="46.42578125" style="2131" customWidth="1"/>
    <col min="3845" max="3845" width="12.85546875" style="2131" customWidth="1"/>
    <col min="3846" max="3846" width="15.5703125" style="2131" customWidth="1"/>
    <col min="3847" max="3847" width="15.85546875" style="2131" customWidth="1"/>
    <col min="3848" max="3848" width="6.42578125" style="2131" customWidth="1"/>
    <col min="3849" max="3849" width="14.28515625" style="2131" bestFit="1" customWidth="1"/>
    <col min="3850" max="3850" width="9.140625" style="2131"/>
    <col min="3851" max="3851" width="12.7109375" style="2131" bestFit="1" customWidth="1"/>
    <col min="3852" max="3852" width="11.42578125" style="2131" bestFit="1" customWidth="1"/>
    <col min="3853" max="4096" width="9.140625" style="2131"/>
    <col min="4097" max="4097" width="4.7109375" style="2131" customWidth="1"/>
    <col min="4098" max="4098" width="6.7109375" style="2131" customWidth="1"/>
    <col min="4099" max="4099" width="8.85546875" style="2131" customWidth="1"/>
    <col min="4100" max="4100" width="46.42578125" style="2131" customWidth="1"/>
    <col min="4101" max="4101" width="12.85546875" style="2131" customWidth="1"/>
    <col min="4102" max="4102" width="15.5703125" style="2131" customWidth="1"/>
    <col min="4103" max="4103" width="15.85546875" style="2131" customWidth="1"/>
    <col min="4104" max="4104" width="6.42578125" style="2131" customWidth="1"/>
    <col min="4105" max="4105" width="14.28515625" style="2131" bestFit="1" customWidth="1"/>
    <col min="4106" max="4106" width="9.140625" style="2131"/>
    <col min="4107" max="4107" width="12.7109375" style="2131" bestFit="1" customWidth="1"/>
    <col min="4108" max="4108" width="11.42578125" style="2131" bestFit="1" customWidth="1"/>
    <col min="4109" max="4352" width="9.140625" style="2131"/>
    <col min="4353" max="4353" width="4.7109375" style="2131" customWidth="1"/>
    <col min="4354" max="4354" width="6.7109375" style="2131" customWidth="1"/>
    <col min="4355" max="4355" width="8.85546875" style="2131" customWidth="1"/>
    <col min="4356" max="4356" width="46.42578125" style="2131" customWidth="1"/>
    <col min="4357" max="4357" width="12.85546875" style="2131" customWidth="1"/>
    <col min="4358" max="4358" width="15.5703125" style="2131" customWidth="1"/>
    <col min="4359" max="4359" width="15.85546875" style="2131" customWidth="1"/>
    <col min="4360" max="4360" width="6.42578125" style="2131" customWidth="1"/>
    <col min="4361" max="4361" width="14.28515625" style="2131" bestFit="1" customWidth="1"/>
    <col min="4362" max="4362" width="9.140625" style="2131"/>
    <col min="4363" max="4363" width="12.7109375" style="2131" bestFit="1" customWidth="1"/>
    <col min="4364" max="4364" width="11.42578125" style="2131" bestFit="1" customWidth="1"/>
    <col min="4365" max="4608" width="9.140625" style="2131"/>
    <col min="4609" max="4609" width="4.7109375" style="2131" customWidth="1"/>
    <col min="4610" max="4610" width="6.7109375" style="2131" customWidth="1"/>
    <col min="4611" max="4611" width="8.85546875" style="2131" customWidth="1"/>
    <col min="4612" max="4612" width="46.42578125" style="2131" customWidth="1"/>
    <col min="4613" max="4613" width="12.85546875" style="2131" customWidth="1"/>
    <col min="4614" max="4614" width="15.5703125" style="2131" customWidth="1"/>
    <col min="4615" max="4615" width="15.85546875" style="2131" customWidth="1"/>
    <col min="4616" max="4616" width="6.42578125" style="2131" customWidth="1"/>
    <col min="4617" max="4617" width="14.28515625" style="2131" bestFit="1" customWidth="1"/>
    <col min="4618" max="4618" width="9.140625" style="2131"/>
    <col min="4619" max="4619" width="12.7109375" style="2131" bestFit="1" customWidth="1"/>
    <col min="4620" max="4620" width="11.42578125" style="2131" bestFit="1" customWidth="1"/>
    <col min="4621" max="4864" width="9.140625" style="2131"/>
    <col min="4865" max="4865" width="4.7109375" style="2131" customWidth="1"/>
    <col min="4866" max="4866" width="6.7109375" style="2131" customWidth="1"/>
    <col min="4867" max="4867" width="8.85546875" style="2131" customWidth="1"/>
    <col min="4868" max="4868" width="46.42578125" style="2131" customWidth="1"/>
    <col min="4869" max="4869" width="12.85546875" style="2131" customWidth="1"/>
    <col min="4870" max="4870" width="15.5703125" style="2131" customWidth="1"/>
    <col min="4871" max="4871" width="15.85546875" style="2131" customWidth="1"/>
    <col min="4872" max="4872" width="6.42578125" style="2131" customWidth="1"/>
    <col min="4873" max="4873" width="14.28515625" style="2131" bestFit="1" customWidth="1"/>
    <col min="4874" max="4874" width="9.140625" style="2131"/>
    <col min="4875" max="4875" width="12.7109375" style="2131" bestFit="1" customWidth="1"/>
    <col min="4876" max="4876" width="11.42578125" style="2131" bestFit="1" customWidth="1"/>
    <col min="4877" max="5120" width="9.140625" style="2131"/>
    <col min="5121" max="5121" width="4.7109375" style="2131" customWidth="1"/>
    <col min="5122" max="5122" width="6.7109375" style="2131" customWidth="1"/>
    <col min="5123" max="5123" width="8.85546875" style="2131" customWidth="1"/>
    <col min="5124" max="5124" width="46.42578125" style="2131" customWidth="1"/>
    <col min="5125" max="5125" width="12.85546875" style="2131" customWidth="1"/>
    <col min="5126" max="5126" width="15.5703125" style="2131" customWidth="1"/>
    <col min="5127" max="5127" width="15.85546875" style="2131" customWidth="1"/>
    <col min="5128" max="5128" width="6.42578125" style="2131" customWidth="1"/>
    <col min="5129" max="5129" width="14.28515625" style="2131" bestFit="1" customWidth="1"/>
    <col min="5130" max="5130" width="9.140625" style="2131"/>
    <col min="5131" max="5131" width="12.7109375" style="2131" bestFit="1" customWidth="1"/>
    <col min="5132" max="5132" width="11.42578125" style="2131" bestFit="1" customWidth="1"/>
    <col min="5133" max="5376" width="9.140625" style="2131"/>
    <col min="5377" max="5377" width="4.7109375" style="2131" customWidth="1"/>
    <col min="5378" max="5378" width="6.7109375" style="2131" customWidth="1"/>
    <col min="5379" max="5379" width="8.85546875" style="2131" customWidth="1"/>
    <col min="5380" max="5380" width="46.42578125" style="2131" customWidth="1"/>
    <col min="5381" max="5381" width="12.85546875" style="2131" customWidth="1"/>
    <col min="5382" max="5382" width="15.5703125" style="2131" customWidth="1"/>
    <col min="5383" max="5383" width="15.85546875" style="2131" customWidth="1"/>
    <col min="5384" max="5384" width="6.42578125" style="2131" customWidth="1"/>
    <col min="5385" max="5385" width="14.28515625" style="2131" bestFit="1" customWidth="1"/>
    <col min="5386" max="5386" width="9.140625" style="2131"/>
    <col min="5387" max="5387" width="12.7109375" style="2131" bestFit="1" customWidth="1"/>
    <col min="5388" max="5388" width="11.42578125" style="2131" bestFit="1" customWidth="1"/>
    <col min="5389" max="5632" width="9.140625" style="2131"/>
    <col min="5633" max="5633" width="4.7109375" style="2131" customWidth="1"/>
    <col min="5634" max="5634" width="6.7109375" style="2131" customWidth="1"/>
    <col min="5635" max="5635" width="8.85546875" style="2131" customWidth="1"/>
    <col min="5636" max="5636" width="46.42578125" style="2131" customWidth="1"/>
    <col min="5637" max="5637" width="12.85546875" style="2131" customWidth="1"/>
    <col min="5638" max="5638" width="15.5703125" style="2131" customWidth="1"/>
    <col min="5639" max="5639" width="15.85546875" style="2131" customWidth="1"/>
    <col min="5640" max="5640" width="6.42578125" style="2131" customWidth="1"/>
    <col min="5641" max="5641" width="14.28515625" style="2131" bestFit="1" customWidth="1"/>
    <col min="5642" max="5642" width="9.140625" style="2131"/>
    <col min="5643" max="5643" width="12.7109375" style="2131" bestFit="1" customWidth="1"/>
    <col min="5644" max="5644" width="11.42578125" style="2131" bestFit="1" customWidth="1"/>
    <col min="5645" max="5888" width="9.140625" style="2131"/>
    <col min="5889" max="5889" width="4.7109375" style="2131" customWidth="1"/>
    <col min="5890" max="5890" width="6.7109375" style="2131" customWidth="1"/>
    <col min="5891" max="5891" width="8.85546875" style="2131" customWidth="1"/>
    <col min="5892" max="5892" width="46.42578125" style="2131" customWidth="1"/>
    <col min="5893" max="5893" width="12.85546875" style="2131" customWidth="1"/>
    <col min="5894" max="5894" width="15.5703125" style="2131" customWidth="1"/>
    <col min="5895" max="5895" width="15.85546875" style="2131" customWidth="1"/>
    <col min="5896" max="5896" width="6.42578125" style="2131" customWidth="1"/>
    <col min="5897" max="5897" width="14.28515625" style="2131" bestFit="1" customWidth="1"/>
    <col min="5898" max="5898" width="9.140625" style="2131"/>
    <col min="5899" max="5899" width="12.7109375" style="2131" bestFit="1" customWidth="1"/>
    <col min="5900" max="5900" width="11.42578125" style="2131" bestFit="1" customWidth="1"/>
    <col min="5901" max="6144" width="9.140625" style="2131"/>
    <col min="6145" max="6145" width="4.7109375" style="2131" customWidth="1"/>
    <col min="6146" max="6146" width="6.7109375" style="2131" customWidth="1"/>
    <col min="6147" max="6147" width="8.85546875" style="2131" customWidth="1"/>
    <col min="6148" max="6148" width="46.42578125" style="2131" customWidth="1"/>
    <col min="6149" max="6149" width="12.85546875" style="2131" customWidth="1"/>
    <col min="6150" max="6150" width="15.5703125" style="2131" customWidth="1"/>
    <col min="6151" max="6151" width="15.85546875" style="2131" customWidth="1"/>
    <col min="6152" max="6152" width="6.42578125" style="2131" customWidth="1"/>
    <col min="6153" max="6153" width="14.28515625" style="2131" bestFit="1" customWidth="1"/>
    <col min="6154" max="6154" width="9.140625" style="2131"/>
    <col min="6155" max="6155" width="12.7109375" style="2131" bestFit="1" customWidth="1"/>
    <col min="6156" max="6156" width="11.42578125" style="2131" bestFit="1" customWidth="1"/>
    <col min="6157" max="6400" width="9.140625" style="2131"/>
    <col min="6401" max="6401" width="4.7109375" style="2131" customWidth="1"/>
    <col min="6402" max="6402" width="6.7109375" style="2131" customWidth="1"/>
    <col min="6403" max="6403" width="8.85546875" style="2131" customWidth="1"/>
    <col min="6404" max="6404" width="46.42578125" style="2131" customWidth="1"/>
    <col min="6405" max="6405" width="12.85546875" style="2131" customWidth="1"/>
    <col min="6406" max="6406" width="15.5703125" style="2131" customWidth="1"/>
    <col min="6407" max="6407" width="15.85546875" style="2131" customWidth="1"/>
    <col min="6408" max="6408" width="6.42578125" style="2131" customWidth="1"/>
    <col min="6409" max="6409" width="14.28515625" style="2131" bestFit="1" customWidth="1"/>
    <col min="6410" max="6410" width="9.140625" style="2131"/>
    <col min="6411" max="6411" width="12.7109375" style="2131" bestFit="1" customWidth="1"/>
    <col min="6412" max="6412" width="11.42578125" style="2131" bestFit="1" customWidth="1"/>
    <col min="6413" max="6656" width="9.140625" style="2131"/>
    <col min="6657" max="6657" width="4.7109375" style="2131" customWidth="1"/>
    <col min="6658" max="6658" width="6.7109375" style="2131" customWidth="1"/>
    <col min="6659" max="6659" width="8.85546875" style="2131" customWidth="1"/>
    <col min="6660" max="6660" width="46.42578125" style="2131" customWidth="1"/>
    <col min="6661" max="6661" width="12.85546875" style="2131" customWidth="1"/>
    <col min="6662" max="6662" width="15.5703125" style="2131" customWidth="1"/>
    <col min="6663" max="6663" width="15.85546875" style="2131" customWidth="1"/>
    <col min="6664" max="6664" width="6.42578125" style="2131" customWidth="1"/>
    <col min="6665" max="6665" width="14.28515625" style="2131" bestFit="1" customWidth="1"/>
    <col min="6666" max="6666" width="9.140625" style="2131"/>
    <col min="6667" max="6667" width="12.7109375" style="2131" bestFit="1" customWidth="1"/>
    <col min="6668" max="6668" width="11.42578125" style="2131" bestFit="1" customWidth="1"/>
    <col min="6669" max="6912" width="9.140625" style="2131"/>
    <col min="6913" max="6913" width="4.7109375" style="2131" customWidth="1"/>
    <col min="6914" max="6914" width="6.7109375" style="2131" customWidth="1"/>
    <col min="6915" max="6915" width="8.85546875" style="2131" customWidth="1"/>
    <col min="6916" max="6916" width="46.42578125" style="2131" customWidth="1"/>
    <col min="6917" max="6917" width="12.85546875" style="2131" customWidth="1"/>
    <col min="6918" max="6918" width="15.5703125" style="2131" customWidth="1"/>
    <col min="6919" max="6919" width="15.85546875" style="2131" customWidth="1"/>
    <col min="6920" max="6920" width="6.42578125" style="2131" customWidth="1"/>
    <col min="6921" max="6921" width="14.28515625" style="2131" bestFit="1" customWidth="1"/>
    <col min="6922" max="6922" width="9.140625" style="2131"/>
    <col min="6923" max="6923" width="12.7109375" style="2131" bestFit="1" customWidth="1"/>
    <col min="6924" max="6924" width="11.42578125" style="2131" bestFit="1" customWidth="1"/>
    <col min="6925" max="7168" width="9.140625" style="2131"/>
    <col min="7169" max="7169" width="4.7109375" style="2131" customWidth="1"/>
    <col min="7170" max="7170" width="6.7109375" style="2131" customWidth="1"/>
    <col min="7171" max="7171" width="8.85546875" style="2131" customWidth="1"/>
    <col min="7172" max="7172" width="46.42578125" style="2131" customWidth="1"/>
    <col min="7173" max="7173" width="12.85546875" style="2131" customWidth="1"/>
    <col min="7174" max="7174" width="15.5703125" style="2131" customWidth="1"/>
    <col min="7175" max="7175" width="15.85546875" style="2131" customWidth="1"/>
    <col min="7176" max="7176" width="6.42578125" style="2131" customWidth="1"/>
    <col min="7177" max="7177" width="14.28515625" style="2131" bestFit="1" customWidth="1"/>
    <col min="7178" max="7178" width="9.140625" style="2131"/>
    <col min="7179" max="7179" width="12.7109375" style="2131" bestFit="1" customWidth="1"/>
    <col min="7180" max="7180" width="11.42578125" style="2131" bestFit="1" customWidth="1"/>
    <col min="7181" max="7424" width="9.140625" style="2131"/>
    <col min="7425" max="7425" width="4.7109375" style="2131" customWidth="1"/>
    <col min="7426" max="7426" width="6.7109375" style="2131" customWidth="1"/>
    <col min="7427" max="7427" width="8.85546875" style="2131" customWidth="1"/>
    <col min="7428" max="7428" width="46.42578125" style="2131" customWidth="1"/>
    <col min="7429" max="7429" width="12.85546875" style="2131" customWidth="1"/>
    <col min="7430" max="7430" width="15.5703125" style="2131" customWidth="1"/>
    <col min="7431" max="7431" width="15.85546875" style="2131" customWidth="1"/>
    <col min="7432" max="7432" width="6.42578125" style="2131" customWidth="1"/>
    <col min="7433" max="7433" width="14.28515625" style="2131" bestFit="1" customWidth="1"/>
    <col min="7434" max="7434" width="9.140625" style="2131"/>
    <col min="7435" max="7435" width="12.7109375" style="2131" bestFit="1" customWidth="1"/>
    <col min="7436" max="7436" width="11.42578125" style="2131" bestFit="1" customWidth="1"/>
    <col min="7437" max="7680" width="9.140625" style="2131"/>
    <col min="7681" max="7681" width="4.7109375" style="2131" customWidth="1"/>
    <col min="7682" max="7682" width="6.7109375" style="2131" customWidth="1"/>
    <col min="7683" max="7683" width="8.85546875" style="2131" customWidth="1"/>
    <col min="7684" max="7684" width="46.42578125" style="2131" customWidth="1"/>
    <col min="7685" max="7685" width="12.85546875" style="2131" customWidth="1"/>
    <col min="7686" max="7686" width="15.5703125" style="2131" customWidth="1"/>
    <col min="7687" max="7687" width="15.85546875" style="2131" customWidth="1"/>
    <col min="7688" max="7688" width="6.42578125" style="2131" customWidth="1"/>
    <col min="7689" max="7689" width="14.28515625" style="2131" bestFit="1" customWidth="1"/>
    <col min="7690" max="7690" width="9.140625" style="2131"/>
    <col min="7691" max="7691" width="12.7109375" style="2131" bestFit="1" customWidth="1"/>
    <col min="7692" max="7692" width="11.42578125" style="2131" bestFit="1" customWidth="1"/>
    <col min="7693" max="7936" width="9.140625" style="2131"/>
    <col min="7937" max="7937" width="4.7109375" style="2131" customWidth="1"/>
    <col min="7938" max="7938" width="6.7109375" style="2131" customWidth="1"/>
    <col min="7939" max="7939" width="8.85546875" style="2131" customWidth="1"/>
    <col min="7940" max="7940" width="46.42578125" style="2131" customWidth="1"/>
    <col min="7941" max="7941" width="12.85546875" style="2131" customWidth="1"/>
    <col min="7942" max="7942" width="15.5703125" style="2131" customWidth="1"/>
    <col min="7943" max="7943" width="15.85546875" style="2131" customWidth="1"/>
    <col min="7944" max="7944" width="6.42578125" style="2131" customWidth="1"/>
    <col min="7945" max="7945" width="14.28515625" style="2131" bestFit="1" customWidth="1"/>
    <col min="7946" max="7946" width="9.140625" style="2131"/>
    <col min="7947" max="7947" width="12.7109375" style="2131" bestFit="1" customWidth="1"/>
    <col min="7948" max="7948" width="11.42578125" style="2131" bestFit="1" customWidth="1"/>
    <col min="7949" max="8192" width="9.140625" style="2131"/>
    <col min="8193" max="8193" width="4.7109375" style="2131" customWidth="1"/>
    <col min="8194" max="8194" width="6.7109375" style="2131" customWidth="1"/>
    <col min="8195" max="8195" width="8.85546875" style="2131" customWidth="1"/>
    <col min="8196" max="8196" width="46.42578125" style="2131" customWidth="1"/>
    <col min="8197" max="8197" width="12.85546875" style="2131" customWidth="1"/>
    <col min="8198" max="8198" width="15.5703125" style="2131" customWidth="1"/>
    <col min="8199" max="8199" width="15.85546875" style="2131" customWidth="1"/>
    <col min="8200" max="8200" width="6.42578125" style="2131" customWidth="1"/>
    <col min="8201" max="8201" width="14.28515625" style="2131" bestFit="1" customWidth="1"/>
    <col min="8202" max="8202" width="9.140625" style="2131"/>
    <col min="8203" max="8203" width="12.7109375" style="2131" bestFit="1" customWidth="1"/>
    <col min="8204" max="8204" width="11.42578125" style="2131" bestFit="1" customWidth="1"/>
    <col min="8205" max="8448" width="9.140625" style="2131"/>
    <col min="8449" max="8449" width="4.7109375" style="2131" customWidth="1"/>
    <col min="8450" max="8450" width="6.7109375" style="2131" customWidth="1"/>
    <col min="8451" max="8451" width="8.85546875" style="2131" customWidth="1"/>
    <col min="8452" max="8452" width="46.42578125" style="2131" customWidth="1"/>
    <col min="8453" max="8453" width="12.85546875" style="2131" customWidth="1"/>
    <col min="8454" max="8454" width="15.5703125" style="2131" customWidth="1"/>
    <col min="8455" max="8455" width="15.85546875" style="2131" customWidth="1"/>
    <col min="8456" max="8456" width="6.42578125" style="2131" customWidth="1"/>
    <col min="8457" max="8457" width="14.28515625" style="2131" bestFit="1" customWidth="1"/>
    <col min="8458" max="8458" width="9.140625" style="2131"/>
    <col min="8459" max="8459" width="12.7109375" style="2131" bestFit="1" customWidth="1"/>
    <col min="8460" max="8460" width="11.42578125" style="2131" bestFit="1" customWidth="1"/>
    <col min="8461" max="8704" width="9.140625" style="2131"/>
    <col min="8705" max="8705" width="4.7109375" style="2131" customWidth="1"/>
    <col min="8706" max="8706" width="6.7109375" style="2131" customWidth="1"/>
    <col min="8707" max="8707" width="8.85546875" style="2131" customWidth="1"/>
    <col min="8708" max="8708" width="46.42578125" style="2131" customWidth="1"/>
    <col min="8709" max="8709" width="12.85546875" style="2131" customWidth="1"/>
    <col min="8710" max="8710" width="15.5703125" style="2131" customWidth="1"/>
    <col min="8711" max="8711" width="15.85546875" style="2131" customWidth="1"/>
    <col min="8712" max="8712" width="6.42578125" style="2131" customWidth="1"/>
    <col min="8713" max="8713" width="14.28515625" style="2131" bestFit="1" customWidth="1"/>
    <col min="8714" max="8714" width="9.140625" style="2131"/>
    <col min="8715" max="8715" width="12.7109375" style="2131" bestFit="1" customWidth="1"/>
    <col min="8716" max="8716" width="11.42578125" style="2131" bestFit="1" customWidth="1"/>
    <col min="8717" max="8960" width="9.140625" style="2131"/>
    <col min="8961" max="8961" width="4.7109375" style="2131" customWidth="1"/>
    <col min="8962" max="8962" width="6.7109375" style="2131" customWidth="1"/>
    <col min="8963" max="8963" width="8.85546875" style="2131" customWidth="1"/>
    <col min="8964" max="8964" width="46.42578125" style="2131" customWidth="1"/>
    <col min="8965" max="8965" width="12.85546875" style="2131" customWidth="1"/>
    <col min="8966" max="8966" width="15.5703125" style="2131" customWidth="1"/>
    <col min="8967" max="8967" width="15.85546875" style="2131" customWidth="1"/>
    <col min="8968" max="8968" width="6.42578125" style="2131" customWidth="1"/>
    <col min="8969" max="8969" width="14.28515625" style="2131" bestFit="1" customWidth="1"/>
    <col min="8970" max="8970" width="9.140625" style="2131"/>
    <col min="8971" max="8971" width="12.7109375" style="2131" bestFit="1" customWidth="1"/>
    <col min="8972" max="8972" width="11.42578125" style="2131" bestFit="1" customWidth="1"/>
    <col min="8973" max="9216" width="9.140625" style="2131"/>
    <col min="9217" max="9217" width="4.7109375" style="2131" customWidth="1"/>
    <col min="9218" max="9218" width="6.7109375" style="2131" customWidth="1"/>
    <col min="9219" max="9219" width="8.85546875" style="2131" customWidth="1"/>
    <col min="9220" max="9220" width="46.42578125" style="2131" customWidth="1"/>
    <col min="9221" max="9221" width="12.85546875" style="2131" customWidth="1"/>
    <col min="9222" max="9222" width="15.5703125" style="2131" customWidth="1"/>
    <col min="9223" max="9223" width="15.85546875" style="2131" customWidth="1"/>
    <col min="9224" max="9224" width="6.42578125" style="2131" customWidth="1"/>
    <col min="9225" max="9225" width="14.28515625" style="2131" bestFit="1" customWidth="1"/>
    <col min="9226" max="9226" width="9.140625" style="2131"/>
    <col min="9227" max="9227" width="12.7109375" style="2131" bestFit="1" customWidth="1"/>
    <col min="9228" max="9228" width="11.42578125" style="2131" bestFit="1" customWidth="1"/>
    <col min="9229" max="9472" width="9.140625" style="2131"/>
    <col min="9473" max="9473" width="4.7109375" style="2131" customWidth="1"/>
    <col min="9474" max="9474" width="6.7109375" style="2131" customWidth="1"/>
    <col min="9475" max="9475" width="8.85546875" style="2131" customWidth="1"/>
    <col min="9476" max="9476" width="46.42578125" style="2131" customWidth="1"/>
    <col min="9477" max="9477" width="12.85546875" style="2131" customWidth="1"/>
    <col min="9478" max="9478" width="15.5703125" style="2131" customWidth="1"/>
    <col min="9479" max="9479" width="15.85546875" style="2131" customWidth="1"/>
    <col min="9480" max="9480" width="6.42578125" style="2131" customWidth="1"/>
    <col min="9481" max="9481" width="14.28515625" style="2131" bestFit="1" customWidth="1"/>
    <col min="9482" max="9482" width="9.140625" style="2131"/>
    <col min="9483" max="9483" width="12.7109375" style="2131" bestFit="1" customWidth="1"/>
    <col min="9484" max="9484" width="11.42578125" style="2131" bestFit="1" customWidth="1"/>
    <col min="9485" max="9728" width="9.140625" style="2131"/>
    <col min="9729" max="9729" width="4.7109375" style="2131" customWidth="1"/>
    <col min="9730" max="9730" width="6.7109375" style="2131" customWidth="1"/>
    <col min="9731" max="9731" width="8.85546875" style="2131" customWidth="1"/>
    <col min="9732" max="9732" width="46.42578125" style="2131" customWidth="1"/>
    <col min="9733" max="9733" width="12.85546875" style="2131" customWidth="1"/>
    <col min="9734" max="9734" width="15.5703125" style="2131" customWidth="1"/>
    <col min="9735" max="9735" width="15.85546875" style="2131" customWidth="1"/>
    <col min="9736" max="9736" width="6.42578125" style="2131" customWidth="1"/>
    <col min="9737" max="9737" width="14.28515625" style="2131" bestFit="1" customWidth="1"/>
    <col min="9738" max="9738" width="9.140625" style="2131"/>
    <col min="9739" max="9739" width="12.7109375" style="2131" bestFit="1" customWidth="1"/>
    <col min="9740" max="9740" width="11.42578125" style="2131" bestFit="1" customWidth="1"/>
    <col min="9741" max="9984" width="9.140625" style="2131"/>
    <col min="9985" max="9985" width="4.7109375" style="2131" customWidth="1"/>
    <col min="9986" max="9986" width="6.7109375" style="2131" customWidth="1"/>
    <col min="9987" max="9987" width="8.85546875" style="2131" customWidth="1"/>
    <col min="9988" max="9988" width="46.42578125" style="2131" customWidth="1"/>
    <col min="9989" max="9989" width="12.85546875" style="2131" customWidth="1"/>
    <col min="9990" max="9990" width="15.5703125" style="2131" customWidth="1"/>
    <col min="9991" max="9991" width="15.85546875" style="2131" customWidth="1"/>
    <col min="9992" max="9992" width="6.42578125" style="2131" customWidth="1"/>
    <col min="9993" max="9993" width="14.28515625" style="2131" bestFit="1" customWidth="1"/>
    <col min="9994" max="9994" width="9.140625" style="2131"/>
    <col min="9995" max="9995" width="12.7109375" style="2131" bestFit="1" customWidth="1"/>
    <col min="9996" max="9996" width="11.42578125" style="2131" bestFit="1" customWidth="1"/>
    <col min="9997" max="10240" width="9.140625" style="2131"/>
    <col min="10241" max="10241" width="4.7109375" style="2131" customWidth="1"/>
    <col min="10242" max="10242" width="6.7109375" style="2131" customWidth="1"/>
    <col min="10243" max="10243" width="8.85546875" style="2131" customWidth="1"/>
    <col min="10244" max="10244" width="46.42578125" style="2131" customWidth="1"/>
    <col min="10245" max="10245" width="12.85546875" style="2131" customWidth="1"/>
    <col min="10246" max="10246" width="15.5703125" style="2131" customWidth="1"/>
    <col min="10247" max="10247" width="15.85546875" style="2131" customWidth="1"/>
    <col min="10248" max="10248" width="6.42578125" style="2131" customWidth="1"/>
    <col min="10249" max="10249" width="14.28515625" style="2131" bestFit="1" customWidth="1"/>
    <col min="10250" max="10250" width="9.140625" style="2131"/>
    <col min="10251" max="10251" width="12.7109375" style="2131" bestFit="1" customWidth="1"/>
    <col min="10252" max="10252" width="11.42578125" style="2131" bestFit="1" customWidth="1"/>
    <col min="10253" max="10496" width="9.140625" style="2131"/>
    <col min="10497" max="10497" width="4.7109375" style="2131" customWidth="1"/>
    <col min="10498" max="10498" width="6.7109375" style="2131" customWidth="1"/>
    <col min="10499" max="10499" width="8.85546875" style="2131" customWidth="1"/>
    <col min="10500" max="10500" width="46.42578125" style="2131" customWidth="1"/>
    <col min="10501" max="10501" width="12.85546875" style="2131" customWidth="1"/>
    <col min="10502" max="10502" width="15.5703125" style="2131" customWidth="1"/>
    <col min="10503" max="10503" width="15.85546875" style="2131" customWidth="1"/>
    <col min="10504" max="10504" width="6.42578125" style="2131" customWidth="1"/>
    <col min="10505" max="10505" width="14.28515625" style="2131" bestFit="1" customWidth="1"/>
    <col min="10506" max="10506" width="9.140625" style="2131"/>
    <col min="10507" max="10507" width="12.7109375" style="2131" bestFit="1" customWidth="1"/>
    <col min="10508" max="10508" width="11.42578125" style="2131" bestFit="1" customWidth="1"/>
    <col min="10509" max="10752" width="9.140625" style="2131"/>
    <col min="10753" max="10753" width="4.7109375" style="2131" customWidth="1"/>
    <col min="10754" max="10754" width="6.7109375" style="2131" customWidth="1"/>
    <col min="10755" max="10755" width="8.85546875" style="2131" customWidth="1"/>
    <col min="10756" max="10756" width="46.42578125" style="2131" customWidth="1"/>
    <col min="10757" max="10757" width="12.85546875" style="2131" customWidth="1"/>
    <col min="10758" max="10758" width="15.5703125" style="2131" customWidth="1"/>
    <col min="10759" max="10759" width="15.85546875" style="2131" customWidth="1"/>
    <col min="10760" max="10760" width="6.42578125" style="2131" customWidth="1"/>
    <col min="10761" max="10761" width="14.28515625" style="2131" bestFit="1" customWidth="1"/>
    <col min="10762" max="10762" width="9.140625" style="2131"/>
    <col min="10763" max="10763" width="12.7109375" style="2131" bestFit="1" customWidth="1"/>
    <col min="10764" max="10764" width="11.42578125" style="2131" bestFit="1" customWidth="1"/>
    <col min="10765" max="11008" width="9.140625" style="2131"/>
    <col min="11009" max="11009" width="4.7109375" style="2131" customWidth="1"/>
    <col min="11010" max="11010" width="6.7109375" style="2131" customWidth="1"/>
    <col min="11011" max="11011" width="8.85546875" style="2131" customWidth="1"/>
    <col min="11012" max="11012" width="46.42578125" style="2131" customWidth="1"/>
    <col min="11013" max="11013" width="12.85546875" style="2131" customWidth="1"/>
    <col min="11014" max="11014" width="15.5703125" style="2131" customWidth="1"/>
    <col min="11015" max="11015" width="15.85546875" style="2131" customWidth="1"/>
    <col min="11016" max="11016" width="6.42578125" style="2131" customWidth="1"/>
    <col min="11017" max="11017" width="14.28515625" style="2131" bestFit="1" customWidth="1"/>
    <col min="11018" max="11018" width="9.140625" style="2131"/>
    <col min="11019" max="11019" width="12.7109375" style="2131" bestFit="1" customWidth="1"/>
    <col min="11020" max="11020" width="11.42578125" style="2131" bestFit="1" customWidth="1"/>
    <col min="11021" max="11264" width="9.140625" style="2131"/>
    <col min="11265" max="11265" width="4.7109375" style="2131" customWidth="1"/>
    <col min="11266" max="11266" width="6.7109375" style="2131" customWidth="1"/>
    <col min="11267" max="11267" width="8.85546875" style="2131" customWidth="1"/>
    <col min="11268" max="11268" width="46.42578125" style="2131" customWidth="1"/>
    <col min="11269" max="11269" width="12.85546875" style="2131" customWidth="1"/>
    <col min="11270" max="11270" width="15.5703125" style="2131" customWidth="1"/>
    <col min="11271" max="11271" width="15.85546875" style="2131" customWidth="1"/>
    <col min="11272" max="11272" width="6.42578125" style="2131" customWidth="1"/>
    <col min="11273" max="11273" width="14.28515625" style="2131" bestFit="1" customWidth="1"/>
    <col min="11274" max="11274" width="9.140625" style="2131"/>
    <col min="11275" max="11275" width="12.7109375" style="2131" bestFit="1" customWidth="1"/>
    <col min="11276" max="11276" width="11.42578125" style="2131" bestFit="1" customWidth="1"/>
    <col min="11277" max="11520" width="9.140625" style="2131"/>
    <col min="11521" max="11521" width="4.7109375" style="2131" customWidth="1"/>
    <col min="11522" max="11522" width="6.7109375" style="2131" customWidth="1"/>
    <col min="11523" max="11523" width="8.85546875" style="2131" customWidth="1"/>
    <col min="11524" max="11524" width="46.42578125" style="2131" customWidth="1"/>
    <col min="11525" max="11525" width="12.85546875" style="2131" customWidth="1"/>
    <col min="11526" max="11526" width="15.5703125" style="2131" customWidth="1"/>
    <col min="11527" max="11527" width="15.85546875" style="2131" customWidth="1"/>
    <col min="11528" max="11528" width="6.42578125" style="2131" customWidth="1"/>
    <col min="11529" max="11529" width="14.28515625" style="2131" bestFit="1" customWidth="1"/>
    <col min="11530" max="11530" width="9.140625" style="2131"/>
    <col min="11531" max="11531" width="12.7109375" style="2131" bestFit="1" customWidth="1"/>
    <col min="11532" max="11532" width="11.42578125" style="2131" bestFit="1" customWidth="1"/>
    <col min="11533" max="11776" width="9.140625" style="2131"/>
    <col min="11777" max="11777" width="4.7109375" style="2131" customWidth="1"/>
    <col min="11778" max="11778" width="6.7109375" style="2131" customWidth="1"/>
    <col min="11779" max="11779" width="8.85546875" style="2131" customWidth="1"/>
    <col min="11780" max="11780" width="46.42578125" style="2131" customWidth="1"/>
    <col min="11781" max="11781" width="12.85546875" style="2131" customWidth="1"/>
    <col min="11782" max="11782" width="15.5703125" style="2131" customWidth="1"/>
    <col min="11783" max="11783" width="15.85546875" style="2131" customWidth="1"/>
    <col min="11784" max="11784" width="6.42578125" style="2131" customWidth="1"/>
    <col min="11785" max="11785" width="14.28515625" style="2131" bestFit="1" customWidth="1"/>
    <col min="11786" max="11786" width="9.140625" style="2131"/>
    <col min="11787" max="11787" width="12.7109375" style="2131" bestFit="1" customWidth="1"/>
    <col min="11788" max="11788" width="11.42578125" style="2131" bestFit="1" customWidth="1"/>
    <col min="11789" max="12032" width="9.140625" style="2131"/>
    <col min="12033" max="12033" width="4.7109375" style="2131" customWidth="1"/>
    <col min="12034" max="12034" width="6.7109375" style="2131" customWidth="1"/>
    <col min="12035" max="12035" width="8.85546875" style="2131" customWidth="1"/>
    <col min="12036" max="12036" width="46.42578125" style="2131" customWidth="1"/>
    <col min="12037" max="12037" width="12.85546875" style="2131" customWidth="1"/>
    <col min="12038" max="12038" width="15.5703125" style="2131" customWidth="1"/>
    <col min="12039" max="12039" width="15.85546875" style="2131" customWidth="1"/>
    <col min="12040" max="12040" width="6.42578125" style="2131" customWidth="1"/>
    <col min="12041" max="12041" width="14.28515625" style="2131" bestFit="1" customWidth="1"/>
    <col min="12042" max="12042" width="9.140625" style="2131"/>
    <col min="12043" max="12043" width="12.7109375" style="2131" bestFit="1" customWidth="1"/>
    <col min="12044" max="12044" width="11.42578125" style="2131" bestFit="1" customWidth="1"/>
    <col min="12045" max="12288" width="9.140625" style="2131"/>
    <col min="12289" max="12289" width="4.7109375" style="2131" customWidth="1"/>
    <col min="12290" max="12290" width="6.7109375" style="2131" customWidth="1"/>
    <col min="12291" max="12291" width="8.85546875" style="2131" customWidth="1"/>
    <col min="12292" max="12292" width="46.42578125" style="2131" customWidth="1"/>
    <col min="12293" max="12293" width="12.85546875" style="2131" customWidth="1"/>
    <col min="12294" max="12294" width="15.5703125" style="2131" customWidth="1"/>
    <col min="12295" max="12295" width="15.85546875" style="2131" customWidth="1"/>
    <col min="12296" max="12296" width="6.42578125" style="2131" customWidth="1"/>
    <col min="12297" max="12297" width="14.28515625" style="2131" bestFit="1" customWidth="1"/>
    <col min="12298" max="12298" width="9.140625" style="2131"/>
    <col min="12299" max="12299" width="12.7109375" style="2131" bestFit="1" customWidth="1"/>
    <col min="12300" max="12300" width="11.42578125" style="2131" bestFit="1" customWidth="1"/>
    <col min="12301" max="12544" width="9.140625" style="2131"/>
    <col min="12545" max="12545" width="4.7109375" style="2131" customWidth="1"/>
    <col min="12546" max="12546" width="6.7109375" style="2131" customWidth="1"/>
    <col min="12547" max="12547" width="8.85546875" style="2131" customWidth="1"/>
    <col min="12548" max="12548" width="46.42578125" style="2131" customWidth="1"/>
    <col min="12549" max="12549" width="12.85546875" style="2131" customWidth="1"/>
    <col min="12550" max="12550" width="15.5703125" style="2131" customWidth="1"/>
    <col min="12551" max="12551" width="15.85546875" style="2131" customWidth="1"/>
    <col min="12552" max="12552" width="6.42578125" style="2131" customWidth="1"/>
    <col min="12553" max="12553" width="14.28515625" style="2131" bestFit="1" customWidth="1"/>
    <col min="12554" max="12554" width="9.140625" style="2131"/>
    <col min="12555" max="12555" width="12.7109375" style="2131" bestFit="1" customWidth="1"/>
    <col min="12556" max="12556" width="11.42578125" style="2131" bestFit="1" customWidth="1"/>
    <col min="12557" max="12800" width="9.140625" style="2131"/>
    <col min="12801" max="12801" width="4.7109375" style="2131" customWidth="1"/>
    <col min="12802" max="12802" width="6.7109375" style="2131" customWidth="1"/>
    <col min="12803" max="12803" width="8.85546875" style="2131" customWidth="1"/>
    <col min="12804" max="12804" width="46.42578125" style="2131" customWidth="1"/>
    <col min="12805" max="12805" width="12.85546875" style="2131" customWidth="1"/>
    <col min="12806" max="12806" width="15.5703125" style="2131" customWidth="1"/>
    <col min="12807" max="12807" width="15.85546875" style="2131" customWidth="1"/>
    <col min="12808" max="12808" width="6.42578125" style="2131" customWidth="1"/>
    <col min="12809" max="12809" width="14.28515625" style="2131" bestFit="1" customWidth="1"/>
    <col min="12810" max="12810" width="9.140625" style="2131"/>
    <col min="12811" max="12811" width="12.7109375" style="2131" bestFit="1" customWidth="1"/>
    <col min="12812" max="12812" width="11.42578125" style="2131" bestFit="1" customWidth="1"/>
    <col min="12813" max="13056" width="9.140625" style="2131"/>
    <col min="13057" max="13057" width="4.7109375" style="2131" customWidth="1"/>
    <col min="13058" max="13058" width="6.7109375" style="2131" customWidth="1"/>
    <col min="13059" max="13059" width="8.85546875" style="2131" customWidth="1"/>
    <col min="13060" max="13060" width="46.42578125" style="2131" customWidth="1"/>
    <col min="13061" max="13061" width="12.85546875" style="2131" customWidth="1"/>
    <col min="13062" max="13062" width="15.5703125" style="2131" customWidth="1"/>
    <col min="13063" max="13063" width="15.85546875" style="2131" customWidth="1"/>
    <col min="13064" max="13064" width="6.42578125" style="2131" customWidth="1"/>
    <col min="13065" max="13065" width="14.28515625" style="2131" bestFit="1" customWidth="1"/>
    <col min="13066" max="13066" width="9.140625" style="2131"/>
    <col min="13067" max="13067" width="12.7109375" style="2131" bestFit="1" customWidth="1"/>
    <col min="13068" max="13068" width="11.42578125" style="2131" bestFit="1" customWidth="1"/>
    <col min="13069" max="13312" width="9.140625" style="2131"/>
    <col min="13313" max="13313" width="4.7109375" style="2131" customWidth="1"/>
    <col min="13314" max="13314" width="6.7109375" style="2131" customWidth="1"/>
    <col min="13315" max="13315" width="8.85546875" style="2131" customWidth="1"/>
    <col min="13316" max="13316" width="46.42578125" style="2131" customWidth="1"/>
    <col min="13317" max="13317" width="12.85546875" style="2131" customWidth="1"/>
    <col min="13318" max="13318" width="15.5703125" style="2131" customWidth="1"/>
    <col min="13319" max="13319" width="15.85546875" style="2131" customWidth="1"/>
    <col min="13320" max="13320" width="6.42578125" style="2131" customWidth="1"/>
    <col min="13321" max="13321" width="14.28515625" style="2131" bestFit="1" customWidth="1"/>
    <col min="13322" max="13322" width="9.140625" style="2131"/>
    <col min="13323" max="13323" width="12.7109375" style="2131" bestFit="1" customWidth="1"/>
    <col min="13324" max="13324" width="11.42578125" style="2131" bestFit="1" customWidth="1"/>
    <col min="13325" max="13568" width="9.140625" style="2131"/>
    <col min="13569" max="13569" width="4.7109375" style="2131" customWidth="1"/>
    <col min="13570" max="13570" width="6.7109375" style="2131" customWidth="1"/>
    <col min="13571" max="13571" width="8.85546875" style="2131" customWidth="1"/>
    <col min="13572" max="13572" width="46.42578125" style="2131" customWidth="1"/>
    <col min="13573" max="13573" width="12.85546875" style="2131" customWidth="1"/>
    <col min="13574" max="13574" width="15.5703125" style="2131" customWidth="1"/>
    <col min="13575" max="13575" width="15.85546875" style="2131" customWidth="1"/>
    <col min="13576" max="13576" width="6.42578125" style="2131" customWidth="1"/>
    <col min="13577" max="13577" width="14.28515625" style="2131" bestFit="1" customWidth="1"/>
    <col min="13578" max="13578" width="9.140625" style="2131"/>
    <col min="13579" max="13579" width="12.7109375" style="2131" bestFit="1" customWidth="1"/>
    <col min="13580" max="13580" width="11.42578125" style="2131" bestFit="1" customWidth="1"/>
    <col min="13581" max="13824" width="9.140625" style="2131"/>
    <col min="13825" max="13825" width="4.7109375" style="2131" customWidth="1"/>
    <col min="13826" max="13826" width="6.7109375" style="2131" customWidth="1"/>
    <col min="13827" max="13827" width="8.85546875" style="2131" customWidth="1"/>
    <col min="13828" max="13828" width="46.42578125" style="2131" customWidth="1"/>
    <col min="13829" max="13829" width="12.85546875" style="2131" customWidth="1"/>
    <col min="13830" max="13830" width="15.5703125" style="2131" customWidth="1"/>
    <col min="13831" max="13831" width="15.85546875" style="2131" customWidth="1"/>
    <col min="13832" max="13832" width="6.42578125" style="2131" customWidth="1"/>
    <col min="13833" max="13833" width="14.28515625" style="2131" bestFit="1" customWidth="1"/>
    <col min="13834" max="13834" width="9.140625" style="2131"/>
    <col min="13835" max="13835" width="12.7109375" style="2131" bestFit="1" customWidth="1"/>
    <col min="13836" max="13836" width="11.42578125" style="2131" bestFit="1" customWidth="1"/>
    <col min="13837" max="14080" width="9.140625" style="2131"/>
    <col min="14081" max="14081" width="4.7109375" style="2131" customWidth="1"/>
    <col min="14082" max="14082" width="6.7109375" style="2131" customWidth="1"/>
    <col min="14083" max="14083" width="8.85546875" style="2131" customWidth="1"/>
    <col min="14084" max="14084" width="46.42578125" style="2131" customWidth="1"/>
    <col min="14085" max="14085" width="12.85546875" style="2131" customWidth="1"/>
    <col min="14086" max="14086" width="15.5703125" style="2131" customWidth="1"/>
    <col min="14087" max="14087" width="15.85546875" style="2131" customWidth="1"/>
    <col min="14088" max="14088" width="6.42578125" style="2131" customWidth="1"/>
    <col min="14089" max="14089" width="14.28515625" style="2131" bestFit="1" customWidth="1"/>
    <col min="14090" max="14090" width="9.140625" style="2131"/>
    <col min="14091" max="14091" width="12.7109375" style="2131" bestFit="1" customWidth="1"/>
    <col min="14092" max="14092" width="11.42578125" style="2131" bestFit="1" customWidth="1"/>
    <col min="14093" max="14336" width="9.140625" style="2131"/>
    <col min="14337" max="14337" width="4.7109375" style="2131" customWidth="1"/>
    <col min="14338" max="14338" width="6.7109375" style="2131" customWidth="1"/>
    <col min="14339" max="14339" width="8.85546875" style="2131" customWidth="1"/>
    <col min="14340" max="14340" width="46.42578125" style="2131" customWidth="1"/>
    <col min="14341" max="14341" width="12.85546875" style="2131" customWidth="1"/>
    <col min="14342" max="14342" width="15.5703125" style="2131" customWidth="1"/>
    <col min="14343" max="14343" width="15.85546875" style="2131" customWidth="1"/>
    <col min="14344" max="14344" width="6.42578125" style="2131" customWidth="1"/>
    <col min="14345" max="14345" width="14.28515625" style="2131" bestFit="1" customWidth="1"/>
    <col min="14346" max="14346" width="9.140625" style="2131"/>
    <col min="14347" max="14347" width="12.7109375" style="2131" bestFit="1" customWidth="1"/>
    <col min="14348" max="14348" width="11.42578125" style="2131" bestFit="1" customWidth="1"/>
    <col min="14349" max="14592" width="9.140625" style="2131"/>
    <col min="14593" max="14593" width="4.7109375" style="2131" customWidth="1"/>
    <col min="14594" max="14594" width="6.7109375" style="2131" customWidth="1"/>
    <col min="14595" max="14595" width="8.85546875" style="2131" customWidth="1"/>
    <col min="14596" max="14596" width="46.42578125" style="2131" customWidth="1"/>
    <col min="14597" max="14597" width="12.85546875" style="2131" customWidth="1"/>
    <col min="14598" max="14598" width="15.5703125" style="2131" customWidth="1"/>
    <col min="14599" max="14599" width="15.85546875" style="2131" customWidth="1"/>
    <col min="14600" max="14600" width="6.42578125" style="2131" customWidth="1"/>
    <col min="14601" max="14601" width="14.28515625" style="2131" bestFit="1" customWidth="1"/>
    <col min="14602" max="14602" width="9.140625" style="2131"/>
    <col min="14603" max="14603" width="12.7109375" style="2131" bestFit="1" customWidth="1"/>
    <col min="14604" max="14604" width="11.42578125" style="2131" bestFit="1" customWidth="1"/>
    <col min="14605" max="14848" width="9.140625" style="2131"/>
    <col min="14849" max="14849" width="4.7109375" style="2131" customWidth="1"/>
    <col min="14850" max="14850" width="6.7109375" style="2131" customWidth="1"/>
    <col min="14851" max="14851" width="8.85546875" style="2131" customWidth="1"/>
    <col min="14852" max="14852" width="46.42578125" style="2131" customWidth="1"/>
    <col min="14853" max="14853" width="12.85546875" style="2131" customWidth="1"/>
    <col min="14854" max="14854" width="15.5703125" style="2131" customWidth="1"/>
    <col min="14855" max="14855" width="15.85546875" style="2131" customWidth="1"/>
    <col min="14856" max="14856" width="6.42578125" style="2131" customWidth="1"/>
    <col min="14857" max="14857" width="14.28515625" style="2131" bestFit="1" customWidth="1"/>
    <col min="14858" max="14858" width="9.140625" style="2131"/>
    <col min="14859" max="14859" width="12.7109375" style="2131" bestFit="1" customWidth="1"/>
    <col min="14860" max="14860" width="11.42578125" style="2131" bestFit="1" customWidth="1"/>
    <col min="14861" max="15104" width="9.140625" style="2131"/>
    <col min="15105" max="15105" width="4.7109375" style="2131" customWidth="1"/>
    <col min="15106" max="15106" width="6.7109375" style="2131" customWidth="1"/>
    <col min="15107" max="15107" width="8.85546875" style="2131" customWidth="1"/>
    <col min="15108" max="15108" width="46.42578125" style="2131" customWidth="1"/>
    <col min="15109" max="15109" width="12.85546875" style="2131" customWidth="1"/>
    <col min="15110" max="15110" width="15.5703125" style="2131" customWidth="1"/>
    <col min="15111" max="15111" width="15.85546875" style="2131" customWidth="1"/>
    <col min="15112" max="15112" width="6.42578125" style="2131" customWidth="1"/>
    <col min="15113" max="15113" width="14.28515625" style="2131" bestFit="1" customWidth="1"/>
    <col min="15114" max="15114" width="9.140625" style="2131"/>
    <col min="15115" max="15115" width="12.7109375" style="2131" bestFit="1" customWidth="1"/>
    <col min="15116" max="15116" width="11.42578125" style="2131" bestFit="1" customWidth="1"/>
    <col min="15117" max="15360" width="9.140625" style="2131"/>
    <col min="15361" max="15361" width="4.7109375" style="2131" customWidth="1"/>
    <col min="15362" max="15362" width="6.7109375" style="2131" customWidth="1"/>
    <col min="15363" max="15363" width="8.85546875" style="2131" customWidth="1"/>
    <col min="15364" max="15364" width="46.42578125" style="2131" customWidth="1"/>
    <col min="15365" max="15365" width="12.85546875" style="2131" customWidth="1"/>
    <col min="15366" max="15366" width="15.5703125" style="2131" customWidth="1"/>
    <col min="15367" max="15367" width="15.85546875" style="2131" customWidth="1"/>
    <col min="15368" max="15368" width="6.42578125" style="2131" customWidth="1"/>
    <col min="15369" max="15369" width="14.28515625" style="2131" bestFit="1" customWidth="1"/>
    <col min="15370" max="15370" width="9.140625" style="2131"/>
    <col min="15371" max="15371" width="12.7109375" style="2131" bestFit="1" customWidth="1"/>
    <col min="15372" max="15372" width="11.42578125" style="2131" bestFit="1" customWidth="1"/>
    <col min="15373" max="15616" width="9.140625" style="2131"/>
    <col min="15617" max="15617" width="4.7109375" style="2131" customWidth="1"/>
    <col min="15618" max="15618" width="6.7109375" style="2131" customWidth="1"/>
    <col min="15619" max="15619" width="8.85546875" style="2131" customWidth="1"/>
    <col min="15620" max="15620" width="46.42578125" style="2131" customWidth="1"/>
    <col min="15621" max="15621" width="12.85546875" style="2131" customWidth="1"/>
    <col min="15622" max="15622" width="15.5703125" style="2131" customWidth="1"/>
    <col min="15623" max="15623" width="15.85546875" style="2131" customWidth="1"/>
    <col min="15624" max="15624" width="6.42578125" style="2131" customWidth="1"/>
    <col min="15625" max="15625" width="14.28515625" style="2131" bestFit="1" customWidth="1"/>
    <col min="15626" max="15626" width="9.140625" style="2131"/>
    <col min="15627" max="15627" width="12.7109375" style="2131" bestFit="1" customWidth="1"/>
    <col min="15628" max="15628" width="11.42578125" style="2131" bestFit="1" customWidth="1"/>
    <col min="15629" max="15872" width="9.140625" style="2131"/>
    <col min="15873" max="15873" width="4.7109375" style="2131" customWidth="1"/>
    <col min="15874" max="15874" width="6.7109375" style="2131" customWidth="1"/>
    <col min="15875" max="15875" width="8.85546875" style="2131" customWidth="1"/>
    <col min="15876" max="15876" width="46.42578125" style="2131" customWidth="1"/>
    <col min="15877" max="15877" width="12.85546875" style="2131" customWidth="1"/>
    <col min="15878" max="15878" width="15.5703125" style="2131" customWidth="1"/>
    <col min="15879" max="15879" width="15.85546875" style="2131" customWidth="1"/>
    <col min="15880" max="15880" width="6.42578125" style="2131" customWidth="1"/>
    <col min="15881" max="15881" width="14.28515625" style="2131" bestFit="1" customWidth="1"/>
    <col min="15882" max="15882" width="9.140625" style="2131"/>
    <col min="15883" max="15883" width="12.7109375" style="2131" bestFit="1" customWidth="1"/>
    <col min="15884" max="15884" width="11.42578125" style="2131" bestFit="1" customWidth="1"/>
    <col min="15885" max="16128" width="9.140625" style="2131"/>
    <col min="16129" max="16129" width="4.7109375" style="2131" customWidth="1"/>
    <col min="16130" max="16130" width="6.7109375" style="2131" customWidth="1"/>
    <col min="16131" max="16131" width="8.85546875" style="2131" customWidth="1"/>
    <col min="16132" max="16132" width="46.42578125" style="2131" customWidth="1"/>
    <col min="16133" max="16133" width="12.85546875" style="2131" customWidth="1"/>
    <col min="16134" max="16134" width="15.5703125" style="2131" customWidth="1"/>
    <col min="16135" max="16135" width="15.85546875" style="2131" customWidth="1"/>
    <col min="16136" max="16136" width="6.42578125" style="2131" customWidth="1"/>
    <col min="16137" max="16137" width="14.28515625" style="2131" bestFit="1" customWidth="1"/>
    <col min="16138" max="16138" width="9.140625" style="2131"/>
    <col min="16139" max="16139" width="12.7109375" style="2131" bestFit="1" customWidth="1"/>
    <col min="16140" max="16140" width="11.42578125" style="2131" bestFit="1" customWidth="1"/>
    <col min="16141" max="16384" width="9.140625" style="2131"/>
  </cols>
  <sheetData>
    <row r="1" spans="1:8" ht="19.5" customHeight="1" thickBot="1" x14ac:dyDescent="0.3">
      <c r="A1" s="1944" t="s">
        <v>905</v>
      </c>
      <c r="B1" s="1943"/>
      <c r="C1" s="2126"/>
      <c r="D1" s="1941"/>
      <c r="E1" s="1940"/>
      <c r="F1" s="1941"/>
      <c r="G1" s="2250"/>
      <c r="H1" s="1944"/>
    </row>
    <row r="2" spans="1:8" ht="18" x14ac:dyDescent="0.25">
      <c r="A2" s="2135"/>
      <c r="B2" s="2168"/>
      <c r="C2" s="2168"/>
      <c r="D2" s="2168"/>
      <c r="E2" s="2168"/>
      <c r="F2" s="2168"/>
      <c r="G2" s="2168"/>
      <c r="H2" s="2222" t="s">
        <v>906</v>
      </c>
    </row>
    <row r="3" spans="1:8" ht="18" x14ac:dyDescent="0.25">
      <c r="A3" s="1939" t="s">
        <v>404</v>
      </c>
      <c r="B3" s="2168"/>
      <c r="C3" s="2129" t="s">
        <v>379</v>
      </c>
      <c r="D3" s="2168"/>
      <c r="E3" s="2168"/>
      <c r="F3" s="2168"/>
      <c r="G3" s="2168"/>
      <c r="H3" s="2222"/>
    </row>
    <row r="4" spans="1:8" ht="18" x14ac:dyDescent="0.25">
      <c r="A4" s="2135"/>
      <c r="B4" s="2168"/>
      <c r="C4" s="2129" t="s">
        <v>380</v>
      </c>
      <c r="D4" s="2168"/>
      <c r="E4" s="2168"/>
      <c r="F4" s="2168"/>
      <c r="G4" s="2168"/>
      <c r="H4" s="2222"/>
    </row>
    <row r="5" spans="1:8" ht="18" x14ac:dyDescent="0.25">
      <c r="A5" s="2134" t="s">
        <v>907</v>
      </c>
      <c r="B5" s="2168"/>
      <c r="C5" s="2168"/>
      <c r="D5" s="2168"/>
      <c r="E5" s="2168"/>
      <c r="F5" s="2168"/>
      <c r="G5" s="2168"/>
      <c r="H5" s="2222"/>
    </row>
    <row r="6" spans="1:8" ht="13.5" thickBot="1" x14ac:dyDescent="0.25">
      <c r="H6" s="2268" t="s">
        <v>179</v>
      </c>
    </row>
    <row r="7" spans="1:8" s="1849" customFormat="1" ht="25.5" thickTop="1" thickBot="1" x14ac:dyDescent="0.25">
      <c r="A7" s="2138" t="s">
        <v>180</v>
      </c>
      <c r="B7" s="2139" t="s">
        <v>847</v>
      </c>
      <c r="C7" s="2139" t="s">
        <v>414</v>
      </c>
      <c r="D7" s="2140" t="s">
        <v>182</v>
      </c>
      <c r="E7" s="2171" t="s">
        <v>700</v>
      </c>
      <c r="F7" s="2171" t="s">
        <v>701</v>
      </c>
      <c r="G7" s="2172" t="s">
        <v>986</v>
      </c>
      <c r="H7" s="2173" t="s">
        <v>987</v>
      </c>
    </row>
    <row r="8" spans="1:8" s="1849" customFormat="1" ht="13.5" thickTop="1" thickBot="1" x14ac:dyDescent="0.25">
      <c r="A8" s="1854">
        <v>1</v>
      </c>
      <c r="B8" s="1853">
        <v>2</v>
      </c>
      <c r="C8" s="1853">
        <v>3</v>
      </c>
      <c r="D8" s="1853">
        <v>4</v>
      </c>
      <c r="E8" s="1852">
        <v>5</v>
      </c>
      <c r="F8" s="1852">
        <v>6</v>
      </c>
      <c r="G8" s="2223">
        <v>7</v>
      </c>
      <c r="H8" s="2251" t="s">
        <v>61</v>
      </c>
    </row>
    <row r="9" spans="1:8" ht="15.75" hidden="1" thickTop="1" x14ac:dyDescent="0.2">
      <c r="A9" s="2246">
        <v>3299</v>
      </c>
      <c r="B9" s="2253">
        <v>5021</v>
      </c>
      <c r="C9" s="2258">
        <v>32133007</v>
      </c>
      <c r="D9" s="2174" t="s">
        <v>427</v>
      </c>
      <c r="E9" s="2170">
        <v>0</v>
      </c>
      <c r="F9" s="2170">
        <v>0</v>
      </c>
      <c r="G9" s="2170">
        <v>0</v>
      </c>
      <c r="H9" s="2153" t="e">
        <f>G9/F9*100</f>
        <v>#DIV/0!</v>
      </c>
    </row>
    <row r="10" spans="1:8" ht="15.75" hidden="1" thickTop="1" x14ac:dyDescent="0.2">
      <c r="A10" s="2246">
        <v>3299</v>
      </c>
      <c r="B10" s="2253">
        <v>5021</v>
      </c>
      <c r="C10" s="2258">
        <v>32533007</v>
      </c>
      <c r="D10" s="2174" t="s">
        <v>427</v>
      </c>
      <c r="E10" s="2184">
        <v>0</v>
      </c>
      <c r="F10" s="2184">
        <v>0</v>
      </c>
      <c r="G10" s="2184">
        <v>0</v>
      </c>
      <c r="H10" s="2156">
        <v>0</v>
      </c>
    </row>
    <row r="11" spans="1:8" ht="15.75" hidden="1" customHeight="1" thickTop="1" x14ac:dyDescent="0.2">
      <c r="A11" s="2246">
        <v>3299</v>
      </c>
      <c r="B11" s="2253">
        <v>5164</v>
      </c>
      <c r="C11" s="2258">
        <v>32133007</v>
      </c>
      <c r="D11" s="2174" t="s">
        <v>188</v>
      </c>
      <c r="E11" s="2184">
        <v>0</v>
      </c>
      <c r="F11" s="2184">
        <v>0</v>
      </c>
      <c r="G11" s="2184">
        <v>0</v>
      </c>
      <c r="H11" s="2156" t="e">
        <f t="shared" ref="H11:H22" si="0">G11/F11*100</f>
        <v>#DIV/0!</v>
      </c>
    </row>
    <row r="12" spans="1:8" ht="15.75" hidden="1" thickTop="1" x14ac:dyDescent="0.2">
      <c r="A12" s="2246">
        <v>3299</v>
      </c>
      <c r="B12" s="2253">
        <v>5164</v>
      </c>
      <c r="C12" s="2258">
        <v>32533007</v>
      </c>
      <c r="D12" s="2174" t="s">
        <v>188</v>
      </c>
      <c r="E12" s="2184">
        <v>0</v>
      </c>
      <c r="F12" s="2184">
        <v>0</v>
      </c>
      <c r="G12" s="2184">
        <v>0</v>
      </c>
      <c r="H12" s="2156" t="e">
        <f t="shared" si="0"/>
        <v>#DIV/0!</v>
      </c>
    </row>
    <row r="13" spans="1:8" ht="15.75" hidden="1" thickTop="1" x14ac:dyDescent="0.2">
      <c r="A13" s="2246">
        <v>3299</v>
      </c>
      <c r="B13" s="2253">
        <v>5166</v>
      </c>
      <c r="C13" s="2258">
        <v>32133007</v>
      </c>
      <c r="D13" s="2174" t="s">
        <v>677</v>
      </c>
      <c r="E13" s="2184">
        <v>0</v>
      </c>
      <c r="F13" s="2184">
        <v>0</v>
      </c>
      <c r="G13" s="2184">
        <v>0</v>
      </c>
      <c r="H13" s="2156" t="e">
        <f t="shared" si="0"/>
        <v>#DIV/0!</v>
      </c>
    </row>
    <row r="14" spans="1:8" ht="15.75" hidden="1" thickTop="1" x14ac:dyDescent="0.2">
      <c r="A14" s="2246">
        <v>3299</v>
      </c>
      <c r="B14" s="2253">
        <v>5166</v>
      </c>
      <c r="C14" s="2258">
        <v>32533007</v>
      </c>
      <c r="D14" s="2174" t="s">
        <v>677</v>
      </c>
      <c r="E14" s="2184">
        <v>0</v>
      </c>
      <c r="F14" s="2184">
        <v>0</v>
      </c>
      <c r="G14" s="2184">
        <v>0</v>
      </c>
      <c r="H14" s="2156" t="e">
        <f t="shared" si="0"/>
        <v>#DIV/0!</v>
      </c>
    </row>
    <row r="15" spans="1:8" ht="15.75" hidden="1" thickTop="1" x14ac:dyDescent="0.2">
      <c r="A15" s="2246">
        <v>3299</v>
      </c>
      <c r="B15" s="2253">
        <v>5169</v>
      </c>
      <c r="C15" s="2258">
        <v>32133007</v>
      </c>
      <c r="D15" s="2174" t="s">
        <v>955</v>
      </c>
      <c r="E15" s="2184">
        <v>0</v>
      </c>
      <c r="F15" s="2184">
        <v>0</v>
      </c>
      <c r="G15" s="2184">
        <v>0</v>
      </c>
      <c r="H15" s="2156" t="e">
        <f t="shared" si="0"/>
        <v>#DIV/0!</v>
      </c>
    </row>
    <row r="16" spans="1:8" ht="15.75" hidden="1" thickTop="1" x14ac:dyDescent="0.2">
      <c r="A16" s="2246">
        <v>3299</v>
      </c>
      <c r="B16" s="2253">
        <v>5169</v>
      </c>
      <c r="C16" s="2258">
        <v>32533007</v>
      </c>
      <c r="D16" s="2174" t="s">
        <v>955</v>
      </c>
      <c r="E16" s="2184">
        <v>0</v>
      </c>
      <c r="F16" s="2184">
        <v>0</v>
      </c>
      <c r="G16" s="2184">
        <v>0</v>
      </c>
      <c r="H16" s="2156" t="e">
        <f t="shared" si="0"/>
        <v>#DIV/0!</v>
      </c>
    </row>
    <row r="17" spans="1:12" ht="15.75" hidden="1" thickTop="1" x14ac:dyDescent="0.2">
      <c r="A17" s="2246">
        <v>3299</v>
      </c>
      <c r="B17" s="2253">
        <v>5175</v>
      </c>
      <c r="C17" s="2258">
        <v>32133007</v>
      </c>
      <c r="D17" s="2174" t="s">
        <v>740</v>
      </c>
      <c r="E17" s="2184">
        <v>0</v>
      </c>
      <c r="F17" s="2184">
        <v>0</v>
      </c>
      <c r="G17" s="2184">
        <v>0</v>
      </c>
      <c r="H17" s="2156" t="e">
        <f t="shared" si="0"/>
        <v>#DIV/0!</v>
      </c>
    </row>
    <row r="18" spans="1:12" ht="15.75" hidden="1" thickTop="1" x14ac:dyDescent="0.2">
      <c r="A18" s="2246">
        <v>3299</v>
      </c>
      <c r="B18" s="2253">
        <v>5175</v>
      </c>
      <c r="C18" s="2258">
        <v>32533007</v>
      </c>
      <c r="D18" s="2174" t="s">
        <v>740</v>
      </c>
      <c r="E18" s="2184">
        <v>0</v>
      </c>
      <c r="F18" s="2184">
        <v>0</v>
      </c>
      <c r="G18" s="2184">
        <v>0</v>
      </c>
      <c r="H18" s="2156" t="e">
        <f t="shared" si="0"/>
        <v>#DIV/0!</v>
      </c>
    </row>
    <row r="19" spans="1:12" ht="15.75" hidden="1" thickTop="1" x14ac:dyDescent="0.2">
      <c r="A19" s="2246">
        <v>3299</v>
      </c>
      <c r="B19" s="2253">
        <v>5901</v>
      </c>
      <c r="C19" s="2258">
        <v>32133007</v>
      </c>
      <c r="D19" s="2174" t="s">
        <v>670</v>
      </c>
      <c r="E19" s="2184">
        <v>0</v>
      </c>
      <c r="F19" s="2184">
        <v>0</v>
      </c>
      <c r="G19" s="2184">
        <v>0</v>
      </c>
      <c r="H19" s="2156" t="e">
        <f t="shared" si="0"/>
        <v>#DIV/0!</v>
      </c>
    </row>
    <row r="20" spans="1:12" ht="15.75" hidden="1" thickTop="1" x14ac:dyDescent="0.2">
      <c r="A20" s="2246">
        <v>3299</v>
      </c>
      <c r="B20" s="2253">
        <v>5901</v>
      </c>
      <c r="C20" s="2258">
        <v>32533007</v>
      </c>
      <c r="D20" s="2174" t="s">
        <v>670</v>
      </c>
      <c r="E20" s="2184">
        <v>0</v>
      </c>
      <c r="F20" s="2184">
        <v>0</v>
      </c>
      <c r="G20" s="2184">
        <v>0</v>
      </c>
      <c r="H20" s="2156" t="e">
        <f t="shared" si="0"/>
        <v>#DIV/0!</v>
      </c>
    </row>
    <row r="21" spans="1:12" ht="49.5" customHeight="1" thickTop="1" thickBot="1" x14ac:dyDescent="0.25">
      <c r="A21" s="2246">
        <v>6402</v>
      </c>
      <c r="B21" s="2253">
        <v>5364</v>
      </c>
      <c r="C21" s="2258">
        <v>19</v>
      </c>
      <c r="D21" s="2261" t="s">
        <v>1825</v>
      </c>
      <c r="E21" s="2184">
        <v>0</v>
      </c>
      <c r="F21" s="2184">
        <v>86</v>
      </c>
      <c r="G21" s="2184">
        <v>86</v>
      </c>
      <c r="H21" s="2163">
        <f t="shared" si="0"/>
        <v>100</v>
      </c>
    </row>
    <row r="22" spans="1:12" s="2164" customFormat="1" ht="16.5" thickTop="1" thickBot="1" x14ac:dyDescent="0.3">
      <c r="A22" s="2806" t="s">
        <v>849</v>
      </c>
      <c r="B22" s="2807"/>
      <c r="C22" s="2807"/>
      <c r="D22" s="2807"/>
      <c r="E22" s="2152">
        <f>SUM(E9:E21)</f>
        <v>0</v>
      </c>
      <c r="F22" s="2152">
        <f>SUM(F9:F21)</f>
        <v>86</v>
      </c>
      <c r="G22" s="2152">
        <f>SUM(G9:G21)</f>
        <v>86</v>
      </c>
      <c r="H22" s="2157">
        <f t="shared" si="0"/>
        <v>100</v>
      </c>
      <c r="I22" s="2262"/>
    </row>
    <row r="23" spans="1:12" ht="13.5" thickTop="1" x14ac:dyDescent="0.2">
      <c r="I23" s="2165"/>
    </row>
    <row r="25" spans="1:12" ht="16.5" x14ac:dyDescent="0.25">
      <c r="A25" s="2206" t="s">
        <v>508</v>
      </c>
      <c r="B25" s="2207"/>
      <c r="C25" s="2208"/>
      <c r="D25" s="2209"/>
      <c r="E25" s="2210">
        <f>SUM(E26:E28)</f>
        <v>0</v>
      </c>
      <c r="F25" s="2210">
        <f>F26+F27+F28+F29</f>
        <v>86</v>
      </c>
      <c r="G25" s="2210">
        <f>G26+G27+G28+G29</f>
        <v>86</v>
      </c>
      <c r="H25" s="2232">
        <f>G25/F25*100</f>
        <v>100</v>
      </c>
      <c r="J25" s="2212">
        <f>J26+J27+J28</f>
        <v>0</v>
      </c>
      <c r="K25" s="2212">
        <f>K26+K27+K28</f>
        <v>85448.15</v>
      </c>
      <c r="L25" s="2212">
        <f>L26+L27+L28</f>
        <v>85448.15</v>
      </c>
    </row>
    <row r="26" spans="1:12" ht="15" x14ac:dyDescent="0.2">
      <c r="A26" s="1810" t="s">
        <v>288</v>
      </c>
      <c r="B26" s="1813"/>
      <c r="C26" s="1808"/>
      <c r="D26" s="2213"/>
      <c r="E26" s="1811">
        <f>SUM(E22)</f>
        <v>0</v>
      </c>
      <c r="F26" s="1811">
        <f>SUM(F22)</f>
        <v>86</v>
      </c>
      <c r="G26" s="1811">
        <f>SUM(G22)</f>
        <v>86</v>
      </c>
      <c r="H26" s="2231">
        <f>G26/F26*100</f>
        <v>100</v>
      </c>
      <c r="J26" s="2214">
        <v>0</v>
      </c>
      <c r="K26" s="2214">
        <v>85448.15</v>
      </c>
      <c r="L26" s="2214">
        <v>85448.15</v>
      </c>
    </row>
    <row r="27" spans="1:12" ht="15" x14ac:dyDescent="0.2">
      <c r="A27" s="1810" t="s">
        <v>289</v>
      </c>
      <c r="B27" s="1809"/>
      <c r="C27" s="1808"/>
      <c r="D27" s="2215"/>
      <c r="E27" s="1811">
        <v>0</v>
      </c>
      <c r="F27" s="1811">
        <v>0</v>
      </c>
      <c r="G27" s="1811">
        <v>0</v>
      </c>
      <c r="H27" s="2231">
        <v>0</v>
      </c>
      <c r="J27" s="2214">
        <v>0</v>
      </c>
      <c r="K27" s="2214">
        <v>0</v>
      </c>
      <c r="L27" s="2214">
        <v>0</v>
      </c>
    </row>
    <row r="28" spans="1:12" ht="15" x14ac:dyDescent="0.2">
      <c r="A28" s="1810" t="s">
        <v>509</v>
      </c>
      <c r="B28" s="1809"/>
      <c r="C28" s="1808"/>
      <c r="D28" s="2215"/>
      <c r="E28" s="1811">
        <v>0</v>
      </c>
      <c r="F28" s="1811">
        <v>0</v>
      </c>
      <c r="G28" s="1811">
        <v>0</v>
      </c>
      <c r="H28" s="2231">
        <v>0</v>
      </c>
      <c r="J28" s="2214">
        <v>0</v>
      </c>
      <c r="K28" s="2214">
        <v>0</v>
      </c>
      <c r="L28" s="2214">
        <v>0</v>
      </c>
    </row>
    <row r="29" spans="1:12" ht="15" x14ac:dyDescent="0.2">
      <c r="A29" s="1810"/>
      <c r="B29" s="1809"/>
      <c r="C29" s="1808"/>
      <c r="D29" s="2215"/>
      <c r="E29" s="1811"/>
      <c r="F29" s="1811"/>
      <c r="G29" s="1811"/>
      <c r="H29" s="1807"/>
      <c r="J29" s="2214"/>
      <c r="K29" s="2214"/>
      <c r="L29" s="2214"/>
    </row>
    <row r="30" spans="1:12" ht="46.5" customHeight="1" thickBot="1" x14ac:dyDescent="0.4">
      <c r="A30" s="2800" t="s">
        <v>908</v>
      </c>
      <c r="B30" s="2801"/>
      <c r="C30" s="2801"/>
      <c r="D30" s="2801"/>
      <c r="E30" s="1801">
        <f>SUM(E25)</f>
        <v>0</v>
      </c>
      <c r="F30" s="1801">
        <f>SUM(F25)</f>
        <v>86</v>
      </c>
      <c r="G30" s="1801">
        <f>SUM(G25)</f>
        <v>86</v>
      </c>
      <c r="H30" s="1800">
        <f>(G30/F30)*100</f>
        <v>100</v>
      </c>
    </row>
    <row r="31" spans="1:12" ht="13.5" thickTop="1" x14ac:dyDescent="0.2"/>
    <row r="150" spans="1:5" ht="13.5" thickBot="1" x14ac:dyDescent="0.25">
      <c r="A150" s="2179"/>
      <c r="B150" s="2179"/>
      <c r="C150" s="2179"/>
      <c r="D150" s="2264"/>
      <c r="E150" s="2265"/>
    </row>
    <row r="151" spans="1:5" ht="13.5" thickTop="1" x14ac:dyDescent="0.2">
      <c r="A151" s="2204"/>
      <c r="B151" s="2204"/>
      <c r="C151" s="2204"/>
      <c r="D151" s="2193"/>
      <c r="E151" s="2266"/>
    </row>
    <row r="152" spans="1:5" x14ac:dyDescent="0.2">
      <c r="D152" s="2131" t="e">
        <f>#REF!+#REF!</f>
        <v>#REF!</v>
      </c>
    </row>
  </sheetData>
  <mergeCells count="2">
    <mergeCell ref="A22:D22"/>
    <mergeCell ref="A30:D30"/>
  </mergeCells>
  <pageMargins left="0.78740157480314965" right="0.98425196850393704" top="0.98425196850393704" bottom="0.98425196850393704" header="0.51181102362204722" footer="0.51181102362204722"/>
  <pageSetup paperSize="9" scale="70" firstPageNumber="137" orientation="portrait" useFirstPageNumber="1" r:id="rId1"/>
  <headerFooter alignWithMargins="0">
    <oddFooter xml:space="preserve">&amp;L&amp;"Arial,Kurzíva"Zastupitelstvo Olomouckého kraje 28. 6. 2013
6.- Závěrečný  účet Olomuckého kraje za rok 2012
Příloha č. 3: Plnění rozpočtu výdajů Olomouckého kraje k 31.12.2012&amp;R&amp;"Arial,Kurzíva"Strana &amp;P (Celkem 484)
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537"/>
  <sheetViews>
    <sheetView showGridLines="0" view="pageBreakPreview" topLeftCell="A386" zoomScaleNormal="100" zoomScaleSheetLayoutView="100" workbookViewId="0">
      <selection activeCell="A286" sqref="A286"/>
    </sheetView>
  </sheetViews>
  <sheetFormatPr defaultRowHeight="12.75" x14ac:dyDescent="0.2"/>
  <cols>
    <col min="1" max="1" width="4.7109375" style="2130" customWidth="1"/>
    <col min="2" max="2" width="6.7109375" style="2130" customWidth="1"/>
    <col min="3" max="3" width="8.85546875" style="2130" customWidth="1"/>
    <col min="4" max="4" width="47.85546875" style="2131" customWidth="1"/>
    <col min="5" max="5" width="12.85546875" style="2165" customWidth="1"/>
    <col min="6" max="6" width="15.5703125" style="2165" customWidth="1"/>
    <col min="7" max="7" width="15.85546875" style="2165" customWidth="1"/>
    <col min="8" max="8" width="9.7109375" style="2131" customWidth="1"/>
    <col min="9" max="9" width="14.28515625" style="2131" bestFit="1" customWidth="1"/>
    <col min="10" max="10" width="11.42578125" style="2131" bestFit="1" customWidth="1"/>
    <col min="11" max="11" width="17.28515625" style="2131" bestFit="1" customWidth="1"/>
    <col min="12" max="12" width="16" style="2131" bestFit="1" customWidth="1"/>
    <col min="13" max="256" width="9.140625" style="2131"/>
    <col min="257" max="257" width="4.7109375" style="2131" customWidth="1"/>
    <col min="258" max="258" width="6.7109375" style="2131" customWidth="1"/>
    <col min="259" max="259" width="8.85546875" style="2131" customWidth="1"/>
    <col min="260" max="260" width="47.85546875" style="2131" customWidth="1"/>
    <col min="261" max="261" width="12.85546875" style="2131" customWidth="1"/>
    <col min="262" max="262" width="15.5703125" style="2131" customWidth="1"/>
    <col min="263" max="263" width="15.85546875" style="2131" customWidth="1"/>
    <col min="264" max="264" width="6.42578125" style="2131" customWidth="1"/>
    <col min="265" max="265" width="14.28515625" style="2131" bestFit="1" customWidth="1"/>
    <col min="266" max="266" width="11.42578125" style="2131" bestFit="1" customWidth="1"/>
    <col min="267" max="267" width="17.28515625" style="2131" bestFit="1" customWidth="1"/>
    <col min="268" max="268" width="16" style="2131" bestFit="1" customWidth="1"/>
    <col min="269" max="512" width="9.140625" style="2131"/>
    <col min="513" max="513" width="4.7109375" style="2131" customWidth="1"/>
    <col min="514" max="514" width="6.7109375" style="2131" customWidth="1"/>
    <col min="515" max="515" width="8.85546875" style="2131" customWidth="1"/>
    <col min="516" max="516" width="47.85546875" style="2131" customWidth="1"/>
    <col min="517" max="517" width="12.85546875" style="2131" customWidth="1"/>
    <col min="518" max="518" width="15.5703125" style="2131" customWidth="1"/>
    <col min="519" max="519" width="15.85546875" style="2131" customWidth="1"/>
    <col min="520" max="520" width="6.42578125" style="2131" customWidth="1"/>
    <col min="521" max="521" width="14.28515625" style="2131" bestFit="1" customWidth="1"/>
    <col min="522" max="522" width="11.42578125" style="2131" bestFit="1" customWidth="1"/>
    <col min="523" max="523" width="17.28515625" style="2131" bestFit="1" customWidth="1"/>
    <col min="524" max="524" width="16" style="2131" bestFit="1" customWidth="1"/>
    <col min="525" max="768" width="9.140625" style="2131"/>
    <col min="769" max="769" width="4.7109375" style="2131" customWidth="1"/>
    <col min="770" max="770" width="6.7109375" style="2131" customWidth="1"/>
    <col min="771" max="771" width="8.85546875" style="2131" customWidth="1"/>
    <col min="772" max="772" width="47.85546875" style="2131" customWidth="1"/>
    <col min="773" max="773" width="12.85546875" style="2131" customWidth="1"/>
    <col min="774" max="774" width="15.5703125" style="2131" customWidth="1"/>
    <col min="775" max="775" width="15.85546875" style="2131" customWidth="1"/>
    <col min="776" max="776" width="6.42578125" style="2131" customWidth="1"/>
    <col min="777" max="777" width="14.28515625" style="2131" bestFit="1" customWidth="1"/>
    <col min="778" max="778" width="11.42578125" style="2131" bestFit="1" customWidth="1"/>
    <col min="779" max="779" width="17.28515625" style="2131" bestFit="1" customWidth="1"/>
    <col min="780" max="780" width="16" style="2131" bestFit="1" customWidth="1"/>
    <col min="781" max="1024" width="9.140625" style="2131"/>
    <col min="1025" max="1025" width="4.7109375" style="2131" customWidth="1"/>
    <col min="1026" max="1026" width="6.7109375" style="2131" customWidth="1"/>
    <col min="1027" max="1027" width="8.85546875" style="2131" customWidth="1"/>
    <col min="1028" max="1028" width="47.85546875" style="2131" customWidth="1"/>
    <col min="1029" max="1029" width="12.85546875" style="2131" customWidth="1"/>
    <col min="1030" max="1030" width="15.5703125" style="2131" customWidth="1"/>
    <col min="1031" max="1031" width="15.85546875" style="2131" customWidth="1"/>
    <col min="1032" max="1032" width="6.42578125" style="2131" customWidth="1"/>
    <col min="1033" max="1033" width="14.28515625" style="2131" bestFit="1" customWidth="1"/>
    <col min="1034" max="1034" width="11.42578125" style="2131" bestFit="1" customWidth="1"/>
    <col min="1035" max="1035" width="17.28515625" style="2131" bestFit="1" customWidth="1"/>
    <col min="1036" max="1036" width="16" style="2131" bestFit="1" customWidth="1"/>
    <col min="1037" max="1280" width="9.140625" style="2131"/>
    <col min="1281" max="1281" width="4.7109375" style="2131" customWidth="1"/>
    <col min="1282" max="1282" width="6.7109375" style="2131" customWidth="1"/>
    <col min="1283" max="1283" width="8.85546875" style="2131" customWidth="1"/>
    <col min="1284" max="1284" width="47.85546875" style="2131" customWidth="1"/>
    <col min="1285" max="1285" width="12.85546875" style="2131" customWidth="1"/>
    <col min="1286" max="1286" width="15.5703125" style="2131" customWidth="1"/>
    <col min="1287" max="1287" width="15.85546875" style="2131" customWidth="1"/>
    <col min="1288" max="1288" width="6.42578125" style="2131" customWidth="1"/>
    <col min="1289" max="1289" width="14.28515625" style="2131" bestFit="1" customWidth="1"/>
    <col min="1290" max="1290" width="11.42578125" style="2131" bestFit="1" customWidth="1"/>
    <col min="1291" max="1291" width="17.28515625" style="2131" bestFit="1" customWidth="1"/>
    <col min="1292" max="1292" width="16" style="2131" bestFit="1" customWidth="1"/>
    <col min="1293" max="1536" width="9.140625" style="2131"/>
    <col min="1537" max="1537" width="4.7109375" style="2131" customWidth="1"/>
    <col min="1538" max="1538" width="6.7109375" style="2131" customWidth="1"/>
    <col min="1539" max="1539" width="8.85546875" style="2131" customWidth="1"/>
    <col min="1540" max="1540" width="47.85546875" style="2131" customWidth="1"/>
    <col min="1541" max="1541" width="12.85546875" style="2131" customWidth="1"/>
    <col min="1542" max="1542" width="15.5703125" style="2131" customWidth="1"/>
    <col min="1543" max="1543" width="15.85546875" style="2131" customWidth="1"/>
    <col min="1544" max="1544" width="6.42578125" style="2131" customWidth="1"/>
    <col min="1545" max="1545" width="14.28515625" style="2131" bestFit="1" customWidth="1"/>
    <col min="1546" max="1546" width="11.42578125" style="2131" bestFit="1" customWidth="1"/>
    <col min="1547" max="1547" width="17.28515625" style="2131" bestFit="1" customWidth="1"/>
    <col min="1548" max="1548" width="16" style="2131" bestFit="1" customWidth="1"/>
    <col min="1549" max="1792" width="9.140625" style="2131"/>
    <col min="1793" max="1793" width="4.7109375" style="2131" customWidth="1"/>
    <col min="1794" max="1794" width="6.7109375" style="2131" customWidth="1"/>
    <col min="1795" max="1795" width="8.85546875" style="2131" customWidth="1"/>
    <col min="1796" max="1796" width="47.85546875" style="2131" customWidth="1"/>
    <col min="1797" max="1797" width="12.85546875" style="2131" customWidth="1"/>
    <col min="1798" max="1798" width="15.5703125" style="2131" customWidth="1"/>
    <col min="1799" max="1799" width="15.85546875" style="2131" customWidth="1"/>
    <col min="1800" max="1800" width="6.42578125" style="2131" customWidth="1"/>
    <col min="1801" max="1801" width="14.28515625" style="2131" bestFit="1" customWidth="1"/>
    <col min="1802" max="1802" width="11.42578125" style="2131" bestFit="1" customWidth="1"/>
    <col min="1803" max="1803" width="17.28515625" style="2131" bestFit="1" customWidth="1"/>
    <col min="1804" max="1804" width="16" style="2131" bestFit="1" customWidth="1"/>
    <col min="1805" max="2048" width="9.140625" style="2131"/>
    <col min="2049" max="2049" width="4.7109375" style="2131" customWidth="1"/>
    <col min="2050" max="2050" width="6.7109375" style="2131" customWidth="1"/>
    <col min="2051" max="2051" width="8.85546875" style="2131" customWidth="1"/>
    <col min="2052" max="2052" width="47.85546875" style="2131" customWidth="1"/>
    <col min="2053" max="2053" width="12.85546875" style="2131" customWidth="1"/>
    <col min="2054" max="2054" width="15.5703125" style="2131" customWidth="1"/>
    <col min="2055" max="2055" width="15.85546875" style="2131" customWidth="1"/>
    <col min="2056" max="2056" width="6.42578125" style="2131" customWidth="1"/>
    <col min="2057" max="2057" width="14.28515625" style="2131" bestFit="1" customWidth="1"/>
    <col min="2058" max="2058" width="11.42578125" style="2131" bestFit="1" customWidth="1"/>
    <col min="2059" max="2059" width="17.28515625" style="2131" bestFit="1" customWidth="1"/>
    <col min="2060" max="2060" width="16" style="2131" bestFit="1" customWidth="1"/>
    <col min="2061" max="2304" width="9.140625" style="2131"/>
    <col min="2305" max="2305" width="4.7109375" style="2131" customWidth="1"/>
    <col min="2306" max="2306" width="6.7109375" style="2131" customWidth="1"/>
    <col min="2307" max="2307" width="8.85546875" style="2131" customWidth="1"/>
    <col min="2308" max="2308" width="47.85546875" style="2131" customWidth="1"/>
    <col min="2309" max="2309" width="12.85546875" style="2131" customWidth="1"/>
    <col min="2310" max="2310" width="15.5703125" style="2131" customWidth="1"/>
    <col min="2311" max="2311" width="15.85546875" style="2131" customWidth="1"/>
    <col min="2312" max="2312" width="6.42578125" style="2131" customWidth="1"/>
    <col min="2313" max="2313" width="14.28515625" style="2131" bestFit="1" customWidth="1"/>
    <col min="2314" max="2314" width="11.42578125" style="2131" bestFit="1" customWidth="1"/>
    <col min="2315" max="2315" width="17.28515625" style="2131" bestFit="1" customWidth="1"/>
    <col min="2316" max="2316" width="16" style="2131" bestFit="1" customWidth="1"/>
    <col min="2317" max="2560" width="9.140625" style="2131"/>
    <col min="2561" max="2561" width="4.7109375" style="2131" customWidth="1"/>
    <col min="2562" max="2562" width="6.7109375" style="2131" customWidth="1"/>
    <col min="2563" max="2563" width="8.85546875" style="2131" customWidth="1"/>
    <col min="2564" max="2564" width="47.85546875" style="2131" customWidth="1"/>
    <col min="2565" max="2565" width="12.85546875" style="2131" customWidth="1"/>
    <col min="2566" max="2566" width="15.5703125" style="2131" customWidth="1"/>
    <col min="2567" max="2567" width="15.85546875" style="2131" customWidth="1"/>
    <col min="2568" max="2568" width="6.42578125" style="2131" customWidth="1"/>
    <col min="2569" max="2569" width="14.28515625" style="2131" bestFit="1" customWidth="1"/>
    <col min="2570" max="2570" width="11.42578125" style="2131" bestFit="1" customWidth="1"/>
    <col min="2571" max="2571" width="17.28515625" style="2131" bestFit="1" customWidth="1"/>
    <col min="2572" max="2572" width="16" style="2131" bestFit="1" customWidth="1"/>
    <col min="2573" max="2816" width="9.140625" style="2131"/>
    <col min="2817" max="2817" width="4.7109375" style="2131" customWidth="1"/>
    <col min="2818" max="2818" width="6.7109375" style="2131" customWidth="1"/>
    <col min="2819" max="2819" width="8.85546875" style="2131" customWidth="1"/>
    <col min="2820" max="2820" width="47.85546875" style="2131" customWidth="1"/>
    <col min="2821" max="2821" width="12.85546875" style="2131" customWidth="1"/>
    <col min="2822" max="2822" width="15.5703125" style="2131" customWidth="1"/>
    <col min="2823" max="2823" width="15.85546875" style="2131" customWidth="1"/>
    <col min="2824" max="2824" width="6.42578125" style="2131" customWidth="1"/>
    <col min="2825" max="2825" width="14.28515625" style="2131" bestFit="1" customWidth="1"/>
    <col min="2826" max="2826" width="11.42578125" style="2131" bestFit="1" customWidth="1"/>
    <col min="2827" max="2827" width="17.28515625" style="2131" bestFit="1" customWidth="1"/>
    <col min="2828" max="2828" width="16" style="2131" bestFit="1" customWidth="1"/>
    <col min="2829" max="3072" width="9.140625" style="2131"/>
    <col min="3073" max="3073" width="4.7109375" style="2131" customWidth="1"/>
    <col min="3074" max="3074" width="6.7109375" style="2131" customWidth="1"/>
    <col min="3075" max="3075" width="8.85546875" style="2131" customWidth="1"/>
    <col min="3076" max="3076" width="47.85546875" style="2131" customWidth="1"/>
    <col min="3077" max="3077" width="12.85546875" style="2131" customWidth="1"/>
    <col min="3078" max="3078" width="15.5703125" style="2131" customWidth="1"/>
    <col min="3079" max="3079" width="15.85546875" style="2131" customWidth="1"/>
    <col min="3080" max="3080" width="6.42578125" style="2131" customWidth="1"/>
    <col min="3081" max="3081" width="14.28515625" style="2131" bestFit="1" customWidth="1"/>
    <col min="3082" max="3082" width="11.42578125" style="2131" bestFit="1" customWidth="1"/>
    <col min="3083" max="3083" width="17.28515625" style="2131" bestFit="1" customWidth="1"/>
    <col min="3084" max="3084" width="16" style="2131" bestFit="1" customWidth="1"/>
    <col min="3085" max="3328" width="9.140625" style="2131"/>
    <col min="3329" max="3329" width="4.7109375" style="2131" customWidth="1"/>
    <col min="3330" max="3330" width="6.7109375" style="2131" customWidth="1"/>
    <col min="3331" max="3331" width="8.85546875" style="2131" customWidth="1"/>
    <col min="3332" max="3332" width="47.85546875" style="2131" customWidth="1"/>
    <col min="3333" max="3333" width="12.85546875" style="2131" customWidth="1"/>
    <col min="3334" max="3334" width="15.5703125" style="2131" customWidth="1"/>
    <col min="3335" max="3335" width="15.85546875" style="2131" customWidth="1"/>
    <col min="3336" max="3336" width="6.42578125" style="2131" customWidth="1"/>
    <col min="3337" max="3337" width="14.28515625" style="2131" bestFit="1" customWidth="1"/>
    <col min="3338" max="3338" width="11.42578125" style="2131" bestFit="1" customWidth="1"/>
    <col min="3339" max="3339" width="17.28515625" style="2131" bestFit="1" customWidth="1"/>
    <col min="3340" max="3340" width="16" style="2131" bestFit="1" customWidth="1"/>
    <col min="3341" max="3584" width="9.140625" style="2131"/>
    <col min="3585" max="3585" width="4.7109375" style="2131" customWidth="1"/>
    <col min="3586" max="3586" width="6.7109375" style="2131" customWidth="1"/>
    <col min="3587" max="3587" width="8.85546875" style="2131" customWidth="1"/>
    <col min="3588" max="3588" width="47.85546875" style="2131" customWidth="1"/>
    <col min="3589" max="3589" width="12.85546875" style="2131" customWidth="1"/>
    <col min="3590" max="3590" width="15.5703125" style="2131" customWidth="1"/>
    <col min="3591" max="3591" width="15.85546875" style="2131" customWidth="1"/>
    <col min="3592" max="3592" width="6.42578125" style="2131" customWidth="1"/>
    <col min="3593" max="3593" width="14.28515625" style="2131" bestFit="1" customWidth="1"/>
    <col min="3594" max="3594" width="11.42578125" style="2131" bestFit="1" customWidth="1"/>
    <col min="3595" max="3595" width="17.28515625" style="2131" bestFit="1" customWidth="1"/>
    <col min="3596" max="3596" width="16" style="2131" bestFit="1" customWidth="1"/>
    <col min="3597" max="3840" width="9.140625" style="2131"/>
    <col min="3841" max="3841" width="4.7109375" style="2131" customWidth="1"/>
    <col min="3842" max="3842" width="6.7109375" style="2131" customWidth="1"/>
    <col min="3843" max="3843" width="8.85546875" style="2131" customWidth="1"/>
    <col min="3844" max="3844" width="47.85546875" style="2131" customWidth="1"/>
    <col min="3845" max="3845" width="12.85546875" style="2131" customWidth="1"/>
    <col min="3846" max="3846" width="15.5703125" style="2131" customWidth="1"/>
    <col min="3847" max="3847" width="15.85546875" style="2131" customWidth="1"/>
    <col min="3848" max="3848" width="6.42578125" style="2131" customWidth="1"/>
    <col min="3849" max="3849" width="14.28515625" style="2131" bestFit="1" customWidth="1"/>
    <col min="3850" max="3850" width="11.42578125" style="2131" bestFit="1" customWidth="1"/>
    <col min="3851" max="3851" width="17.28515625" style="2131" bestFit="1" customWidth="1"/>
    <col min="3852" max="3852" width="16" style="2131" bestFit="1" customWidth="1"/>
    <col min="3853" max="4096" width="9.140625" style="2131"/>
    <col min="4097" max="4097" width="4.7109375" style="2131" customWidth="1"/>
    <col min="4098" max="4098" width="6.7109375" style="2131" customWidth="1"/>
    <col min="4099" max="4099" width="8.85546875" style="2131" customWidth="1"/>
    <col min="4100" max="4100" width="47.85546875" style="2131" customWidth="1"/>
    <col min="4101" max="4101" width="12.85546875" style="2131" customWidth="1"/>
    <col min="4102" max="4102" width="15.5703125" style="2131" customWidth="1"/>
    <col min="4103" max="4103" width="15.85546875" style="2131" customWidth="1"/>
    <col min="4104" max="4104" width="6.42578125" style="2131" customWidth="1"/>
    <col min="4105" max="4105" width="14.28515625" style="2131" bestFit="1" customWidth="1"/>
    <col min="4106" max="4106" width="11.42578125" style="2131" bestFit="1" customWidth="1"/>
    <col min="4107" max="4107" width="17.28515625" style="2131" bestFit="1" customWidth="1"/>
    <col min="4108" max="4108" width="16" style="2131" bestFit="1" customWidth="1"/>
    <col min="4109" max="4352" width="9.140625" style="2131"/>
    <col min="4353" max="4353" width="4.7109375" style="2131" customWidth="1"/>
    <col min="4354" max="4354" width="6.7109375" style="2131" customWidth="1"/>
    <col min="4355" max="4355" width="8.85546875" style="2131" customWidth="1"/>
    <col min="4356" max="4356" width="47.85546875" style="2131" customWidth="1"/>
    <col min="4357" max="4357" width="12.85546875" style="2131" customWidth="1"/>
    <col min="4358" max="4358" width="15.5703125" style="2131" customWidth="1"/>
    <col min="4359" max="4359" width="15.85546875" style="2131" customWidth="1"/>
    <col min="4360" max="4360" width="6.42578125" style="2131" customWidth="1"/>
    <col min="4361" max="4361" width="14.28515625" style="2131" bestFit="1" customWidth="1"/>
    <col min="4362" max="4362" width="11.42578125" style="2131" bestFit="1" customWidth="1"/>
    <col min="4363" max="4363" width="17.28515625" style="2131" bestFit="1" customWidth="1"/>
    <col min="4364" max="4364" width="16" style="2131" bestFit="1" customWidth="1"/>
    <col min="4365" max="4608" width="9.140625" style="2131"/>
    <col min="4609" max="4609" width="4.7109375" style="2131" customWidth="1"/>
    <col min="4610" max="4610" width="6.7109375" style="2131" customWidth="1"/>
    <col min="4611" max="4611" width="8.85546875" style="2131" customWidth="1"/>
    <col min="4612" max="4612" width="47.85546875" style="2131" customWidth="1"/>
    <col min="4613" max="4613" width="12.85546875" style="2131" customWidth="1"/>
    <col min="4614" max="4614" width="15.5703125" style="2131" customWidth="1"/>
    <col min="4615" max="4615" width="15.85546875" style="2131" customWidth="1"/>
    <col min="4616" max="4616" width="6.42578125" style="2131" customWidth="1"/>
    <col min="4617" max="4617" width="14.28515625" style="2131" bestFit="1" customWidth="1"/>
    <col min="4618" max="4618" width="11.42578125" style="2131" bestFit="1" customWidth="1"/>
    <col min="4619" max="4619" width="17.28515625" style="2131" bestFit="1" customWidth="1"/>
    <col min="4620" max="4620" width="16" style="2131" bestFit="1" customWidth="1"/>
    <col min="4621" max="4864" width="9.140625" style="2131"/>
    <col min="4865" max="4865" width="4.7109375" style="2131" customWidth="1"/>
    <col min="4866" max="4866" width="6.7109375" style="2131" customWidth="1"/>
    <col min="4867" max="4867" width="8.85546875" style="2131" customWidth="1"/>
    <col min="4868" max="4868" width="47.85546875" style="2131" customWidth="1"/>
    <col min="4869" max="4869" width="12.85546875" style="2131" customWidth="1"/>
    <col min="4870" max="4870" width="15.5703125" style="2131" customWidth="1"/>
    <col min="4871" max="4871" width="15.85546875" style="2131" customWidth="1"/>
    <col min="4872" max="4872" width="6.42578125" style="2131" customWidth="1"/>
    <col min="4873" max="4873" width="14.28515625" style="2131" bestFit="1" customWidth="1"/>
    <col min="4874" max="4874" width="11.42578125" style="2131" bestFit="1" customWidth="1"/>
    <col min="4875" max="4875" width="17.28515625" style="2131" bestFit="1" customWidth="1"/>
    <col min="4876" max="4876" width="16" style="2131" bestFit="1" customWidth="1"/>
    <col min="4877" max="5120" width="9.140625" style="2131"/>
    <col min="5121" max="5121" width="4.7109375" style="2131" customWidth="1"/>
    <col min="5122" max="5122" width="6.7109375" style="2131" customWidth="1"/>
    <col min="5123" max="5123" width="8.85546875" style="2131" customWidth="1"/>
    <col min="5124" max="5124" width="47.85546875" style="2131" customWidth="1"/>
    <col min="5125" max="5125" width="12.85546875" style="2131" customWidth="1"/>
    <col min="5126" max="5126" width="15.5703125" style="2131" customWidth="1"/>
    <col min="5127" max="5127" width="15.85546875" style="2131" customWidth="1"/>
    <col min="5128" max="5128" width="6.42578125" style="2131" customWidth="1"/>
    <col min="5129" max="5129" width="14.28515625" style="2131" bestFit="1" customWidth="1"/>
    <col min="5130" max="5130" width="11.42578125" style="2131" bestFit="1" customWidth="1"/>
    <col min="5131" max="5131" width="17.28515625" style="2131" bestFit="1" customWidth="1"/>
    <col min="5132" max="5132" width="16" style="2131" bestFit="1" customWidth="1"/>
    <col min="5133" max="5376" width="9.140625" style="2131"/>
    <col min="5377" max="5377" width="4.7109375" style="2131" customWidth="1"/>
    <col min="5378" max="5378" width="6.7109375" style="2131" customWidth="1"/>
    <col min="5379" max="5379" width="8.85546875" style="2131" customWidth="1"/>
    <col min="5380" max="5380" width="47.85546875" style="2131" customWidth="1"/>
    <col min="5381" max="5381" width="12.85546875" style="2131" customWidth="1"/>
    <col min="5382" max="5382" width="15.5703125" style="2131" customWidth="1"/>
    <col min="5383" max="5383" width="15.85546875" style="2131" customWidth="1"/>
    <col min="5384" max="5384" width="6.42578125" style="2131" customWidth="1"/>
    <col min="5385" max="5385" width="14.28515625" style="2131" bestFit="1" customWidth="1"/>
    <col min="5386" max="5386" width="11.42578125" style="2131" bestFit="1" customWidth="1"/>
    <col min="5387" max="5387" width="17.28515625" style="2131" bestFit="1" customWidth="1"/>
    <col min="5388" max="5388" width="16" style="2131" bestFit="1" customWidth="1"/>
    <col min="5389" max="5632" width="9.140625" style="2131"/>
    <col min="5633" max="5633" width="4.7109375" style="2131" customWidth="1"/>
    <col min="5634" max="5634" width="6.7109375" style="2131" customWidth="1"/>
    <col min="5635" max="5635" width="8.85546875" style="2131" customWidth="1"/>
    <col min="5636" max="5636" width="47.85546875" style="2131" customWidth="1"/>
    <col min="5637" max="5637" width="12.85546875" style="2131" customWidth="1"/>
    <col min="5638" max="5638" width="15.5703125" style="2131" customWidth="1"/>
    <col min="5639" max="5639" width="15.85546875" style="2131" customWidth="1"/>
    <col min="5640" max="5640" width="6.42578125" style="2131" customWidth="1"/>
    <col min="5641" max="5641" width="14.28515625" style="2131" bestFit="1" customWidth="1"/>
    <col min="5642" max="5642" width="11.42578125" style="2131" bestFit="1" customWidth="1"/>
    <col min="5643" max="5643" width="17.28515625" style="2131" bestFit="1" customWidth="1"/>
    <col min="5644" max="5644" width="16" style="2131" bestFit="1" customWidth="1"/>
    <col min="5645" max="5888" width="9.140625" style="2131"/>
    <col min="5889" max="5889" width="4.7109375" style="2131" customWidth="1"/>
    <col min="5890" max="5890" width="6.7109375" style="2131" customWidth="1"/>
    <col min="5891" max="5891" width="8.85546875" style="2131" customWidth="1"/>
    <col min="5892" max="5892" width="47.85546875" style="2131" customWidth="1"/>
    <col min="5893" max="5893" width="12.85546875" style="2131" customWidth="1"/>
    <col min="5894" max="5894" width="15.5703125" style="2131" customWidth="1"/>
    <col min="5895" max="5895" width="15.85546875" style="2131" customWidth="1"/>
    <col min="5896" max="5896" width="6.42578125" style="2131" customWidth="1"/>
    <col min="5897" max="5897" width="14.28515625" style="2131" bestFit="1" customWidth="1"/>
    <col min="5898" max="5898" width="11.42578125" style="2131" bestFit="1" customWidth="1"/>
    <col min="5899" max="5899" width="17.28515625" style="2131" bestFit="1" customWidth="1"/>
    <col min="5900" max="5900" width="16" style="2131" bestFit="1" customWidth="1"/>
    <col min="5901" max="6144" width="9.140625" style="2131"/>
    <col min="6145" max="6145" width="4.7109375" style="2131" customWidth="1"/>
    <col min="6146" max="6146" width="6.7109375" style="2131" customWidth="1"/>
    <col min="6147" max="6147" width="8.85546875" style="2131" customWidth="1"/>
    <col min="6148" max="6148" width="47.85546875" style="2131" customWidth="1"/>
    <col min="6149" max="6149" width="12.85546875" style="2131" customWidth="1"/>
    <col min="6150" max="6150" width="15.5703125" style="2131" customWidth="1"/>
    <col min="6151" max="6151" width="15.85546875" style="2131" customWidth="1"/>
    <col min="6152" max="6152" width="6.42578125" style="2131" customWidth="1"/>
    <col min="6153" max="6153" width="14.28515625" style="2131" bestFit="1" customWidth="1"/>
    <col min="6154" max="6154" width="11.42578125" style="2131" bestFit="1" customWidth="1"/>
    <col min="6155" max="6155" width="17.28515625" style="2131" bestFit="1" customWidth="1"/>
    <col min="6156" max="6156" width="16" style="2131" bestFit="1" customWidth="1"/>
    <col min="6157" max="6400" width="9.140625" style="2131"/>
    <col min="6401" max="6401" width="4.7109375" style="2131" customWidth="1"/>
    <col min="6402" max="6402" width="6.7109375" style="2131" customWidth="1"/>
    <col min="6403" max="6403" width="8.85546875" style="2131" customWidth="1"/>
    <col min="6404" max="6404" width="47.85546875" style="2131" customWidth="1"/>
    <col min="6405" max="6405" width="12.85546875" style="2131" customWidth="1"/>
    <col min="6406" max="6406" width="15.5703125" style="2131" customWidth="1"/>
    <col min="6407" max="6407" width="15.85546875" style="2131" customWidth="1"/>
    <col min="6408" max="6408" width="6.42578125" style="2131" customWidth="1"/>
    <col min="6409" max="6409" width="14.28515625" style="2131" bestFit="1" customWidth="1"/>
    <col min="6410" max="6410" width="11.42578125" style="2131" bestFit="1" customWidth="1"/>
    <col min="6411" max="6411" width="17.28515625" style="2131" bestFit="1" customWidth="1"/>
    <col min="6412" max="6412" width="16" style="2131" bestFit="1" customWidth="1"/>
    <col min="6413" max="6656" width="9.140625" style="2131"/>
    <col min="6657" max="6657" width="4.7109375" style="2131" customWidth="1"/>
    <col min="6658" max="6658" width="6.7109375" style="2131" customWidth="1"/>
    <col min="6659" max="6659" width="8.85546875" style="2131" customWidth="1"/>
    <col min="6660" max="6660" width="47.85546875" style="2131" customWidth="1"/>
    <col min="6661" max="6661" width="12.85546875" style="2131" customWidth="1"/>
    <col min="6662" max="6662" width="15.5703125" style="2131" customWidth="1"/>
    <col min="6663" max="6663" width="15.85546875" style="2131" customWidth="1"/>
    <col min="6664" max="6664" width="6.42578125" style="2131" customWidth="1"/>
    <col min="6665" max="6665" width="14.28515625" style="2131" bestFit="1" customWidth="1"/>
    <col min="6666" max="6666" width="11.42578125" style="2131" bestFit="1" customWidth="1"/>
    <col min="6667" max="6667" width="17.28515625" style="2131" bestFit="1" customWidth="1"/>
    <col min="6668" max="6668" width="16" style="2131" bestFit="1" customWidth="1"/>
    <col min="6669" max="6912" width="9.140625" style="2131"/>
    <col min="6913" max="6913" width="4.7109375" style="2131" customWidth="1"/>
    <col min="6914" max="6914" width="6.7109375" style="2131" customWidth="1"/>
    <col min="6915" max="6915" width="8.85546875" style="2131" customWidth="1"/>
    <col min="6916" max="6916" width="47.85546875" style="2131" customWidth="1"/>
    <col min="6917" max="6917" width="12.85546875" style="2131" customWidth="1"/>
    <col min="6918" max="6918" width="15.5703125" style="2131" customWidth="1"/>
    <col min="6919" max="6919" width="15.85546875" style="2131" customWidth="1"/>
    <col min="6920" max="6920" width="6.42578125" style="2131" customWidth="1"/>
    <col min="6921" max="6921" width="14.28515625" style="2131" bestFit="1" customWidth="1"/>
    <col min="6922" max="6922" width="11.42578125" style="2131" bestFit="1" customWidth="1"/>
    <col min="6923" max="6923" width="17.28515625" style="2131" bestFit="1" customWidth="1"/>
    <col min="6924" max="6924" width="16" style="2131" bestFit="1" customWidth="1"/>
    <col min="6925" max="7168" width="9.140625" style="2131"/>
    <col min="7169" max="7169" width="4.7109375" style="2131" customWidth="1"/>
    <col min="7170" max="7170" width="6.7109375" style="2131" customWidth="1"/>
    <col min="7171" max="7171" width="8.85546875" style="2131" customWidth="1"/>
    <col min="7172" max="7172" width="47.85546875" style="2131" customWidth="1"/>
    <col min="7173" max="7173" width="12.85546875" style="2131" customWidth="1"/>
    <col min="7174" max="7174" width="15.5703125" style="2131" customWidth="1"/>
    <col min="7175" max="7175" width="15.85546875" style="2131" customWidth="1"/>
    <col min="7176" max="7176" width="6.42578125" style="2131" customWidth="1"/>
    <col min="7177" max="7177" width="14.28515625" style="2131" bestFit="1" customWidth="1"/>
    <col min="7178" max="7178" width="11.42578125" style="2131" bestFit="1" customWidth="1"/>
    <col min="7179" max="7179" width="17.28515625" style="2131" bestFit="1" customWidth="1"/>
    <col min="7180" max="7180" width="16" style="2131" bestFit="1" customWidth="1"/>
    <col min="7181" max="7424" width="9.140625" style="2131"/>
    <col min="7425" max="7425" width="4.7109375" style="2131" customWidth="1"/>
    <col min="7426" max="7426" width="6.7109375" style="2131" customWidth="1"/>
    <col min="7427" max="7427" width="8.85546875" style="2131" customWidth="1"/>
    <col min="7428" max="7428" width="47.85546875" style="2131" customWidth="1"/>
    <col min="7429" max="7429" width="12.85546875" style="2131" customWidth="1"/>
    <col min="7430" max="7430" width="15.5703125" style="2131" customWidth="1"/>
    <col min="7431" max="7431" width="15.85546875" style="2131" customWidth="1"/>
    <col min="7432" max="7432" width="6.42578125" style="2131" customWidth="1"/>
    <col min="7433" max="7433" width="14.28515625" style="2131" bestFit="1" customWidth="1"/>
    <col min="7434" max="7434" width="11.42578125" style="2131" bestFit="1" customWidth="1"/>
    <col min="7435" max="7435" width="17.28515625" style="2131" bestFit="1" customWidth="1"/>
    <col min="7436" max="7436" width="16" style="2131" bestFit="1" customWidth="1"/>
    <col min="7437" max="7680" width="9.140625" style="2131"/>
    <col min="7681" max="7681" width="4.7109375" style="2131" customWidth="1"/>
    <col min="7682" max="7682" width="6.7109375" style="2131" customWidth="1"/>
    <col min="7683" max="7683" width="8.85546875" style="2131" customWidth="1"/>
    <col min="7684" max="7684" width="47.85546875" style="2131" customWidth="1"/>
    <col min="7685" max="7685" width="12.85546875" style="2131" customWidth="1"/>
    <col min="7686" max="7686" width="15.5703125" style="2131" customWidth="1"/>
    <col min="7687" max="7687" width="15.85546875" style="2131" customWidth="1"/>
    <col min="7688" max="7688" width="6.42578125" style="2131" customWidth="1"/>
    <col min="7689" max="7689" width="14.28515625" style="2131" bestFit="1" customWidth="1"/>
    <col min="7690" max="7690" width="11.42578125" style="2131" bestFit="1" customWidth="1"/>
    <col min="7691" max="7691" width="17.28515625" style="2131" bestFit="1" customWidth="1"/>
    <col min="7692" max="7692" width="16" style="2131" bestFit="1" customWidth="1"/>
    <col min="7693" max="7936" width="9.140625" style="2131"/>
    <col min="7937" max="7937" width="4.7109375" style="2131" customWidth="1"/>
    <col min="7938" max="7938" width="6.7109375" style="2131" customWidth="1"/>
    <col min="7939" max="7939" width="8.85546875" style="2131" customWidth="1"/>
    <col min="7940" max="7940" width="47.85546875" style="2131" customWidth="1"/>
    <col min="7941" max="7941" width="12.85546875" style="2131" customWidth="1"/>
    <col min="7942" max="7942" width="15.5703125" style="2131" customWidth="1"/>
    <col min="7943" max="7943" width="15.85546875" style="2131" customWidth="1"/>
    <col min="7944" max="7944" width="6.42578125" style="2131" customWidth="1"/>
    <col min="7945" max="7945" width="14.28515625" style="2131" bestFit="1" customWidth="1"/>
    <col min="7946" max="7946" width="11.42578125" style="2131" bestFit="1" customWidth="1"/>
    <col min="7947" max="7947" width="17.28515625" style="2131" bestFit="1" customWidth="1"/>
    <col min="7948" max="7948" width="16" style="2131" bestFit="1" customWidth="1"/>
    <col min="7949" max="8192" width="9.140625" style="2131"/>
    <col min="8193" max="8193" width="4.7109375" style="2131" customWidth="1"/>
    <col min="8194" max="8194" width="6.7109375" style="2131" customWidth="1"/>
    <col min="8195" max="8195" width="8.85546875" style="2131" customWidth="1"/>
    <col min="8196" max="8196" width="47.85546875" style="2131" customWidth="1"/>
    <col min="8197" max="8197" width="12.85546875" style="2131" customWidth="1"/>
    <col min="8198" max="8198" width="15.5703125" style="2131" customWidth="1"/>
    <col min="8199" max="8199" width="15.85546875" style="2131" customWidth="1"/>
    <col min="8200" max="8200" width="6.42578125" style="2131" customWidth="1"/>
    <col min="8201" max="8201" width="14.28515625" style="2131" bestFit="1" customWidth="1"/>
    <col min="8202" max="8202" width="11.42578125" style="2131" bestFit="1" customWidth="1"/>
    <col min="8203" max="8203" width="17.28515625" style="2131" bestFit="1" customWidth="1"/>
    <col min="8204" max="8204" width="16" style="2131" bestFit="1" customWidth="1"/>
    <col min="8205" max="8448" width="9.140625" style="2131"/>
    <col min="8449" max="8449" width="4.7109375" style="2131" customWidth="1"/>
    <col min="8450" max="8450" width="6.7109375" style="2131" customWidth="1"/>
    <col min="8451" max="8451" width="8.85546875" style="2131" customWidth="1"/>
    <col min="8452" max="8452" width="47.85546875" style="2131" customWidth="1"/>
    <col min="8453" max="8453" width="12.85546875" style="2131" customWidth="1"/>
    <col min="8454" max="8454" width="15.5703125" style="2131" customWidth="1"/>
    <col min="8455" max="8455" width="15.85546875" style="2131" customWidth="1"/>
    <col min="8456" max="8456" width="6.42578125" style="2131" customWidth="1"/>
    <col min="8457" max="8457" width="14.28515625" style="2131" bestFit="1" customWidth="1"/>
    <col min="8458" max="8458" width="11.42578125" style="2131" bestFit="1" customWidth="1"/>
    <col min="8459" max="8459" width="17.28515625" style="2131" bestFit="1" customWidth="1"/>
    <col min="8460" max="8460" width="16" style="2131" bestFit="1" customWidth="1"/>
    <col min="8461" max="8704" width="9.140625" style="2131"/>
    <col min="8705" max="8705" width="4.7109375" style="2131" customWidth="1"/>
    <col min="8706" max="8706" width="6.7109375" style="2131" customWidth="1"/>
    <col min="8707" max="8707" width="8.85546875" style="2131" customWidth="1"/>
    <col min="8708" max="8708" width="47.85546875" style="2131" customWidth="1"/>
    <col min="8709" max="8709" width="12.85546875" style="2131" customWidth="1"/>
    <col min="8710" max="8710" width="15.5703125" style="2131" customWidth="1"/>
    <col min="8711" max="8711" width="15.85546875" style="2131" customWidth="1"/>
    <col min="8712" max="8712" width="6.42578125" style="2131" customWidth="1"/>
    <col min="8713" max="8713" width="14.28515625" style="2131" bestFit="1" customWidth="1"/>
    <col min="8714" max="8714" width="11.42578125" style="2131" bestFit="1" customWidth="1"/>
    <col min="8715" max="8715" width="17.28515625" style="2131" bestFit="1" customWidth="1"/>
    <col min="8716" max="8716" width="16" style="2131" bestFit="1" customWidth="1"/>
    <col min="8717" max="8960" width="9.140625" style="2131"/>
    <col min="8961" max="8961" width="4.7109375" style="2131" customWidth="1"/>
    <col min="8962" max="8962" width="6.7109375" style="2131" customWidth="1"/>
    <col min="8963" max="8963" width="8.85546875" style="2131" customWidth="1"/>
    <col min="8964" max="8964" width="47.85546875" style="2131" customWidth="1"/>
    <col min="8965" max="8965" width="12.85546875" style="2131" customWidth="1"/>
    <col min="8966" max="8966" width="15.5703125" style="2131" customWidth="1"/>
    <col min="8967" max="8967" width="15.85546875" style="2131" customWidth="1"/>
    <col min="8968" max="8968" width="6.42578125" style="2131" customWidth="1"/>
    <col min="8969" max="8969" width="14.28515625" style="2131" bestFit="1" customWidth="1"/>
    <col min="8970" max="8970" width="11.42578125" style="2131" bestFit="1" customWidth="1"/>
    <col min="8971" max="8971" width="17.28515625" style="2131" bestFit="1" customWidth="1"/>
    <col min="8972" max="8972" width="16" style="2131" bestFit="1" customWidth="1"/>
    <col min="8973" max="9216" width="9.140625" style="2131"/>
    <col min="9217" max="9217" width="4.7109375" style="2131" customWidth="1"/>
    <col min="9218" max="9218" width="6.7109375" style="2131" customWidth="1"/>
    <col min="9219" max="9219" width="8.85546875" style="2131" customWidth="1"/>
    <col min="9220" max="9220" width="47.85546875" style="2131" customWidth="1"/>
    <col min="9221" max="9221" width="12.85546875" style="2131" customWidth="1"/>
    <col min="9222" max="9222" width="15.5703125" style="2131" customWidth="1"/>
    <col min="9223" max="9223" width="15.85546875" style="2131" customWidth="1"/>
    <col min="9224" max="9224" width="6.42578125" style="2131" customWidth="1"/>
    <col min="9225" max="9225" width="14.28515625" style="2131" bestFit="1" customWidth="1"/>
    <col min="9226" max="9226" width="11.42578125" style="2131" bestFit="1" customWidth="1"/>
    <col min="9227" max="9227" width="17.28515625" style="2131" bestFit="1" customWidth="1"/>
    <col min="9228" max="9228" width="16" style="2131" bestFit="1" customWidth="1"/>
    <col min="9229" max="9472" width="9.140625" style="2131"/>
    <col min="9473" max="9473" width="4.7109375" style="2131" customWidth="1"/>
    <col min="9474" max="9474" width="6.7109375" style="2131" customWidth="1"/>
    <col min="9475" max="9475" width="8.85546875" style="2131" customWidth="1"/>
    <col min="9476" max="9476" width="47.85546875" style="2131" customWidth="1"/>
    <col min="9477" max="9477" width="12.85546875" style="2131" customWidth="1"/>
    <col min="9478" max="9478" width="15.5703125" style="2131" customWidth="1"/>
    <col min="9479" max="9479" width="15.85546875" style="2131" customWidth="1"/>
    <col min="9480" max="9480" width="6.42578125" style="2131" customWidth="1"/>
    <col min="9481" max="9481" width="14.28515625" style="2131" bestFit="1" customWidth="1"/>
    <col min="9482" max="9482" width="11.42578125" style="2131" bestFit="1" customWidth="1"/>
    <col min="9483" max="9483" width="17.28515625" style="2131" bestFit="1" customWidth="1"/>
    <col min="9484" max="9484" width="16" style="2131" bestFit="1" customWidth="1"/>
    <col min="9485" max="9728" width="9.140625" style="2131"/>
    <col min="9729" max="9729" width="4.7109375" style="2131" customWidth="1"/>
    <col min="9730" max="9730" width="6.7109375" style="2131" customWidth="1"/>
    <col min="9731" max="9731" width="8.85546875" style="2131" customWidth="1"/>
    <col min="9732" max="9732" width="47.85546875" style="2131" customWidth="1"/>
    <col min="9733" max="9733" width="12.85546875" style="2131" customWidth="1"/>
    <col min="9734" max="9734" width="15.5703125" style="2131" customWidth="1"/>
    <col min="9735" max="9735" width="15.85546875" style="2131" customWidth="1"/>
    <col min="9736" max="9736" width="6.42578125" style="2131" customWidth="1"/>
    <col min="9737" max="9737" width="14.28515625" style="2131" bestFit="1" customWidth="1"/>
    <col min="9738" max="9738" width="11.42578125" style="2131" bestFit="1" customWidth="1"/>
    <col min="9739" max="9739" width="17.28515625" style="2131" bestFit="1" customWidth="1"/>
    <col min="9740" max="9740" width="16" style="2131" bestFit="1" customWidth="1"/>
    <col min="9741" max="9984" width="9.140625" style="2131"/>
    <col min="9985" max="9985" width="4.7109375" style="2131" customWidth="1"/>
    <col min="9986" max="9986" width="6.7109375" style="2131" customWidth="1"/>
    <col min="9987" max="9987" width="8.85546875" style="2131" customWidth="1"/>
    <col min="9988" max="9988" width="47.85546875" style="2131" customWidth="1"/>
    <col min="9989" max="9989" width="12.85546875" style="2131" customWidth="1"/>
    <col min="9990" max="9990" width="15.5703125" style="2131" customWidth="1"/>
    <col min="9991" max="9991" width="15.85546875" style="2131" customWidth="1"/>
    <col min="9992" max="9992" width="6.42578125" style="2131" customWidth="1"/>
    <col min="9993" max="9993" width="14.28515625" style="2131" bestFit="1" customWidth="1"/>
    <col min="9994" max="9994" width="11.42578125" style="2131" bestFit="1" customWidth="1"/>
    <col min="9995" max="9995" width="17.28515625" style="2131" bestFit="1" customWidth="1"/>
    <col min="9996" max="9996" width="16" style="2131" bestFit="1" customWidth="1"/>
    <col min="9997" max="10240" width="9.140625" style="2131"/>
    <col min="10241" max="10241" width="4.7109375" style="2131" customWidth="1"/>
    <col min="10242" max="10242" width="6.7109375" style="2131" customWidth="1"/>
    <col min="10243" max="10243" width="8.85546875" style="2131" customWidth="1"/>
    <col min="10244" max="10244" width="47.85546875" style="2131" customWidth="1"/>
    <col min="10245" max="10245" width="12.85546875" style="2131" customWidth="1"/>
    <col min="10246" max="10246" width="15.5703125" style="2131" customWidth="1"/>
    <col min="10247" max="10247" width="15.85546875" style="2131" customWidth="1"/>
    <col min="10248" max="10248" width="6.42578125" style="2131" customWidth="1"/>
    <col min="10249" max="10249" width="14.28515625" style="2131" bestFit="1" customWidth="1"/>
    <col min="10250" max="10250" width="11.42578125" style="2131" bestFit="1" customWidth="1"/>
    <col min="10251" max="10251" width="17.28515625" style="2131" bestFit="1" customWidth="1"/>
    <col min="10252" max="10252" width="16" style="2131" bestFit="1" customWidth="1"/>
    <col min="10253" max="10496" width="9.140625" style="2131"/>
    <col min="10497" max="10497" width="4.7109375" style="2131" customWidth="1"/>
    <col min="10498" max="10498" width="6.7109375" style="2131" customWidth="1"/>
    <col min="10499" max="10499" width="8.85546875" style="2131" customWidth="1"/>
    <col min="10500" max="10500" width="47.85546875" style="2131" customWidth="1"/>
    <col min="10501" max="10501" width="12.85546875" style="2131" customWidth="1"/>
    <col min="10502" max="10502" width="15.5703125" style="2131" customWidth="1"/>
    <col min="10503" max="10503" width="15.85546875" style="2131" customWidth="1"/>
    <col min="10504" max="10504" width="6.42578125" style="2131" customWidth="1"/>
    <col min="10505" max="10505" width="14.28515625" style="2131" bestFit="1" customWidth="1"/>
    <col min="10506" max="10506" width="11.42578125" style="2131" bestFit="1" customWidth="1"/>
    <col min="10507" max="10507" width="17.28515625" style="2131" bestFit="1" customWidth="1"/>
    <col min="10508" max="10508" width="16" style="2131" bestFit="1" customWidth="1"/>
    <col min="10509" max="10752" width="9.140625" style="2131"/>
    <col min="10753" max="10753" width="4.7109375" style="2131" customWidth="1"/>
    <col min="10754" max="10754" width="6.7109375" style="2131" customWidth="1"/>
    <col min="10755" max="10755" width="8.85546875" style="2131" customWidth="1"/>
    <col min="10756" max="10756" width="47.85546875" style="2131" customWidth="1"/>
    <col min="10757" max="10757" width="12.85546875" style="2131" customWidth="1"/>
    <col min="10758" max="10758" width="15.5703125" style="2131" customWidth="1"/>
    <col min="10759" max="10759" width="15.85546875" style="2131" customWidth="1"/>
    <col min="10760" max="10760" width="6.42578125" style="2131" customWidth="1"/>
    <col min="10761" max="10761" width="14.28515625" style="2131" bestFit="1" customWidth="1"/>
    <col min="10762" max="10762" width="11.42578125" style="2131" bestFit="1" customWidth="1"/>
    <col min="10763" max="10763" width="17.28515625" style="2131" bestFit="1" customWidth="1"/>
    <col min="10764" max="10764" width="16" style="2131" bestFit="1" customWidth="1"/>
    <col min="10765" max="11008" width="9.140625" style="2131"/>
    <col min="11009" max="11009" width="4.7109375" style="2131" customWidth="1"/>
    <col min="11010" max="11010" width="6.7109375" style="2131" customWidth="1"/>
    <col min="11011" max="11011" width="8.85546875" style="2131" customWidth="1"/>
    <col min="11012" max="11012" width="47.85546875" style="2131" customWidth="1"/>
    <col min="11013" max="11013" width="12.85546875" style="2131" customWidth="1"/>
    <col min="11014" max="11014" width="15.5703125" style="2131" customWidth="1"/>
    <col min="11015" max="11015" width="15.85546875" style="2131" customWidth="1"/>
    <col min="11016" max="11016" width="6.42578125" style="2131" customWidth="1"/>
    <col min="11017" max="11017" width="14.28515625" style="2131" bestFit="1" customWidth="1"/>
    <col min="11018" max="11018" width="11.42578125" style="2131" bestFit="1" customWidth="1"/>
    <col min="11019" max="11019" width="17.28515625" style="2131" bestFit="1" customWidth="1"/>
    <col min="11020" max="11020" width="16" style="2131" bestFit="1" customWidth="1"/>
    <col min="11021" max="11264" width="9.140625" style="2131"/>
    <col min="11265" max="11265" width="4.7109375" style="2131" customWidth="1"/>
    <col min="11266" max="11266" width="6.7109375" style="2131" customWidth="1"/>
    <col min="11267" max="11267" width="8.85546875" style="2131" customWidth="1"/>
    <col min="11268" max="11268" width="47.85546875" style="2131" customWidth="1"/>
    <col min="11269" max="11269" width="12.85546875" style="2131" customWidth="1"/>
    <col min="11270" max="11270" width="15.5703125" style="2131" customWidth="1"/>
    <col min="11271" max="11271" width="15.85546875" style="2131" customWidth="1"/>
    <col min="11272" max="11272" width="6.42578125" style="2131" customWidth="1"/>
    <col min="11273" max="11273" width="14.28515625" style="2131" bestFit="1" customWidth="1"/>
    <col min="11274" max="11274" width="11.42578125" style="2131" bestFit="1" customWidth="1"/>
    <col min="11275" max="11275" width="17.28515625" style="2131" bestFit="1" customWidth="1"/>
    <col min="11276" max="11276" width="16" style="2131" bestFit="1" customWidth="1"/>
    <col min="11277" max="11520" width="9.140625" style="2131"/>
    <col min="11521" max="11521" width="4.7109375" style="2131" customWidth="1"/>
    <col min="11522" max="11522" width="6.7109375" style="2131" customWidth="1"/>
    <col min="11523" max="11523" width="8.85546875" style="2131" customWidth="1"/>
    <col min="11524" max="11524" width="47.85546875" style="2131" customWidth="1"/>
    <col min="11525" max="11525" width="12.85546875" style="2131" customWidth="1"/>
    <col min="11526" max="11526" width="15.5703125" style="2131" customWidth="1"/>
    <col min="11527" max="11527" width="15.85546875" style="2131" customWidth="1"/>
    <col min="11528" max="11528" width="6.42578125" style="2131" customWidth="1"/>
    <col min="11529" max="11529" width="14.28515625" style="2131" bestFit="1" customWidth="1"/>
    <col min="11530" max="11530" width="11.42578125" style="2131" bestFit="1" customWidth="1"/>
    <col min="11531" max="11531" width="17.28515625" style="2131" bestFit="1" customWidth="1"/>
    <col min="11532" max="11532" width="16" style="2131" bestFit="1" customWidth="1"/>
    <col min="11533" max="11776" width="9.140625" style="2131"/>
    <col min="11777" max="11777" width="4.7109375" style="2131" customWidth="1"/>
    <col min="11778" max="11778" width="6.7109375" style="2131" customWidth="1"/>
    <col min="11779" max="11779" width="8.85546875" style="2131" customWidth="1"/>
    <col min="11780" max="11780" width="47.85546875" style="2131" customWidth="1"/>
    <col min="11781" max="11781" width="12.85546875" style="2131" customWidth="1"/>
    <col min="11782" max="11782" width="15.5703125" style="2131" customWidth="1"/>
    <col min="11783" max="11783" width="15.85546875" style="2131" customWidth="1"/>
    <col min="11784" max="11784" width="6.42578125" style="2131" customWidth="1"/>
    <col min="11785" max="11785" width="14.28515625" style="2131" bestFit="1" customWidth="1"/>
    <col min="11786" max="11786" width="11.42578125" style="2131" bestFit="1" customWidth="1"/>
    <col min="11787" max="11787" width="17.28515625" style="2131" bestFit="1" customWidth="1"/>
    <col min="11788" max="11788" width="16" style="2131" bestFit="1" customWidth="1"/>
    <col min="11789" max="12032" width="9.140625" style="2131"/>
    <col min="12033" max="12033" width="4.7109375" style="2131" customWidth="1"/>
    <col min="12034" max="12034" width="6.7109375" style="2131" customWidth="1"/>
    <col min="12035" max="12035" width="8.85546875" style="2131" customWidth="1"/>
    <col min="12036" max="12036" width="47.85546875" style="2131" customWidth="1"/>
    <col min="12037" max="12037" width="12.85546875" style="2131" customWidth="1"/>
    <col min="12038" max="12038" width="15.5703125" style="2131" customWidth="1"/>
    <col min="12039" max="12039" width="15.85546875" style="2131" customWidth="1"/>
    <col min="12040" max="12040" width="6.42578125" style="2131" customWidth="1"/>
    <col min="12041" max="12041" width="14.28515625" style="2131" bestFit="1" customWidth="1"/>
    <col min="12042" max="12042" width="11.42578125" style="2131" bestFit="1" customWidth="1"/>
    <col min="12043" max="12043" width="17.28515625" style="2131" bestFit="1" customWidth="1"/>
    <col min="12044" max="12044" width="16" style="2131" bestFit="1" customWidth="1"/>
    <col min="12045" max="12288" width="9.140625" style="2131"/>
    <col min="12289" max="12289" width="4.7109375" style="2131" customWidth="1"/>
    <col min="12290" max="12290" width="6.7109375" style="2131" customWidth="1"/>
    <col min="12291" max="12291" width="8.85546875" style="2131" customWidth="1"/>
    <col min="12292" max="12292" width="47.85546875" style="2131" customWidth="1"/>
    <col min="12293" max="12293" width="12.85546875" style="2131" customWidth="1"/>
    <col min="12294" max="12294" width="15.5703125" style="2131" customWidth="1"/>
    <col min="12295" max="12295" width="15.85546875" style="2131" customWidth="1"/>
    <col min="12296" max="12296" width="6.42578125" style="2131" customWidth="1"/>
    <col min="12297" max="12297" width="14.28515625" style="2131" bestFit="1" customWidth="1"/>
    <col min="12298" max="12298" width="11.42578125" style="2131" bestFit="1" customWidth="1"/>
    <col min="12299" max="12299" width="17.28515625" style="2131" bestFit="1" customWidth="1"/>
    <col min="12300" max="12300" width="16" style="2131" bestFit="1" customWidth="1"/>
    <col min="12301" max="12544" width="9.140625" style="2131"/>
    <col min="12545" max="12545" width="4.7109375" style="2131" customWidth="1"/>
    <col min="12546" max="12546" width="6.7109375" style="2131" customWidth="1"/>
    <col min="12547" max="12547" width="8.85546875" style="2131" customWidth="1"/>
    <col min="12548" max="12548" width="47.85546875" style="2131" customWidth="1"/>
    <col min="12549" max="12549" width="12.85546875" style="2131" customWidth="1"/>
    <col min="12550" max="12550" width="15.5703125" style="2131" customWidth="1"/>
    <col min="12551" max="12551" width="15.85546875" style="2131" customWidth="1"/>
    <col min="12552" max="12552" width="6.42578125" style="2131" customWidth="1"/>
    <col min="12553" max="12553" width="14.28515625" style="2131" bestFit="1" customWidth="1"/>
    <col min="12554" max="12554" width="11.42578125" style="2131" bestFit="1" customWidth="1"/>
    <col min="12555" max="12555" width="17.28515625" style="2131" bestFit="1" customWidth="1"/>
    <col min="12556" max="12556" width="16" style="2131" bestFit="1" customWidth="1"/>
    <col min="12557" max="12800" width="9.140625" style="2131"/>
    <col min="12801" max="12801" width="4.7109375" style="2131" customWidth="1"/>
    <col min="12802" max="12802" width="6.7109375" style="2131" customWidth="1"/>
    <col min="12803" max="12803" width="8.85546875" style="2131" customWidth="1"/>
    <col min="12804" max="12804" width="47.85546875" style="2131" customWidth="1"/>
    <col min="12805" max="12805" width="12.85546875" style="2131" customWidth="1"/>
    <col min="12806" max="12806" width="15.5703125" style="2131" customWidth="1"/>
    <col min="12807" max="12807" width="15.85546875" style="2131" customWidth="1"/>
    <col min="12808" max="12808" width="6.42578125" style="2131" customWidth="1"/>
    <col min="12809" max="12809" width="14.28515625" style="2131" bestFit="1" customWidth="1"/>
    <col min="12810" max="12810" width="11.42578125" style="2131" bestFit="1" customWidth="1"/>
    <col min="12811" max="12811" width="17.28515625" style="2131" bestFit="1" customWidth="1"/>
    <col min="12812" max="12812" width="16" style="2131" bestFit="1" customWidth="1"/>
    <col min="12813" max="13056" width="9.140625" style="2131"/>
    <col min="13057" max="13057" width="4.7109375" style="2131" customWidth="1"/>
    <col min="13058" max="13058" width="6.7109375" style="2131" customWidth="1"/>
    <col min="13059" max="13059" width="8.85546875" style="2131" customWidth="1"/>
    <col min="13060" max="13060" width="47.85546875" style="2131" customWidth="1"/>
    <col min="13061" max="13061" width="12.85546875" style="2131" customWidth="1"/>
    <col min="13062" max="13062" width="15.5703125" style="2131" customWidth="1"/>
    <col min="13063" max="13063" width="15.85546875" style="2131" customWidth="1"/>
    <col min="13064" max="13064" width="6.42578125" style="2131" customWidth="1"/>
    <col min="13065" max="13065" width="14.28515625" style="2131" bestFit="1" customWidth="1"/>
    <col min="13066" max="13066" width="11.42578125" style="2131" bestFit="1" customWidth="1"/>
    <col min="13067" max="13067" width="17.28515625" style="2131" bestFit="1" customWidth="1"/>
    <col min="13068" max="13068" width="16" style="2131" bestFit="1" customWidth="1"/>
    <col min="13069" max="13312" width="9.140625" style="2131"/>
    <col min="13313" max="13313" width="4.7109375" style="2131" customWidth="1"/>
    <col min="13314" max="13314" width="6.7109375" style="2131" customWidth="1"/>
    <col min="13315" max="13315" width="8.85546875" style="2131" customWidth="1"/>
    <col min="13316" max="13316" width="47.85546875" style="2131" customWidth="1"/>
    <col min="13317" max="13317" width="12.85546875" style="2131" customWidth="1"/>
    <col min="13318" max="13318" width="15.5703125" style="2131" customWidth="1"/>
    <col min="13319" max="13319" width="15.85546875" style="2131" customWidth="1"/>
    <col min="13320" max="13320" width="6.42578125" style="2131" customWidth="1"/>
    <col min="13321" max="13321" width="14.28515625" style="2131" bestFit="1" customWidth="1"/>
    <col min="13322" max="13322" width="11.42578125" style="2131" bestFit="1" customWidth="1"/>
    <col min="13323" max="13323" width="17.28515625" style="2131" bestFit="1" customWidth="1"/>
    <col min="13324" max="13324" width="16" style="2131" bestFit="1" customWidth="1"/>
    <col min="13325" max="13568" width="9.140625" style="2131"/>
    <col min="13569" max="13569" width="4.7109375" style="2131" customWidth="1"/>
    <col min="13570" max="13570" width="6.7109375" style="2131" customWidth="1"/>
    <col min="13571" max="13571" width="8.85546875" style="2131" customWidth="1"/>
    <col min="13572" max="13572" width="47.85546875" style="2131" customWidth="1"/>
    <col min="13573" max="13573" width="12.85546875" style="2131" customWidth="1"/>
    <col min="13574" max="13574" width="15.5703125" style="2131" customWidth="1"/>
    <col min="13575" max="13575" width="15.85546875" style="2131" customWidth="1"/>
    <col min="13576" max="13576" width="6.42578125" style="2131" customWidth="1"/>
    <col min="13577" max="13577" width="14.28515625" style="2131" bestFit="1" customWidth="1"/>
    <col min="13578" max="13578" width="11.42578125" style="2131" bestFit="1" customWidth="1"/>
    <col min="13579" max="13579" width="17.28515625" style="2131" bestFit="1" customWidth="1"/>
    <col min="13580" max="13580" width="16" style="2131" bestFit="1" customWidth="1"/>
    <col min="13581" max="13824" width="9.140625" style="2131"/>
    <col min="13825" max="13825" width="4.7109375" style="2131" customWidth="1"/>
    <col min="13826" max="13826" width="6.7109375" style="2131" customWidth="1"/>
    <col min="13827" max="13827" width="8.85546875" style="2131" customWidth="1"/>
    <col min="13828" max="13828" width="47.85546875" style="2131" customWidth="1"/>
    <col min="13829" max="13829" width="12.85546875" style="2131" customWidth="1"/>
    <col min="13830" max="13830" width="15.5703125" style="2131" customWidth="1"/>
    <col min="13831" max="13831" width="15.85546875" style="2131" customWidth="1"/>
    <col min="13832" max="13832" width="6.42578125" style="2131" customWidth="1"/>
    <col min="13833" max="13833" width="14.28515625" style="2131" bestFit="1" customWidth="1"/>
    <col min="13834" max="13834" width="11.42578125" style="2131" bestFit="1" customWidth="1"/>
    <col min="13835" max="13835" width="17.28515625" style="2131" bestFit="1" customWidth="1"/>
    <col min="13836" max="13836" width="16" style="2131" bestFit="1" customWidth="1"/>
    <col min="13837" max="14080" width="9.140625" style="2131"/>
    <col min="14081" max="14081" width="4.7109375" style="2131" customWidth="1"/>
    <col min="14082" max="14082" width="6.7109375" style="2131" customWidth="1"/>
    <col min="14083" max="14083" width="8.85546875" style="2131" customWidth="1"/>
    <col min="14084" max="14084" width="47.85546875" style="2131" customWidth="1"/>
    <col min="14085" max="14085" width="12.85546875" style="2131" customWidth="1"/>
    <col min="14086" max="14086" width="15.5703125" style="2131" customWidth="1"/>
    <col min="14087" max="14087" width="15.85546875" style="2131" customWidth="1"/>
    <col min="14088" max="14088" width="6.42578125" style="2131" customWidth="1"/>
    <col min="14089" max="14089" width="14.28515625" style="2131" bestFit="1" customWidth="1"/>
    <col min="14090" max="14090" width="11.42578125" style="2131" bestFit="1" customWidth="1"/>
    <col min="14091" max="14091" width="17.28515625" style="2131" bestFit="1" customWidth="1"/>
    <col min="14092" max="14092" width="16" style="2131" bestFit="1" customWidth="1"/>
    <col min="14093" max="14336" width="9.140625" style="2131"/>
    <col min="14337" max="14337" width="4.7109375" style="2131" customWidth="1"/>
    <col min="14338" max="14338" width="6.7109375" style="2131" customWidth="1"/>
    <col min="14339" max="14339" width="8.85546875" style="2131" customWidth="1"/>
    <col min="14340" max="14340" width="47.85546875" style="2131" customWidth="1"/>
    <col min="14341" max="14341" width="12.85546875" style="2131" customWidth="1"/>
    <col min="14342" max="14342" width="15.5703125" style="2131" customWidth="1"/>
    <col min="14343" max="14343" width="15.85546875" style="2131" customWidth="1"/>
    <col min="14344" max="14344" width="6.42578125" style="2131" customWidth="1"/>
    <col min="14345" max="14345" width="14.28515625" style="2131" bestFit="1" customWidth="1"/>
    <col min="14346" max="14346" width="11.42578125" style="2131" bestFit="1" customWidth="1"/>
    <col min="14347" max="14347" width="17.28515625" style="2131" bestFit="1" customWidth="1"/>
    <col min="14348" max="14348" width="16" style="2131" bestFit="1" customWidth="1"/>
    <col min="14349" max="14592" width="9.140625" style="2131"/>
    <col min="14593" max="14593" width="4.7109375" style="2131" customWidth="1"/>
    <col min="14594" max="14594" width="6.7109375" style="2131" customWidth="1"/>
    <col min="14595" max="14595" width="8.85546875" style="2131" customWidth="1"/>
    <col min="14596" max="14596" width="47.85546875" style="2131" customWidth="1"/>
    <col min="14597" max="14597" width="12.85546875" style="2131" customWidth="1"/>
    <col min="14598" max="14598" width="15.5703125" style="2131" customWidth="1"/>
    <col min="14599" max="14599" width="15.85546875" style="2131" customWidth="1"/>
    <col min="14600" max="14600" width="6.42578125" style="2131" customWidth="1"/>
    <col min="14601" max="14601" width="14.28515625" style="2131" bestFit="1" customWidth="1"/>
    <col min="14602" max="14602" width="11.42578125" style="2131" bestFit="1" customWidth="1"/>
    <col min="14603" max="14603" width="17.28515625" style="2131" bestFit="1" customWidth="1"/>
    <col min="14604" max="14604" width="16" style="2131" bestFit="1" customWidth="1"/>
    <col min="14605" max="14848" width="9.140625" style="2131"/>
    <col min="14849" max="14849" width="4.7109375" style="2131" customWidth="1"/>
    <col min="14850" max="14850" width="6.7109375" style="2131" customWidth="1"/>
    <col min="14851" max="14851" width="8.85546875" style="2131" customWidth="1"/>
    <col min="14852" max="14852" width="47.85546875" style="2131" customWidth="1"/>
    <col min="14853" max="14853" width="12.85546875" style="2131" customWidth="1"/>
    <col min="14854" max="14854" width="15.5703125" style="2131" customWidth="1"/>
    <col min="14855" max="14855" width="15.85546875" style="2131" customWidth="1"/>
    <col min="14856" max="14856" width="6.42578125" style="2131" customWidth="1"/>
    <col min="14857" max="14857" width="14.28515625" style="2131" bestFit="1" customWidth="1"/>
    <col min="14858" max="14858" width="11.42578125" style="2131" bestFit="1" customWidth="1"/>
    <col min="14859" max="14859" width="17.28515625" style="2131" bestFit="1" customWidth="1"/>
    <col min="14860" max="14860" width="16" style="2131" bestFit="1" customWidth="1"/>
    <col min="14861" max="15104" width="9.140625" style="2131"/>
    <col min="15105" max="15105" width="4.7109375" style="2131" customWidth="1"/>
    <col min="15106" max="15106" width="6.7109375" style="2131" customWidth="1"/>
    <col min="15107" max="15107" width="8.85546875" style="2131" customWidth="1"/>
    <col min="15108" max="15108" width="47.85546875" style="2131" customWidth="1"/>
    <col min="15109" max="15109" width="12.85546875" style="2131" customWidth="1"/>
    <col min="15110" max="15110" width="15.5703125" style="2131" customWidth="1"/>
    <col min="15111" max="15111" width="15.85546875" style="2131" customWidth="1"/>
    <col min="15112" max="15112" width="6.42578125" style="2131" customWidth="1"/>
    <col min="15113" max="15113" width="14.28515625" style="2131" bestFit="1" customWidth="1"/>
    <col min="15114" max="15114" width="11.42578125" style="2131" bestFit="1" customWidth="1"/>
    <col min="15115" max="15115" width="17.28515625" style="2131" bestFit="1" customWidth="1"/>
    <col min="15116" max="15116" width="16" style="2131" bestFit="1" customWidth="1"/>
    <col min="15117" max="15360" width="9.140625" style="2131"/>
    <col min="15361" max="15361" width="4.7109375" style="2131" customWidth="1"/>
    <col min="15362" max="15362" width="6.7109375" style="2131" customWidth="1"/>
    <col min="15363" max="15363" width="8.85546875" style="2131" customWidth="1"/>
    <col min="15364" max="15364" width="47.85546875" style="2131" customWidth="1"/>
    <col min="15365" max="15365" width="12.85546875" style="2131" customWidth="1"/>
    <col min="15366" max="15366" width="15.5703125" style="2131" customWidth="1"/>
    <col min="15367" max="15367" width="15.85546875" style="2131" customWidth="1"/>
    <col min="15368" max="15368" width="6.42578125" style="2131" customWidth="1"/>
    <col min="15369" max="15369" width="14.28515625" style="2131" bestFit="1" customWidth="1"/>
    <col min="15370" max="15370" width="11.42578125" style="2131" bestFit="1" customWidth="1"/>
    <col min="15371" max="15371" width="17.28515625" style="2131" bestFit="1" customWidth="1"/>
    <col min="15372" max="15372" width="16" style="2131" bestFit="1" customWidth="1"/>
    <col min="15373" max="15616" width="9.140625" style="2131"/>
    <col min="15617" max="15617" width="4.7109375" style="2131" customWidth="1"/>
    <col min="15618" max="15618" width="6.7109375" style="2131" customWidth="1"/>
    <col min="15619" max="15619" width="8.85546875" style="2131" customWidth="1"/>
    <col min="15620" max="15620" width="47.85546875" style="2131" customWidth="1"/>
    <col min="15621" max="15621" width="12.85546875" style="2131" customWidth="1"/>
    <col min="15622" max="15622" width="15.5703125" style="2131" customWidth="1"/>
    <col min="15623" max="15623" width="15.85546875" style="2131" customWidth="1"/>
    <col min="15624" max="15624" width="6.42578125" style="2131" customWidth="1"/>
    <col min="15625" max="15625" width="14.28515625" style="2131" bestFit="1" customWidth="1"/>
    <col min="15626" max="15626" width="11.42578125" style="2131" bestFit="1" customWidth="1"/>
    <col min="15627" max="15627" width="17.28515625" style="2131" bestFit="1" customWidth="1"/>
    <col min="15628" max="15628" width="16" style="2131" bestFit="1" customWidth="1"/>
    <col min="15629" max="15872" width="9.140625" style="2131"/>
    <col min="15873" max="15873" width="4.7109375" style="2131" customWidth="1"/>
    <col min="15874" max="15874" width="6.7109375" style="2131" customWidth="1"/>
    <col min="15875" max="15875" width="8.85546875" style="2131" customWidth="1"/>
    <col min="15876" max="15876" width="47.85546875" style="2131" customWidth="1"/>
    <col min="15877" max="15877" width="12.85546875" style="2131" customWidth="1"/>
    <col min="15878" max="15878" width="15.5703125" style="2131" customWidth="1"/>
    <col min="15879" max="15879" width="15.85546875" style="2131" customWidth="1"/>
    <col min="15880" max="15880" width="6.42578125" style="2131" customWidth="1"/>
    <col min="15881" max="15881" width="14.28515625" style="2131" bestFit="1" customWidth="1"/>
    <col min="15882" max="15882" width="11.42578125" style="2131" bestFit="1" customWidth="1"/>
    <col min="15883" max="15883" width="17.28515625" style="2131" bestFit="1" customWidth="1"/>
    <col min="15884" max="15884" width="16" style="2131" bestFit="1" customWidth="1"/>
    <col min="15885" max="16128" width="9.140625" style="2131"/>
    <col min="16129" max="16129" width="4.7109375" style="2131" customWidth="1"/>
    <col min="16130" max="16130" width="6.7109375" style="2131" customWidth="1"/>
    <col min="16131" max="16131" width="8.85546875" style="2131" customWidth="1"/>
    <col min="16132" max="16132" width="47.85546875" style="2131" customWidth="1"/>
    <col min="16133" max="16133" width="12.85546875" style="2131" customWidth="1"/>
    <col min="16134" max="16134" width="15.5703125" style="2131" customWidth="1"/>
    <col min="16135" max="16135" width="15.85546875" style="2131" customWidth="1"/>
    <col min="16136" max="16136" width="6.42578125" style="2131" customWidth="1"/>
    <col min="16137" max="16137" width="14.28515625" style="2131" bestFit="1" customWidth="1"/>
    <col min="16138" max="16138" width="11.42578125" style="2131" bestFit="1" customWidth="1"/>
    <col min="16139" max="16139" width="17.28515625" style="2131" bestFit="1" customWidth="1"/>
    <col min="16140" max="16140" width="16" style="2131" bestFit="1" customWidth="1"/>
    <col min="16141" max="16384" width="9.140625" style="2131"/>
  </cols>
  <sheetData>
    <row r="1" spans="1:8" ht="19.5" customHeight="1" thickBot="1" x14ac:dyDescent="0.3">
      <c r="A1" s="1944" t="s">
        <v>465</v>
      </c>
      <c r="B1" s="1943"/>
      <c r="C1" s="2126"/>
      <c r="D1" s="1941"/>
      <c r="E1" s="1940"/>
      <c r="F1" s="1941"/>
      <c r="G1" s="2250"/>
      <c r="H1" s="1944"/>
    </row>
    <row r="2" spans="1:8" ht="18" x14ac:dyDescent="0.25">
      <c r="A2" s="2135"/>
      <c r="B2" s="2168"/>
      <c r="C2" s="2168"/>
      <c r="D2" s="2168"/>
      <c r="E2" s="2168"/>
      <c r="F2" s="2168"/>
      <c r="G2" s="2168"/>
      <c r="H2" s="2222" t="s">
        <v>466</v>
      </c>
    </row>
    <row r="3" spans="1:8" ht="18" x14ac:dyDescent="0.25">
      <c r="A3" s="1939" t="s">
        <v>404</v>
      </c>
      <c r="B3" s="2168"/>
      <c r="C3" s="2129" t="s">
        <v>379</v>
      </c>
      <c r="D3" s="2168"/>
      <c r="E3" s="2168"/>
      <c r="F3" s="2168"/>
      <c r="G3" s="2168"/>
      <c r="H3" s="2222"/>
    </row>
    <row r="4" spans="1:8" ht="18" x14ac:dyDescent="0.25">
      <c r="A4" s="2135"/>
      <c r="B4" s="2168"/>
      <c r="C4" s="2129" t="s">
        <v>380</v>
      </c>
      <c r="D4" s="2168"/>
      <c r="E4" s="2168"/>
      <c r="F4" s="2168"/>
      <c r="G4" s="2168"/>
      <c r="H4" s="2222"/>
    </row>
    <row r="5" spans="1:8" ht="18" x14ac:dyDescent="0.25">
      <c r="A5" s="2134" t="s">
        <v>467</v>
      </c>
      <c r="B5" s="2168"/>
      <c r="C5" s="2168"/>
      <c r="D5" s="2168"/>
      <c r="E5" s="2168"/>
      <c r="F5" s="2168"/>
      <c r="G5" s="2168"/>
      <c r="H5" s="2222"/>
    </row>
    <row r="7" spans="1:8" ht="15.75" thickBot="1" x14ac:dyDescent="0.3">
      <c r="A7" s="2136" t="s">
        <v>273</v>
      </c>
      <c r="H7" s="2240" t="s">
        <v>179</v>
      </c>
    </row>
    <row r="8" spans="1:8" s="1849" customFormat="1" ht="25.5" thickTop="1" thickBot="1" x14ac:dyDescent="0.25">
      <c r="A8" s="2138" t="s">
        <v>180</v>
      </c>
      <c r="B8" s="2139" t="s">
        <v>847</v>
      </c>
      <c r="C8" s="2139" t="s">
        <v>414</v>
      </c>
      <c r="D8" s="2140" t="s">
        <v>182</v>
      </c>
      <c r="E8" s="2171" t="s">
        <v>700</v>
      </c>
      <c r="F8" s="2171" t="s">
        <v>701</v>
      </c>
      <c r="G8" s="2172" t="s">
        <v>986</v>
      </c>
      <c r="H8" s="2173" t="s">
        <v>987</v>
      </c>
    </row>
    <row r="9" spans="1:8" s="1849" customFormat="1" ht="13.5" thickTop="1" thickBot="1" x14ac:dyDescent="0.25">
      <c r="A9" s="1854">
        <v>1</v>
      </c>
      <c r="B9" s="1853">
        <v>2</v>
      </c>
      <c r="C9" s="1853">
        <v>3</v>
      </c>
      <c r="D9" s="1853">
        <v>4</v>
      </c>
      <c r="E9" s="1852">
        <v>5</v>
      </c>
      <c r="F9" s="1852">
        <v>6</v>
      </c>
      <c r="G9" s="2223">
        <v>7</v>
      </c>
      <c r="H9" s="2251" t="s">
        <v>61</v>
      </c>
    </row>
    <row r="10" spans="1:8" s="2185" customFormat="1" ht="45.75" customHeight="1" thickTop="1" x14ac:dyDescent="0.2">
      <c r="A10" s="2182">
        <v>3299</v>
      </c>
      <c r="B10" s="2183">
        <v>5213</v>
      </c>
      <c r="C10" s="2183">
        <v>32133006</v>
      </c>
      <c r="D10" s="2201" t="s">
        <v>1417</v>
      </c>
      <c r="E10" s="2170">
        <v>0</v>
      </c>
      <c r="F10" s="2170">
        <v>88</v>
      </c>
      <c r="G10" s="2170">
        <v>88</v>
      </c>
      <c r="H10" s="2153">
        <f t="shared" ref="H10:H27" si="0">G10/F10*100</f>
        <v>100</v>
      </c>
    </row>
    <row r="11" spans="1:8" s="2185" customFormat="1" ht="45" x14ac:dyDescent="0.2">
      <c r="A11" s="2246">
        <v>3299</v>
      </c>
      <c r="B11" s="2253">
        <v>5213</v>
      </c>
      <c r="C11" s="2253">
        <v>32533006</v>
      </c>
      <c r="D11" s="2174" t="s">
        <v>1417</v>
      </c>
      <c r="E11" s="2184">
        <v>0</v>
      </c>
      <c r="F11" s="2184">
        <v>500</v>
      </c>
      <c r="G11" s="2184">
        <v>500</v>
      </c>
      <c r="H11" s="2156">
        <f t="shared" si="0"/>
        <v>100</v>
      </c>
    </row>
    <row r="12" spans="1:8" s="2185" customFormat="1" ht="30" customHeight="1" x14ac:dyDescent="0.2">
      <c r="A12" s="2246">
        <v>3299</v>
      </c>
      <c r="B12" s="2253">
        <v>5221</v>
      </c>
      <c r="C12" s="2253">
        <v>32133006</v>
      </c>
      <c r="D12" s="2174" t="s">
        <v>1477</v>
      </c>
      <c r="E12" s="2184">
        <v>0</v>
      </c>
      <c r="F12" s="2184">
        <v>616</v>
      </c>
      <c r="G12" s="2184">
        <v>518</v>
      </c>
      <c r="H12" s="2156">
        <f t="shared" si="0"/>
        <v>84.090909090909093</v>
      </c>
    </row>
    <row r="13" spans="1:8" s="2185" customFormat="1" ht="30" x14ac:dyDescent="0.2">
      <c r="A13" s="2246">
        <v>3299</v>
      </c>
      <c r="B13" s="2253">
        <v>5221</v>
      </c>
      <c r="C13" s="2253">
        <v>32533006</v>
      </c>
      <c r="D13" s="2174" t="s">
        <v>1477</v>
      </c>
      <c r="E13" s="2184">
        <v>0</v>
      </c>
      <c r="F13" s="2184">
        <v>3491</v>
      </c>
      <c r="G13" s="2184">
        <v>2937</v>
      </c>
      <c r="H13" s="2156">
        <f t="shared" si="0"/>
        <v>84.130621598395877</v>
      </c>
    </row>
    <row r="14" spans="1:8" s="2185" customFormat="1" ht="30" x14ac:dyDescent="0.2">
      <c r="A14" s="2246">
        <v>3299</v>
      </c>
      <c r="B14" s="2253">
        <v>5223</v>
      </c>
      <c r="C14" s="2253">
        <v>32133006</v>
      </c>
      <c r="D14" s="2174" t="s">
        <v>926</v>
      </c>
      <c r="E14" s="2184">
        <v>0</v>
      </c>
      <c r="F14" s="2184">
        <v>419</v>
      </c>
      <c r="G14" s="2184">
        <v>256</v>
      </c>
      <c r="H14" s="2156">
        <f t="shared" si="0"/>
        <v>61.097852028639622</v>
      </c>
    </row>
    <row r="15" spans="1:8" s="2185" customFormat="1" ht="30" x14ac:dyDescent="0.2">
      <c r="A15" s="2246">
        <v>3299</v>
      </c>
      <c r="B15" s="2253">
        <v>5223</v>
      </c>
      <c r="C15" s="2253">
        <v>32533006</v>
      </c>
      <c r="D15" s="2174" t="s">
        <v>926</v>
      </c>
      <c r="E15" s="2184">
        <v>0</v>
      </c>
      <c r="F15" s="2184">
        <v>2373</v>
      </c>
      <c r="G15" s="2184">
        <v>1449</v>
      </c>
      <c r="H15" s="2156">
        <f t="shared" si="0"/>
        <v>61.06194690265486</v>
      </c>
    </row>
    <row r="16" spans="1:8" ht="15" customHeight="1" x14ac:dyDescent="0.2">
      <c r="A16" s="2246">
        <v>3299</v>
      </c>
      <c r="B16" s="2253">
        <v>5332</v>
      </c>
      <c r="C16" s="2258">
        <v>32133006</v>
      </c>
      <c r="D16" s="2174" t="s">
        <v>687</v>
      </c>
      <c r="E16" s="2184">
        <v>0</v>
      </c>
      <c r="F16" s="2184">
        <v>299</v>
      </c>
      <c r="G16" s="2184">
        <v>229</v>
      </c>
      <c r="H16" s="2156">
        <f t="shared" si="0"/>
        <v>76.588628762541816</v>
      </c>
    </row>
    <row r="17" spans="1:10" ht="15" x14ac:dyDescent="0.2">
      <c r="A17" s="2246">
        <v>3299</v>
      </c>
      <c r="B17" s="2253">
        <v>5332</v>
      </c>
      <c r="C17" s="2258">
        <v>32533006</v>
      </c>
      <c r="D17" s="2174" t="s">
        <v>687</v>
      </c>
      <c r="E17" s="2184">
        <v>0</v>
      </c>
      <c r="F17" s="2184">
        <v>1692</v>
      </c>
      <c r="G17" s="2184">
        <v>1300</v>
      </c>
      <c r="H17" s="2156">
        <f t="shared" si="0"/>
        <v>76.832151300236404</v>
      </c>
    </row>
    <row r="18" spans="1:10" ht="15" x14ac:dyDescent="0.2">
      <c r="A18" s="2246">
        <v>3299</v>
      </c>
      <c r="B18" s="2253">
        <v>5901</v>
      </c>
      <c r="C18" s="2258">
        <v>32133006</v>
      </c>
      <c r="D18" s="2174" t="s">
        <v>670</v>
      </c>
      <c r="E18" s="2184">
        <v>0</v>
      </c>
      <c r="F18" s="2184">
        <v>658</v>
      </c>
      <c r="G18" s="2184">
        <v>0</v>
      </c>
      <c r="H18" s="2156">
        <f t="shared" si="0"/>
        <v>0</v>
      </c>
    </row>
    <row r="19" spans="1:10" ht="15" x14ac:dyDescent="0.2">
      <c r="A19" s="2246">
        <v>3299</v>
      </c>
      <c r="B19" s="2253">
        <v>5901</v>
      </c>
      <c r="C19" s="2258">
        <v>32533006</v>
      </c>
      <c r="D19" s="2174" t="s">
        <v>670</v>
      </c>
      <c r="E19" s="2184">
        <v>0</v>
      </c>
      <c r="F19" s="2184">
        <v>3730</v>
      </c>
      <c r="G19" s="2184">
        <v>0</v>
      </c>
      <c r="H19" s="2156">
        <f t="shared" si="0"/>
        <v>0</v>
      </c>
    </row>
    <row r="20" spans="1:10" ht="45" hidden="1" x14ac:dyDescent="0.2">
      <c r="A20" s="2246">
        <v>3299</v>
      </c>
      <c r="B20" s="2253">
        <v>6313</v>
      </c>
      <c r="C20" s="2258">
        <v>32133006</v>
      </c>
      <c r="D20" s="2174" t="s">
        <v>613</v>
      </c>
      <c r="E20" s="2184">
        <v>0</v>
      </c>
      <c r="F20" s="2184">
        <v>0</v>
      </c>
      <c r="G20" s="2184">
        <v>0</v>
      </c>
      <c r="H20" s="2156" t="e">
        <f t="shared" si="0"/>
        <v>#DIV/0!</v>
      </c>
    </row>
    <row r="21" spans="1:10" ht="45" hidden="1" x14ac:dyDescent="0.2">
      <c r="A21" s="2246">
        <v>3299</v>
      </c>
      <c r="B21" s="2253">
        <v>6313</v>
      </c>
      <c r="C21" s="2258">
        <v>32533006</v>
      </c>
      <c r="D21" s="2174" t="s">
        <v>613</v>
      </c>
      <c r="E21" s="2184">
        <v>0</v>
      </c>
      <c r="F21" s="2184">
        <v>0</v>
      </c>
      <c r="G21" s="2184">
        <v>0</v>
      </c>
      <c r="H21" s="2156" t="e">
        <f t="shared" si="0"/>
        <v>#DIV/0!</v>
      </c>
    </row>
    <row r="22" spans="1:10" ht="30" hidden="1" x14ac:dyDescent="0.2">
      <c r="A22" s="2246">
        <v>3299</v>
      </c>
      <c r="B22" s="2253">
        <v>6323</v>
      </c>
      <c r="C22" s="2258">
        <v>32133006</v>
      </c>
      <c r="D22" s="2174" t="s">
        <v>614</v>
      </c>
      <c r="E22" s="2184">
        <v>0</v>
      </c>
      <c r="F22" s="2184">
        <v>0</v>
      </c>
      <c r="G22" s="2184">
        <v>0</v>
      </c>
      <c r="H22" s="2156" t="e">
        <f t="shared" si="0"/>
        <v>#DIV/0!</v>
      </c>
    </row>
    <row r="23" spans="1:10" ht="30" hidden="1" x14ac:dyDescent="0.2">
      <c r="A23" s="2246">
        <v>3299</v>
      </c>
      <c r="B23" s="2253">
        <v>6323</v>
      </c>
      <c r="C23" s="2258">
        <v>32533006</v>
      </c>
      <c r="D23" s="2174" t="s">
        <v>614</v>
      </c>
      <c r="E23" s="2184">
        <v>0</v>
      </c>
      <c r="F23" s="2184">
        <v>0</v>
      </c>
      <c r="G23" s="2184">
        <v>0</v>
      </c>
      <c r="H23" s="2156" t="e">
        <f t="shared" si="0"/>
        <v>#DIV/0!</v>
      </c>
    </row>
    <row r="24" spans="1:10" ht="15" x14ac:dyDescent="0.2">
      <c r="A24" s="2246">
        <v>3636</v>
      </c>
      <c r="B24" s="2253">
        <v>6901</v>
      </c>
      <c r="C24" s="2258">
        <v>32133006</v>
      </c>
      <c r="D24" s="2174" t="s">
        <v>468</v>
      </c>
      <c r="E24" s="2184">
        <v>0</v>
      </c>
      <c r="F24" s="2184">
        <v>747</v>
      </c>
      <c r="G24" s="2184">
        <v>0</v>
      </c>
      <c r="H24" s="2156">
        <f t="shared" si="0"/>
        <v>0</v>
      </c>
    </row>
    <row r="25" spans="1:10" ht="15" x14ac:dyDescent="0.2">
      <c r="A25" s="2246">
        <v>3636</v>
      </c>
      <c r="B25" s="2253">
        <v>6901</v>
      </c>
      <c r="C25" s="2258">
        <v>32533006</v>
      </c>
      <c r="D25" s="2174" t="s">
        <v>468</v>
      </c>
      <c r="E25" s="2184">
        <v>0</v>
      </c>
      <c r="F25" s="2184">
        <v>4234</v>
      </c>
      <c r="G25" s="2184">
        <v>0</v>
      </c>
      <c r="H25" s="2156">
        <f t="shared" si="0"/>
        <v>0</v>
      </c>
      <c r="J25" s="2267"/>
    </row>
    <row r="26" spans="1:10" ht="15.75" thickBot="1" x14ac:dyDescent="0.25">
      <c r="A26" s="2246">
        <v>6402</v>
      </c>
      <c r="B26" s="2253">
        <v>5363</v>
      </c>
      <c r="C26" s="2258">
        <v>19</v>
      </c>
      <c r="D26" s="2174" t="s">
        <v>615</v>
      </c>
      <c r="E26" s="2184">
        <v>0</v>
      </c>
      <c r="F26" s="2184">
        <v>151</v>
      </c>
      <c r="G26" s="2184">
        <v>49</v>
      </c>
      <c r="H26" s="2163">
        <f t="shared" si="0"/>
        <v>32.450331125827816</v>
      </c>
      <c r="J26" s="2267"/>
    </row>
    <row r="27" spans="1:10" s="2164" customFormat="1" ht="16.5" thickTop="1" thickBot="1" x14ac:dyDescent="0.3">
      <c r="A27" s="2806" t="s">
        <v>849</v>
      </c>
      <c r="B27" s="2807"/>
      <c r="C27" s="2807"/>
      <c r="D27" s="2807"/>
      <c r="E27" s="2152">
        <f>SUM(E10:E25)</f>
        <v>0</v>
      </c>
      <c r="F27" s="2152">
        <f>SUM(F10:F26)</f>
        <v>18998</v>
      </c>
      <c r="G27" s="2152">
        <f>SUM(G10:G26)</f>
        <v>7326</v>
      </c>
      <c r="H27" s="2163">
        <f t="shared" si="0"/>
        <v>38.561953889883142</v>
      </c>
      <c r="I27" s="2262"/>
    </row>
    <row r="28" spans="1:10" ht="13.5" thickTop="1" x14ac:dyDescent="0.2">
      <c r="I28" s="2165"/>
    </row>
    <row r="29" spans="1:10" x14ac:dyDescent="0.2">
      <c r="I29" s="2165"/>
    </row>
    <row r="30" spans="1:10" ht="15" x14ac:dyDescent="0.25">
      <c r="A30" s="2136" t="s">
        <v>1464</v>
      </c>
      <c r="D30" s="2130"/>
      <c r="E30" s="2131"/>
      <c r="H30" s="2165"/>
      <c r="I30" s="2165"/>
    </row>
    <row r="31" spans="1:10" ht="15.75" thickBot="1" x14ac:dyDescent="0.3">
      <c r="A31" s="2136" t="s">
        <v>1571</v>
      </c>
      <c r="D31" s="2130"/>
      <c r="E31" s="2131"/>
      <c r="H31" s="2240" t="s">
        <v>179</v>
      </c>
      <c r="I31" s="2165"/>
    </row>
    <row r="32" spans="1:10" ht="25.5" thickTop="1" thickBot="1" x14ac:dyDescent="0.25">
      <c r="A32" s="2138" t="s">
        <v>180</v>
      </c>
      <c r="B32" s="2139" t="s">
        <v>847</v>
      </c>
      <c r="C32" s="2139" t="s">
        <v>414</v>
      </c>
      <c r="D32" s="2140" t="s">
        <v>182</v>
      </c>
      <c r="E32" s="2171" t="s">
        <v>700</v>
      </c>
      <c r="F32" s="2171" t="s">
        <v>701</v>
      </c>
      <c r="G32" s="2172" t="s">
        <v>986</v>
      </c>
      <c r="H32" s="2173" t="s">
        <v>987</v>
      </c>
      <c r="I32" s="2165"/>
    </row>
    <row r="33" spans="1:9" ht="14.25" thickTop="1" thickBot="1" x14ac:dyDescent="0.25">
      <c r="A33" s="1854">
        <v>1</v>
      </c>
      <c r="B33" s="1853">
        <v>2</v>
      </c>
      <c r="C33" s="1853">
        <v>3</v>
      </c>
      <c r="D33" s="1853">
        <v>5</v>
      </c>
      <c r="E33" s="1852">
        <v>6</v>
      </c>
      <c r="F33" s="1852">
        <v>7</v>
      </c>
      <c r="G33" s="2223">
        <v>8</v>
      </c>
      <c r="H33" s="2146" t="s">
        <v>848</v>
      </c>
      <c r="I33" s="2165"/>
    </row>
    <row r="34" spans="1:9" ht="30.75" thickTop="1" x14ac:dyDescent="0.2">
      <c r="A34" s="2246">
        <v>3299</v>
      </c>
      <c r="B34" s="2253">
        <v>5336</v>
      </c>
      <c r="C34" s="2253">
        <v>32133006</v>
      </c>
      <c r="D34" s="2174" t="s">
        <v>1419</v>
      </c>
      <c r="E34" s="2170">
        <v>0</v>
      </c>
      <c r="F34" s="2170">
        <v>398</v>
      </c>
      <c r="G34" s="2236">
        <v>231</v>
      </c>
      <c r="H34" s="2153">
        <f>G34/F34*100</f>
        <v>58.040201005025125</v>
      </c>
      <c r="I34" s="2165"/>
    </row>
    <row r="35" spans="1:9" ht="30.75" thickBot="1" x14ac:dyDescent="0.25">
      <c r="A35" s="2246">
        <v>3299</v>
      </c>
      <c r="B35" s="2253">
        <v>5336</v>
      </c>
      <c r="C35" s="2253">
        <v>32533006</v>
      </c>
      <c r="D35" s="2174" t="s">
        <v>1419</v>
      </c>
      <c r="E35" s="2184">
        <v>0</v>
      </c>
      <c r="F35" s="2184">
        <v>2258</v>
      </c>
      <c r="G35" s="2233">
        <v>1309</v>
      </c>
      <c r="H35" s="2156">
        <f>G35/F35*100</f>
        <v>57.971656333038091</v>
      </c>
      <c r="I35" s="2165"/>
    </row>
    <row r="36" spans="1:9" ht="30.75" hidden="1" thickBot="1" x14ac:dyDescent="0.25">
      <c r="A36" s="2246">
        <v>3299</v>
      </c>
      <c r="B36" s="2253">
        <v>6351</v>
      </c>
      <c r="C36" s="2253">
        <v>32133006</v>
      </c>
      <c r="D36" s="2269" t="s">
        <v>1433</v>
      </c>
      <c r="E36" s="2184">
        <v>0</v>
      </c>
      <c r="F36" s="2184">
        <v>0</v>
      </c>
      <c r="G36" s="2233">
        <v>0</v>
      </c>
      <c r="H36" s="2156" t="e">
        <f>G36/F36*100</f>
        <v>#DIV/0!</v>
      </c>
      <c r="I36" s="2165"/>
    </row>
    <row r="37" spans="1:9" ht="30.75" hidden="1" thickBot="1" x14ac:dyDescent="0.25">
      <c r="A37" s="2270">
        <v>3299</v>
      </c>
      <c r="B37" s="2271">
        <v>6351</v>
      </c>
      <c r="C37" s="2271">
        <v>32533006</v>
      </c>
      <c r="D37" s="2269" t="s">
        <v>1433</v>
      </c>
      <c r="E37" s="2184">
        <v>0</v>
      </c>
      <c r="F37" s="2184">
        <v>0</v>
      </c>
      <c r="G37" s="2233">
        <v>0</v>
      </c>
      <c r="H37" s="2156" t="e">
        <f>G37/F37*100</f>
        <v>#DIV/0!</v>
      </c>
      <c r="I37" s="2165"/>
    </row>
    <row r="38" spans="1:9" ht="16.5" thickTop="1" thickBot="1" x14ac:dyDescent="0.3">
      <c r="A38" s="2175" t="s">
        <v>849</v>
      </c>
      <c r="B38" s="2176"/>
      <c r="C38" s="2176"/>
      <c r="D38" s="2177"/>
      <c r="E38" s="2152">
        <f>SUM(E34:E35)</f>
        <v>0</v>
      </c>
      <c r="F38" s="2152">
        <f>SUM(F34:F37)</f>
        <v>2656</v>
      </c>
      <c r="G38" s="2152">
        <f>SUM(G34:G37)</f>
        <v>1540</v>
      </c>
      <c r="H38" s="2157">
        <f>G38/F38*100</f>
        <v>57.981927710843372</v>
      </c>
      <c r="I38" s="2165"/>
    </row>
    <row r="39" spans="1:9" ht="13.5" thickTop="1" x14ac:dyDescent="0.2">
      <c r="I39" s="2165"/>
    </row>
    <row r="40" spans="1:9" ht="15" x14ac:dyDescent="0.25">
      <c r="A40" s="2136" t="s">
        <v>1933</v>
      </c>
      <c r="D40" s="2130"/>
      <c r="E40" s="2131"/>
      <c r="H40" s="2165"/>
      <c r="I40" s="2165"/>
    </row>
    <row r="41" spans="1:9" ht="15.75" thickBot="1" x14ac:dyDescent="0.3">
      <c r="A41" s="2136" t="s">
        <v>1418</v>
      </c>
      <c r="D41" s="2130"/>
      <c r="E41" s="2131"/>
      <c r="H41" s="2240" t="s">
        <v>179</v>
      </c>
      <c r="I41" s="2165"/>
    </row>
    <row r="42" spans="1:9" ht="25.5" thickTop="1" thickBot="1" x14ac:dyDescent="0.25">
      <c r="A42" s="2138" t="s">
        <v>180</v>
      </c>
      <c r="B42" s="2139" t="s">
        <v>847</v>
      </c>
      <c r="C42" s="2139" t="s">
        <v>414</v>
      </c>
      <c r="D42" s="2140" t="s">
        <v>182</v>
      </c>
      <c r="E42" s="2171" t="s">
        <v>700</v>
      </c>
      <c r="F42" s="2171" t="s">
        <v>701</v>
      </c>
      <c r="G42" s="2172" t="s">
        <v>986</v>
      </c>
      <c r="H42" s="2173" t="s">
        <v>987</v>
      </c>
      <c r="I42" s="2165"/>
    </row>
    <row r="43" spans="1:9" ht="14.25" thickTop="1" thickBot="1" x14ac:dyDescent="0.25">
      <c r="A43" s="1854">
        <v>1</v>
      </c>
      <c r="B43" s="1853">
        <v>2</v>
      </c>
      <c r="C43" s="1853">
        <v>3</v>
      </c>
      <c r="D43" s="1853">
        <v>5</v>
      </c>
      <c r="E43" s="1852">
        <v>6</v>
      </c>
      <c r="F43" s="1852">
        <v>7</v>
      </c>
      <c r="G43" s="2223">
        <v>8</v>
      </c>
      <c r="H43" s="2146" t="s">
        <v>848</v>
      </c>
      <c r="I43" s="2165"/>
    </row>
    <row r="44" spans="1:9" ht="30.75" thickTop="1" x14ac:dyDescent="0.2">
      <c r="A44" s="2246">
        <v>3299</v>
      </c>
      <c r="B44" s="2253">
        <v>5336</v>
      </c>
      <c r="C44" s="2253">
        <v>32133006</v>
      </c>
      <c r="D44" s="2174" t="s">
        <v>1419</v>
      </c>
      <c r="E44" s="2170">
        <v>0</v>
      </c>
      <c r="F44" s="2170">
        <v>250</v>
      </c>
      <c r="G44" s="2236">
        <v>158</v>
      </c>
      <c r="H44" s="2153">
        <f>G44/F44*100</f>
        <v>63.2</v>
      </c>
      <c r="I44" s="2165"/>
    </row>
    <row r="45" spans="1:9" ht="30.75" thickBot="1" x14ac:dyDescent="0.25">
      <c r="A45" s="2246">
        <v>3299</v>
      </c>
      <c r="B45" s="2253">
        <v>5336</v>
      </c>
      <c r="C45" s="2253">
        <v>32533006</v>
      </c>
      <c r="D45" s="2174" t="s">
        <v>1419</v>
      </c>
      <c r="E45" s="2184">
        <v>0</v>
      </c>
      <c r="F45" s="2184">
        <v>1414</v>
      </c>
      <c r="G45" s="2233">
        <v>893</v>
      </c>
      <c r="H45" s="2156">
        <f>G45/F45*100</f>
        <v>63.154172560113153</v>
      </c>
      <c r="I45" s="2165"/>
    </row>
    <row r="46" spans="1:9" ht="30.75" hidden="1" thickBot="1" x14ac:dyDescent="0.25">
      <c r="A46" s="2246">
        <v>3299</v>
      </c>
      <c r="B46" s="2253">
        <v>6351</v>
      </c>
      <c r="C46" s="2253">
        <v>32133006</v>
      </c>
      <c r="D46" s="2269" t="s">
        <v>1433</v>
      </c>
      <c r="E46" s="2184">
        <v>0</v>
      </c>
      <c r="F46" s="2184">
        <v>0</v>
      </c>
      <c r="G46" s="2233">
        <v>0</v>
      </c>
      <c r="H46" s="2156" t="e">
        <f>G46/F46*100</f>
        <v>#DIV/0!</v>
      </c>
      <c r="I46" s="2165"/>
    </row>
    <row r="47" spans="1:9" ht="30.75" hidden="1" thickBot="1" x14ac:dyDescent="0.25">
      <c r="A47" s="2270">
        <v>3299</v>
      </c>
      <c r="B47" s="2271">
        <v>6351</v>
      </c>
      <c r="C47" s="2271">
        <v>32533006</v>
      </c>
      <c r="D47" s="2269" t="s">
        <v>1433</v>
      </c>
      <c r="E47" s="2184">
        <v>0</v>
      </c>
      <c r="F47" s="2184">
        <v>0</v>
      </c>
      <c r="G47" s="2233">
        <v>0</v>
      </c>
      <c r="H47" s="2156" t="e">
        <f>G47/F47*100</f>
        <v>#DIV/0!</v>
      </c>
      <c r="I47" s="2165"/>
    </row>
    <row r="48" spans="1:9" ht="16.5" thickTop="1" thickBot="1" x14ac:dyDescent="0.3">
      <c r="A48" s="2175" t="s">
        <v>849</v>
      </c>
      <c r="B48" s="2176"/>
      <c r="C48" s="2176"/>
      <c r="D48" s="2177"/>
      <c r="E48" s="2152">
        <f>SUM(E44:E45)</f>
        <v>0</v>
      </c>
      <c r="F48" s="2152">
        <f>SUM(F44:F47)</f>
        <v>1664</v>
      </c>
      <c r="G48" s="2152">
        <f>SUM(G44:G47)</f>
        <v>1051</v>
      </c>
      <c r="H48" s="2157">
        <f>G48/F48*100</f>
        <v>63.161057692307686</v>
      </c>
      <c r="I48" s="2165"/>
    </row>
    <row r="49" spans="1:9" ht="13.5" thickTop="1" x14ac:dyDescent="0.2">
      <c r="I49" s="2165"/>
    </row>
    <row r="50" spans="1:9" ht="15" hidden="1" x14ac:dyDescent="0.25">
      <c r="A50" s="2136" t="s">
        <v>1420</v>
      </c>
      <c r="D50" s="2130"/>
      <c r="E50" s="2131"/>
      <c r="H50" s="2165"/>
      <c r="I50" s="2165"/>
    </row>
    <row r="51" spans="1:9" ht="15" hidden="1" x14ac:dyDescent="0.25">
      <c r="A51" s="2136" t="s">
        <v>1421</v>
      </c>
      <c r="D51" s="2130"/>
      <c r="E51" s="2131"/>
      <c r="H51" s="2165" t="s">
        <v>179</v>
      </c>
      <c r="I51" s="2165"/>
    </row>
    <row r="52" spans="1:9" ht="25.5" hidden="1" thickTop="1" thickBot="1" x14ac:dyDescent="0.25">
      <c r="A52" s="2138" t="s">
        <v>180</v>
      </c>
      <c r="B52" s="2139" t="s">
        <v>847</v>
      </c>
      <c r="C52" s="2139" t="s">
        <v>414</v>
      </c>
      <c r="D52" s="2140" t="s">
        <v>182</v>
      </c>
      <c r="E52" s="2171" t="s">
        <v>700</v>
      </c>
      <c r="F52" s="2171" t="s">
        <v>701</v>
      </c>
      <c r="G52" s="2172" t="s">
        <v>986</v>
      </c>
      <c r="H52" s="2173" t="s">
        <v>987</v>
      </c>
      <c r="I52" s="2165"/>
    </row>
    <row r="53" spans="1:9" ht="14.25" hidden="1" thickTop="1" thickBot="1" x14ac:dyDescent="0.25">
      <c r="A53" s="1854">
        <v>1</v>
      </c>
      <c r="B53" s="1853">
        <v>2</v>
      </c>
      <c r="C53" s="1853">
        <v>3</v>
      </c>
      <c r="D53" s="1853">
        <v>5</v>
      </c>
      <c r="E53" s="1852">
        <v>6</v>
      </c>
      <c r="F53" s="1852">
        <v>7</v>
      </c>
      <c r="G53" s="2223">
        <v>8</v>
      </c>
      <c r="H53" s="2146" t="s">
        <v>848</v>
      </c>
      <c r="I53" s="2165"/>
    </row>
    <row r="54" spans="1:9" ht="30.75" hidden="1" thickTop="1" x14ac:dyDescent="0.2">
      <c r="A54" s="2246">
        <v>3299</v>
      </c>
      <c r="B54" s="2253">
        <v>5336</v>
      </c>
      <c r="C54" s="2253">
        <v>32133006</v>
      </c>
      <c r="D54" s="2174" t="s">
        <v>1570</v>
      </c>
      <c r="E54" s="2170">
        <v>0</v>
      </c>
      <c r="F54" s="2170">
        <v>0</v>
      </c>
      <c r="G54" s="2236">
        <v>0</v>
      </c>
      <c r="H54" s="2153" t="e">
        <f>G54/F54*100</f>
        <v>#DIV/0!</v>
      </c>
      <c r="I54" s="2165"/>
    </row>
    <row r="55" spans="1:9" ht="30" hidden="1" x14ac:dyDescent="0.2">
      <c r="A55" s="2246">
        <v>3299</v>
      </c>
      <c r="B55" s="2253">
        <v>5336</v>
      </c>
      <c r="C55" s="2253">
        <v>32533006</v>
      </c>
      <c r="D55" s="2174" t="s">
        <v>1570</v>
      </c>
      <c r="E55" s="2184">
        <v>0</v>
      </c>
      <c r="F55" s="2184">
        <v>0</v>
      </c>
      <c r="G55" s="2233">
        <v>0</v>
      </c>
      <c r="H55" s="2156" t="e">
        <f>G55/F55*100</f>
        <v>#DIV/0!</v>
      </c>
      <c r="I55" s="2165"/>
    </row>
    <row r="56" spans="1:9" ht="16.5" hidden="1" thickTop="1" thickBot="1" x14ac:dyDescent="0.3">
      <c r="A56" s="2175" t="s">
        <v>849</v>
      </c>
      <c r="B56" s="2176"/>
      <c r="C56" s="2176"/>
      <c r="D56" s="2177"/>
      <c r="E56" s="2152">
        <f>SUM(E54:E55)</f>
        <v>0</v>
      </c>
      <c r="F56" s="2152">
        <f>SUM(F54:F55)</f>
        <v>0</v>
      </c>
      <c r="G56" s="2152">
        <f>SUM(G54:G55)</f>
        <v>0</v>
      </c>
      <c r="H56" s="2157" t="e">
        <f>G56/F56*100</f>
        <v>#DIV/0!</v>
      </c>
      <c r="I56" s="2165"/>
    </row>
    <row r="57" spans="1:9" ht="15" hidden="1" x14ac:dyDescent="0.25">
      <c r="A57" s="2189"/>
      <c r="B57" s="2189"/>
      <c r="C57" s="2189"/>
      <c r="D57" s="2189"/>
      <c r="E57" s="2159"/>
      <c r="F57" s="2159"/>
      <c r="G57" s="2159"/>
      <c r="H57" s="2190"/>
      <c r="I57" s="2165"/>
    </row>
    <row r="58" spans="1:9" ht="15" x14ac:dyDescent="0.25">
      <c r="A58" s="2136" t="s">
        <v>364</v>
      </c>
      <c r="D58" s="2130"/>
      <c r="E58" s="2131"/>
      <c r="H58" s="2165"/>
      <c r="I58" s="2165"/>
    </row>
    <row r="59" spans="1:9" ht="15.75" thickBot="1" x14ac:dyDescent="0.3">
      <c r="A59" s="2136" t="s">
        <v>616</v>
      </c>
      <c r="D59" s="2130"/>
      <c r="E59" s="2131"/>
      <c r="H59" s="2240" t="s">
        <v>179</v>
      </c>
      <c r="I59" s="2165"/>
    </row>
    <row r="60" spans="1:9" ht="25.5" thickTop="1" thickBot="1" x14ac:dyDescent="0.25">
      <c r="A60" s="2138" t="s">
        <v>180</v>
      </c>
      <c r="B60" s="2139" t="s">
        <v>847</v>
      </c>
      <c r="C60" s="2139" t="s">
        <v>414</v>
      </c>
      <c r="D60" s="2140" t="s">
        <v>182</v>
      </c>
      <c r="E60" s="2171" t="s">
        <v>700</v>
      </c>
      <c r="F60" s="2171" t="s">
        <v>701</v>
      </c>
      <c r="G60" s="2172" t="s">
        <v>986</v>
      </c>
      <c r="H60" s="2173" t="s">
        <v>987</v>
      </c>
      <c r="I60" s="2165"/>
    </row>
    <row r="61" spans="1:9" ht="14.25" thickTop="1" thickBot="1" x14ac:dyDescent="0.25">
      <c r="A61" s="1854">
        <v>1</v>
      </c>
      <c r="B61" s="1853">
        <v>2</v>
      </c>
      <c r="C61" s="1853">
        <v>3</v>
      </c>
      <c r="D61" s="1853">
        <v>5</v>
      </c>
      <c r="E61" s="1852">
        <v>6</v>
      </c>
      <c r="F61" s="1852">
        <v>7</v>
      </c>
      <c r="G61" s="2223">
        <v>8</v>
      </c>
      <c r="H61" s="2146" t="s">
        <v>848</v>
      </c>
      <c r="I61" s="2165"/>
    </row>
    <row r="62" spans="1:9" ht="30.75" thickTop="1" x14ac:dyDescent="0.2">
      <c r="A62" s="2246">
        <v>3299</v>
      </c>
      <c r="B62" s="2253">
        <v>5336</v>
      </c>
      <c r="C62" s="2253">
        <v>32133006</v>
      </c>
      <c r="D62" s="2174" t="s">
        <v>1419</v>
      </c>
      <c r="E62" s="2170">
        <v>0</v>
      </c>
      <c r="F62" s="2170">
        <v>88</v>
      </c>
      <c r="G62" s="2236">
        <v>60</v>
      </c>
      <c r="H62" s="2153">
        <f>G62/F62*100</f>
        <v>68.181818181818173</v>
      </c>
      <c r="I62" s="2165"/>
    </row>
    <row r="63" spans="1:9" ht="30.75" thickBot="1" x14ac:dyDescent="0.25">
      <c r="A63" s="2246">
        <v>3299</v>
      </c>
      <c r="B63" s="2253">
        <v>5336</v>
      </c>
      <c r="C63" s="2253">
        <v>32533006</v>
      </c>
      <c r="D63" s="2174" t="s">
        <v>1419</v>
      </c>
      <c r="E63" s="2184">
        <v>0</v>
      </c>
      <c r="F63" s="2184">
        <v>498</v>
      </c>
      <c r="G63" s="2233">
        <v>341</v>
      </c>
      <c r="H63" s="2156">
        <f>G63/F63*100</f>
        <v>68.47389558232932</v>
      </c>
      <c r="I63" s="2165"/>
    </row>
    <row r="64" spans="1:9" ht="30.75" hidden="1" thickBot="1" x14ac:dyDescent="0.25">
      <c r="A64" s="2246">
        <v>3299</v>
      </c>
      <c r="B64" s="2253">
        <v>6351</v>
      </c>
      <c r="C64" s="2253">
        <v>32133006</v>
      </c>
      <c r="D64" s="2269" t="s">
        <v>1433</v>
      </c>
      <c r="E64" s="2184">
        <v>0</v>
      </c>
      <c r="F64" s="2184">
        <v>0</v>
      </c>
      <c r="G64" s="2233">
        <v>0</v>
      </c>
      <c r="H64" s="2156" t="e">
        <f>G64/F64*100</f>
        <v>#DIV/0!</v>
      </c>
      <c r="I64" s="2165"/>
    </row>
    <row r="65" spans="1:9" ht="30.75" hidden="1" thickBot="1" x14ac:dyDescent="0.25">
      <c r="A65" s="2270">
        <v>3299</v>
      </c>
      <c r="B65" s="2271">
        <v>6351</v>
      </c>
      <c r="C65" s="2271">
        <v>32533006</v>
      </c>
      <c r="D65" s="2269" t="s">
        <v>1433</v>
      </c>
      <c r="E65" s="2184">
        <v>0</v>
      </c>
      <c r="F65" s="2184">
        <v>0</v>
      </c>
      <c r="G65" s="2233">
        <v>0</v>
      </c>
      <c r="H65" s="2156" t="e">
        <f>G65/F65*100</f>
        <v>#DIV/0!</v>
      </c>
      <c r="I65" s="2165"/>
    </row>
    <row r="66" spans="1:9" ht="16.5" thickTop="1" thickBot="1" x14ac:dyDescent="0.3">
      <c r="A66" s="2175" t="s">
        <v>849</v>
      </c>
      <c r="B66" s="2176"/>
      <c r="C66" s="2176"/>
      <c r="D66" s="2177"/>
      <c r="E66" s="2152">
        <f>SUM(E62:E63)</f>
        <v>0</v>
      </c>
      <c r="F66" s="2152">
        <f>SUM(F62:F65)</f>
        <v>586</v>
      </c>
      <c r="G66" s="2152">
        <f>SUM(G62:G65)</f>
        <v>401</v>
      </c>
      <c r="H66" s="2157">
        <f>G66/F66*100</f>
        <v>68.430034129692828</v>
      </c>
      <c r="I66" s="2165"/>
    </row>
    <row r="67" spans="1:9" ht="15.75" customHeight="1" thickTop="1" x14ac:dyDescent="0.2">
      <c r="I67" s="2165"/>
    </row>
    <row r="68" spans="1:9" ht="15" x14ac:dyDescent="0.25">
      <c r="A68" s="2136" t="s">
        <v>1843</v>
      </c>
      <c r="D68" s="2130"/>
      <c r="E68" s="2131"/>
      <c r="H68" s="2165"/>
      <c r="I68" s="2165"/>
    </row>
    <row r="69" spans="1:9" ht="15.75" thickBot="1" x14ac:dyDescent="0.3">
      <c r="A69" s="2136" t="s">
        <v>1422</v>
      </c>
      <c r="D69" s="2130"/>
      <c r="E69" s="2131"/>
      <c r="H69" s="2240" t="s">
        <v>179</v>
      </c>
      <c r="I69" s="2165"/>
    </row>
    <row r="70" spans="1:9" ht="25.5" thickTop="1" thickBot="1" x14ac:dyDescent="0.25">
      <c r="A70" s="2138" t="s">
        <v>180</v>
      </c>
      <c r="B70" s="2139" t="s">
        <v>847</v>
      </c>
      <c r="C70" s="2139" t="s">
        <v>414</v>
      </c>
      <c r="D70" s="2140" t="s">
        <v>182</v>
      </c>
      <c r="E70" s="2171" t="s">
        <v>700</v>
      </c>
      <c r="F70" s="2171" t="s">
        <v>701</v>
      </c>
      <c r="G70" s="2172" t="s">
        <v>986</v>
      </c>
      <c r="H70" s="2173" t="s">
        <v>987</v>
      </c>
      <c r="I70" s="2165"/>
    </row>
    <row r="71" spans="1:9" ht="14.25" thickTop="1" thickBot="1" x14ac:dyDescent="0.25">
      <c r="A71" s="1854">
        <v>1</v>
      </c>
      <c r="B71" s="1853">
        <v>2</v>
      </c>
      <c r="C71" s="1853">
        <v>3</v>
      </c>
      <c r="D71" s="1853">
        <v>5</v>
      </c>
      <c r="E71" s="1852">
        <v>6</v>
      </c>
      <c r="F71" s="1852">
        <v>7</v>
      </c>
      <c r="G71" s="2223">
        <v>8</v>
      </c>
      <c r="H71" s="2146" t="s">
        <v>848</v>
      </c>
      <c r="I71" s="2165"/>
    </row>
    <row r="72" spans="1:9" ht="30.75" thickTop="1" x14ac:dyDescent="0.2">
      <c r="A72" s="2246">
        <v>3299</v>
      </c>
      <c r="B72" s="2253">
        <v>5336</v>
      </c>
      <c r="C72" s="2253">
        <v>32133006</v>
      </c>
      <c r="D72" s="2174" t="s">
        <v>1419</v>
      </c>
      <c r="E72" s="2170">
        <v>0</v>
      </c>
      <c r="F72" s="2170">
        <v>160</v>
      </c>
      <c r="G72" s="2236">
        <v>160</v>
      </c>
      <c r="H72" s="2153">
        <f>G72/F72*100</f>
        <v>100</v>
      </c>
      <c r="I72" s="2165"/>
    </row>
    <row r="73" spans="1:9" ht="30.75" thickBot="1" x14ac:dyDescent="0.25">
      <c r="A73" s="2246">
        <v>3299</v>
      </c>
      <c r="B73" s="2253">
        <v>5336</v>
      </c>
      <c r="C73" s="2253">
        <v>32533006</v>
      </c>
      <c r="D73" s="2174" t="s">
        <v>1419</v>
      </c>
      <c r="E73" s="2184">
        <v>0</v>
      </c>
      <c r="F73" s="2184">
        <v>908</v>
      </c>
      <c r="G73" s="2233">
        <v>908</v>
      </c>
      <c r="H73" s="2156">
        <f>G73/F73*100</f>
        <v>100</v>
      </c>
      <c r="I73" s="2165"/>
    </row>
    <row r="74" spans="1:9" ht="16.5" thickTop="1" thickBot="1" x14ac:dyDescent="0.3">
      <c r="A74" s="2175" t="s">
        <v>849</v>
      </c>
      <c r="B74" s="2176"/>
      <c r="C74" s="2176"/>
      <c r="D74" s="2177"/>
      <c r="E74" s="2152">
        <f>SUM(E72:E73)</f>
        <v>0</v>
      </c>
      <c r="F74" s="2152">
        <f>SUM(F72:F73)</f>
        <v>1068</v>
      </c>
      <c r="G74" s="2152">
        <f>SUM(G72:G73)</f>
        <v>1068</v>
      </c>
      <c r="H74" s="2157">
        <f>G74/F74*100</f>
        <v>100</v>
      </c>
      <c r="I74" s="2165"/>
    </row>
    <row r="75" spans="1:9" ht="13.5" thickTop="1" x14ac:dyDescent="0.2">
      <c r="I75" s="2165"/>
    </row>
    <row r="76" spans="1:9" ht="15" x14ac:dyDescent="0.25">
      <c r="A76" s="2136" t="s">
        <v>1388</v>
      </c>
      <c r="D76" s="2130"/>
      <c r="E76" s="2131"/>
      <c r="H76" s="2165"/>
      <c r="I76" s="2165"/>
    </row>
    <row r="77" spans="1:9" ht="15.75" thickBot="1" x14ac:dyDescent="0.3">
      <c r="A77" s="2136" t="s">
        <v>617</v>
      </c>
      <c r="D77" s="2130"/>
      <c r="E77" s="2131"/>
      <c r="H77" s="2240" t="s">
        <v>179</v>
      </c>
      <c r="I77" s="2165"/>
    </row>
    <row r="78" spans="1:9" ht="25.5" thickTop="1" thickBot="1" x14ac:dyDescent="0.25">
      <c r="A78" s="2138" t="s">
        <v>180</v>
      </c>
      <c r="B78" s="2139" t="s">
        <v>847</v>
      </c>
      <c r="C78" s="2139" t="s">
        <v>414</v>
      </c>
      <c r="D78" s="2140" t="s">
        <v>182</v>
      </c>
      <c r="E78" s="2171" t="s">
        <v>700</v>
      </c>
      <c r="F78" s="2171" t="s">
        <v>701</v>
      </c>
      <c r="G78" s="2172" t="s">
        <v>986</v>
      </c>
      <c r="H78" s="2173" t="s">
        <v>987</v>
      </c>
      <c r="I78" s="2165"/>
    </row>
    <row r="79" spans="1:9" ht="14.25" thickTop="1" thickBot="1" x14ac:dyDescent="0.25">
      <c r="A79" s="1854">
        <v>1</v>
      </c>
      <c r="B79" s="1853">
        <v>2</v>
      </c>
      <c r="C79" s="1853">
        <v>3</v>
      </c>
      <c r="D79" s="1853">
        <v>5</v>
      </c>
      <c r="E79" s="1852">
        <v>6</v>
      </c>
      <c r="F79" s="1852">
        <v>7</v>
      </c>
      <c r="G79" s="2223">
        <v>8</v>
      </c>
      <c r="H79" s="2146" t="s">
        <v>848</v>
      </c>
      <c r="I79" s="2165"/>
    </row>
    <row r="80" spans="1:9" ht="30.75" thickTop="1" x14ac:dyDescent="0.2">
      <c r="A80" s="2246">
        <v>3299</v>
      </c>
      <c r="B80" s="2253">
        <v>5336</v>
      </c>
      <c r="C80" s="2253">
        <v>32133006</v>
      </c>
      <c r="D80" s="2174" t="s">
        <v>1419</v>
      </c>
      <c r="E80" s="2170">
        <v>0</v>
      </c>
      <c r="F80" s="2170">
        <v>129</v>
      </c>
      <c r="G80" s="2236">
        <v>122</v>
      </c>
      <c r="H80" s="2153">
        <f>G80/F80*100</f>
        <v>94.573643410852711</v>
      </c>
      <c r="I80" s="2165"/>
    </row>
    <row r="81" spans="1:9" ht="30" x14ac:dyDescent="0.2">
      <c r="A81" s="2246">
        <v>3299</v>
      </c>
      <c r="B81" s="2253">
        <v>5336</v>
      </c>
      <c r="C81" s="2253">
        <v>32533006</v>
      </c>
      <c r="D81" s="2174" t="s">
        <v>1419</v>
      </c>
      <c r="E81" s="2184">
        <v>0</v>
      </c>
      <c r="F81" s="2184">
        <v>728</v>
      </c>
      <c r="G81" s="2233">
        <v>694</v>
      </c>
      <c r="H81" s="2156">
        <f>G81/F81*100</f>
        <v>95.329670329670336</v>
      </c>
      <c r="I81" s="2165"/>
    </row>
    <row r="82" spans="1:9" ht="30" x14ac:dyDescent="0.2">
      <c r="A82" s="2246">
        <v>3299</v>
      </c>
      <c r="B82" s="2253">
        <v>6351</v>
      </c>
      <c r="C82" s="2253">
        <v>32133006</v>
      </c>
      <c r="D82" s="2269" t="s">
        <v>1433</v>
      </c>
      <c r="E82" s="2184">
        <v>0</v>
      </c>
      <c r="F82" s="2184">
        <v>15</v>
      </c>
      <c r="G82" s="2233">
        <v>15</v>
      </c>
      <c r="H82" s="2156">
        <f>G82/F82*100</f>
        <v>100</v>
      </c>
      <c r="I82" s="2165"/>
    </row>
    <row r="83" spans="1:9" ht="30.75" thickBot="1" x14ac:dyDescent="0.25">
      <c r="A83" s="2270">
        <v>3299</v>
      </c>
      <c r="B83" s="2271">
        <v>6351</v>
      </c>
      <c r="C83" s="2271">
        <v>32533006</v>
      </c>
      <c r="D83" s="2269" t="s">
        <v>1433</v>
      </c>
      <c r="E83" s="2184">
        <v>0</v>
      </c>
      <c r="F83" s="2184">
        <v>85</v>
      </c>
      <c r="G83" s="2233">
        <v>83</v>
      </c>
      <c r="H83" s="2156">
        <f>G83/F83*100</f>
        <v>97.647058823529406</v>
      </c>
      <c r="I83" s="2165"/>
    </row>
    <row r="84" spans="1:9" ht="16.5" thickTop="1" thickBot="1" x14ac:dyDescent="0.3">
      <c r="A84" s="2175" t="s">
        <v>849</v>
      </c>
      <c r="B84" s="2176"/>
      <c r="C84" s="2176"/>
      <c r="D84" s="2177"/>
      <c r="E84" s="2152">
        <f>SUM(E80:E81)</f>
        <v>0</v>
      </c>
      <c r="F84" s="2152">
        <f>SUM(F80:F83)</f>
        <v>957</v>
      </c>
      <c r="G84" s="2152">
        <f>SUM(G80:G83)</f>
        <v>914</v>
      </c>
      <c r="H84" s="2157">
        <f>G84/F84*100</f>
        <v>95.506792058516197</v>
      </c>
      <c r="I84" s="2165"/>
    </row>
    <row r="85" spans="1:9" ht="13.5" thickTop="1" x14ac:dyDescent="0.2">
      <c r="I85" s="2165"/>
    </row>
    <row r="86" spans="1:9" ht="15" x14ac:dyDescent="0.25">
      <c r="A86" s="2136" t="s">
        <v>618</v>
      </c>
      <c r="D86" s="2130"/>
      <c r="E86" s="2131"/>
      <c r="H86" s="2165"/>
      <c r="I86" s="2165"/>
    </row>
    <row r="87" spans="1:9" ht="15.75" thickBot="1" x14ac:dyDescent="0.3">
      <c r="A87" s="2136" t="s">
        <v>619</v>
      </c>
      <c r="D87" s="2130"/>
      <c r="E87" s="2131"/>
      <c r="H87" s="2240" t="s">
        <v>179</v>
      </c>
      <c r="I87" s="2165"/>
    </row>
    <row r="88" spans="1:9" ht="25.5" thickTop="1" thickBot="1" x14ac:dyDescent="0.25">
      <c r="A88" s="2138" t="s">
        <v>180</v>
      </c>
      <c r="B88" s="2139" t="s">
        <v>847</v>
      </c>
      <c r="C88" s="2139" t="s">
        <v>414</v>
      </c>
      <c r="D88" s="2140" t="s">
        <v>182</v>
      </c>
      <c r="E88" s="2171" t="s">
        <v>700</v>
      </c>
      <c r="F88" s="2171" t="s">
        <v>701</v>
      </c>
      <c r="G88" s="2172" t="s">
        <v>986</v>
      </c>
      <c r="H88" s="2173" t="s">
        <v>987</v>
      </c>
      <c r="I88" s="2165"/>
    </row>
    <row r="89" spans="1:9" ht="14.25" thickTop="1" thickBot="1" x14ac:dyDescent="0.25">
      <c r="A89" s="1854">
        <v>1</v>
      </c>
      <c r="B89" s="1853">
        <v>2</v>
      </c>
      <c r="C89" s="1853">
        <v>3</v>
      </c>
      <c r="D89" s="1853">
        <v>5</v>
      </c>
      <c r="E89" s="1852">
        <v>6</v>
      </c>
      <c r="F89" s="1852">
        <v>7</v>
      </c>
      <c r="G89" s="2223">
        <v>8</v>
      </c>
      <c r="H89" s="2146" t="s">
        <v>848</v>
      </c>
      <c r="I89" s="2165"/>
    </row>
    <row r="90" spans="1:9" ht="30.75" thickTop="1" x14ac:dyDescent="0.2">
      <c r="A90" s="2246">
        <v>3299</v>
      </c>
      <c r="B90" s="2253">
        <v>5336</v>
      </c>
      <c r="C90" s="2253">
        <v>32133006</v>
      </c>
      <c r="D90" s="2174" t="s">
        <v>1419</v>
      </c>
      <c r="E90" s="2170">
        <v>0</v>
      </c>
      <c r="F90" s="2170">
        <v>58</v>
      </c>
      <c r="G90" s="2236">
        <v>58</v>
      </c>
      <c r="H90" s="2153">
        <f>G90/F90*100</f>
        <v>100</v>
      </c>
      <c r="I90" s="2165"/>
    </row>
    <row r="91" spans="1:9" ht="30.75" thickBot="1" x14ac:dyDescent="0.25">
      <c r="A91" s="2246">
        <v>3299</v>
      </c>
      <c r="B91" s="2253">
        <v>5336</v>
      </c>
      <c r="C91" s="2253">
        <v>32533006</v>
      </c>
      <c r="D91" s="2174" t="s">
        <v>1419</v>
      </c>
      <c r="E91" s="2184">
        <v>0</v>
      </c>
      <c r="F91" s="2184">
        <v>328</v>
      </c>
      <c r="G91" s="2233">
        <v>328</v>
      </c>
      <c r="H91" s="2156">
        <f>G91/F91*100</f>
        <v>100</v>
      </c>
      <c r="I91" s="2165"/>
    </row>
    <row r="92" spans="1:9" ht="16.5" thickTop="1" thickBot="1" x14ac:dyDescent="0.3">
      <c r="A92" s="2175" t="s">
        <v>849</v>
      </c>
      <c r="B92" s="2176"/>
      <c r="C92" s="2176"/>
      <c r="D92" s="2177"/>
      <c r="E92" s="2152">
        <f>SUM(E90:E91)</f>
        <v>0</v>
      </c>
      <c r="F92" s="2152">
        <f>SUM(F90:F91)</f>
        <v>386</v>
      </c>
      <c r="G92" s="2152">
        <f>SUM(G90:G91)</f>
        <v>386</v>
      </c>
      <c r="H92" s="2157">
        <f>G92/F92*100</f>
        <v>100</v>
      </c>
      <c r="I92" s="2165"/>
    </row>
    <row r="93" spans="1:9" ht="13.5" thickTop="1" x14ac:dyDescent="0.2">
      <c r="I93" s="2165"/>
    </row>
    <row r="94" spans="1:9" ht="15" hidden="1" x14ac:dyDescent="0.25">
      <c r="A94" s="2136" t="s">
        <v>1423</v>
      </c>
      <c r="D94" s="2130"/>
      <c r="E94" s="2131"/>
      <c r="H94" s="2165"/>
      <c r="I94" s="2165"/>
    </row>
    <row r="95" spans="1:9" ht="15" hidden="1" x14ac:dyDescent="0.25">
      <c r="A95" s="2136" t="s">
        <v>1424</v>
      </c>
      <c r="D95" s="2130"/>
      <c r="E95" s="2131"/>
      <c r="H95" s="2165" t="s">
        <v>179</v>
      </c>
      <c r="I95" s="2165"/>
    </row>
    <row r="96" spans="1:9" ht="25.5" hidden="1" thickTop="1" thickBot="1" x14ac:dyDescent="0.25">
      <c r="A96" s="2138" t="s">
        <v>180</v>
      </c>
      <c r="B96" s="2139" t="s">
        <v>847</v>
      </c>
      <c r="C96" s="2139" t="s">
        <v>414</v>
      </c>
      <c r="D96" s="2140" t="s">
        <v>182</v>
      </c>
      <c r="E96" s="2171" t="s">
        <v>700</v>
      </c>
      <c r="F96" s="2171" t="s">
        <v>701</v>
      </c>
      <c r="G96" s="2172" t="s">
        <v>986</v>
      </c>
      <c r="H96" s="2173" t="s">
        <v>987</v>
      </c>
      <c r="I96" s="2165"/>
    </row>
    <row r="97" spans="1:9" ht="14.25" hidden="1" thickTop="1" thickBot="1" x14ac:dyDescent="0.25">
      <c r="A97" s="1854">
        <v>1</v>
      </c>
      <c r="B97" s="1853">
        <v>2</v>
      </c>
      <c r="C97" s="1853">
        <v>3</v>
      </c>
      <c r="D97" s="1853">
        <v>5</v>
      </c>
      <c r="E97" s="1852">
        <v>6</v>
      </c>
      <c r="F97" s="1852">
        <v>7</v>
      </c>
      <c r="G97" s="2223">
        <v>8</v>
      </c>
      <c r="H97" s="2146" t="s">
        <v>848</v>
      </c>
      <c r="I97" s="2165"/>
    </row>
    <row r="98" spans="1:9" ht="30.75" hidden="1" thickTop="1" x14ac:dyDescent="0.2">
      <c r="A98" s="2246">
        <v>3299</v>
      </c>
      <c r="B98" s="2272">
        <v>5336</v>
      </c>
      <c r="C98" s="2253">
        <v>32133006</v>
      </c>
      <c r="D98" s="2174" t="s">
        <v>1570</v>
      </c>
      <c r="E98" s="2170">
        <v>0</v>
      </c>
      <c r="F98" s="2170">
        <v>0</v>
      </c>
      <c r="G98" s="2236">
        <v>0</v>
      </c>
      <c r="H98" s="2153" t="e">
        <f>G98/F98*100</f>
        <v>#DIV/0!</v>
      </c>
      <c r="I98" s="2165"/>
    </row>
    <row r="99" spans="1:9" ht="30" hidden="1" x14ac:dyDescent="0.2">
      <c r="A99" s="2246">
        <v>3299</v>
      </c>
      <c r="B99" s="2272">
        <v>5336</v>
      </c>
      <c r="C99" s="2253">
        <v>32533006</v>
      </c>
      <c r="D99" s="2174" t="s">
        <v>1570</v>
      </c>
      <c r="E99" s="2184">
        <v>0</v>
      </c>
      <c r="F99" s="2184">
        <v>0</v>
      </c>
      <c r="G99" s="2233">
        <v>0</v>
      </c>
      <c r="H99" s="2156" t="e">
        <f>G99/F99*100</f>
        <v>#DIV/0!</v>
      </c>
      <c r="I99" s="2165"/>
    </row>
    <row r="100" spans="1:9" ht="16.5" hidden="1" thickTop="1" thickBot="1" x14ac:dyDescent="0.3">
      <c r="A100" s="2175" t="s">
        <v>849</v>
      </c>
      <c r="B100" s="2176"/>
      <c r="C100" s="2176"/>
      <c r="D100" s="2177"/>
      <c r="E100" s="2152">
        <f>SUM(E98:E99)</f>
        <v>0</v>
      </c>
      <c r="F100" s="2152">
        <f>SUM(F98:F99)</f>
        <v>0</v>
      </c>
      <c r="G100" s="2152">
        <f>SUM(G98:G99)</f>
        <v>0</v>
      </c>
      <c r="H100" s="2157" t="e">
        <f>G100/F100*100</f>
        <v>#DIV/0!</v>
      </c>
      <c r="I100" s="2165"/>
    </row>
    <row r="101" spans="1:9" hidden="1" x14ac:dyDescent="0.2">
      <c r="I101" s="2165"/>
    </row>
    <row r="102" spans="1:9" ht="15" hidden="1" x14ac:dyDescent="0.25">
      <c r="A102" s="2136" t="s">
        <v>1425</v>
      </c>
      <c r="D102" s="2130"/>
      <c r="E102" s="2131"/>
      <c r="H102" s="2165"/>
      <c r="I102" s="2165"/>
    </row>
    <row r="103" spans="1:9" ht="15" hidden="1" x14ac:dyDescent="0.25">
      <c r="A103" s="2136" t="s">
        <v>1426</v>
      </c>
      <c r="D103" s="2130"/>
      <c r="E103" s="2131"/>
      <c r="H103" s="2165" t="s">
        <v>179</v>
      </c>
      <c r="I103" s="2165"/>
    </row>
    <row r="104" spans="1:9" ht="25.5" hidden="1" thickTop="1" thickBot="1" x14ac:dyDescent="0.25">
      <c r="A104" s="2138" t="s">
        <v>180</v>
      </c>
      <c r="B104" s="2139" t="s">
        <v>847</v>
      </c>
      <c r="C104" s="2139" t="s">
        <v>414</v>
      </c>
      <c r="D104" s="2140" t="s">
        <v>182</v>
      </c>
      <c r="E104" s="2171" t="s">
        <v>700</v>
      </c>
      <c r="F104" s="2171" t="s">
        <v>701</v>
      </c>
      <c r="G104" s="2172" t="s">
        <v>986</v>
      </c>
      <c r="H104" s="2173" t="s">
        <v>987</v>
      </c>
      <c r="I104" s="2165"/>
    </row>
    <row r="105" spans="1:9" ht="14.25" hidden="1" thickTop="1" thickBot="1" x14ac:dyDescent="0.25">
      <c r="A105" s="1854">
        <v>1</v>
      </c>
      <c r="B105" s="1853">
        <v>2</v>
      </c>
      <c r="C105" s="1853">
        <v>3</v>
      </c>
      <c r="D105" s="1853">
        <v>5</v>
      </c>
      <c r="E105" s="1852">
        <v>6</v>
      </c>
      <c r="F105" s="1852">
        <v>7</v>
      </c>
      <c r="G105" s="2223">
        <v>8</v>
      </c>
      <c r="H105" s="2146" t="s">
        <v>848</v>
      </c>
      <c r="I105" s="2165"/>
    </row>
    <row r="106" spans="1:9" ht="30.75" hidden="1" thickTop="1" x14ac:dyDescent="0.2">
      <c r="A106" s="2246">
        <v>3299</v>
      </c>
      <c r="B106" s="2272">
        <v>5336</v>
      </c>
      <c r="C106" s="2253">
        <v>32133006</v>
      </c>
      <c r="D106" s="2174" t="s">
        <v>1570</v>
      </c>
      <c r="E106" s="2170">
        <v>0</v>
      </c>
      <c r="F106" s="2170">
        <v>0</v>
      </c>
      <c r="G106" s="2236">
        <v>0</v>
      </c>
      <c r="H106" s="2153" t="e">
        <f>G106/F106*100</f>
        <v>#DIV/0!</v>
      </c>
      <c r="I106" s="2165"/>
    </row>
    <row r="107" spans="1:9" ht="30" hidden="1" x14ac:dyDescent="0.2">
      <c r="A107" s="2246">
        <v>3299</v>
      </c>
      <c r="B107" s="2272">
        <v>5336</v>
      </c>
      <c r="C107" s="2253">
        <v>32533006</v>
      </c>
      <c r="D107" s="2174" t="s">
        <v>1570</v>
      </c>
      <c r="E107" s="2184">
        <v>0</v>
      </c>
      <c r="F107" s="2184">
        <v>0</v>
      </c>
      <c r="G107" s="2233">
        <v>0</v>
      </c>
      <c r="H107" s="2156" t="e">
        <f>G107/F107*100</f>
        <v>#DIV/0!</v>
      </c>
      <c r="I107" s="2165"/>
    </row>
    <row r="108" spans="1:9" ht="16.5" hidden="1" thickTop="1" thickBot="1" x14ac:dyDescent="0.3">
      <c r="A108" s="2175" t="s">
        <v>849</v>
      </c>
      <c r="B108" s="2176"/>
      <c r="C108" s="2176"/>
      <c r="D108" s="2177"/>
      <c r="E108" s="2152">
        <f>SUM(E106:E107)</f>
        <v>0</v>
      </c>
      <c r="F108" s="2152">
        <f>SUM(F106:F107)</f>
        <v>0</v>
      </c>
      <c r="G108" s="2152">
        <f>SUM(G106:G107)</f>
        <v>0</v>
      </c>
      <c r="H108" s="2157" t="e">
        <f>G108/F108*100</f>
        <v>#DIV/0!</v>
      </c>
      <c r="I108" s="2165"/>
    </row>
    <row r="109" spans="1:9" hidden="1" x14ac:dyDescent="0.2">
      <c r="I109" s="2165"/>
    </row>
    <row r="110" spans="1:9" ht="15" hidden="1" x14ac:dyDescent="0.25">
      <c r="A110" s="2136" t="s">
        <v>1427</v>
      </c>
      <c r="D110" s="2130"/>
      <c r="E110" s="2131"/>
      <c r="H110" s="2165"/>
      <c r="I110" s="2165"/>
    </row>
    <row r="111" spans="1:9" ht="15" hidden="1" x14ac:dyDescent="0.25">
      <c r="A111" s="2136" t="s">
        <v>1428</v>
      </c>
      <c r="D111" s="2130"/>
      <c r="E111" s="2131"/>
      <c r="H111" s="2165" t="s">
        <v>179</v>
      </c>
      <c r="I111" s="2165"/>
    </row>
    <row r="112" spans="1:9" ht="25.5" hidden="1" thickTop="1" thickBot="1" x14ac:dyDescent="0.25">
      <c r="A112" s="2138" t="s">
        <v>180</v>
      </c>
      <c r="B112" s="2139" t="s">
        <v>847</v>
      </c>
      <c r="C112" s="2139" t="s">
        <v>414</v>
      </c>
      <c r="D112" s="2140" t="s">
        <v>182</v>
      </c>
      <c r="E112" s="2171" t="s">
        <v>700</v>
      </c>
      <c r="F112" s="2171" t="s">
        <v>701</v>
      </c>
      <c r="G112" s="2172" t="s">
        <v>986</v>
      </c>
      <c r="H112" s="2173" t="s">
        <v>987</v>
      </c>
      <c r="I112" s="2165"/>
    </row>
    <row r="113" spans="1:9" ht="14.25" hidden="1" thickTop="1" thickBot="1" x14ac:dyDescent="0.25">
      <c r="A113" s="1854">
        <v>1</v>
      </c>
      <c r="B113" s="1853">
        <v>2</v>
      </c>
      <c r="C113" s="1853">
        <v>3</v>
      </c>
      <c r="D113" s="1853">
        <v>5</v>
      </c>
      <c r="E113" s="1852">
        <v>6</v>
      </c>
      <c r="F113" s="1852">
        <v>7</v>
      </c>
      <c r="G113" s="2223">
        <v>8</v>
      </c>
      <c r="H113" s="2146" t="s">
        <v>848</v>
      </c>
      <c r="I113" s="2165"/>
    </row>
    <row r="114" spans="1:9" ht="30.75" hidden="1" thickTop="1" x14ac:dyDescent="0.2">
      <c r="A114" s="2246">
        <v>3299</v>
      </c>
      <c r="B114" s="2272">
        <v>5336</v>
      </c>
      <c r="C114" s="2253">
        <v>32133006</v>
      </c>
      <c r="D114" s="2174" t="s">
        <v>1570</v>
      </c>
      <c r="E114" s="2170">
        <v>0</v>
      </c>
      <c r="F114" s="2170">
        <v>0</v>
      </c>
      <c r="G114" s="2236">
        <v>0</v>
      </c>
      <c r="H114" s="2153" t="e">
        <f>G114/F114*100</f>
        <v>#DIV/0!</v>
      </c>
      <c r="I114" s="2165"/>
    </row>
    <row r="115" spans="1:9" ht="30" hidden="1" x14ac:dyDescent="0.2">
      <c r="A115" s="2246">
        <v>3299</v>
      </c>
      <c r="B115" s="2272">
        <v>5336</v>
      </c>
      <c r="C115" s="2253">
        <v>32533006</v>
      </c>
      <c r="D115" s="2174" t="s">
        <v>1570</v>
      </c>
      <c r="E115" s="2184">
        <v>0</v>
      </c>
      <c r="F115" s="2184">
        <v>0</v>
      </c>
      <c r="G115" s="2233">
        <v>0</v>
      </c>
      <c r="H115" s="2156" t="e">
        <f>G115/F115*100</f>
        <v>#DIV/0!</v>
      </c>
      <c r="I115" s="2165"/>
    </row>
    <row r="116" spans="1:9" ht="16.5" hidden="1" thickTop="1" thickBot="1" x14ac:dyDescent="0.3">
      <c r="A116" s="2175" t="s">
        <v>849</v>
      </c>
      <c r="B116" s="2176"/>
      <c r="C116" s="2176"/>
      <c r="D116" s="2177"/>
      <c r="E116" s="2152">
        <f>SUM(E114:E115)</f>
        <v>0</v>
      </c>
      <c r="F116" s="2152">
        <f>SUM(F114:F115)</f>
        <v>0</v>
      </c>
      <c r="G116" s="2152">
        <f>SUM(G114:G115)</f>
        <v>0</v>
      </c>
      <c r="H116" s="2157" t="e">
        <f>G116/F116*100</f>
        <v>#DIV/0!</v>
      </c>
      <c r="I116" s="2165"/>
    </row>
    <row r="117" spans="1:9" hidden="1" x14ac:dyDescent="0.2">
      <c r="I117" s="2165"/>
    </row>
    <row r="118" spans="1:9" ht="15" hidden="1" x14ac:dyDescent="0.25">
      <c r="A118" s="2136" t="s">
        <v>1429</v>
      </c>
      <c r="D118" s="2130"/>
      <c r="E118" s="2131"/>
      <c r="H118" s="2165"/>
      <c r="I118" s="2165"/>
    </row>
    <row r="119" spans="1:9" ht="15" hidden="1" x14ac:dyDescent="0.25">
      <c r="A119" s="2136" t="s">
        <v>1430</v>
      </c>
      <c r="D119" s="2130"/>
      <c r="E119" s="2131"/>
      <c r="H119" s="2165" t="s">
        <v>179</v>
      </c>
      <c r="I119" s="2165"/>
    </row>
    <row r="120" spans="1:9" ht="25.5" hidden="1" thickTop="1" thickBot="1" x14ac:dyDescent="0.25">
      <c r="A120" s="2138" t="s">
        <v>180</v>
      </c>
      <c r="B120" s="2139" t="s">
        <v>847</v>
      </c>
      <c r="C120" s="2139" t="s">
        <v>414</v>
      </c>
      <c r="D120" s="2140" t="s">
        <v>182</v>
      </c>
      <c r="E120" s="2171" t="s">
        <v>700</v>
      </c>
      <c r="F120" s="2171" t="s">
        <v>701</v>
      </c>
      <c r="G120" s="2172" t="s">
        <v>986</v>
      </c>
      <c r="H120" s="2173" t="s">
        <v>987</v>
      </c>
      <c r="I120" s="2165"/>
    </row>
    <row r="121" spans="1:9" ht="14.25" hidden="1" thickTop="1" thickBot="1" x14ac:dyDescent="0.25">
      <c r="A121" s="1854">
        <v>1</v>
      </c>
      <c r="B121" s="1853">
        <v>2</v>
      </c>
      <c r="C121" s="1853">
        <v>3</v>
      </c>
      <c r="D121" s="1853">
        <v>5</v>
      </c>
      <c r="E121" s="1852">
        <v>6</v>
      </c>
      <c r="F121" s="1852">
        <v>7</v>
      </c>
      <c r="G121" s="2223">
        <v>8</v>
      </c>
      <c r="H121" s="2146" t="s">
        <v>848</v>
      </c>
      <c r="I121" s="2165"/>
    </row>
    <row r="122" spans="1:9" ht="30.75" hidden="1" thickTop="1" x14ac:dyDescent="0.2">
      <c r="A122" s="2246">
        <v>3299</v>
      </c>
      <c r="B122" s="2272">
        <v>5336</v>
      </c>
      <c r="C122" s="2253">
        <v>32133006</v>
      </c>
      <c r="D122" s="2174" t="s">
        <v>1570</v>
      </c>
      <c r="E122" s="2170">
        <v>0</v>
      </c>
      <c r="F122" s="2170">
        <v>0</v>
      </c>
      <c r="G122" s="2236">
        <v>0</v>
      </c>
      <c r="H122" s="2153" t="e">
        <f>G122/F122*100</f>
        <v>#DIV/0!</v>
      </c>
      <c r="I122" s="2165"/>
    </row>
    <row r="123" spans="1:9" ht="30" hidden="1" x14ac:dyDescent="0.2">
      <c r="A123" s="2246">
        <v>3299</v>
      </c>
      <c r="B123" s="2272">
        <v>5336</v>
      </c>
      <c r="C123" s="2253">
        <v>32533006</v>
      </c>
      <c r="D123" s="2174" t="s">
        <v>1570</v>
      </c>
      <c r="E123" s="2184">
        <v>0</v>
      </c>
      <c r="F123" s="2184">
        <v>0</v>
      </c>
      <c r="G123" s="2233">
        <v>0</v>
      </c>
      <c r="H123" s="2156" t="e">
        <f>G123/F123*100</f>
        <v>#DIV/0!</v>
      </c>
      <c r="I123" s="2165"/>
    </row>
    <row r="124" spans="1:9" ht="16.5" hidden="1" thickTop="1" thickBot="1" x14ac:dyDescent="0.3">
      <c r="A124" s="2175" t="s">
        <v>849</v>
      </c>
      <c r="B124" s="2176"/>
      <c r="C124" s="2176"/>
      <c r="D124" s="2177"/>
      <c r="E124" s="2152">
        <f>SUM(E122:E123)</f>
        <v>0</v>
      </c>
      <c r="F124" s="2152">
        <f>SUM(F122:F123)</f>
        <v>0</v>
      </c>
      <c r="G124" s="2152">
        <f>SUM(G122:G123)</f>
        <v>0</v>
      </c>
      <c r="H124" s="2157" t="e">
        <f>G124/F124*100</f>
        <v>#DIV/0!</v>
      </c>
      <c r="I124" s="2165"/>
    </row>
    <row r="125" spans="1:9" hidden="1" x14ac:dyDescent="0.2">
      <c r="I125" s="2165"/>
    </row>
    <row r="126" spans="1:9" ht="15" x14ac:dyDescent="0.25">
      <c r="A126" s="2136" t="s">
        <v>1845</v>
      </c>
      <c r="D126" s="2130"/>
      <c r="E126" s="2131"/>
      <c r="H126" s="2165"/>
      <c r="I126" s="2165"/>
    </row>
    <row r="127" spans="1:9" ht="15.75" thickBot="1" x14ac:dyDescent="0.3">
      <c r="A127" s="2136" t="s">
        <v>620</v>
      </c>
      <c r="D127" s="2130"/>
      <c r="E127" s="2131"/>
      <c r="H127" s="2240" t="s">
        <v>179</v>
      </c>
      <c r="I127" s="2165"/>
    </row>
    <row r="128" spans="1:9" ht="25.5" thickTop="1" thickBot="1" x14ac:dyDescent="0.25">
      <c r="A128" s="2138" t="s">
        <v>180</v>
      </c>
      <c r="B128" s="2139" t="s">
        <v>847</v>
      </c>
      <c r="C128" s="2139" t="s">
        <v>414</v>
      </c>
      <c r="D128" s="2140" t="s">
        <v>182</v>
      </c>
      <c r="E128" s="2171" t="s">
        <v>700</v>
      </c>
      <c r="F128" s="2171" t="s">
        <v>701</v>
      </c>
      <c r="G128" s="2172" t="s">
        <v>986</v>
      </c>
      <c r="H128" s="2173" t="s">
        <v>987</v>
      </c>
      <c r="I128" s="2165"/>
    </row>
    <row r="129" spans="1:9" ht="14.25" thickTop="1" thickBot="1" x14ac:dyDescent="0.25">
      <c r="A129" s="1854">
        <v>1</v>
      </c>
      <c r="B129" s="1853">
        <v>2</v>
      </c>
      <c r="C129" s="1853">
        <v>3</v>
      </c>
      <c r="D129" s="1853">
        <v>5</v>
      </c>
      <c r="E129" s="1852">
        <v>6</v>
      </c>
      <c r="F129" s="1852">
        <v>7</v>
      </c>
      <c r="G129" s="2223">
        <v>8</v>
      </c>
      <c r="H129" s="2146" t="s">
        <v>848</v>
      </c>
      <c r="I129" s="2165"/>
    </row>
    <row r="130" spans="1:9" ht="30.75" thickTop="1" x14ac:dyDescent="0.2">
      <c r="A130" s="2246">
        <v>3299</v>
      </c>
      <c r="B130" s="2272">
        <v>5336</v>
      </c>
      <c r="C130" s="2253">
        <v>32133006</v>
      </c>
      <c r="D130" s="2174" t="s">
        <v>1419</v>
      </c>
      <c r="E130" s="2170">
        <v>0</v>
      </c>
      <c r="F130" s="2170">
        <v>642</v>
      </c>
      <c r="G130" s="2236">
        <v>563</v>
      </c>
      <c r="H130" s="2153">
        <f>G130/F130*100</f>
        <v>87.694704049844248</v>
      </c>
      <c r="I130" s="2165"/>
    </row>
    <row r="131" spans="1:9" ht="30" x14ac:dyDescent="0.2">
      <c r="A131" s="2246">
        <v>3299</v>
      </c>
      <c r="B131" s="2272">
        <v>5336</v>
      </c>
      <c r="C131" s="2253">
        <v>32533006</v>
      </c>
      <c r="D131" s="2174" t="s">
        <v>1419</v>
      </c>
      <c r="E131" s="2184">
        <v>0</v>
      </c>
      <c r="F131" s="2184">
        <v>3639</v>
      </c>
      <c r="G131" s="2233">
        <v>3189</v>
      </c>
      <c r="H131" s="2156">
        <f>G131/F131*100</f>
        <v>87.633965375103045</v>
      </c>
      <c r="I131" s="2165"/>
    </row>
    <row r="132" spans="1:9" ht="30" x14ac:dyDescent="0.2">
      <c r="A132" s="2246">
        <v>3299</v>
      </c>
      <c r="B132" s="2253">
        <v>6351</v>
      </c>
      <c r="C132" s="2253">
        <v>32133006</v>
      </c>
      <c r="D132" s="2269" t="s">
        <v>1433</v>
      </c>
      <c r="E132" s="2184">
        <v>0</v>
      </c>
      <c r="F132" s="2184">
        <v>27</v>
      </c>
      <c r="G132" s="2233">
        <v>23</v>
      </c>
      <c r="H132" s="2156">
        <f>G132/F132*100</f>
        <v>85.18518518518519</v>
      </c>
      <c r="I132" s="2165"/>
    </row>
    <row r="133" spans="1:9" ht="30.75" thickBot="1" x14ac:dyDescent="0.25">
      <c r="A133" s="2270">
        <v>3299</v>
      </c>
      <c r="B133" s="2271">
        <v>6351</v>
      </c>
      <c r="C133" s="2271">
        <v>32533006</v>
      </c>
      <c r="D133" s="2269" t="s">
        <v>1433</v>
      </c>
      <c r="E133" s="2184">
        <v>0</v>
      </c>
      <c r="F133" s="2184">
        <v>153</v>
      </c>
      <c r="G133" s="2233">
        <v>132</v>
      </c>
      <c r="H133" s="2156">
        <f>G133/F133*100</f>
        <v>86.274509803921575</v>
      </c>
      <c r="I133" s="2165"/>
    </row>
    <row r="134" spans="1:9" ht="16.5" thickTop="1" thickBot="1" x14ac:dyDescent="0.3">
      <c r="A134" s="2175" t="s">
        <v>849</v>
      </c>
      <c r="B134" s="2176"/>
      <c r="C134" s="2176"/>
      <c r="D134" s="2177"/>
      <c r="E134" s="2152">
        <f>SUM(E130:E131)</f>
        <v>0</v>
      </c>
      <c r="F134" s="2152">
        <f>SUM(F130:F133)</f>
        <v>4461</v>
      </c>
      <c r="G134" s="2152">
        <f>SUM(G130:G133)</f>
        <v>3907</v>
      </c>
      <c r="H134" s="2157">
        <f>G134/F134*100</f>
        <v>87.581259807218117</v>
      </c>
      <c r="I134" s="2165"/>
    </row>
    <row r="135" spans="1:9" ht="13.5" thickTop="1" x14ac:dyDescent="0.2">
      <c r="I135" s="2165"/>
    </row>
    <row r="136" spans="1:9" ht="15" x14ac:dyDescent="0.25">
      <c r="A136" s="2136" t="s">
        <v>1934</v>
      </c>
      <c r="D136" s="2130"/>
      <c r="E136" s="2131"/>
      <c r="H136" s="2165"/>
      <c r="I136" s="2165"/>
    </row>
    <row r="137" spans="1:9" ht="15.75" thickBot="1" x14ac:dyDescent="0.3">
      <c r="A137" s="2136" t="s">
        <v>208</v>
      </c>
      <c r="D137" s="2130"/>
      <c r="E137" s="2131"/>
      <c r="H137" s="2240" t="s">
        <v>179</v>
      </c>
      <c r="I137" s="2165"/>
    </row>
    <row r="138" spans="1:9" ht="25.5" thickTop="1" thickBot="1" x14ac:dyDescent="0.25">
      <c r="A138" s="2138" t="s">
        <v>180</v>
      </c>
      <c r="B138" s="2139" t="s">
        <v>847</v>
      </c>
      <c r="C138" s="2139" t="s">
        <v>414</v>
      </c>
      <c r="D138" s="2140" t="s">
        <v>182</v>
      </c>
      <c r="E138" s="2171" t="s">
        <v>700</v>
      </c>
      <c r="F138" s="2171" t="s">
        <v>701</v>
      </c>
      <c r="G138" s="2172" t="s">
        <v>986</v>
      </c>
      <c r="H138" s="2173" t="s">
        <v>987</v>
      </c>
      <c r="I138" s="2165"/>
    </row>
    <row r="139" spans="1:9" ht="14.25" thickTop="1" thickBot="1" x14ac:dyDescent="0.25">
      <c r="A139" s="1854">
        <v>1</v>
      </c>
      <c r="B139" s="1853">
        <v>2</v>
      </c>
      <c r="C139" s="1853">
        <v>3</v>
      </c>
      <c r="D139" s="1853">
        <v>5</v>
      </c>
      <c r="E139" s="1852">
        <v>6</v>
      </c>
      <c r="F139" s="1852">
        <v>7</v>
      </c>
      <c r="G139" s="2223">
        <v>8</v>
      </c>
      <c r="H139" s="2146" t="s">
        <v>848</v>
      </c>
      <c r="I139" s="2165"/>
    </row>
    <row r="140" spans="1:9" ht="30.75" thickTop="1" x14ac:dyDescent="0.2">
      <c r="A140" s="2246">
        <v>3299</v>
      </c>
      <c r="B140" s="2272">
        <v>5336</v>
      </c>
      <c r="C140" s="2253">
        <v>32133006</v>
      </c>
      <c r="D140" s="2174" t="s">
        <v>1419</v>
      </c>
      <c r="E140" s="2170">
        <v>0</v>
      </c>
      <c r="F140" s="2170">
        <v>97</v>
      </c>
      <c r="G140" s="2236">
        <v>73</v>
      </c>
      <c r="H140" s="2153">
        <f>G140/F140*100</f>
        <v>75.257731958762889</v>
      </c>
      <c r="I140" s="2165"/>
    </row>
    <row r="141" spans="1:9" ht="30.75" thickBot="1" x14ac:dyDescent="0.25">
      <c r="A141" s="2246">
        <v>3299</v>
      </c>
      <c r="B141" s="2272">
        <v>5336</v>
      </c>
      <c r="C141" s="2253">
        <v>32533006</v>
      </c>
      <c r="D141" s="2174" t="s">
        <v>1419</v>
      </c>
      <c r="E141" s="2184">
        <v>0</v>
      </c>
      <c r="F141" s="2184">
        <v>550</v>
      </c>
      <c r="G141" s="2233">
        <v>412</v>
      </c>
      <c r="H141" s="2156">
        <f>G141/F141*100</f>
        <v>74.909090909090921</v>
      </c>
      <c r="I141" s="2165"/>
    </row>
    <row r="142" spans="1:9" ht="30.75" hidden="1" thickBot="1" x14ac:dyDescent="0.25">
      <c r="A142" s="2246">
        <v>3299</v>
      </c>
      <c r="B142" s="2253">
        <v>6351</v>
      </c>
      <c r="C142" s="2253">
        <v>32133006</v>
      </c>
      <c r="D142" s="2269" t="s">
        <v>1433</v>
      </c>
      <c r="E142" s="2184">
        <v>0</v>
      </c>
      <c r="F142" s="2184">
        <v>0</v>
      </c>
      <c r="G142" s="2233">
        <v>0</v>
      </c>
      <c r="H142" s="2156" t="e">
        <f>G142/F142*100</f>
        <v>#DIV/0!</v>
      </c>
      <c r="I142" s="2165"/>
    </row>
    <row r="143" spans="1:9" ht="30.75" hidden="1" thickBot="1" x14ac:dyDescent="0.25">
      <c r="A143" s="2270">
        <v>3299</v>
      </c>
      <c r="B143" s="2271">
        <v>6351</v>
      </c>
      <c r="C143" s="2271">
        <v>32533006</v>
      </c>
      <c r="D143" s="2269" t="s">
        <v>1433</v>
      </c>
      <c r="E143" s="2184">
        <v>0</v>
      </c>
      <c r="F143" s="2184">
        <v>0</v>
      </c>
      <c r="G143" s="2233">
        <v>0</v>
      </c>
      <c r="H143" s="2156" t="e">
        <f>G143/F143*100</f>
        <v>#DIV/0!</v>
      </c>
      <c r="I143" s="2165"/>
    </row>
    <row r="144" spans="1:9" ht="16.5" thickTop="1" thickBot="1" x14ac:dyDescent="0.3">
      <c r="A144" s="2175" t="s">
        <v>849</v>
      </c>
      <c r="B144" s="2176"/>
      <c r="C144" s="2176"/>
      <c r="D144" s="2177"/>
      <c r="E144" s="2152">
        <f>SUM(E140:E141)</f>
        <v>0</v>
      </c>
      <c r="F144" s="2152">
        <f>SUM(F140:F143)</f>
        <v>647</v>
      </c>
      <c r="G144" s="2152">
        <f>SUM(G140:G143)</f>
        <v>485</v>
      </c>
      <c r="H144" s="2157">
        <f>G144/F144*100</f>
        <v>74.961360123647609</v>
      </c>
      <c r="I144" s="2165"/>
    </row>
    <row r="145" spans="1:9" ht="13.5" thickTop="1" x14ac:dyDescent="0.2">
      <c r="I145" s="2165"/>
    </row>
    <row r="146" spans="1:9" ht="15" x14ac:dyDescent="0.25">
      <c r="A146" s="2136" t="s">
        <v>52</v>
      </c>
      <c r="D146" s="2130"/>
      <c r="E146" s="2131"/>
      <c r="H146" s="2165"/>
      <c r="I146" s="2165"/>
    </row>
    <row r="147" spans="1:9" ht="15.75" thickBot="1" x14ac:dyDescent="0.3">
      <c r="A147" s="2136" t="s">
        <v>621</v>
      </c>
      <c r="D147" s="2130"/>
      <c r="E147" s="2131"/>
      <c r="H147" s="2240" t="s">
        <v>179</v>
      </c>
      <c r="I147" s="2165"/>
    </row>
    <row r="148" spans="1:9" ht="25.5" thickTop="1" thickBot="1" x14ac:dyDescent="0.25">
      <c r="A148" s="2138" t="s">
        <v>180</v>
      </c>
      <c r="B148" s="2139" t="s">
        <v>847</v>
      </c>
      <c r="C148" s="2139" t="s">
        <v>414</v>
      </c>
      <c r="D148" s="2140" t="s">
        <v>182</v>
      </c>
      <c r="E148" s="2171" t="s">
        <v>700</v>
      </c>
      <c r="F148" s="2171" t="s">
        <v>701</v>
      </c>
      <c r="G148" s="2172" t="s">
        <v>986</v>
      </c>
      <c r="H148" s="2173" t="s">
        <v>987</v>
      </c>
      <c r="I148" s="2165"/>
    </row>
    <row r="149" spans="1:9" ht="14.25" thickTop="1" thickBot="1" x14ac:dyDescent="0.25">
      <c r="A149" s="1854">
        <v>1</v>
      </c>
      <c r="B149" s="1853">
        <v>2</v>
      </c>
      <c r="C149" s="1853">
        <v>3</v>
      </c>
      <c r="D149" s="1853">
        <v>5</v>
      </c>
      <c r="E149" s="1852">
        <v>6</v>
      </c>
      <c r="F149" s="1852">
        <v>7</v>
      </c>
      <c r="G149" s="2223">
        <v>8</v>
      </c>
      <c r="H149" s="2146" t="s">
        <v>848</v>
      </c>
      <c r="I149" s="2165"/>
    </row>
    <row r="150" spans="1:9" ht="30.75" thickTop="1" x14ac:dyDescent="0.2">
      <c r="A150" s="2246">
        <v>3299</v>
      </c>
      <c r="B150" s="2272">
        <v>5336</v>
      </c>
      <c r="C150" s="2253">
        <v>32133006</v>
      </c>
      <c r="D150" s="2174" t="s">
        <v>1419</v>
      </c>
      <c r="E150" s="2170">
        <v>0</v>
      </c>
      <c r="F150" s="2170">
        <v>50</v>
      </c>
      <c r="G150" s="2236">
        <v>50</v>
      </c>
      <c r="H150" s="2153">
        <f>G150/F150*100</f>
        <v>100</v>
      </c>
      <c r="I150" s="2165"/>
    </row>
    <row r="151" spans="1:9" ht="30.75" thickBot="1" x14ac:dyDescent="0.25">
      <c r="A151" s="2246">
        <v>3299</v>
      </c>
      <c r="B151" s="2272">
        <v>5336</v>
      </c>
      <c r="C151" s="2253">
        <v>32533006</v>
      </c>
      <c r="D151" s="2174" t="s">
        <v>1419</v>
      </c>
      <c r="E151" s="2184">
        <v>0</v>
      </c>
      <c r="F151" s="2184">
        <v>286</v>
      </c>
      <c r="G151" s="2233">
        <v>286</v>
      </c>
      <c r="H151" s="2156">
        <f>G151/F151*100</f>
        <v>100</v>
      </c>
      <c r="I151" s="2165"/>
    </row>
    <row r="152" spans="1:9" ht="30.75" hidden="1" thickBot="1" x14ac:dyDescent="0.25">
      <c r="A152" s="2246">
        <v>3299</v>
      </c>
      <c r="B152" s="2253">
        <v>6351</v>
      </c>
      <c r="C152" s="2253">
        <v>32133006</v>
      </c>
      <c r="D152" s="2269" t="s">
        <v>1433</v>
      </c>
      <c r="E152" s="2184">
        <v>0</v>
      </c>
      <c r="F152" s="2184">
        <v>0</v>
      </c>
      <c r="G152" s="2233">
        <v>0</v>
      </c>
      <c r="H152" s="2156" t="e">
        <f>G152/F152*100</f>
        <v>#DIV/0!</v>
      </c>
      <c r="I152" s="2165"/>
    </row>
    <row r="153" spans="1:9" ht="30.75" hidden="1" thickBot="1" x14ac:dyDescent="0.25">
      <c r="A153" s="2270">
        <v>3299</v>
      </c>
      <c r="B153" s="2271">
        <v>6351</v>
      </c>
      <c r="C153" s="2271">
        <v>32533006</v>
      </c>
      <c r="D153" s="2269" t="s">
        <v>1433</v>
      </c>
      <c r="E153" s="2184">
        <v>0</v>
      </c>
      <c r="F153" s="2184">
        <v>0</v>
      </c>
      <c r="G153" s="2233">
        <v>0</v>
      </c>
      <c r="H153" s="2156" t="e">
        <f>G153/F153*100</f>
        <v>#DIV/0!</v>
      </c>
      <c r="I153" s="2165"/>
    </row>
    <row r="154" spans="1:9" ht="16.5" thickTop="1" thickBot="1" x14ac:dyDescent="0.3">
      <c r="A154" s="2175" t="s">
        <v>849</v>
      </c>
      <c r="B154" s="2176"/>
      <c r="C154" s="2176"/>
      <c r="D154" s="2177"/>
      <c r="E154" s="2152">
        <f>SUM(E150:E151)</f>
        <v>0</v>
      </c>
      <c r="F154" s="2152">
        <f>SUM(F150:F153)</f>
        <v>336</v>
      </c>
      <c r="G154" s="2152">
        <f>SUM(G150:G153)</f>
        <v>336</v>
      </c>
      <c r="H154" s="2157">
        <f>G154/F154*100</f>
        <v>100</v>
      </c>
      <c r="I154" s="2165"/>
    </row>
    <row r="155" spans="1:9" ht="13.5" thickTop="1" x14ac:dyDescent="0.2">
      <c r="I155" s="2165"/>
    </row>
    <row r="156" spans="1:9" ht="15" x14ac:dyDescent="0.25">
      <c r="A156" s="2136" t="s">
        <v>1935</v>
      </c>
      <c r="D156" s="2130"/>
      <c r="E156" s="2131"/>
      <c r="H156" s="2165"/>
      <c r="I156" s="2165"/>
    </row>
    <row r="157" spans="1:9" ht="15.75" thickBot="1" x14ac:dyDescent="0.3">
      <c r="A157" s="2136" t="s">
        <v>210</v>
      </c>
      <c r="D157" s="2130"/>
      <c r="E157" s="2131"/>
      <c r="H157" s="2240" t="s">
        <v>179</v>
      </c>
      <c r="I157" s="2165"/>
    </row>
    <row r="158" spans="1:9" ht="25.5" thickTop="1" thickBot="1" x14ac:dyDescent="0.25">
      <c r="A158" s="2138" t="s">
        <v>180</v>
      </c>
      <c r="B158" s="2139" t="s">
        <v>847</v>
      </c>
      <c r="C158" s="2139" t="s">
        <v>414</v>
      </c>
      <c r="D158" s="2140" t="s">
        <v>182</v>
      </c>
      <c r="E158" s="2171" t="s">
        <v>700</v>
      </c>
      <c r="F158" s="2171" t="s">
        <v>701</v>
      </c>
      <c r="G158" s="2172" t="s">
        <v>986</v>
      </c>
      <c r="H158" s="2173" t="s">
        <v>987</v>
      </c>
      <c r="I158" s="2165"/>
    </row>
    <row r="159" spans="1:9" ht="14.25" thickTop="1" thickBot="1" x14ac:dyDescent="0.25">
      <c r="A159" s="1854">
        <v>1</v>
      </c>
      <c r="B159" s="1853">
        <v>2</v>
      </c>
      <c r="C159" s="1853">
        <v>3</v>
      </c>
      <c r="D159" s="1853">
        <v>5</v>
      </c>
      <c r="E159" s="1852">
        <v>6</v>
      </c>
      <c r="F159" s="1852">
        <v>7</v>
      </c>
      <c r="G159" s="2223">
        <v>8</v>
      </c>
      <c r="H159" s="2146" t="s">
        <v>848</v>
      </c>
      <c r="I159" s="2165"/>
    </row>
    <row r="160" spans="1:9" ht="30.75" thickTop="1" x14ac:dyDescent="0.2">
      <c r="A160" s="2246">
        <v>3299</v>
      </c>
      <c r="B160" s="2272">
        <v>5336</v>
      </c>
      <c r="C160" s="2253">
        <v>32133006</v>
      </c>
      <c r="D160" s="2174" t="s">
        <v>1419</v>
      </c>
      <c r="E160" s="2170">
        <v>0</v>
      </c>
      <c r="F160" s="2170">
        <v>38</v>
      </c>
      <c r="G160" s="2236">
        <v>38</v>
      </c>
      <c r="H160" s="2153">
        <f>G160/F160*100</f>
        <v>100</v>
      </c>
      <c r="I160" s="2165"/>
    </row>
    <row r="161" spans="1:9" ht="30.75" thickBot="1" x14ac:dyDescent="0.25">
      <c r="A161" s="2246">
        <v>3299</v>
      </c>
      <c r="B161" s="2272">
        <v>5336</v>
      </c>
      <c r="C161" s="2253">
        <v>32533006</v>
      </c>
      <c r="D161" s="2174" t="s">
        <v>1419</v>
      </c>
      <c r="E161" s="2184">
        <v>0</v>
      </c>
      <c r="F161" s="2184">
        <v>217</v>
      </c>
      <c r="G161" s="2233">
        <v>217</v>
      </c>
      <c r="H161" s="2156">
        <f>G161/F161*100</f>
        <v>100</v>
      </c>
      <c r="I161" s="2165"/>
    </row>
    <row r="162" spans="1:9" ht="16.5" thickTop="1" thickBot="1" x14ac:dyDescent="0.3">
      <c r="A162" s="2175" t="s">
        <v>849</v>
      </c>
      <c r="B162" s="2176"/>
      <c r="C162" s="2176"/>
      <c r="D162" s="2177"/>
      <c r="E162" s="2152">
        <f>SUM(E160:E161)</f>
        <v>0</v>
      </c>
      <c r="F162" s="2152">
        <f>SUM(F160:F161)</f>
        <v>255</v>
      </c>
      <c r="G162" s="2152">
        <f>SUM(G160:G161)</f>
        <v>255</v>
      </c>
      <c r="H162" s="2157">
        <f>G162/F162*100</f>
        <v>100</v>
      </c>
      <c r="I162" s="2165"/>
    </row>
    <row r="163" spans="1:9" ht="13.5" thickTop="1" x14ac:dyDescent="0.2">
      <c r="I163" s="2165"/>
    </row>
    <row r="164" spans="1:9" ht="15" x14ac:dyDescent="0.25">
      <c r="A164" s="2136" t="s">
        <v>622</v>
      </c>
      <c r="D164" s="2130"/>
      <c r="E164" s="2131"/>
      <c r="H164" s="2165"/>
      <c r="I164" s="2165"/>
    </row>
    <row r="165" spans="1:9" ht="15.75" thickBot="1" x14ac:dyDescent="0.3">
      <c r="A165" s="2136" t="s">
        <v>623</v>
      </c>
      <c r="D165" s="2130"/>
      <c r="E165" s="2131"/>
      <c r="H165" s="2240" t="s">
        <v>179</v>
      </c>
      <c r="I165" s="2165"/>
    </row>
    <row r="166" spans="1:9" ht="25.5" thickTop="1" thickBot="1" x14ac:dyDescent="0.25">
      <c r="A166" s="2138" t="s">
        <v>180</v>
      </c>
      <c r="B166" s="2139" t="s">
        <v>847</v>
      </c>
      <c r="C166" s="2139" t="s">
        <v>414</v>
      </c>
      <c r="D166" s="2140" t="s">
        <v>182</v>
      </c>
      <c r="E166" s="2171" t="s">
        <v>700</v>
      </c>
      <c r="F166" s="2171" t="s">
        <v>701</v>
      </c>
      <c r="G166" s="2172" t="s">
        <v>986</v>
      </c>
      <c r="H166" s="2173" t="s">
        <v>987</v>
      </c>
      <c r="I166" s="2165"/>
    </row>
    <row r="167" spans="1:9" ht="14.25" thickTop="1" thickBot="1" x14ac:dyDescent="0.25">
      <c r="A167" s="1854">
        <v>1</v>
      </c>
      <c r="B167" s="1853">
        <v>2</v>
      </c>
      <c r="C167" s="1853">
        <v>3</v>
      </c>
      <c r="D167" s="1853">
        <v>5</v>
      </c>
      <c r="E167" s="1852">
        <v>6</v>
      </c>
      <c r="F167" s="1852">
        <v>7</v>
      </c>
      <c r="G167" s="2223">
        <v>8</v>
      </c>
      <c r="H167" s="2146" t="s">
        <v>848</v>
      </c>
      <c r="I167" s="2165"/>
    </row>
    <row r="168" spans="1:9" ht="30.75" thickTop="1" x14ac:dyDescent="0.2">
      <c r="A168" s="2246">
        <v>3299</v>
      </c>
      <c r="B168" s="2272">
        <v>5336</v>
      </c>
      <c r="C168" s="2253">
        <v>32133006</v>
      </c>
      <c r="D168" s="2174" t="s">
        <v>1419</v>
      </c>
      <c r="E168" s="2170">
        <v>0</v>
      </c>
      <c r="F168" s="2170">
        <v>31</v>
      </c>
      <c r="G168" s="2236">
        <v>31</v>
      </c>
      <c r="H168" s="2153">
        <f>G168/F168*100</f>
        <v>100</v>
      </c>
      <c r="I168" s="2165"/>
    </row>
    <row r="169" spans="1:9" ht="30.75" thickBot="1" x14ac:dyDescent="0.25">
      <c r="A169" s="2246">
        <v>3299</v>
      </c>
      <c r="B169" s="2272">
        <v>5336</v>
      </c>
      <c r="C169" s="2253">
        <v>32533006</v>
      </c>
      <c r="D169" s="2174" t="s">
        <v>1419</v>
      </c>
      <c r="E169" s="2184">
        <v>0</v>
      </c>
      <c r="F169" s="2184">
        <v>176</v>
      </c>
      <c r="G169" s="2233">
        <v>176</v>
      </c>
      <c r="H169" s="2156">
        <f>G169/F169*100</f>
        <v>100</v>
      </c>
      <c r="I169" s="2165"/>
    </row>
    <row r="170" spans="1:9" ht="16.5" thickTop="1" thickBot="1" x14ac:dyDescent="0.3">
      <c r="A170" s="2175" t="s">
        <v>849</v>
      </c>
      <c r="B170" s="2176"/>
      <c r="C170" s="2176"/>
      <c r="D170" s="2177"/>
      <c r="E170" s="2152">
        <f>SUM(E168:E169)</f>
        <v>0</v>
      </c>
      <c r="F170" s="2152">
        <f>SUM(F168:F169)</f>
        <v>207</v>
      </c>
      <c r="G170" s="2152">
        <f>SUM(G168:G169)</f>
        <v>207</v>
      </c>
      <c r="H170" s="2157">
        <f>G170/F170*100</f>
        <v>100</v>
      </c>
      <c r="I170" s="2165"/>
    </row>
    <row r="171" spans="1:9" ht="13.5" thickTop="1" x14ac:dyDescent="0.2">
      <c r="I171" s="2165"/>
    </row>
    <row r="172" spans="1:9" ht="15" x14ac:dyDescent="0.25">
      <c r="A172" s="2136" t="s">
        <v>1936</v>
      </c>
      <c r="D172" s="2130"/>
      <c r="E172" s="2131"/>
      <c r="H172" s="2165"/>
      <c r="I172" s="2165"/>
    </row>
    <row r="173" spans="1:9" ht="15.75" thickBot="1" x14ac:dyDescent="0.3">
      <c r="A173" s="2136" t="s">
        <v>624</v>
      </c>
      <c r="D173" s="2130"/>
      <c r="E173" s="2131"/>
      <c r="H173" s="2240" t="s">
        <v>179</v>
      </c>
      <c r="I173" s="2165"/>
    </row>
    <row r="174" spans="1:9" ht="25.5" thickTop="1" thickBot="1" x14ac:dyDescent="0.25">
      <c r="A174" s="2138" t="s">
        <v>180</v>
      </c>
      <c r="B174" s="2139" t="s">
        <v>847</v>
      </c>
      <c r="C174" s="2139" t="s">
        <v>414</v>
      </c>
      <c r="D174" s="2140" t="s">
        <v>182</v>
      </c>
      <c r="E174" s="2171" t="s">
        <v>700</v>
      </c>
      <c r="F174" s="2171" t="s">
        <v>701</v>
      </c>
      <c r="G174" s="2172" t="s">
        <v>986</v>
      </c>
      <c r="H174" s="2173" t="s">
        <v>987</v>
      </c>
      <c r="I174" s="2165"/>
    </row>
    <row r="175" spans="1:9" ht="14.25" thickTop="1" thickBot="1" x14ac:dyDescent="0.25">
      <c r="A175" s="1854">
        <v>1</v>
      </c>
      <c r="B175" s="1853">
        <v>2</v>
      </c>
      <c r="C175" s="1853">
        <v>3</v>
      </c>
      <c r="D175" s="1853">
        <v>5</v>
      </c>
      <c r="E175" s="1852">
        <v>6</v>
      </c>
      <c r="F175" s="1852">
        <v>7</v>
      </c>
      <c r="G175" s="2223">
        <v>8</v>
      </c>
      <c r="H175" s="2146" t="s">
        <v>848</v>
      </c>
      <c r="I175" s="2165"/>
    </row>
    <row r="176" spans="1:9" ht="30.75" thickTop="1" x14ac:dyDescent="0.2">
      <c r="A176" s="2246">
        <v>3299</v>
      </c>
      <c r="B176" s="2272">
        <v>5336</v>
      </c>
      <c r="C176" s="2253">
        <v>32133006</v>
      </c>
      <c r="D176" s="2174" t="s">
        <v>1419</v>
      </c>
      <c r="E176" s="2170">
        <v>0</v>
      </c>
      <c r="F176" s="2170">
        <v>68</v>
      </c>
      <c r="G176" s="2236">
        <v>66</v>
      </c>
      <c r="H176" s="2153">
        <f>G176/F176*100</f>
        <v>97.058823529411768</v>
      </c>
      <c r="I176" s="2165"/>
    </row>
    <row r="177" spans="1:9" ht="30.75" thickBot="1" x14ac:dyDescent="0.25">
      <c r="A177" s="2246">
        <v>3299</v>
      </c>
      <c r="B177" s="2272">
        <v>5336</v>
      </c>
      <c r="C177" s="2253">
        <v>32533006</v>
      </c>
      <c r="D177" s="2174" t="s">
        <v>1419</v>
      </c>
      <c r="E177" s="2184">
        <v>0</v>
      </c>
      <c r="F177" s="2184">
        <v>385</v>
      </c>
      <c r="G177" s="2233">
        <v>372</v>
      </c>
      <c r="H177" s="2156">
        <f>G177/F177*100</f>
        <v>96.623376623376629</v>
      </c>
      <c r="I177" s="2165"/>
    </row>
    <row r="178" spans="1:9" ht="16.5" thickTop="1" thickBot="1" x14ac:dyDescent="0.3">
      <c r="A178" s="2175" t="s">
        <v>849</v>
      </c>
      <c r="B178" s="2176"/>
      <c r="C178" s="2176"/>
      <c r="D178" s="2177"/>
      <c r="E178" s="2152">
        <f>SUM(E176:E177)</f>
        <v>0</v>
      </c>
      <c r="F178" s="2152">
        <f>SUM(F176:F177)</f>
        <v>453</v>
      </c>
      <c r="G178" s="2152">
        <f>SUM(G176:G177)</f>
        <v>438</v>
      </c>
      <c r="H178" s="2157">
        <f>G178/F178*100</f>
        <v>96.688741721854313</v>
      </c>
      <c r="I178" s="2165"/>
    </row>
    <row r="179" spans="1:9" ht="13.5" thickTop="1" x14ac:dyDescent="0.2">
      <c r="I179" s="2165"/>
    </row>
    <row r="180" spans="1:9" ht="15" x14ac:dyDescent="0.25">
      <c r="A180" s="2136" t="s">
        <v>195</v>
      </c>
      <c r="D180" s="2130"/>
      <c r="E180" s="2131"/>
      <c r="H180" s="2165"/>
      <c r="I180" s="2165"/>
    </row>
    <row r="181" spans="1:9" ht="15.75" thickBot="1" x14ac:dyDescent="0.3">
      <c r="A181" s="2136" t="s">
        <v>1431</v>
      </c>
      <c r="D181" s="2130"/>
      <c r="E181" s="2131"/>
      <c r="H181" s="2240" t="s">
        <v>179</v>
      </c>
      <c r="I181" s="2165"/>
    </row>
    <row r="182" spans="1:9" ht="25.5" thickTop="1" thickBot="1" x14ac:dyDescent="0.25">
      <c r="A182" s="2138" t="s">
        <v>180</v>
      </c>
      <c r="B182" s="2139" t="s">
        <v>847</v>
      </c>
      <c r="C182" s="2139" t="s">
        <v>414</v>
      </c>
      <c r="D182" s="2140" t="s">
        <v>182</v>
      </c>
      <c r="E182" s="2171" t="s">
        <v>700</v>
      </c>
      <c r="F182" s="2171" t="s">
        <v>701</v>
      </c>
      <c r="G182" s="2172" t="s">
        <v>986</v>
      </c>
      <c r="H182" s="2173" t="s">
        <v>987</v>
      </c>
      <c r="I182" s="2165"/>
    </row>
    <row r="183" spans="1:9" ht="14.25" thickTop="1" thickBot="1" x14ac:dyDescent="0.25">
      <c r="A183" s="1854">
        <v>1</v>
      </c>
      <c r="B183" s="1853">
        <v>2</v>
      </c>
      <c r="C183" s="1853">
        <v>3</v>
      </c>
      <c r="D183" s="1853">
        <v>5</v>
      </c>
      <c r="E183" s="1852">
        <v>6</v>
      </c>
      <c r="F183" s="1852">
        <v>7</v>
      </c>
      <c r="G183" s="2223">
        <v>8</v>
      </c>
      <c r="H183" s="2146" t="s">
        <v>848</v>
      </c>
      <c r="I183" s="2165"/>
    </row>
    <row r="184" spans="1:9" ht="30.75" thickTop="1" x14ac:dyDescent="0.2">
      <c r="A184" s="2246">
        <v>3299</v>
      </c>
      <c r="B184" s="2272">
        <v>5336</v>
      </c>
      <c r="C184" s="2253">
        <v>32133006</v>
      </c>
      <c r="D184" s="2174" t="s">
        <v>1419</v>
      </c>
      <c r="E184" s="2170">
        <v>0</v>
      </c>
      <c r="F184" s="2170">
        <v>124</v>
      </c>
      <c r="G184" s="2236">
        <v>124</v>
      </c>
      <c r="H184" s="2153">
        <f>G184/F184*100</f>
        <v>100</v>
      </c>
      <c r="I184" s="2165"/>
    </row>
    <row r="185" spans="1:9" ht="30.75" thickBot="1" x14ac:dyDescent="0.25">
      <c r="A185" s="2246">
        <v>3299</v>
      </c>
      <c r="B185" s="2272">
        <v>5336</v>
      </c>
      <c r="C185" s="2253">
        <v>32533006</v>
      </c>
      <c r="D185" s="2174" t="s">
        <v>1419</v>
      </c>
      <c r="E185" s="2184">
        <v>0</v>
      </c>
      <c r="F185" s="2184">
        <v>704</v>
      </c>
      <c r="G185" s="2233">
        <v>704</v>
      </c>
      <c r="H185" s="2156">
        <f>G185/F185*100</f>
        <v>100</v>
      </c>
      <c r="I185" s="2165"/>
    </row>
    <row r="186" spans="1:9" ht="16.5" thickTop="1" thickBot="1" x14ac:dyDescent="0.3">
      <c r="A186" s="2175" t="s">
        <v>849</v>
      </c>
      <c r="B186" s="2176"/>
      <c r="C186" s="2176"/>
      <c r="D186" s="2177"/>
      <c r="E186" s="2152">
        <f>SUM(E184:E185)</f>
        <v>0</v>
      </c>
      <c r="F186" s="2152">
        <f>SUM(F184:F185)</f>
        <v>828</v>
      </c>
      <c r="G186" s="2152">
        <f>SUM(G184:G185)</f>
        <v>828</v>
      </c>
      <c r="H186" s="2157">
        <f>G186/F186*100</f>
        <v>100</v>
      </c>
      <c r="I186" s="2165"/>
    </row>
    <row r="187" spans="1:9" ht="13.5" thickTop="1" x14ac:dyDescent="0.2">
      <c r="I187" s="2165"/>
    </row>
    <row r="188" spans="1:9" ht="15" x14ac:dyDescent="0.25">
      <c r="A188" s="2136" t="s">
        <v>1937</v>
      </c>
      <c r="D188" s="2130"/>
      <c r="E188" s="2131"/>
      <c r="H188" s="2165"/>
      <c r="I188" s="2165"/>
    </row>
    <row r="189" spans="1:9" ht="15.75" thickBot="1" x14ac:dyDescent="0.3">
      <c r="A189" s="2136" t="s">
        <v>1432</v>
      </c>
      <c r="D189" s="2130"/>
      <c r="E189" s="2131"/>
      <c r="H189" s="2240" t="s">
        <v>179</v>
      </c>
      <c r="I189" s="2165"/>
    </row>
    <row r="190" spans="1:9" ht="25.5" thickTop="1" thickBot="1" x14ac:dyDescent="0.25">
      <c r="A190" s="2138" t="s">
        <v>180</v>
      </c>
      <c r="B190" s="2139" t="s">
        <v>847</v>
      </c>
      <c r="C190" s="2139" t="s">
        <v>414</v>
      </c>
      <c r="D190" s="2140" t="s">
        <v>182</v>
      </c>
      <c r="E190" s="2171" t="s">
        <v>700</v>
      </c>
      <c r="F190" s="2171" t="s">
        <v>701</v>
      </c>
      <c r="G190" s="2172" t="s">
        <v>986</v>
      </c>
      <c r="H190" s="2173" t="s">
        <v>987</v>
      </c>
      <c r="I190" s="2165"/>
    </row>
    <row r="191" spans="1:9" ht="14.25" thickTop="1" thickBot="1" x14ac:dyDescent="0.25">
      <c r="A191" s="1854">
        <v>1</v>
      </c>
      <c r="B191" s="1853">
        <v>2</v>
      </c>
      <c r="C191" s="1853">
        <v>3</v>
      </c>
      <c r="D191" s="1853">
        <v>5</v>
      </c>
      <c r="E191" s="1852">
        <v>6</v>
      </c>
      <c r="F191" s="1852">
        <v>7</v>
      </c>
      <c r="G191" s="2223">
        <v>8</v>
      </c>
      <c r="H191" s="2146" t="s">
        <v>848</v>
      </c>
      <c r="I191" s="2165"/>
    </row>
    <row r="192" spans="1:9" ht="30.75" thickTop="1" x14ac:dyDescent="0.2">
      <c r="A192" s="2246">
        <v>3299</v>
      </c>
      <c r="B192" s="2272">
        <v>5336</v>
      </c>
      <c r="C192" s="2253">
        <v>32133006</v>
      </c>
      <c r="D192" s="2174" t="s">
        <v>1419</v>
      </c>
      <c r="E192" s="2170">
        <v>0</v>
      </c>
      <c r="F192" s="2170">
        <v>5</v>
      </c>
      <c r="G192" s="2236">
        <v>5</v>
      </c>
      <c r="H192" s="2153">
        <f>G192/F192*100</f>
        <v>100</v>
      </c>
      <c r="I192" s="2165"/>
    </row>
    <row r="193" spans="1:9" ht="30.75" thickBot="1" x14ac:dyDescent="0.25">
      <c r="A193" s="2246">
        <v>3299</v>
      </c>
      <c r="B193" s="2272">
        <v>5336</v>
      </c>
      <c r="C193" s="2253">
        <v>32533006</v>
      </c>
      <c r="D193" s="2174" t="s">
        <v>1419</v>
      </c>
      <c r="E193" s="2184">
        <v>0</v>
      </c>
      <c r="F193" s="2184">
        <v>31</v>
      </c>
      <c r="G193" s="2233">
        <v>31</v>
      </c>
      <c r="H193" s="2156">
        <f>G193/F193*100</f>
        <v>100</v>
      </c>
      <c r="I193" s="2165"/>
    </row>
    <row r="194" spans="1:9" ht="30.75" hidden="1" thickBot="1" x14ac:dyDescent="0.25">
      <c r="A194" s="2246">
        <v>3299</v>
      </c>
      <c r="B194" s="2253">
        <v>6351</v>
      </c>
      <c r="C194" s="2253">
        <v>32133006</v>
      </c>
      <c r="D194" s="2174" t="s">
        <v>1433</v>
      </c>
      <c r="E194" s="2184">
        <v>0</v>
      </c>
      <c r="F194" s="2184">
        <v>0</v>
      </c>
      <c r="G194" s="2233">
        <v>0</v>
      </c>
      <c r="H194" s="2156" t="e">
        <f>G194/F194*100</f>
        <v>#DIV/0!</v>
      </c>
      <c r="I194" s="2165"/>
    </row>
    <row r="195" spans="1:9" ht="30.75" hidden="1" thickBot="1" x14ac:dyDescent="0.25">
      <c r="A195" s="2246">
        <v>3299</v>
      </c>
      <c r="B195" s="2253">
        <v>6351</v>
      </c>
      <c r="C195" s="2253">
        <v>32533006</v>
      </c>
      <c r="D195" s="2174" t="s">
        <v>1433</v>
      </c>
      <c r="E195" s="2184">
        <v>0</v>
      </c>
      <c r="F195" s="2184">
        <v>0</v>
      </c>
      <c r="G195" s="2233">
        <v>0</v>
      </c>
      <c r="H195" s="2156" t="e">
        <f>G195/F195*100</f>
        <v>#DIV/0!</v>
      </c>
      <c r="I195" s="2165"/>
    </row>
    <row r="196" spans="1:9" ht="16.5" thickTop="1" thickBot="1" x14ac:dyDescent="0.3">
      <c r="A196" s="2175" t="s">
        <v>849</v>
      </c>
      <c r="B196" s="2176"/>
      <c r="C196" s="2176"/>
      <c r="D196" s="2177"/>
      <c r="E196" s="2152">
        <f>SUM(E192:E195)</f>
        <v>0</v>
      </c>
      <c r="F196" s="2152">
        <f>SUM(F192:F195)</f>
        <v>36</v>
      </c>
      <c r="G196" s="2152">
        <f>SUM(G192:G195)</f>
        <v>36</v>
      </c>
      <c r="H196" s="2157">
        <f>G196/F196*100</f>
        <v>100</v>
      </c>
      <c r="I196" s="2165"/>
    </row>
    <row r="197" spans="1:9" ht="13.5" thickTop="1" x14ac:dyDescent="0.2">
      <c r="I197" s="2165"/>
    </row>
    <row r="198" spans="1:9" ht="15" hidden="1" x14ac:dyDescent="0.25">
      <c r="A198" s="2136" t="s">
        <v>625</v>
      </c>
      <c r="D198" s="2130"/>
      <c r="E198" s="2131"/>
      <c r="H198" s="2165"/>
      <c r="I198" s="2165"/>
    </row>
    <row r="199" spans="1:9" ht="15" hidden="1" x14ac:dyDescent="0.25">
      <c r="A199" s="2136" t="s">
        <v>626</v>
      </c>
      <c r="D199" s="2130"/>
      <c r="E199" s="2131"/>
      <c r="H199" s="2165" t="s">
        <v>179</v>
      </c>
      <c r="I199" s="2165"/>
    </row>
    <row r="200" spans="1:9" ht="25.5" hidden="1" thickTop="1" thickBot="1" x14ac:dyDescent="0.25">
      <c r="A200" s="2138" t="s">
        <v>180</v>
      </c>
      <c r="B200" s="2139" t="s">
        <v>847</v>
      </c>
      <c r="C200" s="2139" t="s">
        <v>414</v>
      </c>
      <c r="D200" s="2140" t="s">
        <v>182</v>
      </c>
      <c r="E200" s="2171" t="s">
        <v>700</v>
      </c>
      <c r="F200" s="2171" t="s">
        <v>701</v>
      </c>
      <c r="G200" s="2172" t="s">
        <v>986</v>
      </c>
      <c r="H200" s="2173" t="s">
        <v>987</v>
      </c>
      <c r="I200" s="2165"/>
    </row>
    <row r="201" spans="1:9" ht="14.25" hidden="1" thickTop="1" thickBot="1" x14ac:dyDescent="0.25">
      <c r="A201" s="1854">
        <v>1</v>
      </c>
      <c r="B201" s="1853">
        <v>2</v>
      </c>
      <c r="C201" s="1853">
        <v>3</v>
      </c>
      <c r="D201" s="1853">
        <v>5</v>
      </c>
      <c r="E201" s="1852">
        <v>6</v>
      </c>
      <c r="F201" s="1852">
        <v>7</v>
      </c>
      <c r="G201" s="2223">
        <v>8</v>
      </c>
      <c r="H201" s="2146" t="s">
        <v>848</v>
      </c>
      <c r="I201" s="2165"/>
    </row>
    <row r="202" spans="1:9" ht="30.75" hidden="1" thickTop="1" x14ac:dyDescent="0.2">
      <c r="A202" s="2246">
        <v>3299</v>
      </c>
      <c r="B202" s="2253">
        <v>6351</v>
      </c>
      <c r="C202" s="2253">
        <v>32133006</v>
      </c>
      <c r="D202" s="2174" t="s">
        <v>1433</v>
      </c>
      <c r="E202" s="2170">
        <v>0</v>
      </c>
      <c r="F202" s="2170">
        <v>0</v>
      </c>
      <c r="G202" s="2236">
        <v>0</v>
      </c>
      <c r="H202" s="2153" t="e">
        <f>G202/F202*100</f>
        <v>#DIV/0!</v>
      </c>
      <c r="I202" s="2165"/>
    </row>
    <row r="203" spans="1:9" ht="30" hidden="1" x14ac:dyDescent="0.2">
      <c r="A203" s="2246">
        <v>3299</v>
      </c>
      <c r="B203" s="2253">
        <v>6351</v>
      </c>
      <c r="C203" s="2253">
        <v>32533006</v>
      </c>
      <c r="D203" s="2174" t="s">
        <v>1433</v>
      </c>
      <c r="E203" s="2184">
        <v>0</v>
      </c>
      <c r="F203" s="2184">
        <v>0</v>
      </c>
      <c r="G203" s="2233">
        <v>0</v>
      </c>
      <c r="H203" s="2156" t="e">
        <f>G203/F203*100</f>
        <v>#DIV/0!</v>
      </c>
      <c r="I203" s="2165"/>
    </row>
    <row r="204" spans="1:9" ht="16.5" hidden="1" thickTop="1" thickBot="1" x14ac:dyDescent="0.3">
      <c r="A204" s="2175" t="s">
        <v>849</v>
      </c>
      <c r="B204" s="2176"/>
      <c r="C204" s="2176"/>
      <c r="D204" s="2177"/>
      <c r="E204" s="2152">
        <f>SUM(E202:E203)</f>
        <v>0</v>
      </c>
      <c r="F204" s="2152">
        <f>SUM(F202:F203)</f>
        <v>0</v>
      </c>
      <c r="G204" s="2152">
        <f>SUM(G202:G203)</f>
        <v>0</v>
      </c>
      <c r="H204" s="2157" t="e">
        <f>G204/F204*100</f>
        <v>#DIV/0!</v>
      </c>
      <c r="I204" s="2165"/>
    </row>
    <row r="205" spans="1:9" hidden="1" x14ac:dyDescent="0.2">
      <c r="I205" s="2165"/>
    </row>
    <row r="206" spans="1:9" ht="15" x14ac:dyDescent="0.25">
      <c r="A206" s="2136" t="s">
        <v>590</v>
      </c>
      <c r="D206" s="2130"/>
      <c r="E206" s="2131"/>
      <c r="H206" s="2165"/>
      <c r="I206" s="2165"/>
    </row>
    <row r="207" spans="1:9" ht="15.75" thickBot="1" x14ac:dyDescent="0.3">
      <c r="A207" s="2136" t="s">
        <v>970</v>
      </c>
      <c r="D207" s="2130"/>
      <c r="E207" s="2131"/>
      <c r="H207" s="2240" t="s">
        <v>179</v>
      </c>
      <c r="I207" s="2165"/>
    </row>
    <row r="208" spans="1:9" ht="25.5" thickTop="1" thickBot="1" x14ac:dyDescent="0.25">
      <c r="A208" s="2138" t="s">
        <v>180</v>
      </c>
      <c r="B208" s="2139" t="s">
        <v>847</v>
      </c>
      <c r="C208" s="2139" t="s">
        <v>414</v>
      </c>
      <c r="D208" s="2140" t="s">
        <v>182</v>
      </c>
      <c r="E208" s="2171" t="s">
        <v>700</v>
      </c>
      <c r="F208" s="2171" t="s">
        <v>701</v>
      </c>
      <c r="G208" s="2172" t="s">
        <v>986</v>
      </c>
      <c r="H208" s="2173" t="s">
        <v>987</v>
      </c>
      <c r="I208" s="2165"/>
    </row>
    <row r="209" spans="1:9" ht="14.25" thickTop="1" thickBot="1" x14ac:dyDescent="0.25">
      <c r="A209" s="1854">
        <v>1</v>
      </c>
      <c r="B209" s="1853">
        <v>2</v>
      </c>
      <c r="C209" s="1853">
        <v>3</v>
      </c>
      <c r="D209" s="1853">
        <v>5</v>
      </c>
      <c r="E209" s="1852">
        <v>6</v>
      </c>
      <c r="F209" s="1852">
        <v>7</v>
      </c>
      <c r="G209" s="2223">
        <v>8</v>
      </c>
      <c r="H209" s="2146" t="s">
        <v>848</v>
      </c>
      <c r="I209" s="2165"/>
    </row>
    <row r="210" spans="1:9" ht="30.75" thickTop="1" x14ac:dyDescent="0.2">
      <c r="A210" s="2246">
        <v>3299</v>
      </c>
      <c r="B210" s="2272">
        <v>5336</v>
      </c>
      <c r="C210" s="2253">
        <v>32133006</v>
      </c>
      <c r="D210" s="2174" t="s">
        <v>1419</v>
      </c>
      <c r="E210" s="2170">
        <v>0</v>
      </c>
      <c r="F210" s="2170">
        <v>105</v>
      </c>
      <c r="G210" s="2236">
        <v>105</v>
      </c>
      <c r="H210" s="2153">
        <f>G210/F210*100</f>
        <v>100</v>
      </c>
      <c r="I210" s="2165"/>
    </row>
    <row r="211" spans="1:9" ht="30.75" thickBot="1" x14ac:dyDescent="0.25">
      <c r="A211" s="2246">
        <v>3299</v>
      </c>
      <c r="B211" s="2272">
        <v>5336</v>
      </c>
      <c r="C211" s="2253">
        <v>32533006</v>
      </c>
      <c r="D211" s="2174" t="s">
        <v>1419</v>
      </c>
      <c r="E211" s="2184">
        <v>0</v>
      </c>
      <c r="F211" s="2184">
        <v>592</v>
      </c>
      <c r="G211" s="2233">
        <v>592</v>
      </c>
      <c r="H211" s="2156">
        <f>G211/F211*100</f>
        <v>100</v>
      </c>
      <c r="I211" s="2165"/>
    </row>
    <row r="212" spans="1:9" ht="16.5" thickTop="1" thickBot="1" x14ac:dyDescent="0.3">
      <c r="A212" s="2175" t="s">
        <v>849</v>
      </c>
      <c r="B212" s="2176"/>
      <c r="C212" s="2176"/>
      <c r="D212" s="2177"/>
      <c r="E212" s="2152">
        <f>SUM(E210:E211)</f>
        <v>0</v>
      </c>
      <c r="F212" s="2152">
        <f>SUM(F210:F211)</f>
        <v>697</v>
      </c>
      <c r="G212" s="2152">
        <f>SUM(G210:G211)</f>
        <v>697</v>
      </c>
      <c r="H212" s="2157">
        <f>G212/F212*100</f>
        <v>100</v>
      </c>
      <c r="I212" s="2165"/>
    </row>
    <row r="213" spans="1:9" ht="13.5" thickTop="1" x14ac:dyDescent="0.2">
      <c r="I213" s="2165"/>
    </row>
    <row r="214" spans="1:9" ht="15" x14ac:dyDescent="0.25">
      <c r="A214" s="2136" t="s">
        <v>627</v>
      </c>
      <c r="D214" s="2130"/>
      <c r="E214" s="2131"/>
      <c r="H214" s="2165"/>
      <c r="I214" s="2165"/>
    </row>
    <row r="215" spans="1:9" ht="15.75" thickBot="1" x14ac:dyDescent="0.3">
      <c r="A215" s="2136" t="s">
        <v>628</v>
      </c>
      <c r="D215" s="2130"/>
      <c r="E215" s="2131"/>
      <c r="H215" s="2240" t="s">
        <v>179</v>
      </c>
      <c r="I215" s="2165"/>
    </row>
    <row r="216" spans="1:9" ht="25.5" thickTop="1" thickBot="1" x14ac:dyDescent="0.25">
      <c r="A216" s="2138" t="s">
        <v>180</v>
      </c>
      <c r="B216" s="2139" t="s">
        <v>847</v>
      </c>
      <c r="C216" s="2139" t="s">
        <v>414</v>
      </c>
      <c r="D216" s="2140" t="s">
        <v>182</v>
      </c>
      <c r="E216" s="2171" t="s">
        <v>700</v>
      </c>
      <c r="F216" s="2171" t="s">
        <v>701</v>
      </c>
      <c r="G216" s="2172" t="s">
        <v>986</v>
      </c>
      <c r="H216" s="2173" t="s">
        <v>987</v>
      </c>
      <c r="I216" s="2165"/>
    </row>
    <row r="217" spans="1:9" ht="14.25" thickTop="1" thickBot="1" x14ac:dyDescent="0.25">
      <c r="A217" s="1854">
        <v>1</v>
      </c>
      <c r="B217" s="1853">
        <v>2</v>
      </c>
      <c r="C217" s="1853">
        <v>3</v>
      </c>
      <c r="D217" s="1853">
        <v>5</v>
      </c>
      <c r="E217" s="1852">
        <v>6</v>
      </c>
      <c r="F217" s="1852">
        <v>7</v>
      </c>
      <c r="G217" s="2223">
        <v>8</v>
      </c>
      <c r="H217" s="2146" t="s">
        <v>848</v>
      </c>
      <c r="I217" s="2165"/>
    </row>
    <row r="218" spans="1:9" ht="30.75" thickTop="1" x14ac:dyDescent="0.2">
      <c r="A218" s="2246">
        <v>3299</v>
      </c>
      <c r="B218" s="2272">
        <v>5336</v>
      </c>
      <c r="C218" s="2253">
        <v>32133006</v>
      </c>
      <c r="D218" s="2174" t="s">
        <v>1419</v>
      </c>
      <c r="E218" s="2170">
        <v>0</v>
      </c>
      <c r="F218" s="2170">
        <v>239</v>
      </c>
      <c r="G218" s="2236">
        <v>193</v>
      </c>
      <c r="H218" s="2153">
        <f>G218/F218*100</f>
        <v>80.753138075313814</v>
      </c>
      <c r="I218" s="2165"/>
    </row>
    <row r="219" spans="1:9" ht="30.75" thickBot="1" x14ac:dyDescent="0.25">
      <c r="A219" s="2246">
        <v>3299</v>
      </c>
      <c r="B219" s="2272">
        <v>5336</v>
      </c>
      <c r="C219" s="2253">
        <v>32533006</v>
      </c>
      <c r="D219" s="2174" t="s">
        <v>1419</v>
      </c>
      <c r="E219" s="2184">
        <v>0</v>
      </c>
      <c r="F219" s="2184">
        <v>1356</v>
      </c>
      <c r="G219" s="2233">
        <v>1091</v>
      </c>
      <c r="H219" s="2156">
        <f>G219/F219*100</f>
        <v>80.457227138643077</v>
      </c>
      <c r="I219" s="2165"/>
    </row>
    <row r="220" spans="1:9" ht="16.5" thickTop="1" thickBot="1" x14ac:dyDescent="0.3">
      <c r="A220" s="2175" t="s">
        <v>849</v>
      </c>
      <c r="B220" s="2176"/>
      <c r="C220" s="2176"/>
      <c r="D220" s="2177"/>
      <c r="E220" s="2152">
        <f>SUM(E218:E219)</f>
        <v>0</v>
      </c>
      <c r="F220" s="2152">
        <f>SUM(F218:F219)</f>
        <v>1595</v>
      </c>
      <c r="G220" s="2152">
        <f>SUM(G218:G219)</f>
        <v>1284</v>
      </c>
      <c r="H220" s="2157">
        <f>G220/F220*100</f>
        <v>80.501567398119121</v>
      </c>
      <c r="I220" s="2165"/>
    </row>
    <row r="221" spans="1:9" ht="13.5" thickTop="1" x14ac:dyDescent="0.2">
      <c r="I221" s="2165"/>
    </row>
    <row r="222" spans="1:9" ht="15" hidden="1" x14ac:dyDescent="0.25">
      <c r="A222" s="2136" t="s">
        <v>1132</v>
      </c>
      <c r="D222" s="2130"/>
      <c r="E222" s="2131"/>
      <c r="H222" s="2165"/>
      <c r="I222" s="2165"/>
    </row>
    <row r="223" spans="1:9" ht="15" hidden="1" x14ac:dyDescent="0.25">
      <c r="A223" s="2136" t="s">
        <v>971</v>
      </c>
      <c r="D223" s="2130"/>
      <c r="E223" s="2131"/>
      <c r="H223" s="2165" t="s">
        <v>179</v>
      </c>
      <c r="I223" s="2165"/>
    </row>
    <row r="224" spans="1:9" ht="25.5" hidden="1" thickTop="1" thickBot="1" x14ac:dyDescent="0.25">
      <c r="A224" s="2138" t="s">
        <v>180</v>
      </c>
      <c r="B224" s="2139" t="s">
        <v>847</v>
      </c>
      <c r="C224" s="2139" t="s">
        <v>414</v>
      </c>
      <c r="D224" s="2140" t="s">
        <v>182</v>
      </c>
      <c r="E224" s="2171" t="s">
        <v>700</v>
      </c>
      <c r="F224" s="2171" t="s">
        <v>701</v>
      </c>
      <c r="G224" s="2172" t="s">
        <v>986</v>
      </c>
      <c r="H224" s="2173" t="s">
        <v>987</v>
      </c>
      <c r="I224" s="2165"/>
    </row>
    <row r="225" spans="1:9" ht="14.25" hidden="1" thickTop="1" thickBot="1" x14ac:dyDescent="0.25">
      <c r="A225" s="1854">
        <v>1</v>
      </c>
      <c r="B225" s="1853">
        <v>2</v>
      </c>
      <c r="C225" s="1853">
        <v>3</v>
      </c>
      <c r="D225" s="1853">
        <v>5</v>
      </c>
      <c r="E225" s="1852">
        <v>6</v>
      </c>
      <c r="F225" s="1852">
        <v>7</v>
      </c>
      <c r="G225" s="2223">
        <v>8</v>
      </c>
      <c r="H225" s="2146" t="s">
        <v>848</v>
      </c>
      <c r="I225" s="2165"/>
    </row>
    <row r="226" spans="1:9" ht="30.75" hidden="1" thickTop="1" x14ac:dyDescent="0.2">
      <c r="A226" s="2246">
        <v>3299</v>
      </c>
      <c r="B226" s="2272">
        <v>5336</v>
      </c>
      <c r="C226" s="2253">
        <v>32133006</v>
      </c>
      <c r="D226" s="2273" t="s">
        <v>1570</v>
      </c>
      <c r="E226" s="2170">
        <v>0</v>
      </c>
      <c r="F226" s="2170">
        <v>0</v>
      </c>
      <c r="G226" s="2236">
        <v>0</v>
      </c>
      <c r="H226" s="2153" t="e">
        <f>G226/F226*100</f>
        <v>#DIV/0!</v>
      </c>
      <c r="I226" s="2165"/>
    </row>
    <row r="227" spans="1:9" ht="30" hidden="1" x14ac:dyDescent="0.2">
      <c r="A227" s="2246">
        <v>3299</v>
      </c>
      <c r="B227" s="2272">
        <v>5336</v>
      </c>
      <c r="C227" s="2253">
        <v>32533006</v>
      </c>
      <c r="D227" s="2174" t="s">
        <v>1419</v>
      </c>
      <c r="E227" s="2184">
        <v>0</v>
      </c>
      <c r="F227" s="2184">
        <v>0</v>
      </c>
      <c r="G227" s="2233">
        <v>0</v>
      </c>
      <c r="H227" s="2156" t="e">
        <f>G227/F227*100</f>
        <v>#DIV/0!</v>
      </c>
      <c r="I227" s="2165"/>
    </row>
    <row r="228" spans="1:9" ht="30" hidden="1" x14ac:dyDescent="0.2">
      <c r="A228" s="2246">
        <v>3299</v>
      </c>
      <c r="B228" s="2253">
        <v>6351</v>
      </c>
      <c r="C228" s="2253">
        <v>32133006</v>
      </c>
      <c r="D228" s="2174" t="s">
        <v>1433</v>
      </c>
      <c r="E228" s="2184">
        <v>0</v>
      </c>
      <c r="F228" s="2184">
        <v>0</v>
      </c>
      <c r="G228" s="2233">
        <v>0</v>
      </c>
      <c r="H228" s="2156" t="e">
        <f>G228/F228*100</f>
        <v>#DIV/0!</v>
      </c>
      <c r="I228" s="2165"/>
    </row>
    <row r="229" spans="1:9" ht="30" hidden="1" x14ac:dyDescent="0.2">
      <c r="A229" s="2246">
        <v>3299</v>
      </c>
      <c r="B229" s="2253">
        <v>6351</v>
      </c>
      <c r="C229" s="2253">
        <v>32533006</v>
      </c>
      <c r="D229" s="2174" t="s">
        <v>1433</v>
      </c>
      <c r="E229" s="2184">
        <v>0</v>
      </c>
      <c r="F229" s="2184">
        <v>0</v>
      </c>
      <c r="G229" s="2233">
        <v>0</v>
      </c>
      <c r="H229" s="2156" t="e">
        <f>G229/F229*100</f>
        <v>#DIV/0!</v>
      </c>
      <c r="I229" s="2165"/>
    </row>
    <row r="230" spans="1:9" ht="16.5" hidden="1" thickTop="1" thickBot="1" x14ac:dyDescent="0.3">
      <c r="A230" s="2175" t="s">
        <v>849</v>
      </c>
      <c r="B230" s="2176"/>
      <c r="C230" s="2176"/>
      <c r="D230" s="2177"/>
      <c r="E230" s="2152">
        <f>SUM(E226:E229)</f>
        <v>0</v>
      </c>
      <c r="F230" s="2152">
        <f>SUM(F226:F229)</f>
        <v>0</v>
      </c>
      <c r="G230" s="2152">
        <f>SUM(G226:G229)</f>
        <v>0</v>
      </c>
      <c r="H230" s="2157" t="e">
        <f>G230/F230*100</f>
        <v>#DIV/0!</v>
      </c>
      <c r="I230" s="2165"/>
    </row>
    <row r="231" spans="1:9" hidden="1" x14ac:dyDescent="0.2">
      <c r="I231" s="2165"/>
    </row>
    <row r="232" spans="1:9" ht="15" x14ac:dyDescent="0.25">
      <c r="A232" s="2136" t="s">
        <v>349</v>
      </c>
      <c r="D232" s="2130"/>
      <c r="E232" s="2131"/>
      <c r="H232" s="2165"/>
      <c r="I232" s="2165"/>
    </row>
    <row r="233" spans="1:9" ht="15.75" thickBot="1" x14ac:dyDescent="0.3">
      <c r="A233" s="2136" t="s">
        <v>629</v>
      </c>
      <c r="D233" s="2130"/>
      <c r="E233" s="2131"/>
      <c r="H233" s="2240" t="s">
        <v>179</v>
      </c>
      <c r="I233" s="2165"/>
    </row>
    <row r="234" spans="1:9" ht="25.5" thickTop="1" thickBot="1" x14ac:dyDescent="0.25">
      <c r="A234" s="2138" t="s">
        <v>180</v>
      </c>
      <c r="B234" s="2139" t="s">
        <v>847</v>
      </c>
      <c r="C234" s="2139" t="s">
        <v>414</v>
      </c>
      <c r="D234" s="2140" t="s">
        <v>182</v>
      </c>
      <c r="E234" s="2171" t="s">
        <v>700</v>
      </c>
      <c r="F234" s="2171" t="s">
        <v>701</v>
      </c>
      <c r="G234" s="2172" t="s">
        <v>986</v>
      </c>
      <c r="H234" s="2173" t="s">
        <v>987</v>
      </c>
      <c r="I234" s="2165"/>
    </row>
    <row r="235" spans="1:9" ht="14.25" thickTop="1" thickBot="1" x14ac:dyDescent="0.25">
      <c r="A235" s="1854">
        <v>1</v>
      </c>
      <c r="B235" s="1853">
        <v>2</v>
      </c>
      <c r="C235" s="1853">
        <v>3</v>
      </c>
      <c r="D235" s="1853">
        <v>5</v>
      </c>
      <c r="E235" s="1852">
        <v>6</v>
      </c>
      <c r="F235" s="1852">
        <v>7</v>
      </c>
      <c r="G235" s="2223">
        <v>8</v>
      </c>
      <c r="H235" s="2146" t="s">
        <v>848</v>
      </c>
      <c r="I235" s="2165"/>
    </row>
    <row r="236" spans="1:9" ht="30.75" thickTop="1" x14ac:dyDescent="0.2">
      <c r="A236" s="2246">
        <v>3299</v>
      </c>
      <c r="B236" s="2272">
        <v>5336</v>
      </c>
      <c r="C236" s="2253">
        <v>32133006</v>
      </c>
      <c r="D236" s="2174" t="s">
        <v>1419</v>
      </c>
      <c r="E236" s="2170">
        <v>0</v>
      </c>
      <c r="F236" s="2170">
        <v>263</v>
      </c>
      <c r="G236" s="2236">
        <v>224</v>
      </c>
      <c r="H236" s="2153">
        <f>G236/F236*100</f>
        <v>85.171102661596947</v>
      </c>
      <c r="I236" s="2165"/>
    </row>
    <row r="237" spans="1:9" ht="30.75" thickBot="1" x14ac:dyDescent="0.25">
      <c r="A237" s="2246">
        <v>3299</v>
      </c>
      <c r="B237" s="2272">
        <v>5336</v>
      </c>
      <c r="C237" s="2253">
        <v>32533006</v>
      </c>
      <c r="D237" s="2174" t="s">
        <v>1419</v>
      </c>
      <c r="E237" s="2184">
        <v>0</v>
      </c>
      <c r="F237" s="2184">
        <v>1489</v>
      </c>
      <c r="G237" s="2233">
        <v>1269</v>
      </c>
      <c r="H237" s="2156">
        <f>G237/F237*100</f>
        <v>85.224983210208194</v>
      </c>
      <c r="I237" s="2165"/>
    </row>
    <row r="238" spans="1:9" ht="30.75" hidden="1" thickBot="1" x14ac:dyDescent="0.25">
      <c r="A238" s="2246">
        <v>3299</v>
      </c>
      <c r="B238" s="2253">
        <v>6351</v>
      </c>
      <c r="C238" s="2253">
        <v>32133006</v>
      </c>
      <c r="D238" s="2174" t="s">
        <v>1433</v>
      </c>
      <c r="E238" s="2184">
        <v>0</v>
      </c>
      <c r="F238" s="2184">
        <v>0</v>
      </c>
      <c r="G238" s="2233">
        <v>0</v>
      </c>
      <c r="H238" s="2156" t="e">
        <f>G238/F238*100</f>
        <v>#DIV/0!</v>
      </c>
      <c r="I238" s="2165"/>
    </row>
    <row r="239" spans="1:9" ht="30.75" hidden="1" thickBot="1" x14ac:dyDescent="0.25">
      <c r="A239" s="2246">
        <v>3299</v>
      </c>
      <c r="B239" s="2253">
        <v>6351</v>
      </c>
      <c r="C239" s="2253">
        <v>32533006</v>
      </c>
      <c r="D239" s="2174" t="s">
        <v>1433</v>
      </c>
      <c r="E239" s="2184">
        <v>0</v>
      </c>
      <c r="F239" s="2184">
        <v>0</v>
      </c>
      <c r="G239" s="2233">
        <v>0</v>
      </c>
      <c r="H239" s="2156" t="e">
        <f>G239/F239*100</f>
        <v>#DIV/0!</v>
      </c>
      <c r="I239" s="2165"/>
    </row>
    <row r="240" spans="1:9" ht="16.5" thickTop="1" thickBot="1" x14ac:dyDescent="0.3">
      <c r="A240" s="2175" t="s">
        <v>849</v>
      </c>
      <c r="B240" s="2176"/>
      <c r="C240" s="2176"/>
      <c r="D240" s="2177"/>
      <c r="E240" s="2152">
        <f>SUM(E236:E239)</f>
        <v>0</v>
      </c>
      <c r="F240" s="2152">
        <f>SUM(F236:F239)</f>
        <v>1752</v>
      </c>
      <c r="G240" s="2152">
        <f>SUM(G236:G239)</f>
        <v>1493</v>
      </c>
      <c r="H240" s="2157">
        <f>G240/F240*100</f>
        <v>85.216894977168948</v>
      </c>
      <c r="I240" s="2165"/>
    </row>
    <row r="241" spans="1:9" ht="13.5" thickTop="1" x14ac:dyDescent="0.2">
      <c r="I241" s="2165"/>
    </row>
    <row r="242" spans="1:9" ht="15" hidden="1" x14ac:dyDescent="0.25">
      <c r="A242" s="2136" t="s">
        <v>630</v>
      </c>
      <c r="D242" s="2130"/>
      <c r="E242" s="2131"/>
      <c r="H242" s="2165"/>
      <c r="I242" s="2165"/>
    </row>
    <row r="243" spans="1:9" ht="15" hidden="1" x14ac:dyDescent="0.25">
      <c r="A243" s="2136" t="s">
        <v>631</v>
      </c>
      <c r="D243" s="2130"/>
      <c r="E243" s="2131"/>
      <c r="H243" s="2165" t="s">
        <v>179</v>
      </c>
      <c r="I243" s="2165"/>
    </row>
    <row r="244" spans="1:9" ht="25.5" hidden="1" thickTop="1" thickBot="1" x14ac:dyDescent="0.25">
      <c r="A244" s="2138" t="s">
        <v>180</v>
      </c>
      <c r="B244" s="2139" t="s">
        <v>847</v>
      </c>
      <c r="C244" s="2139" t="s">
        <v>414</v>
      </c>
      <c r="D244" s="2140" t="s">
        <v>182</v>
      </c>
      <c r="E244" s="2171" t="s">
        <v>700</v>
      </c>
      <c r="F244" s="2171" t="s">
        <v>701</v>
      </c>
      <c r="G244" s="2172" t="s">
        <v>986</v>
      </c>
      <c r="H244" s="2173" t="s">
        <v>987</v>
      </c>
      <c r="I244" s="2165"/>
    </row>
    <row r="245" spans="1:9" ht="14.25" hidden="1" thickTop="1" thickBot="1" x14ac:dyDescent="0.25">
      <c r="A245" s="1854">
        <v>1</v>
      </c>
      <c r="B245" s="1853">
        <v>2</v>
      </c>
      <c r="C245" s="1853">
        <v>3</v>
      </c>
      <c r="D245" s="1853">
        <v>5</v>
      </c>
      <c r="E245" s="1852">
        <v>6</v>
      </c>
      <c r="F245" s="1852">
        <v>7</v>
      </c>
      <c r="G245" s="2223">
        <v>8</v>
      </c>
      <c r="H245" s="2146" t="s">
        <v>848</v>
      </c>
      <c r="I245" s="2165"/>
    </row>
    <row r="246" spans="1:9" ht="30.75" hidden="1" thickTop="1" x14ac:dyDescent="0.2">
      <c r="A246" s="2246">
        <v>3299</v>
      </c>
      <c r="B246" s="2272">
        <v>5336</v>
      </c>
      <c r="C246" s="2253">
        <v>32133006</v>
      </c>
      <c r="D246" s="2273" t="s">
        <v>1570</v>
      </c>
      <c r="E246" s="2170">
        <v>0</v>
      </c>
      <c r="F246" s="2170">
        <v>0</v>
      </c>
      <c r="G246" s="2236">
        <v>0</v>
      </c>
      <c r="H246" s="2153" t="e">
        <f>G246/F246*100</f>
        <v>#DIV/0!</v>
      </c>
      <c r="I246" s="2165"/>
    </row>
    <row r="247" spans="1:9" ht="30" hidden="1" x14ac:dyDescent="0.2">
      <c r="A247" s="2246">
        <v>3299</v>
      </c>
      <c r="B247" s="2272">
        <v>5336</v>
      </c>
      <c r="C247" s="2253">
        <v>32533006</v>
      </c>
      <c r="D247" s="2174" t="s">
        <v>1419</v>
      </c>
      <c r="E247" s="2184">
        <v>0</v>
      </c>
      <c r="F247" s="2184">
        <v>0</v>
      </c>
      <c r="G247" s="2233">
        <v>0</v>
      </c>
      <c r="H247" s="2156" t="e">
        <f>G247/F247*100</f>
        <v>#DIV/0!</v>
      </c>
      <c r="I247" s="2165"/>
    </row>
    <row r="248" spans="1:9" ht="30" hidden="1" x14ac:dyDescent="0.2">
      <c r="A248" s="2246">
        <v>3299</v>
      </c>
      <c r="B248" s="2253">
        <v>6351</v>
      </c>
      <c r="C248" s="2253">
        <v>32133006</v>
      </c>
      <c r="D248" s="2174" t="s">
        <v>1433</v>
      </c>
      <c r="E248" s="2184">
        <v>0</v>
      </c>
      <c r="F248" s="2184">
        <v>0</v>
      </c>
      <c r="G248" s="2233">
        <v>0</v>
      </c>
      <c r="H248" s="2156" t="e">
        <f>G248/F248*100</f>
        <v>#DIV/0!</v>
      </c>
      <c r="I248" s="2165"/>
    </row>
    <row r="249" spans="1:9" ht="30" hidden="1" x14ac:dyDescent="0.2">
      <c r="A249" s="2246">
        <v>3299</v>
      </c>
      <c r="B249" s="2253">
        <v>6351</v>
      </c>
      <c r="C249" s="2253">
        <v>32533006</v>
      </c>
      <c r="D249" s="2174" t="s">
        <v>1433</v>
      </c>
      <c r="E249" s="2184">
        <v>0</v>
      </c>
      <c r="F249" s="2184">
        <v>0</v>
      </c>
      <c r="G249" s="2233">
        <v>0</v>
      </c>
      <c r="H249" s="2156" t="e">
        <f>G249/F249*100</f>
        <v>#DIV/0!</v>
      </c>
      <c r="I249" s="2165"/>
    </row>
    <row r="250" spans="1:9" ht="16.5" hidden="1" thickTop="1" thickBot="1" x14ac:dyDescent="0.3">
      <c r="A250" s="2175" t="s">
        <v>849</v>
      </c>
      <c r="B250" s="2176"/>
      <c r="C250" s="2176"/>
      <c r="D250" s="2177"/>
      <c r="E250" s="2152">
        <f>SUM(E246:E249)</f>
        <v>0</v>
      </c>
      <c r="F250" s="2152">
        <f>SUM(F246:F249)</f>
        <v>0</v>
      </c>
      <c r="G250" s="2152">
        <f>SUM(G246:G249)</f>
        <v>0</v>
      </c>
      <c r="H250" s="2157" t="e">
        <f>G250/F250*100</f>
        <v>#DIV/0!</v>
      </c>
      <c r="I250" s="2165"/>
    </row>
    <row r="251" spans="1:9" hidden="1" x14ac:dyDescent="0.2">
      <c r="I251" s="2165"/>
    </row>
    <row r="252" spans="1:9" ht="15" x14ac:dyDescent="0.25">
      <c r="A252" s="2136" t="s">
        <v>1938</v>
      </c>
      <c r="D252" s="2130"/>
      <c r="E252" s="2131"/>
      <c r="H252" s="2165"/>
      <c r="I252" s="2165"/>
    </row>
    <row r="253" spans="1:9" ht="15.75" thickBot="1" x14ac:dyDescent="0.3">
      <c r="A253" s="2136" t="s">
        <v>972</v>
      </c>
      <c r="D253" s="2130"/>
      <c r="E253" s="2131"/>
      <c r="H253" s="2240" t="s">
        <v>179</v>
      </c>
      <c r="I253" s="2165"/>
    </row>
    <row r="254" spans="1:9" ht="25.5" thickTop="1" thickBot="1" x14ac:dyDescent="0.25">
      <c r="A254" s="2138" t="s">
        <v>180</v>
      </c>
      <c r="B254" s="2139" t="s">
        <v>847</v>
      </c>
      <c r="C254" s="2139" t="s">
        <v>414</v>
      </c>
      <c r="D254" s="2140" t="s">
        <v>182</v>
      </c>
      <c r="E254" s="2171" t="s">
        <v>700</v>
      </c>
      <c r="F254" s="2171" t="s">
        <v>701</v>
      </c>
      <c r="G254" s="2172" t="s">
        <v>986</v>
      </c>
      <c r="H254" s="2173" t="s">
        <v>987</v>
      </c>
      <c r="I254" s="2165"/>
    </row>
    <row r="255" spans="1:9" ht="14.25" thickTop="1" thickBot="1" x14ac:dyDescent="0.25">
      <c r="A255" s="1854">
        <v>1</v>
      </c>
      <c r="B255" s="1853">
        <v>2</v>
      </c>
      <c r="C255" s="1853">
        <v>3</v>
      </c>
      <c r="D255" s="1853">
        <v>5</v>
      </c>
      <c r="E255" s="1852">
        <v>6</v>
      </c>
      <c r="F255" s="1852">
        <v>7</v>
      </c>
      <c r="G255" s="2223">
        <v>8</v>
      </c>
      <c r="H255" s="2146" t="s">
        <v>848</v>
      </c>
      <c r="I255" s="2165"/>
    </row>
    <row r="256" spans="1:9" ht="30.75" thickTop="1" x14ac:dyDescent="0.2">
      <c r="A256" s="2246">
        <v>3299</v>
      </c>
      <c r="B256" s="2272">
        <v>5336</v>
      </c>
      <c r="C256" s="2253">
        <v>32133006</v>
      </c>
      <c r="D256" s="2174" t="s">
        <v>1419</v>
      </c>
      <c r="E256" s="2170">
        <v>0</v>
      </c>
      <c r="F256" s="2170">
        <v>90</v>
      </c>
      <c r="G256" s="2236">
        <v>90</v>
      </c>
      <c r="H256" s="2153">
        <f>G256/F256*100</f>
        <v>100</v>
      </c>
      <c r="I256" s="2165"/>
    </row>
    <row r="257" spans="1:9" ht="30.75" thickBot="1" x14ac:dyDescent="0.25">
      <c r="A257" s="2246">
        <v>3299</v>
      </c>
      <c r="B257" s="2272">
        <v>5336</v>
      </c>
      <c r="C257" s="2253">
        <v>32533006</v>
      </c>
      <c r="D257" s="2174" t="s">
        <v>1419</v>
      </c>
      <c r="E257" s="2184">
        <v>0</v>
      </c>
      <c r="F257" s="2184">
        <v>507</v>
      </c>
      <c r="G257" s="2233">
        <v>507</v>
      </c>
      <c r="H257" s="2156">
        <f>G257/F257*100</f>
        <v>100</v>
      </c>
      <c r="I257" s="2165"/>
    </row>
    <row r="258" spans="1:9" ht="16.5" thickTop="1" thickBot="1" x14ac:dyDescent="0.3">
      <c r="A258" s="2175" t="s">
        <v>849</v>
      </c>
      <c r="B258" s="2176"/>
      <c r="C258" s="2176"/>
      <c r="D258" s="2177"/>
      <c r="E258" s="2152">
        <f>SUM(E256:E257)</f>
        <v>0</v>
      </c>
      <c r="F258" s="2152">
        <f>SUM(F256:F257)</f>
        <v>597</v>
      </c>
      <c r="G258" s="2152">
        <f>SUM(G256:G257)</f>
        <v>597</v>
      </c>
      <c r="H258" s="2157">
        <f>G258/F258*100</f>
        <v>100</v>
      </c>
      <c r="I258" s="2165"/>
    </row>
    <row r="259" spans="1:9" ht="13.5" thickTop="1" x14ac:dyDescent="0.2">
      <c r="I259" s="2165"/>
    </row>
    <row r="260" spans="1:9" ht="15" x14ac:dyDescent="0.25">
      <c r="A260" s="2136" t="s">
        <v>1086</v>
      </c>
      <c r="D260" s="2130"/>
      <c r="E260" s="2131"/>
      <c r="H260" s="2165"/>
      <c r="I260" s="2165"/>
    </row>
    <row r="261" spans="1:9" ht="15.75" thickBot="1" x14ac:dyDescent="0.3">
      <c r="A261" s="2136" t="s">
        <v>1087</v>
      </c>
      <c r="D261" s="2130"/>
      <c r="E261" s="2131"/>
      <c r="H261" s="2240" t="s">
        <v>179</v>
      </c>
      <c r="I261" s="2165"/>
    </row>
    <row r="262" spans="1:9" ht="25.5" thickTop="1" thickBot="1" x14ac:dyDescent="0.25">
      <c r="A262" s="2138" t="s">
        <v>180</v>
      </c>
      <c r="B262" s="2139" t="s">
        <v>847</v>
      </c>
      <c r="C262" s="2139" t="s">
        <v>414</v>
      </c>
      <c r="D262" s="2140" t="s">
        <v>182</v>
      </c>
      <c r="E262" s="2171" t="s">
        <v>700</v>
      </c>
      <c r="F262" s="2171" t="s">
        <v>701</v>
      </c>
      <c r="G262" s="2172" t="s">
        <v>986</v>
      </c>
      <c r="H262" s="2173" t="s">
        <v>987</v>
      </c>
      <c r="I262" s="2165"/>
    </row>
    <row r="263" spans="1:9" ht="14.25" thickTop="1" thickBot="1" x14ac:dyDescent="0.25">
      <c r="A263" s="1854">
        <v>1</v>
      </c>
      <c r="B263" s="1853">
        <v>2</v>
      </c>
      <c r="C263" s="1853">
        <v>3</v>
      </c>
      <c r="D263" s="1853">
        <v>5</v>
      </c>
      <c r="E263" s="1852">
        <v>6</v>
      </c>
      <c r="F263" s="1852">
        <v>7</v>
      </c>
      <c r="G263" s="2223">
        <v>8</v>
      </c>
      <c r="H263" s="2146" t="s">
        <v>848</v>
      </c>
      <c r="I263" s="2165"/>
    </row>
    <row r="264" spans="1:9" ht="45.75" thickTop="1" x14ac:dyDescent="0.2">
      <c r="A264" s="2246">
        <v>3299</v>
      </c>
      <c r="B264" s="2253">
        <v>5213</v>
      </c>
      <c r="C264" s="2253">
        <v>32133006</v>
      </c>
      <c r="D264" s="2274" t="s">
        <v>1417</v>
      </c>
      <c r="E264" s="2170">
        <v>0</v>
      </c>
      <c r="F264" s="2170">
        <v>48</v>
      </c>
      <c r="G264" s="2236">
        <v>48</v>
      </c>
      <c r="H264" s="2153">
        <f>G264/F264*100</f>
        <v>100</v>
      </c>
      <c r="I264" s="2165"/>
    </row>
    <row r="265" spans="1:9" ht="45.75" thickBot="1" x14ac:dyDescent="0.25">
      <c r="A265" s="2246">
        <v>3299</v>
      </c>
      <c r="B265" s="2253">
        <v>5213</v>
      </c>
      <c r="C265" s="2253">
        <v>32533006</v>
      </c>
      <c r="D265" s="2273" t="s">
        <v>1417</v>
      </c>
      <c r="E265" s="2184">
        <v>0</v>
      </c>
      <c r="F265" s="2184">
        <v>272</v>
      </c>
      <c r="G265" s="2233">
        <v>272</v>
      </c>
      <c r="H265" s="2156">
        <f>G265/F265*100</f>
        <v>100</v>
      </c>
      <c r="I265" s="2165"/>
    </row>
    <row r="266" spans="1:9" ht="16.5" thickTop="1" thickBot="1" x14ac:dyDescent="0.3">
      <c r="A266" s="2175" t="s">
        <v>849</v>
      </c>
      <c r="B266" s="2176"/>
      <c r="C266" s="2176"/>
      <c r="D266" s="2177"/>
      <c r="E266" s="2152">
        <f>SUM(E264:E265)</f>
        <v>0</v>
      </c>
      <c r="F266" s="2152">
        <f>SUM(F264:F265)</f>
        <v>320</v>
      </c>
      <c r="G266" s="2152">
        <f>SUM(G264:G265)</f>
        <v>320</v>
      </c>
      <c r="H266" s="2157">
        <f>G266/F266*100</f>
        <v>100</v>
      </c>
      <c r="I266" s="2165"/>
    </row>
    <row r="267" spans="1:9" ht="13.5" thickTop="1" x14ac:dyDescent="0.2">
      <c r="I267" s="2165"/>
    </row>
    <row r="268" spans="1:9" ht="15" x14ac:dyDescent="0.25">
      <c r="A268" s="2136" t="s">
        <v>1939</v>
      </c>
      <c r="D268" s="2130"/>
      <c r="E268" s="2131"/>
      <c r="H268" s="2165"/>
      <c r="I268" s="2165"/>
    </row>
    <row r="269" spans="1:9" ht="15.75" thickBot="1" x14ac:dyDescent="0.3">
      <c r="A269" s="2136" t="s">
        <v>95</v>
      </c>
      <c r="D269" s="2130"/>
      <c r="E269" s="2131"/>
      <c r="H269" s="2240" t="s">
        <v>179</v>
      </c>
      <c r="I269" s="2165"/>
    </row>
    <row r="270" spans="1:9" ht="25.5" thickTop="1" thickBot="1" x14ac:dyDescent="0.25">
      <c r="A270" s="2138" t="s">
        <v>180</v>
      </c>
      <c r="B270" s="2139" t="s">
        <v>847</v>
      </c>
      <c r="C270" s="2139" t="s">
        <v>414</v>
      </c>
      <c r="D270" s="2140" t="s">
        <v>182</v>
      </c>
      <c r="E270" s="2171" t="s">
        <v>700</v>
      </c>
      <c r="F270" s="2171" t="s">
        <v>701</v>
      </c>
      <c r="G270" s="2172" t="s">
        <v>986</v>
      </c>
      <c r="H270" s="2173" t="s">
        <v>987</v>
      </c>
      <c r="I270" s="2165"/>
    </row>
    <row r="271" spans="1:9" ht="14.25" thickTop="1" thickBot="1" x14ac:dyDescent="0.25">
      <c r="A271" s="1854">
        <v>1</v>
      </c>
      <c r="B271" s="1853">
        <v>2</v>
      </c>
      <c r="C271" s="1853">
        <v>3</v>
      </c>
      <c r="D271" s="1853">
        <v>5</v>
      </c>
      <c r="E271" s="1852">
        <v>6</v>
      </c>
      <c r="F271" s="1852">
        <v>7</v>
      </c>
      <c r="G271" s="2223">
        <v>8</v>
      </c>
      <c r="H271" s="2146" t="s">
        <v>848</v>
      </c>
      <c r="I271" s="2165"/>
    </row>
    <row r="272" spans="1:9" ht="45.75" thickTop="1" x14ac:dyDescent="0.2">
      <c r="A272" s="2182">
        <v>3299</v>
      </c>
      <c r="B272" s="2183">
        <v>5213</v>
      </c>
      <c r="C272" s="2183">
        <v>32133006</v>
      </c>
      <c r="D272" s="2201" t="s">
        <v>1417</v>
      </c>
      <c r="E272" s="2170">
        <v>0</v>
      </c>
      <c r="F272" s="2170">
        <v>66</v>
      </c>
      <c r="G272" s="2236">
        <v>66</v>
      </c>
      <c r="H272" s="2153">
        <f>G272/F272*100</f>
        <v>100</v>
      </c>
      <c r="I272" s="2165"/>
    </row>
    <row r="273" spans="1:9" ht="45.75" thickBot="1" x14ac:dyDescent="0.25">
      <c r="A273" s="2246">
        <v>3299</v>
      </c>
      <c r="B273" s="2253">
        <v>5213</v>
      </c>
      <c r="C273" s="2253">
        <v>32533006</v>
      </c>
      <c r="D273" s="2174" t="s">
        <v>1417</v>
      </c>
      <c r="E273" s="2184">
        <v>0</v>
      </c>
      <c r="F273" s="2184">
        <v>373</v>
      </c>
      <c r="G273" s="2233">
        <v>373</v>
      </c>
      <c r="H273" s="2156">
        <f>G273/F273*100</f>
        <v>100</v>
      </c>
      <c r="I273" s="2165"/>
    </row>
    <row r="274" spans="1:9" ht="45.75" hidden="1" thickBot="1" x14ac:dyDescent="0.25">
      <c r="A274" s="2246">
        <v>3299</v>
      </c>
      <c r="B274" s="2253">
        <v>6313</v>
      </c>
      <c r="C274" s="2253">
        <v>32133006</v>
      </c>
      <c r="D274" s="2174" t="s">
        <v>96</v>
      </c>
      <c r="E274" s="2184">
        <v>0</v>
      </c>
      <c r="F274" s="2184">
        <v>0</v>
      </c>
      <c r="G274" s="2233">
        <v>0</v>
      </c>
      <c r="H274" s="2156" t="e">
        <f>G274/F274*100</f>
        <v>#DIV/0!</v>
      </c>
      <c r="I274" s="2165"/>
    </row>
    <row r="275" spans="1:9" ht="45.75" hidden="1" thickBot="1" x14ac:dyDescent="0.25">
      <c r="A275" s="2246">
        <v>3299</v>
      </c>
      <c r="B275" s="2253">
        <v>6313</v>
      </c>
      <c r="C275" s="2253">
        <v>32533006</v>
      </c>
      <c r="D275" s="2174" t="s">
        <v>96</v>
      </c>
      <c r="E275" s="2184">
        <v>0</v>
      </c>
      <c r="F275" s="2184">
        <v>0</v>
      </c>
      <c r="G275" s="2233">
        <v>0</v>
      </c>
      <c r="H275" s="2156" t="e">
        <f>G275/F275*100</f>
        <v>#DIV/0!</v>
      </c>
      <c r="I275" s="2165"/>
    </row>
    <row r="276" spans="1:9" ht="16.5" thickTop="1" thickBot="1" x14ac:dyDescent="0.3">
      <c r="A276" s="2175" t="s">
        <v>849</v>
      </c>
      <c r="B276" s="2176"/>
      <c r="C276" s="2176"/>
      <c r="D276" s="2177"/>
      <c r="E276" s="2152">
        <f>SUM(E272:E275)</f>
        <v>0</v>
      </c>
      <c r="F276" s="2152">
        <f>SUM(F272:F275)</f>
        <v>439</v>
      </c>
      <c r="G276" s="2152">
        <f>SUM(G272:G275)</f>
        <v>439</v>
      </c>
      <c r="H276" s="2157">
        <f>G276/F276*100</f>
        <v>100</v>
      </c>
      <c r="I276" s="2165"/>
    </row>
    <row r="277" spans="1:9" ht="13.5" thickTop="1" x14ac:dyDescent="0.2">
      <c r="I277" s="2165"/>
    </row>
    <row r="278" spans="1:9" ht="15" x14ac:dyDescent="0.25">
      <c r="A278" s="2136" t="s">
        <v>1054</v>
      </c>
      <c r="D278" s="2130"/>
      <c r="E278" s="2131"/>
      <c r="H278" s="2165"/>
      <c r="I278" s="2165"/>
    </row>
    <row r="279" spans="1:9" ht="15.75" thickBot="1" x14ac:dyDescent="0.3">
      <c r="A279" s="2136" t="s">
        <v>1088</v>
      </c>
      <c r="D279" s="2130"/>
      <c r="E279" s="2131"/>
      <c r="H279" s="2240" t="s">
        <v>179</v>
      </c>
      <c r="I279" s="2165"/>
    </row>
    <row r="280" spans="1:9" ht="25.5" thickTop="1" thickBot="1" x14ac:dyDescent="0.25">
      <c r="A280" s="2138" t="s">
        <v>180</v>
      </c>
      <c r="B280" s="2139" t="s">
        <v>847</v>
      </c>
      <c r="C280" s="2139" t="s">
        <v>414</v>
      </c>
      <c r="D280" s="2140" t="s">
        <v>182</v>
      </c>
      <c r="E280" s="2171" t="s">
        <v>700</v>
      </c>
      <c r="F280" s="2171" t="s">
        <v>701</v>
      </c>
      <c r="G280" s="2172" t="s">
        <v>986</v>
      </c>
      <c r="H280" s="2173" t="s">
        <v>987</v>
      </c>
      <c r="I280" s="2165"/>
    </row>
    <row r="281" spans="1:9" ht="14.25" thickTop="1" thickBot="1" x14ac:dyDescent="0.25">
      <c r="A281" s="1854">
        <v>1</v>
      </c>
      <c r="B281" s="1853">
        <v>2</v>
      </c>
      <c r="C281" s="1853">
        <v>3</v>
      </c>
      <c r="D281" s="1853">
        <v>5</v>
      </c>
      <c r="E281" s="1852">
        <v>6</v>
      </c>
      <c r="F281" s="1852">
        <v>7</v>
      </c>
      <c r="G281" s="2223">
        <v>8</v>
      </c>
      <c r="H281" s="2146" t="s">
        <v>848</v>
      </c>
      <c r="I281" s="2165"/>
    </row>
    <row r="282" spans="1:9" ht="45.75" thickTop="1" x14ac:dyDescent="0.2">
      <c r="A282" s="2246">
        <v>3299</v>
      </c>
      <c r="B282" s="2253">
        <v>5213</v>
      </c>
      <c r="C282" s="2253">
        <v>32133006</v>
      </c>
      <c r="D282" s="2274" t="s">
        <v>1417</v>
      </c>
      <c r="E282" s="2170">
        <v>0</v>
      </c>
      <c r="F282" s="2170">
        <v>42</v>
      </c>
      <c r="G282" s="2236">
        <v>42</v>
      </c>
      <c r="H282" s="2153">
        <f>G282/F282*100</f>
        <v>100</v>
      </c>
      <c r="I282" s="2165"/>
    </row>
    <row r="283" spans="1:9" ht="45.75" thickBot="1" x14ac:dyDescent="0.25">
      <c r="A283" s="2246">
        <v>3299</v>
      </c>
      <c r="B283" s="2253">
        <v>5213</v>
      </c>
      <c r="C283" s="2253">
        <v>32533006</v>
      </c>
      <c r="D283" s="2275" t="s">
        <v>1417</v>
      </c>
      <c r="E283" s="2184">
        <v>0</v>
      </c>
      <c r="F283" s="2184">
        <v>239</v>
      </c>
      <c r="G283" s="2233">
        <v>239</v>
      </c>
      <c r="H283" s="2156">
        <f>G283/F283*100</f>
        <v>100</v>
      </c>
      <c r="I283" s="2165"/>
    </row>
    <row r="284" spans="1:9" ht="16.5" thickTop="1" thickBot="1" x14ac:dyDescent="0.3">
      <c r="A284" s="2175" t="s">
        <v>849</v>
      </c>
      <c r="B284" s="2176"/>
      <c r="C284" s="2176"/>
      <c r="D284" s="2177"/>
      <c r="E284" s="2152">
        <f>SUM(E282:E283)</f>
        <v>0</v>
      </c>
      <c r="F284" s="2152">
        <f>SUM(F282:F283)</f>
        <v>281</v>
      </c>
      <c r="G284" s="2152">
        <f>SUM(G282:G283)</f>
        <v>281</v>
      </c>
      <c r="H284" s="2157">
        <f>G284/F284*100</f>
        <v>100</v>
      </c>
      <c r="I284" s="2165"/>
    </row>
    <row r="285" spans="1:9" ht="13.5" thickTop="1" x14ac:dyDescent="0.2">
      <c r="I285" s="2165"/>
    </row>
    <row r="286" spans="1:9" ht="15" x14ac:dyDescent="0.25">
      <c r="A286" s="2136" t="s">
        <v>1940</v>
      </c>
      <c r="D286" s="2130"/>
      <c r="E286" s="2131"/>
      <c r="H286" s="2165"/>
      <c r="I286" s="2165"/>
    </row>
    <row r="287" spans="1:9" ht="15.75" thickBot="1" x14ac:dyDescent="0.3">
      <c r="A287" s="2136" t="s">
        <v>1089</v>
      </c>
      <c r="D287" s="2130"/>
      <c r="E287" s="2131"/>
      <c r="H287" s="2240" t="s">
        <v>179</v>
      </c>
      <c r="I287" s="2165"/>
    </row>
    <row r="288" spans="1:9" ht="25.5" thickTop="1" thickBot="1" x14ac:dyDescent="0.25">
      <c r="A288" s="2138" t="s">
        <v>180</v>
      </c>
      <c r="B288" s="2139" t="s">
        <v>847</v>
      </c>
      <c r="C288" s="2139" t="s">
        <v>414</v>
      </c>
      <c r="D288" s="2140" t="s">
        <v>182</v>
      </c>
      <c r="E288" s="2171" t="s">
        <v>700</v>
      </c>
      <c r="F288" s="2171" t="s">
        <v>701</v>
      </c>
      <c r="G288" s="2172" t="s">
        <v>986</v>
      </c>
      <c r="H288" s="2173" t="s">
        <v>987</v>
      </c>
      <c r="I288" s="2165"/>
    </row>
    <row r="289" spans="1:9" ht="14.25" thickTop="1" thickBot="1" x14ac:dyDescent="0.25">
      <c r="A289" s="1854">
        <v>1</v>
      </c>
      <c r="B289" s="1853">
        <v>2</v>
      </c>
      <c r="C289" s="1853">
        <v>3</v>
      </c>
      <c r="D289" s="1853">
        <v>5</v>
      </c>
      <c r="E289" s="1852">
        <v>6</v>
      </c>
      <c r="F289" s="1852">
        <v>7</v>
      </c>
      <c r="G289" s="2223">
        <v>8</v>
      </c>
      <c r="H289" s="2146" t="s">
        <v>848</v>
      </c>
      <c r="I289" s="2165"/>
    </row>
    <row r="290" spans="1:9" ht="30.75" thickTop="1" x14ac:dyDescent="0.2">
      <c r="A290" s="2246">
        <v>3299</v>
      </c>
      <c r="B290" s="2253">
        <v>5229</v>
      </c>
      <c r="C290" s="2253">
        <v>32133006</v>
      </c>
      <c r="D290" s="2174" t="s">
        <v>1090</v>
      </c>
      <c r="E290" s="2170">
        <v>0</v>
      </c>
      <c r="F290" s="2170">
        <v>20</v>
      </c>
      <c r="G290" s="2236">
        <v>20</v>
      </c>
      <c r="H290" s="2153">
        <f>G290/F290*100</f>
        <v>100</v>
      </c>
      <c r="I290" s="2165"/>
    </row>
    <row r="291" spans="1:9" ht="30.75" thickBot="1" x14ac:dyDescent="0.25">
      <c r="A291" s="2246">
        <v>3299</v>
      </c>
      <c r="B291" s="2253">
        <v>5229</v>
      </c>
      <c r="C291" s="2253">
        <v>32533006</v>
      </c>
      <c r="D291" s="2174" t="s">
        <v>1090</v>
      </c>
      <c r="E291" s="2184">
        <v>0</v>
      </c>
      <c r="F291" s="2184">
        <v>113</v>
      </c>
      <c r="G291" s="2233">
        <v>113</v>
      </c>
      <c r="H291" s="2156">
        <f>G291/F291*100</f>
        <v>100</v>
      </c>
      <c r="I291" s="2165"/>
    </row>
    <row r="292" spans="1:9" ht="16.5" thickTop="1" thickBot="1" x14ac:dyDescent="0.3">
      <c r="A292" s="2175" t="s">
        <v>849</v>
      </c>
      <c r="B292" s="2176"/>
      <c r="C292" s="2176"/>
      <c r="D292" s="2177"/>
      <c r="E292" s="2152">
        <f>SUM(E290:E291)</f>
        <v>0</v>
      </c>
      <c r="F292" s="2152">
        <f>SUM(F290:F291)</f>
        <v>133</v>
      </c>
      <c r="G292" s="2152">
        <f>SUM(G290:G291)</f>
        <v>133</v>
      </c>
      <c r="H292" s="2157">
        <f>G292/F292*100</f>
        <v>100</v>
      </c>
      <c r="I292" s="2165"/>
    </row>
    <row r="293" spans="1:9" ht="13.5" thickTop="1" x14ac:dyDescent="0.2">
      <c r="I293" s="2165"/>
    </row>
    <row r="294" spans="1:9" ht="15" x14ac:dyDescent="0.25">
      <c r="A294" s="2136" t="s">
        <v>97</v>
      </c>
      <c r="D294" s="2130"/>
      <c r="E294" s="2131"/>
      <c r="H294" s="2165"/>
      <c r="I294" s="2165"/>
    </row>
    <row r="295" spans="1:9" ht="15.75" thickBot="1" x14ac:dyDescent="0.3">
      <c r="A295" s="2136" t="s">
        <v>249</v>
      </c>
      <c r="D295" s="2130"/>
      <c r="E295" s="2131"/>
      <c r="H295" s="2240" t="s">
        <v>179</v>
      </c>
      <c r="I295" s="2165"/>
    </row>
    <row r="296" spans="1:9" ht="25.5" thickTop="1" thickBot="1" x14ac:dyDescent="0.25">
      <c r="A296" s="2138" t="s">
        <v>180</v>
      </c>
      <c r="B296" s="2139" t="s">
        <v>847</v>
      </c>
      <c r="C296" s="2139" t="s">
        <v>414</v>
      </c>
      <c r="D296" s="2140" t="s">
        <v>182</v>
      </c>
      <c r="E296" s="2171" t="s">
        <v>700</v>
      </c>
      <c r="F296" s="2171" t="s">
        <v>701</v>
      </c>
      <c r="G296" s="2172" t="s">
        <v>986</v>
      </c>
      <c r="H296" s="2173" t="s">
        <v>987</v>
      </c>
      <c r="I296" s="2165"/>
    </row>
    <row r="297" spans="1:9" ht="14.25" thickTop="1" thickBot="1" x14ac:dyDescent="0.25">
      <c r="A297" s="1854">
        <v>1</v>
      </c>
      <c r="B297" s="1853">
        <v>2</v>
      </c>
      <c r="C297" s="1853">
        <v>3</v>
      </c>
      <c r="D297" s="1853">
        <v>5</v>
      </c>
      <c r="E297" s="1852">
        <v>6</v>
      </c>
      <c r="F297" s="1852">
        <v>7</v>
      </c>
      <c r="G297" s="2223">
        <v>8</v>
      </c>
      <c r="H297" s="2146" t="s">
        <v>848</v>
      </c>
      <c r="I297" s="2165"/>
    </row>
    <row r="298" spans="1:9" ht="15.75" thickTop="1" x14ac:dyDescent="0.25">
      <c r="A298" s="2147">
        <v>3299</v>
      </c>
      <c r="B298" s="2148">
        <v>5321</v>
      </c>
      <c r="C298" s="2148">
        <v>32133006</v>
      </c>
      <c r="D298" s="2234" t="s">
        <v>1349</v>
      </c>
      <c r="E298" s="2170">
        <v>0</v>
      </c>
      <c r="F298" s="2170">
        <v>103</v>
      </c>
      <c r="G298" s="2236">
        <v>103</v>
      </c>
      <c r="H298" s="2153">
        <f>G298/F298*100</f>
        <v>100</v>
      </c>
      <c r="I298" s="2165"/>
    </row>
    <row r="299" spans="1:9" ht="15.75" thickBot="1" x14ac:dyDescent="0.3">
      <c r="A299" s="2147">
        <v>3299</v>
      </c>
      <c r="B299" s="2148">
        <v>5321</v>
      </c>
      <c r="C299" s="2148">
        <v>32533006</v>
      </c>
      <c r="D299" s="2234" t="s">
        <v>1349</v>
      </c>
      <c r="E299" s="2184">
        <v>0</v>
      </c>
      <c r="F299" s="2184">
        <v>582</v>
      </c>
      <c r="G299" s="2233">
        <v>582</v>
      </c>
      <c r="H299" s="2156">
        <f>G299/F299*100</f>
        <v>100</v>
      </c>
      <c r="I299" s="2165"/>
    </row>
    <row r="300" spans="1:9" ht="15.75" hidden="1" thickBot="1" x14ac:dyDescent="0.3">
      <c r="A300" s="2147">
        <v>3299</v>
      </c>
      <c r="B300" s="2148">
        <v>6341</v>
      </c>
      <c r="C300" s="2148">
        <v>32133006</v>
      </c>
      <c r="D300" s="2234" t="s">
        <v>271</v>
      </c>
      <c r="E300" s="2184">
        <v>0</v>
      </c>
      <c r="F300" s="2184">
        <v>0</v>
      </c>
      <c r="G300" s="2233">
        <v>0</v>
      </c>
      <c r="H300" s="2156" t="e">
        <f>G300/F300*100</f>
        <v>#DIV/0!</v>
      </c>
      <c r="I300" s="2165"/>
    </row>
    <row r="301" spans="1:9" ht="15.75" hidden="1" thickBot="1" x14ac:dyDescent="0.3">
      <c r="A301" s="2147">
        <v>3299</v>
      </c>
      <c r="B301" s="2148">
        <v>6341</v>
      </c>
      <c r="C301" s="2148">
        <v>32533006</v>
      </c>
      <c r="D301" s="2234" t="s">
        <v>271</v>
      </c>
      <c r="E301" s="2184">
        <v>0</v>
      </c>
      <c r="F301" s="2184">
        <v>0</v>
      </c>
      <c r="G301" s="2233">
        <v>0</v>
      </c>
      <c r="H301" s="2156" t="e">
        <f>G301/F301*100</f>
        <v>#DIV/0!</v>
      </c>
      <c r="I301" s="2165"/>
    </row>
    <row r="302" spans="1:9" ht="16.5" thickTop="1" thickBot="1" x14ac:dyDescent="0.3">
      <c r="A302" s="2175" t="s">
        <v>849</v>
      </c>
      <c r="B302" s="2176"/>
      <c r="C302" s="2176"/>
      <c r="D302" s="2177"/>
      <c r="E302" s="2152">
        <f>SUM(E298:E301)</f>
        <v>0</v>
      </c>
      <c r="F302" s="2152">
        <f>SUM(F298:F301)</f>
        <v>685</v>
      </c>
      <c r="G302" s="2152">
        <f>SUM(G298:G301)</f>
        <v>685</v>
      </c>
      <c r="H302" s="2157">
        <f>G302/F302*100</f>
        <v>100</v>
      </c>
      <c r="I302" s="2165"/>
    </row>
    <row r="303" spans="1:9" ht="13.5" thickTop="1" x14ac:dyDescent="0.2">
      <c r="I303" s="2165"/>
    </row>
    <row r="304" spans="1:9" ht="15" x14ac:dyDescent="0.25">
      <c r="A304" s="2136" t="s">
        <v>1091</v>
      </c>
      <c r="D304" s="2130"/>
      <c r="E304" s="2131"/>
      <c r="H304" s="2165"/>
      <c r="I304" s="2165"/>
    </row>
    <row r="305" spans="1:9" ht="15.75" thickBot="1" x14ac:dyDescent="0.3">
      <c r="A305" s="2136" t="s">
        <v>1092</v>
      </c>
      <c r="D305" s="2130"/>
      <c r="E305" s="2131"/>
      <c r="H305" s="2240" t="s">
        <v>179</v>
      </c>
      <c r="I305" s="2165"/>
    </row>
    <row r="306" spans="1:9" ht="25.5" thickTop="1" thickBot="1" x14ac:dyDescent="0.25">
      <c r="A306" s="2138" t="s">
        <v>180</v>
      </c>
      <c r="B306" s="2139" t="s">
        <v>847</v>
      </c>
      <c r="C306" s="2139" t="s">
        <v>414</v>
      </c>
      <c r="D306" s="2140" t="s">
        <v>182</v>
      </c>
      <c r="E306" s="2171" t="s">
        <v>700</v>
      </c>
      <c r="F306" s="2171" t="s">
        <v>701</v>
      </c>
      <c r="G306" s="2172" t="s">
        <v>986</v>
      </c>
      <c r="H306" s="2173" t="s">
        <v>987</v>
      </c>
      <c r="I306" s="2165"/>
    </row>
    <row r="307" spans="1:9" ht="14.25" thickTop="1" thickBot="1" x14ac:dyDescent="0.25">
      <c r="A307" s="1854">
        <v>1</v>
      </c>
      <c r="B307" s="1853">
        <v>2</v>
      </c>
      <c r="C307" s="1853">
        <v>3</v>
      </c>
      <c r="D307" s="1853">
        <v>5</v>
      </c>
      <c r="E307" s="1852">
        <v>6</v>
      </c>
      <c r="F307" s="1852">
        <v>7</v>
      </c>
      <c r="G307" s="2223">
        <v>8</v>
      </c>
      <c r="H307" s="2146" t="s">
        <v>848</v>
      </c>
      <c r="I307" s="2165"/>
    </row>
    <row r="308" spans="1:9" ht="15.75" thickTop="1" x14ac:dyDescent="0.25">
      <c r="A308" s="2147">
        <v>3299</v>
      </c>
      <c r="B308" s="2148">
        <v>5321</v>
      </c>
      <c r="C308" s="2148">
        <v>32133006</v>
      </c>
      <c r="D308" s="2234" t="s">
        <v>1349</v>
      </c>
      <c r="E308" s="2170">
        <v>0</v>
      </c>
      <c r="F308" s="2170">
        <v>26</v>
      </c>
      <c r="G308" s="2236">
        <v>26</v>
      </c>
      <c r="H308" s="2153">
        <f>G308/F308*100</f>
        <v>100</v>
      </c>
      <c r="I308" s="2165"/>
    </row>
    <row r="309" spans="1:9" ht="15.75" thickBot="1" x14ac:dyDescent="0.3">
      <c r="A309" s="2147">
        <v>3299</v>
      </c>
      <c r="B309" s="2148">
        <v>5321</v>
      </c>
      <c r="C309" s="2148">
        <v>32533006</v>
      </c>
      <c r="D309" s="2234" t="s">
        <v>1349</v>
      </c>
      <c r="E309" s="2184">
        <v>0</v>
      </c>
      <c r="F309" s="2184">
        <v>148</v>
      </c>
      <c r="G309" s="2233">
        <v>148</v>
      </c>
      <c r="H309" s="2156">
        <f>G309/F309*100</f>
        <v>100</v>
      </c>
      <c r="I309" s="2165"/>
    </row>
    <row r="310" spans="1:9" ht="15.75" hidden="1" thickBot="1" x14ac:dyDescent="0.3">
      <c r="A310" s="2147">
        <v>3299</v>
      </c>
      <c r="B310" s="2148">
        <v>6341</v>
      </c>
      <c r="C310" s="2148">
        <v>32133006</v>
      </c>
      <c r="D310" s="2234" t="s">
        <v>271</v>
      </c>
      <c r="E310" s="2184">
        <v>0</v>
      </c>
      <c r="F310" s="2184">
        <v>0</v>
      </c>
      <c r="G310" s="2233">
        <v>0</v>
      </c>
      <c r="H310" s="2156" t="e">
        <f>G310/F310*100</f>
        <v>#DIV/0!</v>
      </c>
      <c r="I310" s="2165"/>
    </row>
    <row r="311" spans="1:9" ht="15.75" hidden="1" thickBot="1" x14ac:dyDescent="0.3">
      <c r="A311" s="2147">
        <v>3299</v>
      </c>
      <c r="B311" s="2148">
        <v>6341</v>
      </c>
      <c r="C311" s="2148">
        <v>32533006</v>
      </c>
      <c r="D311" s="2234" t="s">
        <v>271</v>
      </c>
      <c r="E311" s="2184">
        <v>0</v>
      </c>
      <c r="F311" s="2184">
        <v>0</v>
      </c>
      <c r="G311" s="2233">
        <v>0</v>
      </c>
      <c r="H311" s="2156" t="e">
        <f>G311/F311*100</f>
        <v>#DIV/0!</v>
      </c>
      <c r="I311" s="2165"/>
    </row>
    <row r="312" spans="1:9" ht="16.5" thickTop="1" thickBot="1" x14ac:dyDescent="0.3">
      <c r="A312" s="2175" t="s">
        <v>849</v>
      </c>
      <c r="B312" s="2176"/>
      <c r="C312" s="2176"/>
      <c r="D312" s="2177"/>
      <c r="E312" s="2152">
        <f>SUM(E308:E311)</f>
        <v>0</v>
      </c>
      <c r="F312" s="2152">
        <f>SUM(F308:F311)</f>
        <v>174</v>
      </c>
      <c r="G312" s="2152">
        <f>SUM(G308:G311)</f>
        <v>174</v>
      </c>
      <c r="H312" s="2157">
        <f>G312/F312*100</f>
        <v>100</v>
      </c>
      <c r="I312" s="2165"/>
    </row>
    <row r="313" spans="1:9" ht="13.5" thickTop="1" x14ac:dyDescent="0.2">
      <c r="I313" s="2165"/>
    </row>
    <row r="314" spans="1:9" ht="15" x14ac:dyDescent="0.25">
      <c r="A314" s="2136" t="s">
        <v>250</v>
      </c>
      <c r="D314" s="2130"/>
      <c r="E314" s="2131"/>
      <c r="H314" s="2165"/>
      <c r="I314" s="2165"/>
    </row>
    <row r="315" spans="1:9" ht="15.75" thickBot="1" x14ac:dyDescent="0.3">
      <c r="A315" s="2136" t="s">
        <v>251</v>
      </c>
      <c r="D315" s="2130"/>
      <c r="E315" s="2131"/>
      <c r="H315" s="2240" t="s">
        <v>179</v>
      </c>
      <c r="I315" s="2165"/>
    </row>
    <row r="316" spans="1:9" ht="25.5" thickTop="1" thickBot="1" x14ac:dyDescent="0.25">
      <c r="A316" s="2138" t="s">
        <v>180</v>
      </c>
      <c r="B316" s="2139" t="s">
        <v>847</v>
      </c>
      <c r="C316" s="2139" t="s">
        <v>414</v>
      </c>
      <c r="D316" s="2140" t="s">
        <v>182</v>
      </c>
      <c r="E316" s="2171" t="s">
        <v>700</v>
      </c>
      <c r="F316" s="2171" t="s">
        <v>701</v>
      </c>
      <c r="G316" s="2172" t="s">
        <v>986</v>
      </c>
      <c r="H316" s="2173" t="s">
        <v>987</v>
      </c>
      <c r="I316" s="2165"/>
    </row>
    <row r="317" spans="1:9" ht="14.25" thickTop="1" thickBot="1" x14ac:dyDescent="0.25">
      <c r="A317" s="1854">
        <v>1</v>
      </c>
      <c r="B317" s="1853">
        <v>2</v>
      </c>
      <c r="C317" s="1853">
        <v>3</v>
      </c>
      <c r="D317" s="1853">
        <v>5</v>
      </c>
      <c r="E317" s="1852">
        <v>6</v>
      </c>
      <c r="F317" s="1852">
        <v>7</v>
      </c>
      <c r="G317" s="2223">
        <v>8</v>
      </c>
      <c r="H317" s="2146" t="s">
        <v>848</v>
      </c>
      <c r="I317" s="2165"/>
    </row>
    <row r="318" spans="1:9" ht="15.75" thickTop="1" x14ac:dyDescent="0.25">
      <c r="A318" s="2147">
        <v>3299</v>
      </c>
      <c r="B318" s="2148">
        <v>5321</v>
      </c>
      <c r="C318" s="2148">
        <v>32133006</v>
      </c>
      <c r="D318" s="2234" t="s">
        <v>1349</v>
      </c>
      <c r="E318" s="2170">
        <v>0</v>
      </c>
      <c r="F318" s="2170">
        <v>34</v>
      </c>
      <c r="G318" s="2236">
        <v>34</v>
      </c>
      <c r="H318" s="2153">
        <f>G318/F318*100</f>
        <v>100</v>
      </c>
      <c r="I318" s="2165"/>
    </row>
    <row r="319" spans="1:9" ht="15.75" thickBot="1" x14ac:dyDescent="0.3">
      <c r="A319" s="2147">
        <v>3299</v>
      </c>
      <c r="B319" s="2148">
        <v>5321</v>
      </c>
      <c r="C319" s="2148">
        <v>32533006</v>
      </c>
      <c r="D319" s="2234" t="s">
        <v>1349</v>
      </c>
      <c r="E319" s="2184">
        <v>0</v>
      </c>
      <c r="F319" s="2184">
        <v>193</v>
      </c>
      <c r="G319" s="2233">
        <v>193</v>
      </c>
      <c r="H319" s="2156">
        <f>G319/F319*100</f>
        <v>100</v>
      </c>
      <c r="I319" s="2165"/>
    </row>
    <row r="320" spans="1:9" ht="16.5" thickTop="1" thickBot="1" x14ac:dyDescent="0.3">
      <c r="A320" s="2175" t="s">
        <v>849</v>
      </c>
      <c r="B320" s="2176"/>
      <c r="C320" s="2176"/>
      <c r="D320" s="2177"/>
      <c r="E320" s="2152">
        <f>SUM(E318:E319)</f>
        <v>0</v>
      </c>
      <c r="F320" s="2152">
        <f>SUM(F318:F319)</f>
        <v>227</v>
      </c>
      <c r="G320" s="2152">
        <f>SUM(G318:G319)</f>
        <v>227</v>
      </c>
      <c r="H320" s="2157">
        <f>G320/F320*100</f>
        <v>100</v>
      </c>
      <c r="I320" s="2165"/>
    </row>
    <row r="321" spans="1:9" ht="13.5" thickTop="1" x14ac:dyDescent="0.2">
      <c r="I321" s="2165"/>
    </row>
    <row r="322" spans="1:9" ht="15" x14ac:dyDescent="0.25">
      <c r="A322" s="2136" t="s">
        <v>1093</v>
      </c>
      <c r="D322" s="2130"/>
      <c r="E322" s="2131"/>
      <c r="H322" s="2165"/>
      <c r="I322" s="2165"/>
    </row>
    <row r="323" spans="1:9" ht="15.75" thickBot="1" x14ac:dyDescent="0.3">
      <c r="A323" s="2136" t="s">
        <v>1094</v>
      </c>
      <c r="D323" s="2130"/>
      <c r="E323" s="2131"/>
      <c r="H323" s="2240" t="s">
        <v>179</v>
      </c>
      <c r="I323" s="2165"/>
    </row>
    <row r="324" spans="1:9" ht="25.5" thickTop="1" thickBot="1" x14ac:dyDescent="0.25">
      <c r="A324" s="2138" t="s">
        <v>180</v>
      </c>
      <c r="B324" s="2139" t="s">
        <v>847</v>
      </c>
      <c r="C324" s="2139" t="s">
        <v>414</v>
      </c>
      <c r="D324" s="2140" t="s">
        <v>182</v>
      </c>
      <c r="E324" s="2171" t="s">
        <v>700</v>
      </c>
      <c r="F324" s="2171" t="s">
        <v>701</v>
      </c>
      <c r="G324" s="2172" t="s">
        <v>986</v>
      </c>
      <c r="H324" s="2173" t="s">
        <v>987</v>
      </c>
      <c r="I324" s="2165"/>
    </row>
    <row r="325" spans="1:9" ht="14.25" thickTop="1" thickBot="1" x14ac:dyDescent="0.25">
      <c r="A325" s="1854">
        <v>1</v>
      </c>
      <c r="B325" s="1853">
        <v>2</v>
      </c>
      <c r="C325" s="1853">
        <v>3</v>
      </c>
      <c r="D325" s="1853">
        <v>5</v>
      </c>
      <c r="E325" s="1852">
        <v>6</v>
      </c>
      <c r="F325" s="1852">
        <v>7</v>
      </c>
      <c r="G325" s="2223">
        <v>8</v>
      </c>
      <c r="H325" s="2146" t="s">
        <v>848</v>
      </c>
      <c r="I325" s="2165"/>
    </row>
    <row r="326" spans="1:9" ht="15.75" thickTop="1" x14ac:dyDescent="0.25">
      <c r="A326" s="2147">
        <v>3299</v>
      </c>
      <c r="B326" s="2148">
        <v>5321</v>
      </c>
      <c r="C326" s="2148">
        <v>32133006</v>
      </c>
      <c r="D326" s="2234" t="s">
        <v>1349</v>
      </c>
      <c r="E326" s="2170">
        <v>0</v>
      </c>
      <c r="F326" s="2170">
        <v>19</v>
      </c>
      <c r="G326" s="2236">
        <v>19</v>
      </c>
      <c r="H326" s="2153">
        <f>G326/F326*100</f>
        <v>100</v>
      </c>
      <c r="I326" s="2165"/>
    </row>
    <row r="327" spans="1:9" ht="15.75" thickBot="1" x14ac:dyDescent="0.3">
      <c r="A327" s="2147">
        <v>3299</v>
      </c>
      <c r="B327" s="2148">
        <v>5321</v>
      </c>
      <c r="C327" s="2148">
        <v>32533006</v>
      </c>
      <c r="D327" s="2234" t="s">
        <v>1349</v>
      </c>
      <c r="E327" s="2184">
        <v>0</v>
      </c>
      <c r="F327" s="2184">
        <v>104</v>
      </c>
      <c r="G327" s="2233">
        <v>104</v>
      </c>
      <c r="H327" s="2156">
        <f>G327/F327*100</f>
        <v>100</v>
      </c>
      <c r="I327" s="2165"/>
    </row>
    <row r="328" spans="1:9" ht="15.75" hidden="1" thickBot="1" x14ac:dyDescent="0.3">
      <c r="A328" s="2147">
        <v>3299</v>
      </c>
      <c r="B328" s="2148">
        <v>6341</v>
      </c>
      <c r="C328" s="2148">
        <v>32133006</v>
      </c>
      <c r="D328" s="2234" t="s">
        <v>271</v>
      </c>
      <c r="E328" s="2184">
        <v>0</v>
      </c>
      <c r="F328" s="2184">
        <v>0</v>
      </c>
      <c r="G328" s="2233">
        <v>0</v>
      </c>
      <c r="H328" s="2156" t="e">
        <f>G328/F328*100</f>
        <v>#DIV/0!</v>
      </c>
      <c r="I328" s="2165"/>
    </row>
    <row r="329" spans="1:9" ht="15.75" hidden="1" thickBot="1" x14ac:dyDescent="0.3">
      <c r="A329" s="2147">
        <v>3299</v>
      </c>
      <c r="B329" s="2148">
        <v>6341</v>
      </c>
      <c r="C329" s="2148">
        <v>32533006</v>
      </c>
      <c r="D329" s="2234" t="s">
        <v>271</v>
      </c>
      <c r="E329" s="2184">
        <v>0</v>
      </c>
      <c r="F329" s="2184">
        <v>0</v>
      </c>
      <c r="G329" s="2233">
        <v>0</v>
      </c>
      <c r="H329" s="2156" t="e">
        <f>G329/F329*100</f>
        <v>#DIV/0!</v>
      </c>
      <c r="I329" s="2165"/>
    </row>
    <row r="330" spans="1:9" ht="16.5" thickTop="1" thickBot="1" x14ac:dyDescent="0.3">
      <c r="A330" s="2175" t="s">
        <v>849</v>
      </c>
      <c r="B330" s="2176"/>
      <c r="C330" s="2176"/>
      <c r="D330" s="2177"/>
      <c r="E330" s="2152">
        <f>SUM(E326:E329)</f>
        <v>0</v>
      </c>
      <c r="F330" s="2152">
        <f>SUM(F326:F329)</f>
        <v>123</v>
      </c>
      <c r="G330" s="2152">
        <f>SUM(G326:G329)</f>
        <v>123</v>
      </c>
      <c r="H330" s="2157">
        <f>G330/F330*100</f>
        <v>100</v>
      </c>
      <c r="I330" s="2165"/>
    </row>
    <row r="331" spans="1:9" ht="13.5" thickTop="1" x14ac:dyDescent="0.2">
      <c r="I331" s="2165"/>
    </row>
    <row r="332" spans="1:9" ht="15" x14ac:dyDescent="0.25">
      <c r="A332" s="2136" t="s">
        <v>1095</v>
      </c>
      <c r="D332" s="2130"/>
      <c r="E332" s="2131"/>
      <c r="H332" s="2165"/>
      <c r="I332" s="2165"/>
    </row>
    <row r="333" spans="1:9" ht="15.75" thickBot="1" x14ac:dyDescent="0.3">
      <c r="A333" s="2136" t="s">
        <v>1096</v>
      </c>
      <c r="D333" s="2130"/>
      <c r="E333" s="2131"/>
      <c r="H333" s="2240" t="s">
        <v>179</v>
      </c>
      <c r="I333" s="2165"/>
    </row>
    <row r="334" spans="1:9" ht="25.5" thickTop="1" thickBot="1" x14ac:dyDescent="0.25">
      <c r="A334" s="2138" t="s">
        <v>180</v>
      </c>
      <c r="B334" s="2139" t="s">
        <v>847</v>
      </c>
      <c r="C334" s="2139" t="s">
        <v>414</v>
      </c>
      <c r="D334" s="2140" t="s">
        <v>182</v>
      </c>
      <c r="E334" s="2171" t="s">
        <v>700</v>
      </c>
      <c r="F334" s="2171" t="s">
        <v>701</v>
      </c>
      <c r="G334" s="2172" t="s">
        <v>986</v>
      </c>
      <c r="H334" s="2173" t="s">
        <v>987</v>
      </c>
      <c r="I334" s="2165"/>
    </row>
    <row r="335" spans="1:9" ht="14.25" thickTop="1" thickBot="1" x14ac:dyDescent="0.25">
      <c r="A335" s="1854">
        <v>1</v>
      </c>
      <c r="B335" s="1853">
        <v>2</v>
      </c>
      <c r="C335" s="1853">
        <v>3</v>
      </c>
      <c r="D335" s="1853">
        <v>5</v>
      </c>
      <c r="E335" s="1852">
        <v>6</v>
      </c>
      <c r="F335" s="1852">
        <v>7</v>
      </c>
      <c r="G335" s="2223">
        <v>8</v>
      </c>
      <c r="H335" s="2146" t="s">
        <v>848</v>
      </c>
      <c r="I335" s="2165"/>
    </row>
    <row r="336" spans="1:9" ht="30.75" thickTop="1" x14ac:dyDescent="0.25">
      <c r="A336" s="2246">
        <v>3299</v>
      </c>
      <c r="B336" s="2253">
        <v>5329</v>
      </c>
      <c r="C336" s="2253">
        <v>32133006</v>
      </c>
      <c r="D336" s="2276" t="s">
        <v>1097</v>
      </c>
      <c r="E336" s="2170">
        <v>0</v>
      </c>
      <c r="F336" s="2170">
        <v>337</v>
      </c>
      <c r="G336" s="2236">
        <v>258</v>
      </c>
      <c r="H336" s="2153">
        <f>G336/F336*100</f>
        <v>76.557863501483681</v>
      </c>
      <c r="I336" s="2165"/>
    </row>
    <row r="337" spans="1:9" ht="30.75" thickBot="1" x14ac:dyDescent="0.3">
      <c r="A337" s="2246">
        <v>3299</v>
      </c>
      <c r="B337" s="2253">
        <v>5329</v>
      </c>
      <c r="C337" s="2253">
        <v>32533006</v>
      </c>
      <c r="D337" s="2276" t="s">
        <v>1097</v>
      </c>
      <c r="E337" s="2184">
        <v>0</v>
      </c>
      <c r="F337" s="2184">
        <v>1909</v>
      </c>
      <c r="G337" s="2233">
        <v>1460</v>
      </c>
      <c r="H337" s="2156">
        <f>G337/F337*100</f>
        <v>76.479832372970151</v>
      </c>
      <c r="I337" s="2165"/>
    </row>
    <row r="338" spans="1:9" ht="30.75" hidden="1" thickBot="1" x14ac:dyDescent="0.3">
      <c r="A338" s="2246">
        <v>3299</v>
      </c>
      <c r="B338" s="2253">
        <v>6329</v>
      </c>
      <c r="C338" s="2253">
        <v>32133006</v>
      </c>
      <c r="D338" s="2276" t="s">
        <v>1098</v>
      </c>
      <c r="E338" s="2184">
        <v>0</v>
      </c>
      <c r="F338" s="2184">
        <v>0</v>
      </c>
      <c r="G338" s="2233">
        <v>0</v>
      </c>
      <c r="H338" s="2156" t="e">
        <f>G338/F338*100</f>
        <v>#DIV/0!</v>
      </c>
      <c r="I338" s="2165"/>
    </row>
    <row r="339" spans="1:9" ht="30.75" hidden="1" thickBot="1" x14ac:dyDescent="0.3">
      <c r="A339" s="2246">
        <v>3299</v>
      </c>
      <c r="B339" s="2253">
        <v>6329</v>
      </c>
      <c r="C339" s="2253">
        <v>32533006</v>
      </c>
      <c r="D339" s="2276" t="s">
        <v>1098</v>
      </c>
      <c r="E339" s="2184"/>
      <c r="F339" s="2184">
        <v>0</v>
      </c>
      <c r="G339" s="2233">
        <v>0</v>
      </c>
      <c r="H339" s="2156" t="e">
        <f>G339/F339*100</f>
        <v>#DIV/0!</v>
      </c>
      <c r="I339" s="2165"/>
    </row>
    <row r="340" spans="1:9" ht="30.75" hidden="1" thickBot="1" x14ac:dyDescent="0.3">
      <c r="A340" s="2246">
        <v>3299</v>
      </c>
      <c r="B340" s="2253">
        <v>6349</v>
      </c>
      <c r="C340" s="2253">
        <v>32133006</v>
      </c>
      <c r="D340" s="2276" t="s">
        <v>1099</v>
      </c>
      <c r="E340" s="2184">
        <v>0</v>
      </c>
      <c r="F340" s="2184">
        <v>0</v>
      </c>
      <c r="G340" s="2233">
        <v>0</v>
      </c>
      <c r="H340" s="2156">
        <v>0</v>
      </c>
      <c r="I340" s="2165"/>
    </row>
    <row r="341" spans="1:9" ht="30.75" hidden="1" thickBot="1" x14ac:dyDescent="0.3">
      <c r="A341" s="2246">
        <v>3299</v>
      </c>
      <c r="B341" s="2253">
        <v>6349</v>
      </c>
      <c r="C341" s="2253">
        <v>32533006</v>
      </c>
      <c r="D341" s="2276" t="s">
        <v>1099</v>
      </c>
      <c r="E341" s="2184">
        <v>0</v>
      </c>
      <c r="F341" s="2184">
        <v>0</v>
      </c>
      <c r="G341" s="2233">
        <v>0</v>
      </c>
      <c r="H341" s="2156">
        <v>0</v>
      </c>
      <c r="I341" s="2165"/>
    </row>
    <row r="342" spans="1:9" ht="16.5" thickTop="1" thickBot="1" x14ac:dyDescent="0.3">
      <c r="A342" s="2175" t="s">
        <v>849</v>
      </c>
      <c r="B342" s="2176"/>
      <c r="C342" s="2176"/>
      <c r="D342" s="2177"/>
      <c r="E342" s="2152">
        <f>SUM(E336:E341)</f>
        <v>0</v>
      </c>
      <c r="F342" s="2152">
        <f>SUM(F336:F341)</f>
        <v>2246</v>
      </c>
      <c r="G342" s="2152">
        <f>SUM(G336:G341)</f>
        <v>1718</v>
      </c>
      <c r="H342" s="2157">
        <f>G342/F342*100</f>
        <v>76.491540516473734</v>
      </c>
      <c r="I342" s="2165"/>
    </row>
    <row r="343" spans="1:9" ht="15.75" thickTop="1" x14ac:dyDescent="0.25">
      <c r="A343" s="2189"/>
      <c r="B343" s="2189"/>
      <c r="C343" s="2189"/>
      <c r="D343" s="2189"/>
      <c r="E343" s="2159"/>
      <c r="F343" s="2159"/>
      <c r="G343" s="2159"/>
      <c r="H343" s="2190"/>
      <c r="I343" s="2165"/>
    </row>
    <row r="344" spans="1:9" ht="15" x14ac:dyDescent="0.25">
      <c r="A344" s="2136" t="s">
        <v>252</v>
      </c>
      <c r="D344" s="2130"/>
      <c r="E344" s="2131"/>
      <c r="H344" s="2165"/>
      <c r="I344" s="2165"/>
    </row>
    <row r="345" spans="1:9" ht="15.75" thickBot="1" x14ac:dyDescent="0.3">
      <c r="A345" s="2136" t="s">
        <v>253</v>
      </c>
      <c r="D345" s="2130"/>
      <c r="E345" s="2131"/>
      <c r="H345" s="2240" t="s">
        <v>179</v>
      </c>
      <c r="I345" s="2165"/>
    </row>
    <row r="346" spans="1:9" ht="25.5" thickTop="1" thickBot="1" x14ac:dyDescent="0.25">
      <c r="A346" s="2138" t="s">
        <v>180</v>
      </c>
      <c r="B346" s="2139" t="s">
        <v>847</v>
      </c>
      <c r="C346" s="2139" t="s">
        <v>414</v>
      </c>
      <c r="D346" s="2140" t="s">
        <v>182</v>
      </c>
      <c r="E346" s="2171" t="s">
        <v>700</v>
      </c>
      <c r="F346" s="2171" t="s">
        <v>701</v>
      </c>
      <c r="G346" s="2172" t="s">
        <v>986</v>
      </c>
      <c r="H346" s="2173" t="s">
        <v>987</v>
      </c>
      <c r="I346" s="2165"/>
    </row>
    <row r="347" spans="1:9" ht="14.25" thickTop="1" thickBot="1" x14ac:dyDescent="0.25">
      <c r="A347" s="1854">
        <v>1</v>
      </c>
      <c r="B347" s="1853">
        <v>2</v>
      </c>
      <c r="C347" s="1853">
        <v>3</v>
      </c>
      <c r="D347" s="1853">
        <v>5</v>
      </c>
      <c r="E347" s="1852">
        <v>6</v>
      </c>
      <c r="F347" s="1852">
        <v>7</v>
      </c>
      <c r="G347" s="2223">
        <v>8</v>
      </c>
      <c r="H347" s="2146" t="s">
        <v>848</v>
      </c>
      <c r="I347" s="2165"/>
    </row>
    <row r="348" spans="1:9" ht="15.75" thickTop="1" x14ac:dyDescent="0.25">
      <c r="A348" s="2147">
        <v>3299</v>
      </c>
      <c r="B348" s="2148">
        <v>5321</v>
      </c>
      <c r="C348" s="2148">
        <v>32133006</v>
      </c>
      <c r="D348" s="2234" t="s">
        <v>1349</v>
      </c>
      <c r="E348" s="2170">
        <v>0</v>
      </c>
      <c r="F348" s="2170">
        <v>16</v>
      </c>
      <c r="G348" s="2236">
        <v>16</v>
      </c>
      <c r="H348" s="2153">
        <f>G348/F348*100</f>
        <v>100</v>
      </c>
      <c r="I348" s="2165"/>
    </row>
    <row r="349" spans="1:9" ht="15.75" thickBot="1" x14ac:dyDescent="0.3">
      <c r="A349" s="2147">
        <v>3299</v>
      </c>
      <c r="B349" s="2148">
        <v>5321</v>
      </c>
      <c r="C349" s="2148">
        <v>32533006</v>
      </c>
      <c r="D349" s="2234" t="s">
        <v>1349</v>
      </c>
      <c r="E349" s="2184">
        <v>0</v>
      </c>
      <c r="F349" s="2184">
        <v>90</v>
      </c>
      <c r="G349" s="2233">
        <v>90</v>
      </c>
      <c r="H349" s="2156">
        <f>G349/F349*100</f>
        <v>100</v>
      </c>
      <c r="I349" s="2165"/>
    </row>
    <row r="350" spans="1:9" ht="15.75" hidden="1" thickBot="1" x14ac:dyDescent="0.3">
      <c r="A350" s="2147">
        <v>3299</v>
      </c>
      <c r="B350" s="2148">
        <v>6341</v>
      </c>
      <c r="C350" s="2148">
        <v>32133006</v>
      </c>
      <c r="D350" s="2234" t="s">
        <v>271</v>
      </c>
      <c r="E350" s="2184">
        <v>0</v>
      </c>
      <c r="F350" s="2184">
        <v>0</v>
      </c>
      <c r="G350" s="2233">
        <v>0</v>
      </c>
      <c r="H350" s="2156" t="e">
        <f>G350/F350*100</f>
        <v>#DIV/0!</v>
      </c>
      <c r="I350" s="2165"/>
    </row>
    <row r="351" spans="1:9" ht="15.75" hidden="1" thickBot="1" x14ac:dyDescent="0.3">
      <c r="A351" s="2147">
        <v>3299</v>
      </c>
      <c r="B351" s="2148">
        <v>6341</v>
      </c>
      <c r="C351" s="2148">
        <v>32533006</v>
      </c>
      <c r="D351" s="2234" t="s">
        <v>271</v>
      </c>
      <c r="E351" s="2184">
        <v>0</v>
      </c>
      <c r="F351" s="2184">
        <v>0</v>
      </c>
      <c r="G351" s="2233">
        <v>0</v>
      </c>
      <c r="H351" s="2156" t="e">
        <f>G351/F351*100</f>
        <v>#DIV/0!</v>
      </c>
      <c r="I351" s="2165"/>
    </row>
    <row r="352" spans="1:9" ht="16.5" thickTop="1" thickBot="1" x14ac:dyDescent="0.3">
      <c r="A352" s="2175" t="s">
        <v>849</v>
      </c>
      <c r="B352" s="2176"/>
      <c r="C352" s="2176"/>
      <c r="D352" s="2177"/>
      <c r="E352" s="2152">
        <f>SUM(E348:E351)</f>
        <v>0</v>
      </c>
      <c r="F352" s="2152">
        <f>SUM(F348:F351)</f>
        <v>106</v>
      </c>
      <c r="G352" s="2152">
        <f>SUM(G348:G351)</f>
        <v>106</v>
      </c>
      <c r="H352" s="2157">
        <f>G352/F352*100</f>
        <v>100</v>
      </c>
      <c r="I352" s="2165"/>
    </row>
    <row r="353" spans="1:9" ht="15.75" thickTop="1" x14ac:dyDescent="0.25">
      <c r="A353" s="2189"/>
      <c r="B353" s="2189"/>
      <c r="C353" s="2189"/>
      <c r="D353" s="2189"/>
      <c r="E353" s="2159"/>
      <c r="F353" s="2159"/>
      <c r="G353" s="2159"/>
      <c r="H353" s="2190"/>
      <c r="I353" s="2165"/>
    </row>
    <row r="354" spans="1:9" ht="15" x14ac:dyDescent="0.25">
      <c r="A354" s="2136" t="s">
        <v>1100</v>
      </c>
      <c r="D354" s="2130"/>
      <c r="E354" s="2131"/>
      <c r="H354" s="2165"/>
      <c r="I354" s="2165"/>
    </row>
    <row r="355" spans="1:9" ht="15.75" thickBot="1" x14ac:dyDescent="0.3">
      <c r="A355" s="2136" t="s">
        <v>1101</v>
      </c>
      <c r="D355" s="2130"/>
      <c r="E355" s="2131"/>
      <c r="H355" s="2240" t="s">
        <v>179</v>
      </c>
      <c r="I355" s="2165"/>
    </row>
    <row r="356" spans="1:9" ht="25.5" thickTop="1" thickBot="1" x14ac:dyDescent="0.25">
      <c r="A356" s="2138" t="s">
        <v>180</v>
      </c>
      <c r="B356" s="2139" t="s">
        <v>847</v>
      </c>
      <c r="C356" s="2139" t="s">
        <v>414</v>
      </c>
      <c r="D356" s="2140" t="s">
        <v>182</v>
      </c>
      <c r="E356" s="2171" t="s">
        <v>700</v>
      </c>
      <c r="F356" s="2171" t="s">
        <v>701</v>
      </c>
      <c r="G356" s="2172" t="s">
        <v>986</v>
      </c>
      <c r="H356" s="2173" t="s">
        <v>987</v>
      </c>
      <c r="I356" s="2165"/>
    </row>
    <row r="357" spans="1:9" ht="14.25" thickTop="1" thickBot="1" x14ac:dyDescent="0.25">
      <c r="A357" s="1854">
        <v>1</v>
      </c>
      <c r="B357" s="1853">
        <v>2</v>
      </c>
      <c r="C357" s="1853">
        <v>3</v>
      </c>
      <c r="D357" s="1853">
        <v>5</v>
      </c>
      <c r="E357" s="1852">
        <v>6</v>
      </c>
      <c r="F357" s="1852">
        <v>7</v>
      </c>
      <c r="G357" s="2223">
        <v>8</v>
      </c>
      <c r="H357" s="2146" t="s">
        <v>848</v>
      </c>
      <c r="I357" s="2165"/>
    </row>
    <row r="358" spans="1:9" ht="15.75" thickTop="1" x14ac:dyDescent="0.25">
      <c r="A358" s="2147">
        <v>3299</v>
      </c>
      <c r="B358" s="2148">
        <v>5321</v>
      </c>
      <c r="C358" s="2148">
        <v>32133006</v>
      </c>
      <c r="D358" s="2234" t="s">
        <v>1349</v>
      </c>
      <c r="E358" s="2170">
        <v>0</v>
      </c>
      <c r="F358" s="2170">
        <v>187</v>
      </c>
      <c r="G358" s="2236">
        <v>116</v>
      </c>
      <c r="H358" s="2153">
        <f>G358/F358*100</f>
        <v>62.032085561497333</v>
      </c>
      <c r="I358" s="2165"/>
    </row>
    <row r="359" spans="1:9" ht="15.75" thickBot="1" x14ac:dyDescent="0.3">
      <c r="A359" s="2147">
        <v>3299</v>
      </c>
      <c r="B359" s="2148">
        <v>5321</v>
      </c>
      <c r="C359" s="2148">
        <v>32533006</v>
      </c>
      <c r="D359" s="2234" t="s">
        <v>1349</v>
      </c>
      <c r="E359" s="2184">
        <v>0</v>
      </c>
      <c r="F359" s="2184">
        <v>1059</v>
      </c>
      <c r="G359" s="2233">
        <v>661</v>
      </c>
      <c r="H359" s="2156">
        <f>G359/F359*100</f>
        <v>62.417374881964115</v>
      </c>
      <c r="I359" s="2165"/>
    </row>
    <row r="360" spans="1:9" ht="16.5" thickTop="1" thickBot="1" x14ac:dyDescent="0.3">
      <c r="A360" s="2175" t="s">
        <v>849</v>
      </c>
      <c r="B360" s="2176"/>
      <c r="C360" s="2176"/>
      <c r="D360" s="2177"/>
      <c r="E360" s="2152">
        <f>SUM(E358:E359)</f>
        <v>0</v>
      </c>
      <c r="F360" s="2152">
        <f>SUM(F358:F359)</f>
        <v>1246</v>
      </c>
      <c r="G360" s="2152">
        <f>SUM(G358:G359)</f>
        <v>777</v>
      </c>
      <c r="H360" s="2157">
        <f>G360/F360*100</f>
        <v>62.359550561797747</v>
      </c>
      <c r="I360" s="2165"/>
    </row>
    <row r="361" spans="1:9" ht="15.75" thickTop="1" x14ac:dyDescent="0.25">
      <c r="A361" s="2189"/>
      <c r="B361" s="2189"/>
      <c r="C361" s="2189"/>
      <c r="D361" s="2189"/>
      <c r="E361" s="2159"/>
      <c r="F361" s="2159"/>
      <c r="G361" s="2159"/>
      <c r="H361" s="2190"/>
      <c r="I361" s="2165"/>
    </row>
    <row r="362" spans="1:9" ht="15" x14ac:dyDescent="0.25">
      <c r="A362" s="2136" t="s">
        <v>1102</v>
      </c>
      <c r="D362" s="2130"/>
      <c r="E362" s="2131"/>
      <c r="H362" s="2165"/>
      <c r="I362" s="2165"/>
    </row>
    <row r="363" spans="1:9" ht="15.75" thickBot="1" x14ac:dyDescent="0.3">
      <c r="A363" s="2136" t="s">
        <v>1103</v>
      </c>
      <c r="D363" s="2130"/>
      <c r="E363" s="2131"/>
      <c r="H363" s="2240" t="s">
        <v>179</v>
      </c>
      <c r="I363" s="2165"/>
    </row>
    <row r="364" spans="1:9" ht="25.5" thickTop="1" thickBot="1" x14ac:dyDescent="0.25">
      <c r="A364" s="2138" t="s">
        <v>180</v>
      </c>
      <c r="B364" s="2139" t="s">
        <v>847</v>
      </c>
      <c r="C364" s="2139" t="s">
        <v>414</v>
      </c>
      <c r="D364" s="2140" t="s">
        <v>182</v>
      </c>
      <c r="E364" s="2171" t="s">
        <v>700</v>
      </c>
      <c r="F364" s="2171" t="s">
        <v>701</v>
      </c>
      <c r="G364" s="2172" t="s">
        <v>986</v>
      </c>
      <c r="H364" s="2173" t="s">
        <v>987</v>
      </c>
      <c r="I364" s="2165"/>
    </row>
    <row r="365" spans="1:9" ht="14.25" thickTop="1" thickBot="1" x14ac:dyDescent="0.25">
      <c r="A365" s="1854">
        <v>1</v>
      </c>
      <c r="B365" s="1853">
        <v>2</v>
      </c>
      <c r="C365" s="1853">
        <v>3</v>
      </c>
      <c r="D365" s="1853">
        <v>5</v>
      </c>
      <c r="E365" s="1852">
        <v>6</v>
      </c>
      <c r="F365" s="1852">
        <v>7</v>
      </c>
      <c r="G365" s="2223">
        <v>8</v>
      </c>
      <c r="H365" s="2146" t="s">
        <v>848</v>
      </c>
      <c r="I365" s="2165"/>
    </row>
    <row r="366" spans="1:9" ht="15.75" thickTop="1" x14ac:dyDescent="0.25">
      <c r="A366" s="2147">
        <v>3299</v>
      </c>
      <c r="B366" s="2148">
        <v>5321</v>
      </c>
      <c r="C366" s="2148">
        <v>32133006</v>
      </c>
      <c r="D366" s="2234" t="s">
        <v>1349</v>
      </c>
      <c r="E366" s="2170">
        <v>0</v>
      </c>
      <c r="F366" s="2170">
        <v>278</v>
      </c>
      <c r="G366" s="2236">
        <v>278</v>
      </c>
      <c r="H366" s="2153">
        <f>G366/F366*100</f>
        <v>100</v>
      </c>
      <c r="I366" s="2165"/>
    </row>
    <row r="367" spans="1:9" ht="15.75" thickBot="1" x14ac:dyDescent="0.3">
      <c r="A367" s="2147">
        <v>3299</v>
      </c>
      <c r="B367" s="2148">
        <v>5321</v>
      </c>
      <c r="C367" s="2148">
        <v>32533006</v>
      </c>
      <c r="D367" s="2234" t="s">
        <v>1349</v>
      </c>
      <c r="E367" s="2184">
        <v>0</v>
      </c>
      <c r="F367" s="2184">
        <v>1573</v>
      </c>
      <c r="G367" s="2233">
        <v>1573</v>
      </c>
      <c r="H367" s="2156">
        <f>G367/F367*100</f>
        <v>100</v>
      </c>
      <c r="I367" s="2165"/>
    </row>
    <row r="368" spans="1:9" ht="15.75" hidden="1" thickBot="1" x14ac:dyDescent="0.3">
      <c r="A368" s="2147">
        <v>3299</v>
      </c>
      <c r="B368" s="2148">
        <v>6341</v>
      </c>
      <c r="C368" s="2148">
        <v>32133006</v>
      </c>
      <c r="D368" s="2234" t="s">
        <v>271</v>
      </c>
      <c r="E368" s="2184">
        <v>0</v>
      </c>
      <c r="F368" s="2184">
        <v>0</v>
      </c>
      <c r="G368" s="2233">
        <v>0</v>
      </c>
      <c r="H368" s="2156" t="e">
        <f>G368/F368*100</f>
        <v>#DIV/0!</v>
      </c>
      <c r="I368" s="2165"/>
    </row>
    <row r="369" spans="1:9" ht="15.75" hidden="1" thickBot="1" x14ac:dyDescent="0.3">
      <c r="A369" s="2147">
        <v>3299</v>
      </c>
      <c r="B369" s="2148">
        <v>6341</v>
      </c>
      <c r="C369" s="2148">
        <v>32533006</v>
      </c>
      <c r="D369" s="2234" t="s">
        <v>271</v>
      </c>
      <c r="E369" s="2184">
        <v>0</v>
      </c>
      <c r="F369" s="2184">
        <v>0</v>
      </c>
      <c r="G369" s="2233">
        <v>0</v>
      </c>
      <c r="H369" s="2156" t="e">
        <f>G369/F369*100</f>
        <v>#DIV/0!</v>
      </c>
      <c r="I369" s="2165"/>
    </row>
    <row r="370" spans="1:9" ht="16.5" thickTop="1" thickBot="1" x14ac:dyDescent="0.3">
      <c r="A370" s="2175" t="s">
        <v>849</v>
      </c>
      <c r="B370" s="2176"/>
      <c r="C370" s="2176"/>
      <c r="D370" s="2177"/>
      <c r="E370" s="2152">
        <f>SUM(E366:E369)</f>
        <v>0</v>
      </c>
      <c r="F370" s="2152">
        <f>SUM(F366:F369)</f>
        <v>1851</v>
      </c>
      <c r="G370" s="2152">
        <f>SUM(G366:G369)</f>
        <v>1851</v>
      </c>
      <c r="H370" s="2157">
        <f>G370/F370*100</f>
        <v>100</v>
      </c>
      <c r="I370" s="2165"/>
    </row>
    <row r="371" spans="1:9" ht="15.75" thickTop="1" x14ac:dyDescent="0.25">
      <c r="A371" s="2189"/>
      <c r="B371" s="2189"/>
      <c r="C371" s="2189"/>
      <c r="D371" s="2189"/>
      <c r="E371" s="2159"/>
      <c r="F371" s="2159"/>
      <c r="G371" s="2159"/>
      <c r="H371" s="2190"/>
      <c r="I371" s="2165"/>
    </row>
    <row r="372" spans="1:9" ht="15" x14ac:dyDescent="0.25">
      <c r="A372" s="2136" t="s">
        <v>1104</v>
      </c>
      <c r="D372" s="2130"/>
      <c r="E372" s="2131"/>
      <c r="H372" s="2165"/>
      <c r="I372" s="2165"/>
    </row>
    <row r="373" spans="1:9" ht="15.75" thickBot="1" x14ac:dyDescent="0.3">
      <c r="A373" s="2136" t="s">
        <v>1105</v>
      </c>
      <c r="D373" s="2130"/>
      <c r="E373" s="2131"/>
      <c r="H373" s="2240" t="s">
        <v>179</v>
      </c>
      <c r="I373" s="2165"/>
    </row>
    <row r="374" spans="1:9" ht="25.5" thickTop="1" thickBot="1" x14ac:dyDescent="0.25">
      <c r="A374" s="2138" t="s">
        <v>180</v>
      </c>
      <c r="B374" s="2139" t="s">
        <v>847</v>
      </c>
      <c r="C374" s="2139" t="s">
        <v>414</v>
      </c>
      <c r="D374" s="2140" t="s">
        <v>182</v>
      </c>
      <c r="E374" s="2171" t="s">
        <v>700</v>
      </c>
      <c r="F374" s="2171" t="s">
        <v>701</v>
      </c>
      <c r="G374" s="2172" t="s">
        <v>986</v>
      </c>
      <c r="H374" s="2173" t="s">
        <v>987</v>
      </c>
      <c r="I374" s="2165"/>
    </row>
    <row r="375" spans="1:9" ht="14.25" thickTop="1" thickBot="1" x14ac:dyDescent="0.25">
      <c r="A375" s="1854">
        <v>1</v>
      </c>
      <c r="B375" s="1853">
        <v>2</v>
      </c>
      <c r="C375" s="1853">
        <v>3</v>
      </c>
      <c r="D375" s="1853">
        <v>5</v>
      </c>
      <c r="E375" s="1852">
        <v>6</v>
      </c>
      <c r="F375" s="1852">
        <v>7</v>
      </c>
      <c r="G375" s="2223">
        <v>8</v>
      </c>
      <c r="H375" s="2146" t="s">
        <v>848</v>
      </c>
      <c r="I375" s="2165"/>
    </row>
    <row r="376" spans="1:9" ht="15.75" thickTop="1" x14ac:dyDescent="0.25">
      <c r="A376" s="2147">
        <v>3299</v>
      </c>
      <c r="B376" s="2148">
        <v>5321</v>
      </c>
      <c r="C376" s="2148">
        <v>32133006</v>
      </c>
      <c r="D376" s="2234" t="s">
        <v>1349</v>
      </c>
      <c r="E376" s="2170">
        <v>0</v>
      </c>
      <c r="F376" s="2170">
        <v>153</v>
      </c>
      <c r="G376" s="2236">
        <v>124</v>
      </c>
      <c r="H376" s="2153">
        <f>G376/F376*100</f>
        <v>81.045751633986924</v>
      </c>
      <c r="I376" s="2165"/>
    </row>
    <row r="377" spans="1:9" ht="15.75" thickBot="1" x14ac:dyDescent="0.3">
      <c r="A377" s="2147">
        <v>3299</v>
      </c>
      <c r="B377" s="2148">
        <v>5321</v>
      </c>
      <c r="C377" s="2148">
        <v>32533006</v>
      </c>
      <c r="D377" s="2234" t="s">
        <v>1349</v>
      </c>
      <c r="E377" s="2184">
        <v>0</v>
      </c>
      <c r="F377" s="2184">
        <v>867</v>
      </c>
      <c r="G377" s="2233">
        <v>700</v>
      </c>
      <c r="H377" s="2156">
        <f>G377/F377*100</f>
        <v>80.738177623990765</v>
      </c>
      <c r="I377" s="2165"/>
    </row>
    <row r="378" spans="1:9" ht="15.75" hidden="1" thickBot="1" x14ac:dyDescent="0.3">
      <c r="A378" s="2147">
        <v>3299</v>
      </c>
      <c r="B378" s="2148">
        <v>6341</v>
      </c>
      <c r="C378" s="2148">
        <v>32133006</v>
      </c>
      <c r="D378" s="2234" t="s">
        <v>271</v>
      </c>
      <c r="E378" s="2184">
        <v>0</v>
      </c>
      <c r="F378" s="2184">
        <v>0</v>
      </c>
      <c r="G378" s="2233">
        <v>0</v>
      </c>
      <c r="H378" s="2156" t="e">
        <f>G378/F378*100</f>
        <v>#DIV/0!</v>
      </c>
      <c r="I378" s="2165"/>
    </row>
    <row r="379" spans="1:9" ht="15.75" hidden="1" thickBot="1" x14ac:dyDescent="0.3">
      <c r="A379" s="2147">
        <v>3299</v>
      </c>
      <c r="B379" s="2148">
        <v>6341</v>
      </c>
      <c r="C379" s="2148">
        <v>32533006</v>
      </c>
      <c r="D379" s="2234" t="s">
        <v>271</v>
      </c>
      <c r="E379" s="2184">
        <v>0</v>
      </c>
      <c r="F379" s="2184">
        <v>0</v>
      </c>
      <c r="G379" s="2233">
        <v>0</v>
      </c>
      <c r="H379" s="2156" t="e">
        <f>G379/F379*100</f>
        <v>#DIV/0!</v>
      </c>
      <c r="I379" s="2165"/>
    </row>
    <row r="380" spans="1:9" ht="16.5" thickTop="1" thickBot="1" x14ac:dyDescent="0.3">
      <c r="A380" s="2175" t="s">
        <v>849</v>
      </c>
      <c r="B380" s="2176"/>
      <c r="C380" s="2176"/>
      <c r="D380" s="2177"/>
      <c r="E380" s="2152">
        <f>SUM(E376:E379)</f>
        <v>0</v>
      </c>
      <c r="F380" s="2152">
        <f>SUM(F376:F379)</f>
        <v>1020</v>
      </c>
      <c r="G380" s="2152">
        <f>SUM(G376:G379)</f>
        <v>824</v>
      </c>
      <c r="H380" s="2157">
        <f>G380/F380*100</f>
        <v>80.784313725490193</v>
      </c>
      <c r="I380" s="2165"/>
    </row>
    <row r="381" spans="1:9" ht="15.75" thickTop="1" x14ac:dyDescent="0.25">
      <c r="A381" s="2189"/>
      <c r="B381" s="2189"/>
      <c r="C381" s="2189"/>
      <c r="D381" s="2189"/>
      <c r="E381" s="2159"/>
      <c r="F381" s="2159"/>
      <c r="G381" s="2159"/>
      <c r="H381" s="2190"/>
      <c r="I381" s="2165"/>
    </row>
    <row r="382" spans="1:9" ht="15" x14ac:dyDescent="0.25">
      <c r="A382" s="2136" t="s">
        <v>1106</v>
      </c>
      <c r="D382" s="2130"/>
      <c r="E382" s="2131"/>
      <c r="H382" s="2165"/>
      <c r="I382" s="2165"/>
    </row>
    <row r="383" spans="1:9" ht="15.75" thickBot="1" x14ac:dyDescent="0.3">
      <c r="A383" s="2136" t="s">
        <v>1107</v>
      </c>
      <c r="D383" s="2130"/>
      <c r="E383" s="2131"/>
      <c r="H383" s="2240" t="s">
        <v>179</v>
      </c>
      <c r="I383" s="2165"/>
    </row>
    <row r="384" spans="1:9" ht="25.5" thickTop="1" thickBot="1" x14ac:dyDescent="0.25">
      <c r="A384" s="2138" t="s">
        <v>180</v>
      </c>
      <c r="B384" s="2139" t="s">
        <v>847</v>
      </c>
      <c r="C384" s="2139" t="s">
        <v>414</v>
      </c>
      <c r="D384" s="2140" t="s">
        <v>182</v>
      </c>
      <c r="E384" s="2171" t="s">
        <v>700</v>
      </c>
      <c r="F384" s="2171" t="s">
        <v>701</v>
      </c>
      <c r="G384" s="2172" t="s">
        <v>986</v>
      </c>
      <c r="H384" s="2173" t="s">
        <v>987</v>
      </c>
      <c r="I384" s="2165"/>
    </row>
    <row r="385" spans="1:9" ht="14.25" thickTop="1" thickBot="1" x14ac:dyDescent="0.25">
      <c r="A385" s="1854">
        <v>1</v>
      </c>
      <c r="B385" s="1853">
        <v>2</v>
      </c>
      <c r="C385" s="1853">
        <v>3</v>
      </c>
      <c r="D385" s="1853">
        <v>5</v>
      </c>
      <c r="E385" s="1852">
        <v>6</v>
      </c>
      <c r="F385" s="1852">
        <v>7</v>
      </c>
      <c r="G385" s="2223">
        <v>8</v>
      </c>
      <c r="H385" s="2146" t="s">
        <v>848</v>
      </c>
      <c r="I385" s="2165"/>
    </row>
    <row r="386" spans="1:9" ht="15.75" thickTop="1" x14ac:dyDescent="0.25">
      <c r="A386" s="2147">
        <v>3299</v>
      </c>
      <c r="B386" s="2148">
        <v>5321</v>
      </c>
      <c r="C386" s="2148">
        <v>32133006</v>
      </c>
      <c r="D386" s="2234" t="s">
        <v>1349</v>
      </c>
      <c r="E386" s="2170">
        <v>0</v>
      </c>
      <c r="F386" s="2170">
        <v>38</v>
      </c>
      <c r="G386" s="2236">
        <v>38</v>
      </c>
      <c r="H386" s="2153">
        <f>G386/F386*100</f>
        <v>100</v>
      </c>
      <c r="I386" s="2165"/>
    </row>
    <row r="387" spans="1:9" ht="15.75" thickBot="1" x14ac:dyDescent="0.3">
      <c r="A387" s="2147">
        <v>3299</v>
      </c>
      <c r="B387" s="2148">
        <v>5321</v>
      </c>
      <c r="C387" s="2148">
        <v>32533006</v>
      </c>
      <c r="D387" s="2234" t="s">
        <v>1349</v>
      </c>
      <c r="E387" s="2184">
        <v>0</v>
      </c>
      <c r="F387" s="2184">
        <v>216</v>
      </c>
      <c r="G387" s="2233">
        <v>216</v>
      </c>
      <c r="H387" s="2156">
        <f>G387/F387*100</f>
        <v>100</v>
      </c>
      <c r="I387" s="2165"/>
    </row>
    <row r="388" spans="1:9" ht="16.5" customHeight="1" thickTop="1" thickBot="1" x14ac:dyDescent="0.3">
      <c r="A388" s="2175" t="s">
        <v>849</v>
      </c>
      <c r="B388" s="2176"/>
      <c r="C388" s="2176"/>
      <c r="D388" s="2177"/>
      <c r="E388" s="2152">
        <f>SUM(E386:E387)</f>
        <v>0</v>
      </c>
      <c r="F388" s="2152">
        <f>SUM(F386:F387)</f>
        <v>254</v>
      </c>
      <c r="G388" s="2152">
        <f>SUM(G386:G387)</f>
        <v>254</v>
      </c>
      <c r="H388" s="2157">
        <f>G388/F388*100</f>
        <v>100</v>
      </c>
      <c r="I388" s="2165"/>
    </row>
    <row r="389" spans="1:9" ht="16.5" customHeight="1" thickTop="1" x14ac:dyDescent="0.25">
      <c r="A389" s="2189"/>
      <c r="B389" s="2189"/>
      <c r="C389" s="2189"/>
      <c r="D389" s="2189"/>
      <c r="E389" s="2159"/>
      <c r="F389" s="2159"/>
      <c r="G389" s="2159"/>
      <c r="H389" s="2190"/>
      <c r="I389" s="2165"/>
    </row>
    <row r="390" spans="1:9" ht="15" hidden="1" x14ac:dyDescent="0.25">
      <c r="A390" s="2136" t="s">
        <v>254</v>
      </c>
      <c r="D390" s="2130"/>
      <c r="E390" s="2131"/>
      <c r="H390" s="2165"/>
      <c r="I390" s="2165"/>
    </row>
    <row r="391" spans="1:9" ht="15" hidden="1" x14ac:dyDescent="0.25">
      <c r="A391" s="2136" t="s">
        <v>255</v>
      </c>
      <c r="D391" s="2130"/>
      <c r="E391" s="2131"/>
      <c r="H391" s="2165" t="s">
        <v>179</v>
      </c>
      <c r="I391" s="2165"/>
    </row>
    <row r="392" spans="1:9" ht="25.5" hidden="1" thickTop="1" thickBot="1" x14ac:dyDescent="0.25">
      <c r="A392" s="2138" t="s">
        <v>180</v>
      </c>
      <c r="B392" s="2139" t="s">
        <v>847</v>
      </c>
      <c r="C392" s="2139" t="s">
        <v>414</v>
      </c>
      <c r="D392" s="2140" t="s">
        <v>182</v>
      </c>
      <c r="E392" s="2171" t="s">
        <v>700</v>
      </c>
      <c r="F392" s="2171" t="s">
        <v>701</v>
      </c>
      <c r="G392" s="2172" t="s">
        <v>986</v>
      </c>
      <c r="H392" s="2173" t="s">
        <v>987</v>
      </c>
      <c r="I392" s="2165"/>
    </row>
    <row r="393" spans="1:9" ht="14.25" hidden="1" thickTop="1" thickBot="1" x14ac:dyDescent="0.25">
      <c r="A393" s="1854">
        <v>1</v>
      </c>
      <c r="B393" s="1853">
        <v>2</v>
      </c>
      <c r="C393" s="1853">
        <v>3</v>
      </c>
      <c r="D393" s="1853">
        <v>5</v>
      </c>
      <c r="E393" s="1852">
        <v>6</v>
      </c>
      <c r="F393" s="1852">
        <v>7</v>
      </c>
      <c r="G393" s="2223">
        <v>8</v>
      </c>
      <c r="H393" s="2146" t="s">
        <v>848</v>
      </c>
      <c r="I393" s="2165"/>
    </row>
    <row r="394" spans="1:9" ht="15.75" hidden="1" customHeight="1" thickTop="1" x14ac:dyDescent="0.25">
      <c r="A394" s="2147">
        <v>3299</v>
      </c>
      <c r="B394" s="2148">
        <v>5321</v>
      </c>
      <c r="C394" s="2148">
        <v>32133006</v>
      </c>
      <c r="D394" s="2234" t="s">
        <v>1349</v>
      </c>
      <c r="E394" s="2170">
        <v>0</v>
      </c>
      <c r="F394" s="2170">
        <v>0</v>
      </c>
      <c r="G394" s="2236">
        <v>0</v>
      </c>
      <c r="H394" s="2153" t="e">
        <f>G394/F394*100</f>
        <v>#DIV/0!</v>
      </c>
      <c r="I394" s="2165"/>
    </row>
    <row r="395" spans="1:9" ht="15" hidden="1" x14ac:dyDescent="0.25">
      <c r="A395" s="2147">
        <v>3299</v>
      </c>
      <c r="B395" s="2148">
        <v>5321</v>
      </c>
      <c r="C395" s="2148">
        <v>32533006</v>
      </c>
      <c r="D395" s="2234" t="s">
        <v>1349</v>
      </c>
      <c r="E395" s="2184">
        <v>0</v>
      </c>
      <c r="F395" s="2184">
        <v>0</v>
      </c>
      <c r="G395" s="2233">
        <v>0</v>
      </c>
      <c r="H395" s="2156" t="e">
        <f>G395/F395*100</f>
        <v>#DIV/0!</v>
      </c>
      <c r="I395" s="2165"/>
    </row>
    <row r="396" spans="1:9" ht="16.5" hidden="1" thickTop="1" thickBot="1" x14ac:dyDescent="0.3">
      <c r="A396" s="2175" t="s">
        <v>849</v>
      </c>
      <c r="B396" s="2176"/>
      <c r="C396" s="2176"/>
      <c r="D396" s="2177"/>
      <c r="E396" s="2152">
        <f>SUM(E394:E395)</f>
        <v>0</v>
      </c>
      <c r="F396" s="2152">
        <f>SUM(F394:F395)</f>
        <v>0</v>
      </c>
      <c r="G396" s="2152">
        <f>SUM(G394:G395)</f>
        <v>0</v>
      </c>
      <c r="H396" s="2157" t="e">
        <f>G396/F396*100</f>
        <v>#DIV/0!</v>
      </c>
      <c r="I396" s="2165"/>
    </row>
    <row r="397" spans="1:9" hidden="1" x14ac:dyDescent="0.2"/>
    <row r="398" spans="1:9" ht="15" x14ac:dyDescent="0.25">
      <c r="A398" s="2136" t="s">
        <v>1108</v>
      </c>
      <c r="D398" s="2130"/>
      <c r="E398" s="2131"/>
      <c r="H398" s="2165"/>
    </row>
    <row r="399" spans="1:9" ht="15.75" thickBot="1" x14ac:dyDescent="0.3">
      <c r="A399" s="2136" t="s">
        <v>1109</v>
      </c>
      <c r="D399" s="2130"/>
      <c r="E399" s="2131"/>
      <c r="H399" s="2240" t="s">
        <v>179</v>
      </c>
    </row>
    <row r="400" spans="1:9" ht="25.5" thickTop="1" thickBot="1" x14ac:dyDescent="0.25">
      <c r="A400" s="2138" t="s">
        <v>180</v>
      </c>
      <c r="B400" s="2139" t="s">
        <v>847</v>
      </c>
      <c r="C400" s="2139" t="s">
        <v>414</v>
      </c>
      <c r="D400" s="2140" t="s">
        <v>182</v>
      </c>
      <c r="E400" s="2171" t="s">
        <v>700</v>
      </c>
      <c r="F400" s="2171" t="s">
        <v>701</v>
      </c>
      <c r="G400" s="2172" t="s">
        <v>986</v>
      </c>
      <c r="H400" s="2173" t="s">
        <v>987</v>
      </c>
    </row>
    <row r="401" spans="1:13" ht="14.25" thickTop="1" thickBot="1" x14ac:dyDescent="0.25">
      <c r="A401" s="1854">
        <v>1</v>
      </c>
      <c r="B401" s="1853">
        <v>2</v>
      </c>
      <c r="C401" s="1853">
        <v>3</v>
      </c>
      <c r="D401" s="1853">
        <v>5</v>
      </c>
      <c r="E401" s="1852">
        <v>6</v>
      </c>
      <c r="F401" s="1852">
        <v>7</v>
      </c>
      <c r="G401" s="2223">
        <v>8</v>
      </c>
      <c r="H401" s="2146" t="s">
        <v>848</v>
      </c>
    </row>
    <row r="402" spans="1:13" ht="15.75" thickTop="1" x14ac:dyDescent="0.25">
      <c r="A402" s="2147">
        <v>3299</v>
      </c>
      <c r="B402" s="2148">
        <v>5321</v>
      </c>
      <c r="C402" s="2148">
        <v>32133006</v>
      </c>
      <c r="D402" s="2234" t="s">
        <v>1349</v>
      </c>
      <c r="E402" s="2170">
        <v>0</v>
      </c>
      <c r="F402" s="2170">
        <v>25</v>
      </c>
      <c r="G402" s="2236">
        <v>7</v>
      </c>
      <c r="H402" s="2153">
        <f>G402/F402*100</f>
        <v>28.000000000000004</v>
      </c>
    </row>
    <row r="403" spans="1:13" ht="15.75" thickBot="1" x14ac:dyDescent="0.3">
      <c r="A403" s="2147">
        <v>3299</v>
      </c>
      <c r="B403" s="2148">
        <v>5321</v>
      </c>
      <c r="C403" s="2148">
        <v>32533006</v>
      </c>
      <c r="D403" s="2234" t="s">
        <v>1349</v>
      </c>
      <c r="E403" s="2184">
        <v>0</v>
      </c>
      <c r="F403" s="2184">
        <v>141</v>
      </c>
      <c r="G403" s="2233">
        <v>38</v>
      </c>
      <c r="H403" s="2156">
        <f>G403/F403*100</f>
        <v>26.950354609929079</v>
      </c>
    </row>
    <row r="404" spans="1:13" ht="15.75" hidden="1" thickBot="1" x14ac:dyDescent="0.3">
      <c r="A404" s="2147">
        <v>3299</v>
      </c>
      <c r="B404" s="2148">
        <v>6341</v>
      </c>
      <c r="C404" s="2148">
        <v>32133006</v>
      </c>
      <c r="D404" s="2234" t="s">
        <v>271</v>
      </c>
      <c r="E404" s="2184">
        <v>0</v>
      </c>
      <c r="F404" s="2184">
        <v>0</v>
      </c>
      <c r="G404" s="2233">
        <v>0</v>
      </c>
      <c r="H404" s="2156" t="e">
        <f>G404/F404*100</f>
        <v>#DIV/0!</v>
      </c>
    </row>
    <row r="405" spans="1:13" ht="15.75" hidden="1" thickBot="1" x14ac:dyDescent="0.3">
      <c r="A405" s="2147">
        <v>3299</v>
      </c>
      <c r="B405" s="2148">
        <v>6341</v>
      </c>
      <c r="C405" s="2148">
        <v>32533006</v>
      </c>
      <c r="D405" s="2234" t="s">
        <v>271</v>
      </c>
      <c r="E405" s="2184">
        <v>0</v>
      </c>
      <c r="F405" s="2184">
        <v>0</v>
      </c>
      <c r="G405" s="2233">
        <v>0</v>
      </c>
      <c r="H405" s="2156" t="e">
        <f>G405/F405*100</f>
        <v>#DIV/0!</v>
      </c>
    </row>
    <row r="406" spans="1:13" ht="16.5" thickTop="1" thickBot="1" x14ac:dyDescent="0.3">
      <c r="A406" s="2175" t="s">
        <v>849</v>
      </c>
      <c r="B406" s="2176"/>
      <c r="C406" s="2176"/>
      <c r="D406" s="2177"/>
      <c r="E406" s="2152">
        <f>SUM(E402:E405)</f>
        <v>0</v>
      </c>
      <c r="F406" s="2152">
        <f>SUM(F402:F405)</f>
        <v>166</v>
      </c>
      <c r="G406" s="2152">
        <f>SUM(G402:G405)</f>
        <v>45</v>
      </c>
      <c r="H406" s="2157">
        <f>G406/F406*100</f>
        <v>27.108433734939759</v>
      </c>
    </row>
    <row r="407" spans="1:13" ht="13.5" thickTop="1" x14ac:dyDescent="0.2"/>
    <row r="410" spans="1:13" ht="16.5" x14ac:dyDescent="0.25">
      <c r="A410" s="2206" t="s">
        <v>508</v>
      </c>
      <c r="B410" s="2207"/>
      <c r="C410" s="2208"/>
      <c r="D410" s="2209"/>
      <c r="E410" s="2210">
        <f>SUM(E411:E413)</f>
        <v>0</v>
      </c>
      <c r="F410" s="2210">
        <f>F411+F412+F413+F414</f>
        <v>47450</v>
      </c>
      <c r="G410" s="2210">
        <f>G411+G412+G413+G414</f>
        <v>31206</v>
      </c>
      <c r="H410" s="2232">
        <f>G410/F410*100</f>
        <v>65.766069546891472</v>
      </c>
      <c r="J410" s="2212">
        <f>J411+J412+J413</f>
        <v>0</v>
      </c>
      <c r="K410" s="2212">
        <f>K411+K412+K413</f>
        <v>47450238.219999999</v>
      </c>
      <c r="L410" s="2212">
        <f>L411+L412+L413</f>
        <v>31205838.199999999</v>
      </c>
    </row>
    <row r="411" spans="1:13" ht="15" x14ac:dyDescent="0.2">
      <c r="A411" s="1810" t="s">
        <v>288</v>
      </c>
      <c r="B411" s="1813"/>
      <c r="C411" s="1808"/>
      <c r="D411" s="2213"/>
      <c r="E411" s="1811">
        <f>E10+E11+E12+E13+E14+E15+E16+E17+E18+E19+E26+E34+E35+E44+E45+E54+E55+E62+E63+E72+E73+E80+E81+E90+E91+E98+E99+E106+E107+E114+E115+E122+E123+E130+E131+E140+E141+E150+E151+E160+E161+E168+E169+E176+E177+E184+E185+E192+E193+E210+E211+E218+E219+E226+E227+E236+E237+E246+E247+E256+E257+E264+E265+E272+E273+E282+E283+E290+E291+E298+E299+E308+E309+E318+E319+E326+E327+E336+E337+E348+E349+E358+E359+E366+E367+E376+E377+E386+E387+E394+E395+E402+E403</f>
        <v>0</v>
      </c>
      <c r="F411" s="1811">
        <f>F10+F11+F12+F13+F14+F15+F16+F17+F18+F19+F26+F34+F35+F44+F45+F54+F55+F62+F63+F72+F73+F80+F81+F90+F91+F98+F99+F106+F107+F114+F115+F122+F123+F130+F131+F140+F141+F150+F151+F160+F161+F168+F169+F176+F177+F184+F185+F192+F193+F210+F211+F218+F219+F226+F227+F236+F237+F246+F247+F256+F257+F264+F265+F272+F273+F282+F283+F290+F291+F298+F299+F308+F309+F318+F319+F326+F327+F336+F337+F348+F349+F358+F359+F366+F367+F376+F377+F386+F387+F394+F395+F402+F403</f>
        <v>42189</v>
      </c>
      <c r="G411" s="1811">
        <f>G10+G11+G12+G13+G14+G15+G16+G17+G18+G19+G26+G34+G35+G44+G45+G54+G55+G62+G63+G72+G73+G80+G81+G90+G91+G98+G99+G106+G107+G114+G115+G122+G123+G130+G131+G140+G141+G150+G151+G160+G161+G168+G169+G176+G177+G184+G185+G192+G193+G210+G211+G218+G219+G226+G227+G236+G237+G246+G247+G256+G257+G264+G265+G272+G273+G282+G283+G290+G291+G298+G299+G308+G309+G318+G319+G326+G327+G336+G337+G348+G349+G358+G359+G366+G367+G376+G377+G386+G387+G394+G395+G402+G403</f>
        <v>30953</v>
      </c>
      <c r="H411" s="2231">
        <f>G411/F411*100</f>
        <v>73.367465453080186</v>
      </c>
      <c r="J411" s="2214">
        <v>0</v>
      </c>
      <c r="K411" s="2214">
        <v>42188929.920000002</v>
      </c>
      <c r="L411" s="2214">
        <v>30952762.199999999</v>
      </c>
      <c r="M411" s="2132"/>
    </row>
    <row r="412" spans="1:13" ht="15" x14ac:dyDescent="0.2">
      <c r="A412" s="1810" t="s">
        <v>289</v>
      </c>
      <c r="B412" s="1809"/>
      <c r="C412" s="1808"/>
      <c r="D412" s="2215"/>
      <c r="E412" s="1811">
        <f>E20+E21+E22+E23+E24+E25+E36+E37+E82+E83</f>
        <v>0</v>
      </c>
      <c r="F412" s="1811">
        <f>F20+F21+F22+F23+F24+F25+F36+F37+F82+F83+F132+F133</f>
        <v>5261</v>
      </c>
      <c r="G412" s="1811">
        <f>G20+G21+G22+G23+G24+G25+G36+G37+G82+G83+G132+G133</f>
        <v>253</v>
      </c>
      <c r="H412" s="2231">
        <f>G412/F412*100</f>
        <v>4.8089716783881391</v>
      </c>
      <c r="J412" s="2214">
        <v>0</v>
      </c>
      <c r="K412" s="2214">
        <v>5261308.3</v>
      </c>
      <c r="L412" s="2214">
        <v>253076</v>
      </c>
      <c r="M412" s="2132"/>
    </row>
    <row r="413" spans="1:13" ht="15" x14ac:dyDescent="0.2">
      <c r="A413" s="1810" t="s">
        <v>509</v>
      </c>
      <c r="B413" s="1809"/>
      <c r="C413" s="1808"/>
      <c r="D413" s="2215"/>
      <c r="E413" s="1811">
        <v>0</v>
      </c>
      <c r="F413" s="1811">
        <v>0</v>
      </c>
      <c r="G413" s="1811">
        <v>0</v>
      </c>
      <c r="H413" s="2231">
        <v>0</v>
      </c>
      <c r="J413" s="2214">
        <v>0</v>
      </c>
      <c r="K413" s="2214">
        <v>0</v>
      </c>
      <c r="L413" s="2214">
        <v>0</v>
      </c>
    </row>
    <row r="414" spans="1:13" ht="15" x14ac:dyDescent="0.2">
      <c r="A414" s="1810"/>
      <c r="B414" s="1809"/>
      <c r="C414" s="1808"/>
      <c r="D414" s="2215"/>
      <c r="E414" s="1811"/>
      <c r="F414" s="1811"/>
      <c r="G414" s="1811"/>
      <c r="H414" s="1807"/>
      <c r="J414" s="2132"/>
      <c r="K414" s="2132"/>
      <c r="L414" s="2132"/>
      <c r="M414" s="2132"/>
    </row>
    <row r="415" spans="1:13" ht="51.75" customHeight="1" thickBot="1" x14ac:dyDescent="0.4">
      <c r="A415" s="2800" t="s">
        <v>1055</v>
      </c>
      <c r="B415" s="2801"/>
      <c r="C415" s="2801"/>
      <c r="D415" s="2801"/>
      <c r="E415" s="1801">
        <f>SUM(E410)</f>
        <v>0</v>
      </c>
      <c r="F415" s="1801">
        <f>SUM(F410)</f>
        <v>47450</v>
      </c>
      <c r="G415" s="1801">
        <f>SUM(G410)</f>
        <v>31206</v>
      </c>
      <c r="H415" s="1800">
        <f>(G415/F415)*100</f>
        <v>65.766069546891472</v>
      </c>
      <c r="J415" s="2132"/>
      <c r="L415" s="2132"/>
    </row>
    <row r="416" spans="1:13" ht="13.5" thickTop="1" x14ac:dyDescent="0.2"/>
    <row r="535" spans="1:5" ht="13.5" thickBot="1" x14ac:dyDescent="0.25">
      <c r="A535" s="2179"/>
      <c r="B535" s="2179"/>
      <c r="C535" s="2179"/>
      <c r="D535" s="2264"/>
      <c r="E535" s="2265"/>
    </row>
    <row r="536" spans="1:5" ht="13.5" thickTop="1" x14ac:dyDescent="0.2">
      <c r="A536" s="2204"/>
      <c r="B536" s="2204"/>
      <c r="C536" s="2204"/>
      <c r="D536" s="2193"/>
      <c r="E536" s="2266"/>
    </row>
    <row r="537" spans="1:5" x14ac:dyDescent="0.2">
      <c r="D537" s="2131" t="e">
        <f>#REF!+#REF!</f>
        <v>#REF!</v>
      </c>
    </row>
  </sheetData>
  <mergeCells count="2">
    <mergeCell ref="A27:D27"/>
    <mergeCell ref="A415:D415"/>
  </mergeCells>
  <pageMargins left="0.78740157480314965" right="0.98425196850393704" top="0.98425196850393704" bottom="0.98425196850393704" header="0.51181102362204722" footer="0.51181102362204722"/>
  <pageSetup paperSize="9" scale="69" firstPageNumber="138" orientation="portrait" useFirstPageNumber="1" r:id="rId1"/>
  <headerFooter alignWithMargins="0">
    <oddFooter xml:space="preserve">&amp;L&amp;"Arial,Kurzíva"Zastupitelstvo Olomouckého kraje 28. 6. 2013
6.- Závěrečný  účet Olomuckého kraje za rok 2012
Příloha č. 3: Plnění rozpočtu výdajů Olomouckého kraje k 31.12.2012&amp;R&amp;"Arial,Kurzíva"Strana &amp;P (Celkem 484)
</oddFooter>
  </headerFooter>
  <rowBreaks count="5" manualBreakCount="5">
    <brk id="66" max="7" man="1"/>
    <brk id="144" max="7" man="1"/>
    <brk id="196" max="7" man="1"/>
    <brk id="276" max="7" man="1"/>
    <brk id="342" max="7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358"/>
  <sheetViews>
    <sheetView showGridLines="0" view="pageBreakPreview" topLeftCell="A206" zoomScaleNormal="100" zoomScaleSheetLayoutView="100" workbookViewId="0">
      <selection activeCell="A180" sqref="A180"/>
    </sheetView>
  </sheetViews>
  <sheetFormatPr defaultRowHeight="12.75" x14ac:dyDescent="0.2"/>
  <cols>
    <col min="1" max="1" width="4.7109375" style="2130" customWidth="1"/>
    <col min="2" max="2" width="6.140625" style="2130" customWidth="1"/>
    <col min="3" max="3" width="10.28515625" style="2130" customWidth="1"/>
    <col min="4" max="4" width="40.42578125" style="2131" customWidth="1"/>
    <col min="5" max="5" width="10.42578125" style="2165" customWidth="1"/>
    <col min="6" max="6" width="15.85546875" style="2165" customWidth="1"/>
    <col min="7" max="7" width="13.85546875" style="2165" customWidth="1"/>
    <col min="8" max="8" width="8.42578125" style="2131" customWidth="1"/>
    <col min="9" max="9" width="14.28515625" style="2131" bestFit="1" customWidth="1"/>
    <col min="10" max="10" width="9.140625" style="2131"/>
    <col min="11" max="12" width="16" style="2131" bestFit="1" customWidth="1"/>
    <col min="13" max="256" width="9.140625" style="2131"/>
    <col min="257" max="257" width="4.7109375" style="2131" customWidth="1"/>
    <col min="258" max="258" width="6.140625" style="2131" customWidth="1"/>
    <col min="259" max="259" width="10.28515625" style="2131" customWidth="1"/>
    <col min="260" max="260" width="40.42578125" style="2131" customWidth="1"/>
    <col min="261" max="261" width="10.42578125" style="2131" customWidth="1"/>
    <col min="262" max="262" width="15.85546875" style="2131" customWidth="1"/>
    <col min="263" max="263" width="13.85546875" style="2131" customWidth="1"/>
    <col min="264" max="264" width="6.42578125" style="2131" customWidth="1"/>
    <col min="265" max="265" width="14.28515625" style="2131" bestFit="1" customWidth="1"/>
    <col min="266" max="266" width="9.140625" style="2131"/>
    <col min="267" max="268" width="16" style="2131" bestFit="1" customWidth="1"/>
    <col min="269" max="512" width="9.140625" style="2131"/>
    <col min="513" max="513" width="4.7109375" style="2131" customWidth="1"/>
    <col min="514" max="514" width="6.140625" style="2131" customWidth="1"/>
    <col min="515" max="515" width="10.28515625" style="2131" customWidth="1"/>
    <col min="516" max="516" width="40.42578125" style="2131" customWidth="1"/>
    <col min="517" max="517" width="10.42578125" style="2131" customWidth="1"/>
    <col min="518" max="518" width="15.85546875" style="2131" customWidth="1"/>
    <col min="519" max="519" width="13.85546875" style="2131" customWidth="1"/>
    <col min="520" max="520" width="6.42578125" style="2131" customWidth="1"/>
    <col min="521" max="521" width="14.28515625" style="2131" bestFit="1" customWidth="1"/>
    <col min="522" max="522" width="9.140625" style="2131"/>
    <col min="523" max="524" width="16" style="2131" bestFit="1" customWidth="1"/>
    <col min="525" max="768" width="9.140625" style="2131"/>
    <col min="769" max="769" width="4.7109375" style="2131" customWidth="1"/>
    <col min="770" max="770" width="6.140625" style="2131" customWidth="1"/>
    <col min="771" max="771" width="10.28515625" style="2131" customWidth="1"/>
    <col min="772" max="772" width="40.42578125" style="2131" customWidth="1"/>
    <col min="773" max="773" width="10.42578125" style="2131" customWidth="1"/>
    <col min="774" max="774" width="15.85546875" style="2131" customWidth="1"/>
    <col min="775" max="775" width="13.85546875" style="2131" customWidth="1"/>
    <col min="776" max="776" width="6.42578125" style="2131" customWidth="1"/>
    <col min="777" max="777" width="14.28515625" style="2131" bestFit="1" customWidth="1"/>
    <col min="778" max="778" width="9.140625" style="2131"/>
    <col min="779" max="780" width="16" style="2131" bestFit="1" customWidth="1"/>
    <col min="781" max="1024" width="9.140625" style="2131"/>
    <col min="1025" max="1025" width="4.7109375" style="2131" customWidth="1"/>
    <col min="1026" max="1026" width="6.140625" style="2131" customWidth="1"/>
    <col min="1027" max="1027" width="10.28515625" style="2131" customWidth="1"/>
    <col min="1028" max="1028" width="40.42578125" style="2131" customWidth="1"/>
    <col min="1029" max="1029" width="10.42578125" style="2131" customWidth="1"/>
    <col min="1030" max="1030" width="15.85546875" style="2131" customWidth="1"/>
    <col min="1031" max="1031" width="13.85546875" style="2131" customWidth="1"/>
    <col min="1032" max="1032" width="6.42578125" style="2131" customWidth="1"/>
    <col min="1033" max="1033" width="14.28515625" style="2131" bestFit="1" customWidth="1"/>
    <col min="1034" max="1034" width="9.140625" style="2131"/>
    <col min="1035" max="1036" width="16" style="2131" bestFit="1" customWidth="1"/>
    <col min="1037" max="1280" width="9.140625" style="2131"/>
    <col min="1281" max="1281" width="4.7109375" style="2131" customWidth="1"/>
    <col min="1282" max="1282" width="6.140625" style="2131" customWidth="1"/>
    <col min="1283" max="1283" width="10.28515625" style="2131" customWidth="1"/>
    <col min="1284" max="1284" width="40.42578125" style="2131" customWidth="1"/>
    <col min="1285" max="1285" width="10.42578125" style="2131" customWidth="1"/>
    <col min="1286" max="1286" width="15.85546875" style="2131" customWidth="1"/>
    <col min="1287" max="1287" width="13.85546875" style="2131" customWidth="1"/>
    <col min="1288" max="1288" width="6.42578125" style="2131" customWidth="1"/>
    <col min="1289" max="1289" width="14.28515625" style="2131" bestFit="1" customWidth="1"/>
    <col min="1290" max="1290" width="9.140625" style="2131"/>
    <col min="1291" max="1292" width="16" style="2131" bestFit="1" customWidth="1"/>
    <col min="1293" max="1536" width="9.140625" style="2131"/>
    <col min="1537" max="1537" width="4.7109375" style="2131" customWidth="1"/>
    <col min="1538" max="1538" width="6.140625" style="2131" customWidth="1"/>
    <col min="1539" max="1539" width="10.28515625" style="2131" customWidth="1"/>
    <col min="1540" max="1540" width="40.42578125" style="2131" customWidth="1"/>
    <col min="1541" max="1541" width="10.42578125" style="2131" customWidth="1"/>
    <col min="1542" max="1542" width="15.85546875" style="2131" customWidth="1"/>
    <col min="1543" max="1543" width="13.85546875" style="2131" customWidth="1"/>
    <col min="1544" max="1544" width="6.42578125" style="2131" customWidth="1"/>
    <col min="1545" max="1545" width="14.28515625" style="2131" bestFit="1" customWidth="1"/>
    <col min="1546" max="1546" width="9.140625" style="2131"/>
    <col min="1547" max="1548" width="16" style="2131" bestFit="1" customWidth="1"/>
    <col min="1549" max="1792" width="9.140625" style="2131"/>
    <col min="1793" max="1793" width="4.7109375" style="2131" customWidth="1"/>
    <col min="1794" max="1794" width="6.140625" style="2131" customWidth="1"/>
    <col min="1795" max="1795" width="10.28515625" style="2131" customWidth="1"/>
    <col min="1796" max="1796" width="40.42578125" style="2131" customWidth="1"/>
    <col min="1797" max="1797" width="10.42578125" style="2131" customWidth="1"/>
    <col min="1798" max="1798" width="15.85546875" style="2131" customWidth="1"/>
    <col min="1799" max="1799" width="13.85546875" style="2131" customWidth="1"/>
    <col min="1800" max="1800" width="6.42578125" style="2131" customWidth="1"/>
    <col min="1801" max="1801" width="14.28515625" style="2131" bestFit="1" customWidth="1"/>
    <col min="1802" max="1802" width="9.140625" style="2131"/>
    <col min="1803" max="1804" width="16" style="2131" bestFit="1" customWidth="1"/>
    <col min="1805" max="2048" width="9.140625" style="2131"/>
    <col min="2049" max="2049" width="4.7109375" style="2131" customWidth="1"/>
    <col min="2050" max="2050" width="6.140625" style="2131" customWidth="1"/>
    <col min="2051" max="2051" width="10.28515625" style="2131" customWidth="1"/>
    <col min="2052" max="2052" width="40.42578125" style="2131" customWidth="1"/>
    <col min="2053" max="2053" width="10.42578125" style="2131" customWidth="1"/>
    <col min="2054" max="2054" width="15.85546875" style="2131" customWidth="1"/>
    <col min="2055" max="2055" width="13.85546875" style="2131" customWidth="1"/>
    <col min="2056" max="2056" width="6.42578125" style="2131" customWidth="1"/>
    <col min="2057" max="2057" width="14.28515625" style="2131" bestFit="1" customWidth="1"/>
    <col min="2058" max="2058" width="9.140625" style="2131"/>
    <col min="2059" max="2060" width="16" style="2131" bestFit="1" customWidth="1"/>
    <col min="2061" max="2304" width="9.140625" style="2131"/>
    <col min="2305" max="2305" width="4.7109375" style="2131" customWidth="1"/>
    <col min="2306" max="2306" width="6.140625" style="2131" customWidth="1"/>
    <col min="2307" max="2307" width="10.28515625" style="2131" customWidth="1"/>
    <col min="2308" max="2308" width="40.42578125" style="2131" customWidth="1"/>
    <col min="2309" max="2309" width="10.42578125" style="2131" customWidth="1"/>
    <col min="2310" max="2310" width="15.85546875" style="2131" customWidth="1"/>
    <col min="2311" max="2311" width="13.85546875" style="2131" customWidth="1"/>
    <col min="2312" max="2312" width="6.42578125" style="2131" customWidth="1"/>
    <col min="2313" max="2313" width="14.28515625" style="2131" bestFit="1" customWidth="1"/>
    <col min="2314" max="2314" width="9.140625" style="2131"/>
    <col min="2315" max="2316" width="16" style="2131" bestFit="1" customWidth="1"/>
    <col min="2317" max="2560" width="9.140625" style="2131"/>
    <col min="2561" max="2561" width="4.7109375" style="2131" customWidth="1"/>
    <col min="2562" max="2562" width="6.140625" style="2131" customWidth="1"/>
    <col min="2563" max="2563" width="10.28515625" style="2131" customWidth="1"/>
    <col min="2564" max="2564" width="40.42578125" style="2131" customWidth="1"/>
    <col min="2565" max="2565" width="10.42578125" style="2131" customWidth="1"/>
    <col min="2566" max="2566" width="15.85546875" style="2131" customWidth="1"/>
    <col min="2567" max="2567" width="13.85546875" style="2131" customWidth="1"/>
    <col min="2568" max="2568" width="6.42578125" style="2131" customWidth="1"/>
    <col min="2569" max="2569" width="14.28515625" style="2131" bestFit="1" customWidth="1"/>
    <col min="2570" max="2570" width="9.140625" style="2131"/>
    <col min="2571" max="2572" width="16" style="2131" bestFit="1" customWidth="1"/>
    <col min="2573" max="2816" width="9.140625" style="2131"/>
    <col min="2817" max="2817" width="4.7109375" style="2131" customWidth="1"/>
    <col min="2818" max="2818" width="6.140625" style="2131" customWidth="1"/>
    <col min="2819" max="2819" width="10.28515625" style="2131" customWidth="1"/>
    <col min="2820" max="2820" width="40.42578125" style="2131" customWidth="1"/>
    <col min="2821" max="2821" width="10.42578125" style="2131" customWidth="1"/>
    <col min="2822" max="2822" width="15.85546875" style="2131" customWidth="1"/>
    <col min="2823" max="2823" width="13.85546875" style="2131" customWidth="1"/>
    <col min="2824" max="2824" width="6.42578125" style="2131" customWidth="1"/>
    <col min="2825" max="2825" width="14.28515625" style="2131" bestFit="1" customWidth="1"/>
    <col min="2826" max="2826" width="9.140625" style="2131"/>
    <col min="2827" max="2828" width="16" style="2131" bestFit="1" customWidth="1"/>
    <col min="2829" max="3072" width="9.140625" style="2131"/>
    <col min="3073" max="3073" width="4.7109375" style="2131" customWidth="1"/>
    <col min="3074" max="3074" width="6.140625" style="2131" customWidth="1"/>
    <col min="3075" max="3075" width="10.28515625" style="2131" customWidth="1"/>
    <col min="3076" max="3076" width="40.42578125" style="2131" customWidth="1"/>
    <col min="3077" max="3077" width="10.42578125" style="2131" customWidth="1"/>
    <col min="3078" max="3078" width="15.85546875" style="2131" customWidth="1"/>
    <col min="3079" max="3079" width="13.85546875" style="2131" customWidth="1"/>
    <col min="3080" max="3080" width="6.42578125" style="2131" customWidth="1"/>
    <col min="3081" max="3081" width="14.28515625" style="2131" bestFit="1" customWidth="1"/>
    <col min="3082" max="3082" width="9.140625" style="2131"/>
    <col min="3083" max="3084" width="16" style="2131" bestFit="1" customWidth="1"/>
    <col min="3085" max="3328" width="9.140625" style="2131"/>
    <col min="3329" max="3329" width="4.7109375" style="2131" customWidth="1"/>
    <col min="3330" max="3330" width="6.140625" style="2131" customWidth="1"/>
    <col min="3331" max="3331" width="10.28515625" style="2131" customWidth="1"/>
    <col min="3332" max="3332" width="40.42578125" style="2131" customWidth="1"/>
    <col min="3333" max="3333" width="10.42578125" style="2131" customWidth="1"/>
    <col min="3334" max="3334" width="15.85546875" style="2131" customWidth="1"/>
    <col min="3335" max="3335" width="13.85546875" style="2131" customWidth="1"/>
    <col min="3336" max="3336" width="6.42578125" style="2131" customWidth="1"/>
    <col min="3337" max="3337" width="14.28515625" style="2131" bestFit="1" customWidth="1"/>
    <col min="3338" max="3338" width="9.140625" style="2131"/>
    <col min="3339" max="3340" width="16" style="2131" bestFit="1" customWidth="1"/>
    <col min="3341" max="3584" width="9.140625" style="2131"/>
    <col min="3585" max="3585" width="4.7109375" style="2131" customWidth="1"/>
    <col min="3586" max="3586" width="6.140625" style="2131" customWidth="1"/>
    <col min="3587" max="3587" width="10.28515625" style="2131" customWidth="1"/>
    <col min="3588" max="3588" width="40.42578125" style="2131" customWidth="1"/>
    <col min="3589" max="3589" width="10.42578125" style="2131" customWidth="1"/>
    <col min="3590" max="3590" width="15.85546875" style="2131" customWidth="1"/>
    <col min="3591" max="3591" width="13.85546875" style="2131" customWidth="1"/>
    <col min="3592" max="3592" width="6.42578125" style="2131" customWidth="1"/>
    <col min="3593" max="3593" width="14.28515625" style="2131" bestFit="1" customWidth="1"/>
    <col min="3594" max="3594" width="9.140625" style="2131"/>
    <col min="3595" max="3596" width="16" style="2131" bestFit="1" customWidth="1"/>
    <col min="3597" max="3840" width="9.140625" style="2131"/>
    <col min="3841" max="3841" width="4.7109375" style="2131" customWidth="1"/>
    <col min="3842" max="3842" width="6.140625" style="2131" customWidth="1"/>
    <col min="3843" max="3843" width="10.28515625" style="2131" customWidth="1"/>
    <col min="3844" max="3844" width="40.42578125" style="2131" customWidth="1"/>
    <col min="3845" max="3845" width="10.42578125" style="2131" customWidth="1"/>
    <col min="3846" max="3846" width="15.85546875" style="2131" customWidth="1"/>
    <col min="3847" max="3847" width="13.85546875" style="2131" customWidth="1"/>
    <col min="3848" max="3848" width="6.42578125" style="2131" customWidth="1"/>
    <col min="3849" max="3849" width="14.28515625" style="2131" bestFit="1" customWidth="1"/>
    <col min="3850" max="3850" width="9.140625" style="2131"/>
    <col min="3851" max="3852" width="16" style="2131" bestFit="1" customWidth="1"/>
    <col min="3853" max="4096" width="9.140625" style="2131"/>
    <col min="4097" max="4097" width="4.7109375" style="2131" customWidth="1"/>
    <col min="4098" max="4098" width="6.140625" style="2131" customWidth="1"/>
    <col min="4099" max="4099" width="10.28515625" style="2131" customWidth="1"/>
    <col min="4100" max="4100" width="40.42578125" style="2131" customWidth="1"/>
    <col min="4101" max="4101" width="10.42578125" style="2131" customWidth="1"/>
    <col min="4102" max="4102" width="15.85546875" style="2131" customWidth="1"/>
    <col min="4103" max="4103" width="13.85546875" style="2131" customWidth="1"/>
    <col min="4104" max="4104" width="6.42578125" style="2131" customWidth="1"/>
    <col min="4105" max="4105" width="14.28515625" style="2131" bestFit="1" customWidth="1"/>
    <col min="4106" max="4106" width="9.140625" style="2131"/>
    <col min="4107" max="4108" width="16" style="2131" bestFit="1" customWidth="1"/>
    <col min="4109" max="4352" width="9.140625" style="2131"/>
    <col min="4353" max="4353" width="4.7109375" style="2131" customWidth="1"/>
    <col min="4354" max="4354" width="6.140625" style="2131" customWidth="1"/>
    <col min="4355" max="4355" width="10.28515625" style="2131" customWidth="1"/>
    <col min="4356" max="4356" width="40.42578125" style="2131" customWidth="1"/>
    <col min="4357" max="4357" width="10.42578125" style="2131" customWidth="1"/>
    <col min="4358" max="4358" width="15.85546875" style="2131" customWidth="1"/>
    <col min="4359" max="4359" width="13.85546875" style="2131" customWidth="1"/>
    <col min="4360" max="4360" width="6.42578125" style="2131" customWidth="1"/>
    <col min="4361" max="4361" width="14.28515625" style="2131" bestFit="1" customWidth="1"/>
    <col min="4362" max="4362" width="9.140625" style="2131"/>
    <col min="4363" max="4364" width="16" style="2131" bestFit="1" customWidth="1"/>
    <col min="4365" max="4608" width="9.140625" style="2131"/>
    <col min="4609" max="4609" width="4.7109375" style="2131" customWidth="1"/>
    <col min="4610" max="4610" width="6.140625" style="2131" customWidth="1"/>
    <col min="4611" max="4611" width="10.28515625" style="2131" customWidth="1"/>
    <col min="4612" max="4612" width="40.42578125" style="2131" customWidth="1"/>
    <col min="4613" max="4613" width="10.42578125" style="2131" customWidth="1"/>
    <col min="4614" max="4614" width="15.85546875" style="2131" customWidth="1"/>
    <col min="4615" max="4615" width="13.85546875" style="2131" customWidth="1"/>
    <col min="4616" max="4616" width="6.42578125" style="2131" customWidth="1"/>
    <col min="4617" max="4617" width="14.28515625" style="2131" bestFit="1" customWidth="1"/>
    <col min="4618" max="4618" width="9.140625" style="2131"/>
    <col min="4619" max="4620" width="16" style="2131" bestFit="1" customWidth="1"/>
    <col min="4621" max="4864" width="9.140625" style="2131"/>
    <col min="4865" max="4865" width="4.7109375" style="2131" customWidth="1"/>
    <col min="4866" max="4866" width="6.140625" style="2131" customWidth="1"/>
    <col min="4867" max="4867" width="10.28515625" style="2131" customWidth="1"/>
    <col min="4868" max="4868" width="40.42578125" style="2131" customWidth="1"/>
    <col min="4869" max="4869" width="10.42578125" style="2131" customWidth="1"/>
    <col min="4870" max="4870" width="15.85546875" style="2131" customWidth="1"/>
    <col min="4871" max="4871" width="13.85546875" style="2131" customWidth="1"/>
    <col min="4872" max="4872" width="6.42578125" style="2131" customWidth="1"/>
    <col min="4873" max="4873" width="14.28515625" style="2131" bestFit="1" customWidth="1"/>
    <col min="4874" max="4874" width="9.140625" style="2131"/>
    <col min="4875" max="4876" width="16" style="2131" bestFit="1" customWidth="1"/>
    <col min="4877" max="5120" width="9.140625" style="2131"/>
    <col min="5121" max="5121" width="4.7109375" style="2131" customWidth="1"/>
    <col min="5122" max="5122" width="6.140625" style="2131" customWidth="1"/>
    <col min="5123" max="5123" width="10.28515625" style="2131" customWidth="1"/>
    <col min="5124" max="5124" width="40.42578125" style="2131" customWidth="1"/>
    <col min="5125" max="5125" width="10.42578125" style="2131" customWidth="1"/>
    <col min="5126" max="5126" width="15.85546875" style="2131" customWidth="1"/>
    <col min="5127" max="5127" width="13.85546875" style="2131" customWidth="1"/>
    <col min="5128" max="5128" width="6.42578125" style="2131" customWidth="1"/>
    <col min="5129" max="5129" width="14.28515625" style="2131" bestFit="1" customWidth="1"/>
    <col min="5130" max="5130" width="9.140625" style="2131"/>
    <col min="5131" max="5132" width="16" style="2131" bestFit="1" customWidth="1"/>
    <col min="5133" max="5376" width="9.140625" style="2131"/>
    <col min="5377" max="5377" width="4.7109375" style="2131" customWidth="1"/>
    <col min="5378" max="5378" width="6.140625" style="2131" customWidth="1"/>
    <col min="5379" max="5379" width="10.28515625" style="2131" customWidth="1"/>
    <col min="5380" max="5380" width="40.42578125" style="2131" customWidth="1"/>
    <col min="5381" max="5381" width="10.42578125" style="2131" customWidth="1"/>
    <col min="5382" max="5382" width="15.85546875" style="2131" customWidth="1"/>
    <col min="5383" max="5383" width="13.85546875" style="2131" customWidth="1"/>
    <col min="5384" max="5384" width="6.42578125" style="2131" customWidth="1"/>
    <col min="5385" max="5385" width="14.28515625" style="2131" bestFit="1" customWidth="1"/>
    <col min="5386" max="5386" width="9.140625" style="2131"/>
    <col min="5387" max="5388" width="16" style="2131" bestFit="1" customWidth="1"/>
    <col min="5389" max="5632" width="9.140625" style="2131"/>
    <col min="5633" max="5633" width="4.7109375" style="2131" customWidth="1"/>
    <col min="5634" max="5634" width="6.140625" style="2131" customWidth="1"/>
    <col min="5635" max="5635" width="10.28515625" style="2131" customWidth="1"/>
    <col min="5636" max="5636" width="40.42578125" style="2131" customWidth="1"/>
    <col min="5637" max="5637" width="10.42578125" style="2131" customWidth="1"/>
    <col min="5638" max="5638" width="15.85546875" style="2131" customWidth="1"/>
    <col min="5639" max="5639" width="13.85546875" style="2131" customWidth="1"/>
    <col min="5640" max="5640" width="6.42578125" style="2131" customWidth="1"/>
    <col min="5641" max="5641" width="14.28515625" style="2131" bestFit="1" customWidth="1"/>
    <col min="5642" max="5642" width="9.140625" style="2131"/>
    <col min="5643" max="5644" width="16" style="2131" bestFit="1" customWidth="1"/>
    <col min="5645" max="5888" width="9.140625" style="2131"/>
    <col min="5889" max="5889" width="4.7109375" style="2131" customWidth="1"/>
    <col min="5890" max="5890" width="6.140625" style="2131" customWidth="1"/>
    <col min="5891" max="5891" width="10.28515625" style="2131" customWidth="1"/>
    <col min="5892" max="5892" width="40.42578125" style="2131" customWidth="1"/>
    <col min="5893" max="5893" width="10.42578125" style="2131" customWidth="1"/>
    <col min="5894" max="5894" width="15.85546875" style="2131" customWidth="1"/>
    <col min="5895" max="5895" width="13.85546875" style="2131" customWidth="1"/>
    <col min="5896" max="5896" width="6.42578125" style="2131" customWidth="1"/>
    <col min="5897" max="5897" width="14.28515625" style="2131" bestFit="1" customWidth="1"/>
    <col min="5898" max="5898" width="9.140625" style="2131"/>
    <col min="5899" max="5900" width="16" style="2131" bestFit="1" customWidth="1"/>
    <col min="5901" max="6144" width="9.140625" style="2131"/>
    <col min="6145" max="6145" width="4.7109375" style="2131" customWidth="1"/>
    <col min="6146" max="6146" width="6.140625" style="2131" customWidth="1"/>
    <col min="6147" max="6147" width="10.28515625" style="2131" customWidth="1"/>
    <col min="6148" max="6148" width="40.42578125" style="2131" customWidth="1"/>
    <col min="6149" max="6149" width="10.42578125" style="2131" customWidth="1"/>
    <col min="6150" max="6150" width="15.85546875" style="2131" customWidth="1"/>
    <col min="6151" max="6151" width="13.85546875" style="2131" customWidth="1"/>
    <col min="6152" max="6152" width="6.42578125" style="2131" customWidth="1"/>
    <col min="6153" max="6153" width="14.28515625" style="2131" bestFit="1" customWidth="1"/>
    <col min="6154" max="6154" width="9.140625" style="2131"/>
    <col min="6155" max="6156" width="16" style="2131" bestFit="1" customWidth="1"/>
    <col min="6157" max="6400" width="9.140625" style="2131"/>
    <col min="6401" max="6401" width="4.7109375" style="2131" customWidth="1"/>
    <col min="6402" max="6402" width="6.140625" style="2131" customWidth="1"/>
    <col min="6403" max="6403" width="10.28515625" style="2131" customWidth="1"/>
    <col min="6404" max="6404" width="40.42578125" style="2131" customWidth="1"/>
    <col min="6405" max="6405" width="10.42578125" style="2131" customWidth="1"/>
    <col min="6406" max="6406" width="15.85546875" style="2131" customWidth="1"/>
    <col min="6407" max="6407" width="13.85546875" style="2131" customWidth="1"/>
    <col min="6408" max="6408" width="6.42578125" style="2131" customWidth="1"/>
    <col min="6409" max="6409" width="14.28515625" style="2131" bestFit="1" customWidth="1"/>
    <col min="6410" max="6410" width="9.140625" style="2131"/>
    <col min="6411" max="6412" width="16" style="2131" bestFit="1" customWidth="1"/>
    <col min="6413" max="6656" width="9.140625" style="2131"/>
    <col min="6657" max="6657" width="4.7109375" style="2131" customWidth="1"/>
    <col min="6658" max="6658" width="6.140625" style="2131" customWidth="1"/>
    <col min="6659" max="6659" width="10.28515625" style="2131" customWidth="1"/>
    <col min="6660" max="6660" width="40.42578125" style="2131" customWidth="1"/>
    <col min="6661" max="6661" width="10.42578125" style="2131" customWidth="1"/>
    <col min="6662" max="6662" width="15.85546875" style="2131" customWidth="1"/>
    <col min="6663" max="6663" width="13.85546875" style="2131" customWidth="1"/>
    <col min="6664" max="6664" width="6.42578125" style="2131" customWidth="1"/>
    <col min="6665" max="6665" width="14.28515625" style="2131" bestFit="1" customWidth="1"/>
    <col min="6666" max="6666" width="9.140625" style="2131"/>
    <col min="6667" max="6668" width="16" style="2131" bestFit="1" customWidth="1"/>
    <col min="6669" max="6912" width="9.140625" style="2131"/>
    <col min="6913" max="6913" width="4.7109375" style="2131" customWidth="1"/>
    <col min="6914" max="6914" width="6.140625" style="2131" customWidth="1"/>
    <col min="6915" max="6915" width="10.28515625" style="2131" customWidth="1"/>
    <col min="6916" max="6916" width="40.42578125" style="2131" customWidth="1"/>
    <col min="6917" max="6917" width="10.42578125" style="2131" customWidth="1"/>
    <col min="6918" max="6918" width="15.85546875" style="2131" customWidth="1"/>
    <col min="6919" max="6919" width="13.85546875" style="2131" customWidth="1"/>
    <col min="6920" max="6920" width="6.42578125" style="2131" customWidth="1"/>
    <col min="6921" max="6921" width="14.28515625" style="2131" bestFit="1" customWidth="1"/>
    <col min="6922" max="6922" width="9.140625" style="2131"/>
    <col min="6923" max="6924" width="16" style="2131" bestFit="1" customWidth="1"/>
    <col min="6925" max="7168" width="9.140625" style="2131"/>
    <col min="7169" max="7169" width="4.7109375" style="2131" customWidth="1"/>
    <col min="7170" max="7170" width="6.140625" style="2131" customWidth="1"/>
    <col min="7171" max="7171" width="10.28515625" style="2131" customWidth="1"/>
    <col min="7172" max="7172" width="40.42578125" style="2131" customWidth="1"/>
    <col min="7173" max="7173" width="10.42578125" style="2131" customWidth="1"/>
    <col min="7174" max="7174" width="15.85546875" style="2131" customWidth="1"/>
    <col min="7175" max="7175" width="13.85546875" style="2131" customWidth="1"/>
    <col min="7176" max="7176" width="6.42578125" style="2131" customWidth="1"/>
    <col min="7177" max="7177" width="14.28515625" style="2131" bestFit="1" customWidth="1"/>
    <col min="7178" max="7178" width="9.140625" style="2131"/>
    <col min="7179" max="7180" width="16" style="2131" bestFit="1" customWidth="1"/>
    <col min="7181" max="7424" width="9.140625" style="2131"/>
    <col min="7425" max="7425" width="4.7109375" style="2131" customWidth="1"/>
    <col min="7426" max="7426" width="6.140625" style="2131" customWidth="1"/>
    <col min="7427" max="7427" width="10.28515625" style="2131" customWidth="1"/>
    <col min="7428" max="7428" width="40.42578125" style="2131" customWidth="1"/>
    <col min="7429" max="7429" width="10.42578125" style="2131" customWidth="1"/>
    <col min="7430" max="7430" width="15.85546875" style="2131" customWidth="1"/>
    <col min="7431" max="7431" width="13.85546875" style="2131" customWidth="1"/>
    <col min="7432" max="7432" width="6.42578125" style="2131" customWidth="1"/>
    <col min="7433" max="7433" width="14.28515625" style="2131" bestFit="1" customWidth="1"/>
    <col min="7434" max="7434" width="9.140625" style="2131"/>
    <col min="7435" max="7436" width="16" style="2131" bestFit="1" customWidth="1"/>
    <col min="7437" max="7680" width="9.140625" style="2131"/>
    <col min="7681" max="7681" width="4.7109375" style="2131" customWidth="1"/>
    <col min="7682" max="7682" width="6.140625" style="2131" customWidth="1"/>
    <col min="7683" max="7683" width="10.28515625" style="2131" customWidth="1"/>
    <col min="7684" max="7684" width="40.42578125" style="2131" customWidth="1"/>
    <col min="7685" max="7685" width="10.42578125" style="2131" customWidth="1"/>
    <col min="7686" max="7686" width="15.85546875" style="2131" customWidth="1"/>
    <col min="7687" max="7687" width="13.85546875" style="2131" customWidth="1"/>
    <col min="7688" max="7688" width="6.42578125" style="2131" customWidth="1"/>
    <col min="7689" max="7689" width="14.28515625" style="2131" bestFit="1" customWidth="1"/>
    <col min="7690" max="7690" width="9.140625" style="2131"/>
    <col min="7691" max="7692" width="16" style="2131" bestFit="1" customWidth="1"/>
    <col min="7693" max="7936" width="9.140625" style="2131"/>
    <col min="7937" max="7937" width="4.7109375" style="2131" customWidth="1"/>
    <col min="7938" max="7938" width="6.140625" style="2131" customWidth="1"/>
    <col min="7939" max="7939" width="10.28515625" style="2131" customWidth="1"/>
    <col min="7940" max="7940" width="40.42578125" style="2131" customWidth="1"/>
    <col min="7941" max="7941" width="10.42578125" style="2131" customWidth="1"/>
    <col min="7942" max="7942" width="15.85546875" style="2131" customWidth="1"/>
    <col min="7943" max="7943" width="13.85546875" style="2131" customWidth="1"/>
    <col min="7944" max="7944" width="6.42578125" style="2131" customWidth="1"/>
    <col min="7945" max="7945" width="14.28515625" style="2131" bestFit="1" customWidth="1"/>
    <col min="7946" max="7946" width="9.140625" style="2131"/>
    <col min="7947" max="7948" width="16" style="2131" bestFit="1" customWidth="1"/>
    <col min="7949" max="8192" width="9.140625" style="2131"/>
    <col min="8193" max="8193" width="4.7109375" style="2131" customWidth="1"/>
    <col min="8194" max="8194" width="6.140625" style="2131" customWidth="1"/>
    <col min="8195" max="8195" width="10.28515625" style="2131" customWidth="1"/>
    <col min="8196" max="8196" width="40.42578125" style="2131" customWidth="1"/>
    <col min="8197" max="8197" width="10.42578125" style="2131" customWidth="1"/>
    <col min="8198" max="8198" width="15.85546875" style="2131" customWidth="1"/>
    <col min="8199" max="8199" width="13.85546875" style="2131" customWidth="1"/>
    <col min="8200" max="8200" width="6.42578125" style="2131" customWidth="1"/>
    <col min="8201" max="8201" width="14.28515625" style="2131" bestFit="1" customWidth="1"/>
    <col min="8202" max="8202" width="9.140625" style="2131"/>
    <col min="8203" max="8204" width="16" style="2131" bestFit="1" customWidth="1"/>
    <col min="8205" max="8448" width="9.140625" style="2131"/>
    <col min="8449" max="8449" width="4.7109375" style="2131" customWidth="1"/>
    <col min="8450" max="8450" width="6.140625" style="2131" customWidth="1"/>
    <col min="8451" max="8451" width="10.28515625" style="2131" customWidth="1"/>
    <col min="8452" max="8452" width="40.42578125" style="2131" customWidth="1"/>
    <col min="8453" max="8453" width="10.42578125" style="2131" customWidth="1"/>
    <col min="8454" max="8454" width="15.85546875" style="2131" customWidth="1"/>
    <col min="8455" max="8455" width="13.85546875" style="2131" customWidth="1"/>
    <col min="8456" max="8456" width="6.42578125" style="2131" customWidth="1"/>
    <col min="8457" max="8457" width="14.28515625" style="2131" bestFit="1" customWidth="1"/>
    <col min="8458" max="8458" width="9.140625" style="2131"/>
    <col min="8459" max="8460" width="16" style="2131" bestFit="1" customWidth="1"/>
    <col min="8461" max="8704" width="9.140625" style="2131"/>
    <col min="8705" max="8705" width="4.7109375" style="2131" customWidth="1"/>
    <col min="8706" max="8706" width="6.140625" style="2131" customWidth="1"/>
    <col min="8707" max="8707" width="10.28515625" style="2131" customWidth="1"/>
    <col min="8708" max="8708" width="40.42578125" style="2131" customWidth="1"/>
    <col min="8709" max="8709" width="10.42578125" style="2131" customWidth="1"/>
    <col min="8710" max="8710" width="15.85546875" style="2131" customWidth="1"/>
    <col min="8711" max="8711" width="13.85546875" style="2131" customWidth="1"/>
    <col min="8712" max="8712" width="6.42578125" style="2131" customWidth="1"/>
    <col min="8713" max="8713" width="14.28515625" style="2131" bestFit="1" customWidth="1"/>
    <col min="8714" max="8714" width="9.140625" style="2131"/>
    <col min="8715" max="8716" width="16" style="2131" bestFit="1" customWidth="1"/>
    <col min="8717" max="8960" width="9.140625" style="2131"/>
    <col min="8961" max="8961" width="4.7109375" style="2131" customWidth="1"/>
    <col min="8962" max="8962" width="6.140625" style="2131" customWidth="1"/>
    <col min="8963" max="8963" width="10.28515625" style="2131" customWidth="1"/>
    <col min="8964" max="8964" width="40.42578125" style="2131" customWidth="1"/>
    <col min="8965" max="8965" width="10.42578125" style="2131" customWidth="1"/>
    <col min="8966" max="8966" width="15.85546875" style="2131" customWidth="1"/>
    <col min="8967" max="8967" width="13.85546875" style="2131" customWidth="1"/>
    <col min="8968" max="8968" width="6.42578125" style="2131" customWidth="1"/>
    <col min="8969" max="8969" width="14.28515625" style="2131" bestFit="1" customWidth="1"/>
    <col min="8970" max="8970" width="9.140625" style="2131"/>
    <col min="8971" max="8972" width="16" style="2131" bestFit="1" customWidth="1"/>
    <col min="8973" max="9216" width="9.140625" style="2131"/>
    <col min="9217" max="9217" width="4.7109375" style="2131" customWidth="1"/>
    <col min="9218" max="9218" width="6.140625" style="2131" customWidth="1"/>
    <col min="9219" max="9219" width="10.28515625" style="2131" customWidth="1"/>
    <col min="9220" max="9220" width="40.42578125" style="2131" customWidth="1"/>
    <col min="9221" max="9221" width="10.42578125" style="2131" customWidth="1"/>
    <col min="9222" max="9222" width="15.85546875" style="2131" customWidth="1"/>
    <col min="9223" max="9223" width="13.85546875" style="2131" customWidth="1"/>
    <col min="9224" max="9224" width="6.42578125" style="2131" customWidth="1"/>
    <col min="9225" max="9225" width="14.28515625" style="2131" bestFit="1" customWidth="1"/>
    <col min="9226" max="9226" width="9.140625" style="2131"/>
    <col min="9227" max="9228" width="16" style="2131" bestFit="1" customWidth="1"/>
    <col min="9229" max="9472" width="9.140625" style="2131"/>
    <col min="9473" max="9473" width="4.7109375" style="2131" customWidth="1"/>
    <col min="9474" max="9474" width="6.140625" style="2131" customWidth="1"/>
    <col min="9475" max="9475" width="10.28515625" style="2131" customWidth="1"/>
    <col min="9476" max="9476" width="40.42578125" style="2131" customWidth="1"/>
    <col min="9477" max="9477" width="10.42578125" style="2131" customWidth="1"/>
    <col min="9478" max="9478" width="15.85546875" style="2131" customWidth="1"/>
    <col min="9479" max="9479" width="13.85546875" style="2131" customWidth="1"/>
    <col min="9480" max="9480" width="6.42578125" style="2131" customWidth="1"/>
    <col min="9481" max="9481" width="14.28515625" style="2131" bestFit="1" customWidth="1"/>
    <col min="9482" max="9482" width="9.140625" style="2131"/>
    <col min="9483" max="9484" width="16" style="2131" bestFit="1" customWidth="1"/>
    <col min="9485" max="9728" width="9.140625" style="2131"/>
    <col min="9729" max="9729" width="4.7109375" style="2131" customWidth="1"/>
    <col min="9730" max="9730" width="6.140625" style="2131" customWidth="1"/>
    <col min="9731" max="9731" width="10.28515625" style="2131" customWidth="1"/>
    <col min="9732" max="9732" width="40.42578125" style="2131" customWidth="1"/>
    <col min="9733" max="9733" width="10.42578125" style="2131" customWidth="1"/>
    <col min="9734" max="9734" width="15.85546875" style="2131" customWidth="1"/>
    <col min="9735" max="9735" width="13.85546875" style="2131" customWidth="1"/>
    <col min="9736" max="9736" width="6.42578125" style="2131" customWidth="1"/>
    <col min="9737" max="9737" width="14.28515625" style="2131" bestFit="1" customWidth="1"/>
    <col min="9738" max="9738" width="9.140625" style="2131"/>
    <col min="9739" max="9740" width="16" style="2131" bestFit="1" customWidth="1"/>
    <col min="9741" max="9984" width="9.140625" style="2131"/>
    <col min="9985" max="9985" width="4.7109375" style="2131" customWidth="1"/>
    <col min="9986" max="9986" width="6.140625" style="2131" customWidth="1"/>
    <col min="9987" max="9987" width="10.28515625" style="2131" customWidth="1"/>
    <col min="9988" max="9988" width="40.42578125" style="2131" customWidth="1"/>
    <col min="9989" max="9989" width="10.42578125" style="2131" customWidth="1"/>
    <col min="9990" max="9990" width="15.85546875" style="2131" customWidth="1"/>
    <col min="9991" max="9991" width="13.85546875" style="2131" customWidth="1"/>
    <col min="9992" max="9992" width="6.42578125" style="2131" customWidth="1"/>
    <col min="9993" max="9993" width="14.28515625" style="2131" bestFit="1" customWidth="1"/>
    <col min="9994" max="9994" width="9.140625" style="2131"/>
    <col min="9995" max="9996" width="16" style="2131" bestFit="1" customWidth="1"/>
    <col min="9997" max="10240" width="9.140625" style="2131"/>
    <col min="10241" max="10241" width="4.7109375" style="2131" customWidth="1"/>
    <col min="10242" max="10242" width="6.140625" style="2131" customWidth="1"/>
    <col min="10243" max="10243" width="10.28515625" style="2131" customWidth="1"/>
    <col min="10244" max="10244" width="40.42578125" style="2131" customWidth="1"/>
    <col min="10245" max="10245" width="10.42578125" style="2131" customWidth="1"/>
    <col min="10246" max="10246" width="15.85546875" style="2131" customWidth="1"/>
    <col min="10247" max="10247" width="13.85546875" style="2131" customWidth="1"/>
    <col min="10248" max="10248" width="6.42578125" style="2131" customWidth="1"/>
    <col min="10249" max="10249" width="14.28515625" style="2131" bestFit="1" customWidth="1"/>
    <col min="10250" max="10250" width="9.140625" style="2131"/>
    <col min="10251" max="10252" width="16" style="2131" bestFit="1" customWidth="1"/>
    <col min="10253" max="10496" width="9.140625" style="2131"/>
    <col min="10497" max="10497" width="4.7109375" style="2131" customWidth="1"/>
    <col min="10498" max="10498" width="6.140625" style="2131" customWidth="1"/>
    <col min="10499" max="10499" width="10.28515625" style="2131" customWidth="1"/>
    <col min="10500" max="10500" width="40.42578125" style="2131" customWidth="1"/>
    <col min="10501" max="10501" width="10.42578125" style="2131" customWidth="1"/>
    <col min="10502" max="10502" width="15.85546875" style="2131" customWidth="1"/>
    <col min="10503" max="10503" width="13.85546875" style="2131" customWidth="1"/>
    <col min="10504" max="10504" width="6.42578125" style="2131" customWidth="1"/>
    <col min="10505" max="10505" width="14.28515625" style="2131" bestFit="1" customWidth="1"/>
    <col min="10506" max="10506" width="9.140625" style="2131"/>
    <col min="10507" max="10508" width="16" style="2131" bestFit="1" customWidth="1"/>
    <col min="10509" max="10752" width="9.140625" style="2131"/>
    <col min="10753" max="10753" width="4.7109375" style="2131" customWidth="1"/>
    <col min="10754" max="10754" width="6.140625" style="2131" customWidth="1"/>
    <col min="10755" max="10755" width="10.28515625" style="2131" customWidth="1"/>
    <col min="10756" max="10756" width="40.42578125" style="2131" customWidth="1"/>
    <col min="10757" max="10757" width="10.42578125" style="2131" customWidth="1"/>
    <col min="10758" max="10758" width="15.85546875" style="2131" customWidth="1"/>
    <col min="10759" max="10759" width="13.85546875" style="2131" customWidth="1"/>
    <col min="10760" max="10760" width="6.42578125" style="2131" customWidth="1"/>
    <col min="10761" max="10761" width="14.28515625" style="2131" bestFit="1" customWidth="1"/>
    <col min="10762" max="10762" width="9.140625" style="2131"/>
    <col min="10763" max="10764" width="16" style="2131" bestFit="1" customWidth="1"/>
    <col min="10765" max="11008" width="9.140625" style="2131"/>
    <col min="11009" max="11009" width="4.7109375" style="2131" customWidth="1"/>
    <col min="11010" max="11010" width="6.140625" style="2131" customWidth="1"/>
    <col min="11011" max="11011" width="10.28515625" style="2131" customWidth="1"/>
    <col min="11012" max="11012" width="40.42578125" style="2131" customWidth="1"/>
    <col min="11013" max="11013" width="10.42578125" style="2131" customWidth="1"/>
    <col min="11014" max="11014" width="15.85546875" style="2131" customWidth="1"/>
    <col min="11015" max="11015" width="13.85546875" style="2131" customWidth="1"/>
    <col min="11016" max="11016" width="6.42578125" style="2131" customWidth="1"/>
    <col min="11017" max="11017" width="14.28515625" style="2131" bestFit="1" customWidth="1"/>
    <col min="11018" max="11018" width="9.140625" style="2131"/>
    <col min="11019" max="11020" width="16" style="2131" bestFit="1" customWidth="1"/>
    <col min="11021" max="11264" width="9.140625" style="2131"/>
    <col min="11265" max="11265" width="4.7109375" style="2131" customWidth="1"/>
    <col min="11266" max="11266" width="6.140625" style="2131" customWidth="1"/>
    <col min="11267" max="11267" width="10.28515625" style="2131" customWidth="1"/>
    <col min="11268" max="11268" width="40.42578125" style="2131" customWidth="1"/>
    <col min="11269" max="11269" width="10.42578125" style="2131" customWidth="1"/>
    <col min="11270" max="11270" width="15.85546875" style="2131" customWidth="1"/>
    <col min="11271" max="11271" width="13.85546875" style="2131" customWidth="1"/>
    <col min="11272" max="11272" width="6.42578125" style="2131" customWidth="1"/>
    <col min="11273" max="11273" width="14.28515625" style="2131" bestFit="1" customWidth="1"/>
    <col min="11274" max="11274" width="9.140625" style="2131"/>
    <col min="11275" max="11276" width="16" style="2131" bestFit="1" customWidth="1"/>
    <col min="11277" max="11520" width="9.140625" style="2131"/>
    <col min="11521" max="11521" width="4.7109375" style="2131" customWidth="1"/>
    <col min="11522" max="11522" width="6.140625" style="2131" customWidth="1"/>
    <col min="11523" max="11523" width="10.28515625" style="2131" customWidth="1"/>
    <col min="11524" max="11524" width="40.42578125" style="2131" customWidth="1"/>
    <col min="11525" max="11525" width="10.42578125" style="2131" customWidth="1"/>
    <col min="11526" max="11526" width="15.85546875" style="2131" customWidth="1"/>
    <col min="11527" max="11527" width="13.85546875" style="2131" customWidth="1"/>
    <col min="11528" max="11528" width="6.42578125" style="2131" customWidth="1"/>
    <col min="11529" max="11529" width="14.28515625" style="2131" bestFit="1" customWidth="1"/>
    <col min="11530" max="11530" width="9.140625" style="2131"/>
    <col min="11531" max="11532" width="16" style="2131" bestFit="1" customWidth="1"/>
    <col min="11533" max="11776" width="9.140625" style="2131"/>
    <col min="11777" max="11777" width="4.7109375" style="2131" customWidth="1"/>
    <col min="11778" max="11778" width="6.140625" style="2131" customWidth="1"/>
    <col min="11779" max="11779" width="10.28515625" style="2131" customWidth="1"/>
    <col min="11780" max="11780" width="40.42578125" style="2131" customWidth="1"/>
    <col min="11781" max="11781" width="10.42578125" style="2131" customWidth="1"/>
    <col min="11782" max="11782" width="15.85546875" style="2131" customWidth="1"/>
    <col min="11783" max="11783" width="13.85546875" style="2131" customWidth="1"/>
    <col min="11784" max="11784" width="6.42578125" style="2131" customWidth="1"/>
    <col min="11785" max="11785" width="14.28515625" style="2131" bestFit="1" customWidth="1"/>
    <col min="11786" max="11786" width="9.140625" style="2131"/>
    <col min="11787" max="11788" width="16" style="2131" bestFit="1" customWidth="1"/>
    <col min="11789" max="12032" width="9.140625" style="2131"/>
    <col min="12033" max="12033" width="4.7109375" style="2131" customWidth="1"/>
    <col min="12034" max="12034" width="6.140625" style="2131" customWidth="1"/>
    <col min="12035" max="12035" width="10.28515625" style="2131" customWidth="1"/>
    <col min="12036" max="12036" width="40.42578125" style="2131" customWidth="1"/>
    <col min="12037" max="12037" width="10.42578125" style="2131" customWidth="1"/>
    <col min="12038" max="12038" width="15.85546875" style="2131" customWidth="1"/>
    <col min="12039" max="12039" width="13.85546875" style="2131" customWidth="1"/>
    <col min="12040" max="12040" width="6.42578125" style="2131" customWidth="1"/>
    <col min="12041" max="12041" width="14.28515625" style="2131" bestFit="1" customWidth="1"/>
    <col min="12042" max="12042" width="9.140625" style="2131"/>
    <col min="12043" max="12044" width="16" style="2131" bestFit="1" customWidth="1"/>
    <col min="12045" max="12288" width="9.140625" style="2131"/>
    <col min="12289" max="12289" width="4.7109375" style="2131" customWidth="1"/>
    <col min="12290" max="12290" width="6.140625" style="2131" customWidth="1"/>
    <col min="12291" max="12291" width="10.28515625" style="2131" customWidth="1"/>
    <col min="12292" max="12292" width="40.42578125" style="2131" customWidth="1"/>
    <col min="12293" max="12293" width="10.42578125" style="2131" customWidth="1"/>
    <col min="12294" max="12294" width="15.85546875" style="2131" customWidth="1"/>
    <col min="12295" max="12295" width="13.85546875" style="2131" customWidth="1"/>
    <col min="12296" max="12296" width="6.42578125" style="2131" customWidth="1"/>
    <col min="12297" max="12297" width="14.28515625" style="2131" bestFit="1" customWidth="1"/>
    <col min="12298" max="12298" width="9.140625" style="2131"/>
    <col min="12299" max="12300" width="16" style="2131" bestFit="1" customWidth="1"/>
    <col min="12301" max="12544" width="9.140625" style="2131"/>
    <col min="12545" max="12545" width="4.7109375" style="2131" customWidth="1"/>
    <col min="12546" max="12546" width="6.140625" style="2131" customWidth="1"/>
    <col min="12547" max="12547" width="10.28515625" style="2131" customWidth="1"/>
    <col min="12548" max="12548" width="40.42578125" style="2131" customWidth="1"/>
    <col min="12549" max="12549" width="10.42578125" style="2131" customWidth="1"/>
    <col min="12550" max="12550" width="15.85546875" style="2131" customWidth="1"/>
    <col min="12551" max="12551" width="13.85546875" style="2131" customWidth="1"/>
    <col min="12552" max="12552" width="6.42578125" style="2131" customWidth="1"/>
    <col min="12553" max="12553" width="14.28515625" style="2131" bestFit="1" customWidth="1"/>
    <col min="12554" max="12554" width="9.140625" style="2131"/>
    <col min="12555" max="12556" width="16" style="2131" bestFit="1" customWidth="1"/>
    <col min="12557" max="12800" width="9.140625" style="2131"/>
    <col min="12801" max="12801" width="4.7109375" style="2131" customWidth="1"/>
    <col min="12802" max="12802" width="6.140625" style="2131" customWidth="1"/>
    <col min="12803" max="12803" width="10.28515625" style="2131" customWidth="1"/>
    <col min="12804" max="12804" width="40.42578125" style="2131" customWidth="1"/>
    <col min="12805" max="12805" width="10.42578125" style="2131" customWidth="1"/>
    <col min="12806" max="12806" width="15.85546875" style="2131" customWidth="1"/>
    <col min="12807" max="12807" width="13.85546875" style="2131" customWidth="1"/>
    <col min="12808" max="12808" width="6.42578125" style="2131" customWidth="1"/>
    <col min="12809" max="12809" width="14.28515625" style="2131" bestFit="1" customWidth="1"/>
    <col min="12810" max="12810" width="9.140625" style="2131"/>
    <col min="12811" max="12812" width="16" style="2131" bestFit="1" customWidth="1"/>
    <col min="12813" max="13056" width="9.140625" style="2131"/>
    <col min="13057" max="13057" width="4.7109375" style="2131" customWidth="1"/>
    <col min="13058" max="13058" width="6.140625" style="2131" customWidth="1"/>
    <col min="13059" max="13059" width="10.28515625" style="2131" customWidth="1"/>
    <col min="13060" max="13060" width="40.42578125" style="2131" customWidth="1"/>
    <col min="13061" max="13061" width="10.42578125" style="2131" customWidth="1"/>
    <col min="13062" max="13062" width="15.85546875" style="2131" customWidth="1"/>
    <col min="13063" max="13063" width="13.85546875" style="2131" customWidth="1"/>
    <col min="13064" max="13064" width="6.42578125" style="2131" customWidth="1"/>
    <col min="13065" max="13065" width="14.28515625" style="2131" bestFit="1" customWidth="1"/>
    <col min="13066" max="13066" width="9.140625" style="2131"/>
    <col min="13067" max="13068" width="16" style="2131" bestFit="1" customWidth="1"/>
    <col min="13069" max="13312" width="9.140625" style="2131"/>
    <col min="13313" max="13313" width="4.7109375" style="2131" customWidth="1"/>
    <col min="13314" max="13314" width="6.140625" style="2131" customWidth="1"/>
    <col min="13315" max="13315" width="10.28515625" style="2131" customWidth="1"/>
    <col min="13316" max="13316" width="40.42578125" style="2131" customWidth="1"/>
    <col min="13317" max="13317" width="10.42578125" style="2131" customWidth="1"/>
    <col min="13318" max="13318" width="15.85546875" style="2131" customWidth="1"/>
    <col min="13319" max="13319" width="13.85546875" style="2131" customWidth="1"/>
    <col min="13320" max="13320" width="6.42578125" style="2131" customWidth="1"/>
    <col min="13321" max="13321" width="14.28515625" style="2131" bestFit="1" customWidth="1"/>
    <col min="13322" max="13322" width="9.140625" style="2131"/>
    <col min="13323" max="13324" width="16" style="2131" bestFit="1" customWidth="1"/>
    <col min="13325" max="13568" width="9.140625" style="2131"/>
    <col min="13569" max="13569" width="4.7109375" style="2131" customWidth="1"/>
    <col min="13570" max="13570" width="6.140625" style="2131" customWidth="1"/>
    <col min="13571" max="13571" width="10.28515625" style="2131" customWidth="1"/>
    <col min="13572" max="13572" width="40.42578125" style="2131" customWidth="1"/>
    <col min="13573" max="13573" width="10.42578125" style="2131" customWidth="1"/>
    <col min="13574" max="13574" width="15.85546875" style="2131" customWidth="1"/>
    <col min="13575" max="13575" width="13.85546875" style="2131" customWidth="1"/>
    <col min="13576" max="13576" width="6.42578125" style="2131" customWidth="1"/>
    <col min="13577" max="13577" width="14.28515625" style="2131" bestFit="1" customWidth="1"/>
    <col min="13578" max="13578" width="9.140625" style="2131"/>
    <col min="13579" max="13580" width="16" style="2131" bestFit="1" customWidth="1"/>
    <col min="13581" max="13824" width="9.140625" style="2131"/>
    <col min="13825" max="13825" width="4.7109375" style="2131" customWidth="1"/>
    <col min="13826" max="13826" width="6.140625" style="2131" customWidth="1"/>
    <col min="13827" max="13827" width="10.28515625" style="2131" customWidth="1"/>
    <col min="13828" max="13828" width="40.42578125" style="2131" customWidth="1"/>
    <col min="13829" max="13829" width="10.42578125" style="2131" customWidth="1"/>
    <col min="13830" max="13830" width="15.85546875" style="2131" customWidth="1"/>
    <col min="13831" max="13831" width="13.85546875" style="2131" customWidth="1"/>
    <col min="13832" max="13832" width="6.42578125" style="2131" customWidth="1"/>
    <col min="13833" max="13833" width="14.28515625" style="2131" bestFit="1" customWidth="1"/>
    <col min="13834" max="13834" width="9.140625" style="2131"/>
    <col min="13835" max="13836" width="16" style="2131" bestFit="1" customWidth="1"/>
    <col min="13837" max="14080" width="9.140625" style="2131"/>
    <col min="14081" max="14081" width="4.7109375" style="2131" customWidth="1"/>
    <col min="14082" max="14082" width="6.140625" style="2131" customWidth="1"/>
    <col min="14083" max="14083" width="10.28515625" style="2131" customWidth="1"/>
    <col min="14084" max="14084" width="40.42578125" style="2131" customWidth="1"/>
    <col min="14085" max="14085" width="10.42578125" style="2131" customWidth="1"/>
    <col min="14086" max="14086" width="15.85546875" style="2131" customWidth="1"/>
    <col min="14087" max="14087" width="13.85546875" style="2131" customWidth="1"/>
    <col min="14088" max="14088" width="6.42578125" style="2131" customWidth="1"/>
    <col min="14089" max="14089" width="14.28515625" style="2131" bestFit="1" customWidth="1"/>
    <col min="14090" max="14090" width="9.140625" style="2131"/>
    <col min="14091" max="14092" width="16" style="2131" bestFit="1" customWidth="1"/>
    <col min="14093" max="14336" width="9.140625" style="2131"/>
    <col min="14337" max="14337" width="4.7109375" style="2131" customWidth="1"/>
    <col min="14338" max="14338" width="6.140625" style="2131" customWidth="1"/>
    <col min="14339" max="14339" width="10.28515625" style="2131" customWidth="1"/>
    <col min="14340" max="14340" width="40.42578125" style="2131" customWidth="1"/>
    <col min="14341" max="14341" width="10.42578125" style="2131" customWidth="1"/>
    <col min="14342" max="14342" width="15.85546875" style="2131" customWidth="1"/>
    <col min="14343" max="14343" width="13.85546875" style="2131" customWidth="1"/>
    <col min="14344" max="14344" width="6.42578125" style="2131" customWidth="1"/>
    <col min="14345" max="14345" width="14.28515625" style="2131" bestFit="1" customWidth="1"/>
    <col min="14346" max="14346" width="9.140625" style="2131"/>
    <col min="14347" max="14348" width="16" style="2131" bestFit="1" customWidth="1"/>
    <col min="14349" max="14592" width="9.140625" style="2131"/>
    <col min="14593" max="14593" width="4.7109375" style="2131" customWidth="1"/>
    <col min="14594" max="14594" width="6.140625" style="2131" customWidth="1"/>
    <col min="14595" max="14595" width="10.28515625" style="2131" customWidth="1"/>
    <col min="14596" max="14596" width="40.42578125" style="2131" customWidth="1"/>
    <col min="14597" max="14597" width="10.42578125" style="2131" customWidth="1"/>
    <col min="14598" max="14598" width="15.85546875" style="2131" customWidth="1"/>
    <col min="14599" max="14599" width="13.85546875" style="2131" customWidth="1"/>
    <col min="14600" max="14600" width="6.42578125" style="2131" customWidth="1"/>
    <col min="14601" max="14601" width="14.28515625" style="2131" bestFit="1" customWidth="1"/>
    <col min="14602" max="14602" width="9.140625" style="2131"/>
    <col min="14603" max="14604" width="16" style="2131" bestFit="1" customWidth="1"/>
    <col min="14605" max="14848" width="9.140625" style="2131"/>
    <col min="14849" max="14849" width="4.7109375" style="2131" customWidth="1"/>
    <col min="14850" max="14850" width="6.140625" style="2131" customWidth="1"/>
    <col min="14851" max="14851" width="10.28515625" style="2131" customWidth="1"/>
    <col min="14852" max="14852" width="40.42578125" style="2131" customWidth="1"/>
    <col min="14853" max="14853" width="10.42578125" style="2131" customWidth="1"/>
    <col min="14854" max="14854" width="15.85546875" style="2131" customWidth="1"/>
    <col min="14855" max="14855" width="13.85546875" style="2131" customWidth="1"/>
    <col min="14856" max="14856" width="6.42578125" style="2131" customWidth="1"/>
    <col min="14857" max="14857" width="14.28515625" style="2131" bestFit="1" customWidth="1"/>
    <col min="14858" max="14858" width="9.140625" style="2131"/>
    <col min="14859" max="14860" width="16" style="2131" bestFit="1" customWidth="1"/>
    <col min="14861" max="15104" width="9.140625" style="2131"/>
    <col min="15105" max="15105" width="4.7109375" style="2131" customWidth="1"/>
    <col min="15106" max="15106" width="6.140625" style="2131" customWidth="1"/>
    <col min="15107" max="15107" width="10.28515625" style="2131" customWidth="1"/>
    <col min="15108" max="15108" width="40.42578125" style="2131" customWidth="1"/>
    <col min="15109" max="15109" width="10.42578125" style="2131" customWidth="1"/>
    <col min="15110" max="15110" width="15.85546875" style="2131" customWidth="1"/>
    <col min="15111" max="15111" width="13.85546875" style="2131" customWidth="1"/>
    <col min="15112" max="15112" width="6.42578125" style="2131" customWidth="1"/>
    <col min="15113" max="15113" width="14.28515625" style="2131" bestFit="1" customWidth="1"/>
    <col min="15114" max="15114" width="9.140625" style="2131"/>
    <col min="15115" max="15116" width="16" style="2131" bestFit="1" customWidth="1"/>
    <col min="15117" max="15360" width="9.140625" style="2131"/>
    <col min="15361" max="15361" width="4.7109375" style="2131" customWidth="1"/>
    <col min="15362" max="15362" width="6.140625" style="2131" customWidth="1"/>
    <col min="15363" max="15363" width="10.28515625" style="2131" customWidth="1"/>
    <col min="15364" max="15364" width="40.42578125" style="2131" customWidth="1"/>
    <col min="15365" max="15365" width="10.42578125" style="2131" customWidth="1"/>
    <col min="15366" max="15366" width="15.85546875" style="2131" customWidth="1"/>
    <col min="15367" max="15367" width="13.85546875" style="2131" customWidth="1"/>
    <col min="15368" max="15368" width="6.42578125" style="2131" customWidth="1"/>
    <col min="15369" max="15369" width="14.28515625" style="2131" bestFit="1" customWidth="1"/>
    <col min="15370" max="15370" width="9.140625" style="2131"/>
    <col min="15371" max="15372" width="16" style="2131" bestFit="1" customWidth="1"/>
    <col min="15373" max="15616" width="9.140625" style="2131"/>
    <col min="15617" max="15617" width="4.7109375" style="2131" customWidth="1"/>
    <col min="15618" max="15618" width="6.140625" style="2131" customWidth="1"/>
    <col min="15619" max="15619" width="10.28515625" style="2131" customWidth="1"/>
    <col min="15620" max="15620" width="40.42578125" style="2131" customWidth="1"/>
    <col min="15621" max="15621" width="10.42578125" style="2131" customWidth="1"/>
    <col min="15622" max="15622" width="15.85546875" style="2131" customWidth="1"/>
    <col min="15623" max="15623" width="13.85546875" style="2131" customWidth="1"/>
    <col min="15624" max="15624" width="6.42578125" style="2131" customWidth="1"/>
    <col min="15625" max="15625" width="14.28515625" style="2131" bestFit="1" customWidth="1"/>
    <col min="15626" max="15626" width="9.140625" style="2131"/>
    <col min="15627" max="15628" width="16" style="2131" bestFit="1" customWidth="1"/>
    <col min="15629" max="15872" width="9.140625" style="2131"/>
    <col min="15873" max="15873" width="4.7109375" style="2131" customWidth="1"/>
    <col min="15874" max="15874" width="6.140625" style="2131" customWidth="1"/>
    <col min="15875" max="15875" width="10.28515625" style="2131" customWidth="1"/>
    <col min="15876" max="15876" width="40.42578125" style="2131" customWidth="1"/>
    <col min="15877" max="15877" width="10.42578125" style="2131" customWidth="1"/>
    <col min="15878" max="15878" width="15.85546875" style="2131" customWidth="1"/>
    <col min="15879" max="15879" width="13.85546875" style="2131" customWidth="1"/>
    <col min="15880" max="15880" width="6.42578125" style="2131" customWidth="1"/>
    <col min="15881" max="15881" width="14.28515625" style="2131" bestFit="1" customWidth="1"/>
    <col min="15882" max="15882" width="9.140625" style="2131"/>
    <col min="15883" max="15884" width="16" style="2131" bestFit="1" customWidth="1"/>
    <col min="15885" max="16128" width="9.140625" style="2131"/>
    <col min="16129" max="16129" width="4.7109375" style="2131" customWidth="1"/>
    <col min="16130" max="16130" width="6.140625" style="2131" customWidth="1"/>
    <col min="16131" max="16131" width="10.28515625" style="2131" customWidth="1"/>
    <col min="16132" max="16132" width="40.42578125" style="2131" customWidth="1"/>
    <col min="16133" max="16133" width="10.42578125" style="2131" customWidth="1"/>
    <col min="16134" max="16134" width="15.85546875" style="2131" customWidth="1"/>
    <col min="16135" max="16135" width="13.85546875" style="2131" customWidth="1"/>
    <col min="16136" max="16136" width="6.42578125" style="2131" customWidth="1"/>
    <col min="16137" max="16137" width="14.28515625" style="2131" bestFit="1" customWidth="1"/>
    <col min="16138" max="16138" width="9.140625" style="2131"/>
    <col min="16139" max="16140" width="16" style="2131" bestFit="1" customWidth="1"/>
    <col min="16141" max="16384" width="9.140625" style="2131"/>
  </cols>
  <sheetData>
    <row r="1" spans="1:8" ht="39" customHeight="1" thickBot="1" x14ac:dyDescent="0.25">
      <c r="A1" s="2818" t="s">
        <v>1056</v>
      </c>
      <c r="B1" s="2818"/>
      <c r="C1" s="2818"/>
      <c r="D1" s="2818"/>
      <c r="E1" s="2818"/>
      <c r="F1" s="2818"/>
      <c r="G1" s="2818"/>
      <c r="H1" s="2818"/>
    </row>
    <row r="2" spans="1:8" ht="18" x14ac:dyDescent="0.25">
      <c r="A2" s="2135"/>
      <c r="B2" s="2168"/>
      <c r="C2" s="2168"/>
      <c r="D2" s="2168"/>
      <c r="E2" s="2168"/>
      <c r="F2" s="2168"/>
      <c r="G2" s="2168"/>
      <c r="H2" s="2222" t="s">
        <v>1057</v>
      </c>
    </row>
    <row r="3" spans="1:8" ht="18" x14ac:dyDescent="0.25">
      <c r="A3" s="1939" t="s">
        <v>404</v>
      </c>
      <c r="B3" s="2168"/>
      <c r="C3" s="2129" t="s">
        <v>379</v>
      </c>
      <c r="D3" s="2168"/>
      <c r="E3" s="2168"/>
      <c r="F3" s="2168"/>
      <c r="G3" s="2168"/>
      <c r="H3" s="2222"/>
    </row>
    <row r="4" spans="1:8" ht="18" x14ac:dyDescent="0.25">
      <c r="A4" s="2135"/>
      <c r="B4" s="2168"/>
      <c r="C4" s="2129" t="s">
        <v>380</v>
      </c>
      <c r="D4" s="2168"/>
      <c r="E4" s="2168"/>
      <c r="F4" s="2168"/>
      <c r="G4" s="2168"/>
      <c r="H4" s="2222"/>
    </row>
    <row r="5" spans="1:8" ht="18" x14ac:dyDescent="0.25">
      <c r="A5" s="2134" t="s">
        <v>1058</v>
      </c>
      <c r="B5" s="2168"/>
      <c r="C5" s="2168"/>
      <c r="D5" s="2168"/>
      <c r="E5" s="2168"/>
      <c r="F5" s="2168"/>
      <c r="G5" s="2168"/>
      <c r="H5" s="2222"/>
    </row>
    <row r="7" spans="1:8" ht="15.75" thickBot="1" x14ac:dyDescent="0.3">
      <c r="A7" s="2136" t="s">
        <v>273</v>
      </c>
      <c r="H7" s="2240" t="s">
        <v>179</v>
      </c>
    </row>
    <row r="8" spans="1:8" s="1849" customFormat="1" ht="25.5" thickTop="1" thickBot="1" x14ac:dyDescent="0.25">
      <c r="A8" s="2138" t="s">
        <v>180</v>
      </c>
      <c r="B8" s="2139" t="s">
        <v>847</v>
      </c>
      <c r="C8" s="2139" t="s">
        <v>414</v>
      </c>
      <c r="D8" s="2140" t="s">
        <v>182</v>
      </c>
      <c r="E8" s="2171" t="s">
        <v>700</v>
      </c>
      <c r="F8" s="2171" t="s">
        <v>701</v>
      </c>
      <c r="G8" s="2172" t="s">
        <v>986</v>
      </c>
      <c r="H8" s="2173" t="s">
        <v>987</v>
      </c>
    </row>
    <row r="9" spans="1:8" s="1849" customFormat="1" ht="13.5" thickTop="1" thickBot="1" x14ac:dyDescent="0.25">
      <c r="A9" s="1854">
        <v>1</v>
      </c>
      <c r="B9" s="1853">
        <v>2</v>
      </c>
      <c r="C9" s="1853">
        <v>3</v>
      </c>
      <c r="D9" s="1853">
        <v>4</v>
      </c>
      <c r="E9" s="1852">
        <v>5</v>
      </c>
      <c r="F9" s="1852">
        <v>6</v>
      </c>
      <c r="G9" s="2223">
        <v>7</v>
      </c>
      <c r="H9" s="2251" t="s">
        <v>61</v>
      </c>
    </row>
    <row r="10" spans="1:8" ht="45.75" thickTop="1" x14ac:dyDescent="0.2">
      <c r="A10" s="2246">
        <v>3299</v>
      </c>
      <c r="B10" s="2253">
        <v>5213</v>
      </c>
      <c r="C10" s="2258">
        <v>32133006</v>
      </c>
      <c r="D10" s="2201" t="s">
        <v>1417</v>
      </c>
      <c r="E10" s="2170">
        <v>0</v>
      </c>
      <c r="F10" s="2170">
        <v>663</v>
      </c>
      <c r="G10" s="2170">
        <v>402</v>
      </c>
      <c r="H10" s="2153">
        <f t="shared" ref="H10:H25" si="0">G10/F10*100</f>
        <v>60.633484162895925</v>
      </c>
    </row>
    <row r="11" spans="1:8" ht="45" x14ac:dyDescent="0.2">
      <c r="A11" s="2246">
        <v>3299</v>
      </c>
      <c r="B11" s="2253">
        <v>5213</v>
      </c>
      <c r="C11" s="2258">
        <v>32533006</v>
      </c>
      <c r="D11" s="2174" t="s">
        <v>1417</v>
      </c>
      <c r="E11" s="2184">
        <v>0</v>
      </c>
      <c r="F11" s="2184">
        <v>3758</v>
      </c>
      <c r="G11" s="2184">
        <v>2278</v>
      </c>
      <c r="H11" s="2156">
        <f t="shared" si="0"/>
        <v>60.617349654071319</v>
      </c>
    </row>
    <row r="12" spans="1:8" ht="30" x14ac:dyDescent="0.2">
      <c r="A12" s="2246">
        <v>3299</v>
      </c>
      <c r="B12" s="2253">
        <v>5221</v>
      </c>
      <c r="C12" s="2258">
        <v>32133006</v>
      </c>
      <c r="D12" s="2174" t="s">
        <v>1477</v>
      </c>
      <c r="E12" s="2184">
        <v>0</v>
      </c>
      <c r="F12" s="2184">
        <v>139</v>
      </c>
      <c r="G12" s="2184">
        <v>125</v>
      </c>
      <c r="H12" s="2156">
        <f t="shared" si="0"/>
        <v>89.928057553956833</v>
      </c>
    </row>
    <row r="13" spans="1:8" ht="30" x14ac:dyDescent="0.2">
      <c r="A13" s="2246">
        <v>3299</v>
      </c>
      <c r="B13" s="2253">
        <v>5221</v>
      </c>
      <c r="C13" s="2258">
        <v>32533006</v>
      </c>
      <c r="D13" s="2174" t="s">
        <v>1477</v>
      </c>
      <c r="E13" s="2184">
        <v>0</v>
      </c>
      <c r="F13" s="2184">
        <v>789</v>
      </c>
      <c r="G13" s="2184">
        <v>706</v>
      </c>
      <c r="H13" s="2156">
        <f t="shared" si="0"/>
        <v>89.480354879594429</v>
      </c>
    </row>
    <row r="14" spans="1:8" ht="30" x14ac:dyDescent="0.2">
      <c r="A14" s="2246">
        <v>3299</v>
      </c>
      <c r="B14" s="2253">
        <v>5222</v>
      </c>
      <c r="C14" s="2258">
        <v>32133006</v>
      </c>
      <c r="D14" s="2174" t="s">
        <v>241</v>
      </c>
      <c r="E14" s="2184">
        <v>0</v>
      </c>
      <c r="F14" s="2184">
        <v>250</v>
      </c>
      <c r="G14" s="2184">
        <v>109</v>
      </c>
      <c r="H14" s="2156">
        <f t="shared" si="0"/>
        <v>43.6</v>
      </c>
    </row>
    <row r="15" spans="1:8" ht="30" x14ac:dyDescent="0.2">
      <c r="A15" s="2246">
        <v>3299</v>
      </c>
      <c r="B15" s="2253">
        <v>5222</v>
      </c>
      <c r="C15" s="2258">
        <v>32533006</v>
      </c>
      <c r="D15" s="2174" t="s">
        <v>241</v>
      </c>
      <c r="E15" s="2184">
        <v>0</v>
      </c>
      <c r="F15" s="2184">
        <v>1418</v>
      </c>
      <c r="G15" s="2184">
        <v>616</v>
      </c>
      <c r="H15" s="2156">
        <f t="shared" si="0"/>
        <v>43.441466854724965</v>
      </c>
    </row>
    <row r="16" spans="1:8" ht="15" x14ac:dyDescent="0.2">
      <c r="A16" s="2246">
        <v>3299</v>
      </c>
      <c r="B16" s="2253">
        <v>5901</v>
      </c>
      <c r="C16" s="2258">
        <v>32133006</v>
      </c>
      <c r="D16" s="2174" t="s">
        <v>670</v>
      </c>
      <c r="E16" s="2184">
        <v>0</v>
      </c>
      <c r="F16" s="2184">
        <v>429</v>
      </c>
      <c r="G16" s="2184">
        <v>0</v>
      </c>
      <c r="H16" s="2156">
        <f t="shared" si="0"/>
        <v>0</v>
      </c>
    </row>
    <row r="17" spans="1:9" ht="15" x14ac:dyDescent="0.2">
      <c r="A17" s="2246">
        <v>3299</v>
      </c>
      <c r="B17" s="2253">
        <v>5901</v>
      </c>
      <c r="C17" s="2258">
        <v>32533006</v>
      </c>
      <c r="D17" s="2174" t="s">
        <v>670</v>
      </c>
      <c r="E17" s="2184">
        <v>0</v>
      </c>
      <c r="F17" s="2184">
        <v>2428</v>
      </c>
      <c r="G17" s="2184">
        <v>0</v>
      </c>
      <c r="H17" s="2156">
        <f t="shared" si="0"/>
        <v>0</v>
      </c>
    </row>
    <row r="18" spans="1:9" ht="45" hidden="1" x14ac:dyDescent="0.2">
      <c r="A18" s="2246">
        <v>3299</v>
      </c>
      <c r="B18" s="2253">
        <v>6313</v>
      </c>
      <c r="C18" s="2258">
        <v>32133006</v>
      </c>
      <c r="D18" s="2174" t="s">
        <v>96</v>
      </c>
      <c r="E18" s="2184">
        <v>0</v>
      </c>
      <c r="F18" s="2184">
        <v>0</v>
      </c>
      <c r="G18" s="2184">
        <v>0</v>
      </c>
      <c r="H18" s="2156" t="e">
        <f t="shared" si="0"/>
        <v>#DIV/0!</v>
      </c>
    </row>
    <row r="19" spans="1:9" ht="45" hidden="1" x14ac:dyDescent="0.2">
      <c r="A19" s="2246">
        <v>3299</v>
      </c>
      <c r="B19" s="2253">
        <v>6313</v>
      </c>
      <c r="C19" s="2258">
        <v>32533006</v>
      </c>
      <c r="D19" s="2174" t="s">
        <v>96</v>
      </c>
      <c r="E19" s="2184">
        <v>0</v>
      </c>
      <c r="F19" s="2184">
        <v>0</v>
      </c>
      <c r="G19" s="2184">
        <v>0</v>
      </c>
      <c r="H19" s="2156" t="e">
        <f t="shared" si="0"/>
        <v>#DIV/0!</v>
      </c>
    </row>
    <row r="20" spans="1:9" ht="30" x14ac:dyDescent="0.2">
      <c r="A20" s="2246">
        <v>3299</v>
      </c>
      <c r="B20" s="2253">
        <v>6321</v>
      </c>
      <c r="C20" s="2258">
        <v>32133006</v>
      </c>
      <c r="D20" s="2174" t="s">
        <v>1284</v>
      </c>
      <c r="E20" s="2184">
        <v>0</v>
      </c>
      <c r="F20" s="2184">
        <v>15</v>
      </c>
      <c r="G20" s="2184">
        <v>10</v>
      </c>
      <c r="H20" s="2156">
        <f t="shared" si="0"/>
        <v>66.666666666666657</v>
      </c>
    </row>
    <row r="21" spans="1:9" ht="30" x14ac:dyDescent="0.2">
      <c r="A21" s="2246">
        <v>3299</v>
      </c>
      <c r="B21" s="2253">
        <v>6321</v>
      </c>
      <c r="C21" s="2258">
        <v>32533006</v>
      </c>
      <c r="D21" s="2174" t="s">
        <v>1284</v>
      </c>
      <c r="E21" s="2184">
        <v>0</v>
      </c>
      <c r="F21" s="2184">
        <v>85</v>
      </c>
      <c r="G21" s="2184">
        <v>59</v>
      </c>
      <c r="H21" s="2156">
        <f t="shared" si="0"/>
        <v>69.411764705882348</v>
      </c>
    </row>
    <row r="22" spans="1:9" ht="15" x14ac:dyDescent="0.2">
      <c r="A22" s="2246">
        <v>3299</v>
      </c>
      <c r="B22" s="2253">
        <v>6901</v>
      </c>
      <c r="C22" s="2258">
        <v>32133006</v>
      </c>
      <c r="D22" s="2174" t="s">
        <v>468</v>
      </c>
      <c r="E22" s="2184">
        <v>0</v>
      </c>
      <c r="F22" s="2184">
        <v>247</v>
      </c>
      <c r="G22" s="2184">
        <v>0</v>
      </c>
      <c r="H22" s="2156">
        <f t="shared" si="0"/>
        <v>0</v>
      </c>
    </row>
    <row r="23" spans="1:9" ht="15" x14ac:dyDescent="0.2">
      <c r="A23" s="2246">
        <v>3299</v>
      </c>
      <c r="B23" s="2253">
        <v>6901</v>
      </c>
      <c r="C23" s="2258">
        <v>32533006</v>
      </c>
      <c r="D23" s="2174" t="s">
        <v>468</v>
      </c>
      <c r="E23" s="2184">
        <v>0</v>
      </c>
      <c r="F23" s="2184">
        <v>1402</v>
      </c>
      <c r="G23" s="2184">
        <v>0</v>
      </c>
      <c r="H23" s="2156">
        <f t="shared" si="0"/>
        <v>0</v>
      </c>
    </row>
    <row r="24" spans="1:9" ht="15.75" thickBot="1" x14ac:dyDescent="0.25">
      <c r="A24" s="2246">
        <v>6402</v>
      </c>
      <c r="B24" s="2253">
        <v>5363</v>
      </c>
      <c r="C24" s="2258">
        <v>19</v>
      </c>
      <c r="D24" s="2174" t="s">
        <v>1824</v>
      </c>
      <c r="E24" s="2184">
        <v>0</v>
      </c>
      <c r="F24" s="2184">
        <v>84</v>
      </c>
      <c r="G24" s="2184">
        <v>25</v>
      </c>
      <c r="H24" s="2163">
        <f t="shared" si="0"/>
        <v>29.761904761904763</v>
      </c>
    </row>
    <row r="25" spans="1:9" s="2164" customFormat="1" ht="16.5" thickTop="1" thickBot="1" x14ac:dyDescent="0.3">
      <c r="A25" s="2806" t="s">
        <v>849</v>
      </c>
      <c r="B25" s="2807"/>
      <c r="C25" s="2807"/>
      <c r="D25" s="2807"/>
      <c r="E25" s="2152">
        <f>SUM(E10:E23)</f>
        <v>0</v>
      </c>
      <c r="F25" s="2152">
        <f>SUM(F10:F24)</f>
        <v>11707</v>
      </c>
      <c r="G25" s="2152">
        <f>SUM(G10:G24)</f>
        <v>4330</v>
      </c>
      <c r="H25" s="2163">
        <f t="shared" si="0"/>
        <v>36.986418382164516</v>
      </c>
      <c r="I25" s="2262"/>
    </row>
    <row r="26" spans="1:9" ht="13.5" thickTop="1" x14ac:dyDescent="0.2">
      <c r="I26" s="2165"/>
    </row>
    <row r="27" spans="1:9" ht="15" x14ac:dyDescent="0.25">
      <c r="A27" s="2136" t="s">
        <v>1941</v>
      </c>
      <c r="D27" s="2130"/>
      <c r="E27" s="2131"/>
      <c r="H27" s="2165"/>
      <c r="I27" s="2165"/>
    </row>
    <row r="28" spans="1:9" ht="15.75" thickBot="1" x14ac:dyDescent="0.3">
      <c r="A28" s="2136" t="s">
        <v>1110</v>
      </c>
      <c r="D28" s="2130"/>
      <c r="E28" s="2131"/>
      <c r="H28" s="2240" t="s">
        <v>179</v>
      </c>
      <c r="I28" s="2165"/>
    </row>
    <row r="29" spans="1:9" ht="25.5" thickTop="1" thickBot="1" x14ac:dyDescent="0.25">
      <c r="A29" s="2138" t="s">
        <v>180</v>
      </c>
      <c r="B29" s="2139" t="s">
        <v>847</v>
      </c>
      <c r="C29" s="2139" t="s">
        <v>414</v>
      </c>
      <c r="D29" s="2140" t="s">
        <v>182</v>
      </c>
      <c r="E29" s="2171" t="s">
        <v>700</v>
      </c>
      <c r="F29" s="2171" t="s">
        <v>701</v>
      </c>
      <c r="G29" s="2172" t="s">
        <v>986</v>
      </c>
      <c r="H29" s="2173" t="s">
        <v>987</v>
      </c>
      <c r="I29" s="2165"/>
    </row>
    <row r="30" spans="1:9" ht="14.25" thickTop="1" thickBot="1" x14ac:dyDescent="0.25">
      <c r="A30" s="1854">
        <v>1</v>
      </c>
      <c r="B30" s="1853">
        <v>2</v>
      </c>
      <c r="C30" s="1853">
        <v>3</v>
      </c>
      <c r="D30" s="1853">
        <v>5</v>
      </c>
      <c r="E30" s="1852">
        <v>6</v>
      </c>
      <c r="F30" s="1852">
        <v>7</v>
      </c>
      <c r="G30" s="2223">
        <v>8</v>
      </c>
      <c r="H30" s="2146" t="s">
        <v>848</v>
      </c>
      <c r="I30" s="2165"/>
    </row>
    <row r="31" spans="1:9" ht="30.75" thickTop="1" x14ac:dyDescent="0.2">
      <c r="A31" s="2246">
        <v>3299</v>
      </c>
      <c r="B31" s="2253">
        <v>5336</v>
      </c>
      <c r="C31" s="2253">
        <v>32133006</v>
      </c>
      <c r="D31" s="2174" t="s">
        <v>1419</v>
      </c>
      <c r="E31" s="2170">
        <v>0</v>
      </c>
      <c r="F31" s="2170">
        <v>131</v>
      </c>
      <c r="G31" s="2236">
        <v>131</v>
      </c>
      <c r="H31" s="2153">
        <f>G31/F31*100</f>
        <v>100</v>
      </c>
      <c r="I31" s="2165"/>
    </row>
    <row r="32" spans="1:9" ht="30.75" thickBot="1" x14ac:dyDescent="0.25">
      <c r="A32" s="2246">
        <v>3299</v>
      </c>
      <c r="B32" s="2253">
        <v>5336</v>
      </c>
      <c r="C32" s="2253">
        <v>32533006</v>
      </c>
      <c r="D32" s="2174" t="s">
        <v>1419</v>
      </c>
      <c r="E32" s="2184">
        <v>0</v>
      </c>
      <c r="F32" s="2184">
        <v>742</v>
      </c>
      <c r="G32" s="2233">
        <v>742</v>
      </c>
      <c r="H32" s="2156">
        <f>G32/F32*100</f>
        <v>100</v>
      </c>
      <c r="I32" s="2165"/>
    </row>
    <row r="33" spans="1:9" ht="30.75" hidden="1" thickBot="1" x14ac:dyDescent="0.25">
      <c r="A33" s="2246">
        <v>3299</v>
      </c>
      <c r="B33" s="2253">
        <v>6351</v>
      </c>
      <c r="C33" s="2253">
        <v>32133006</v>
      </c>
      <c r="D33" s="2174" t="s">
        <v>1433</v>
      </c>
      <c r="E33" s="2184">
        <v>0</v>
      </c>
      <c r="F33" s="2184">
        <v>0</v>
      </c>
      <c r="G33" s="2233">
        <v>0</v>
      </c>
      <c r="H33" s="2156" t="e">
        <f>G33/F33*100</f>
        <v>#DIV/0!</v>
      </c>
      <c r="I33" s="2165"/>
    </row>
    <row r="34" spans="1:9" ht="30.75" hidden="1" thickBot="1" x14ac:dyDescent="0.25">
      <c r="A34" s="2246">
        <v>3299</v>
      </c>
      <c r="B34" s="2253">
        <v>6351</v>
      </c>
      <c r="C34" s="2253">
        <v>32533006</v>
      </c>
      <c r="D34" s="2174" t="s">
        <v>1433</v>
      </c>
      <c r="E34" s="2184">
        <v>0</v>
      </c>
      <c r="F34" s="2184">
        <v>0</v>
      </c>
      <c r="G34" s="2233">
        <v>0</v>
      </c>
      <c r="H34" s="2156" t="e">
        <f>G34/F34*100</f>
        <v>#DIV/0!</v>
      </c>
      <c r="I34" s="2165"/>
    </row>
    <row r="35" spans="1:9" ht="16.5" thickTop="1" thickBot="1" x14ac:dyDescent="0.3">
      <c r="A35" s="2175" t="s">
        <v>849</v>
      </c>
      <c r="B35" s="2176"/>
      <c r="C35" s="2176"/>
      <c r="D35" s="2177"/>
      <c r="E35" s="2152">
        <f>SUM(E31:E34)</f>
        <v>0</v>
      </c>
      <c r="F35" s="2152">
        <f>SUM(F31:F34)</f>
        <v>873</v>
      </c>
      <c r="G35" s="2152">
        <f>SUM(G31:G34)</f>
        <v>873</v>
      </c>
      <c r="H35" s="2157">
        <f>G35/F35*100</f>
        <v>100</v>
      </c>
      <c r="I35" s="2165"/>
    </row>
    <row r="36" spans="1:9" ht="13.5" thickTop="1" x14ac:dyDescent="0.2">
      <c r="I36" s="2165"/>
    </row>
    <row r="37" spans="1:9" ht="15" x14ac:dyDescent="0.25">
      <c r="A37" s="2136" t="s">
        <v>1263</v>
      </c>
      <c r="D37" s="2130"/>
      <c r="E37" s="2131"/>
      <c r="H37" s="2165"/>
      <c r="I37" s="2165"/>
    </row>
    <row r="38" spans="1:9" ht="15.75" thickBot="1" x14ac:dyDescent="0.3">
      <c r="A38" s="2136" t="s">
        <v>1111</v>
      </c>
      <c r="D38" s="2130"/>
      <c r="E38" s="2131"/>
      <c r="H38" s="2240" t="s">
        <v>179</v>
      </c>
      <c r="I38" s="2165"/>
    </row>
    <row r="39" spans="1:9" ht="25.5" thickTop="1" thickBot="1" x14ac:dyDescent="0.25">
      <c r="A39" s="2138" t="s">
        <v>180</v>
      </c>
      <c r="B39" s="2139" t="s">
        <v>847</v>
      </c>
      <c r="C39" s="2139" t="s">
        <v>414</v>
      </c>
      <c r="D39" s="2140" t="s">
        <v>182</v>
      </c>
      <c r="E39" s="2171" t="s">
        <v>700</v>
      </c>
      <c r="F39" s="2171" t="s">
        <v>701</v>
      </c>
      <c r="G39" s="2172" t="s">
        <v>986</v>
      </c>
      <c r="H39" s="2173" t="s">
        <v>987</v>
      </c>
      <c r="I39" s="2165"/>
    </row>
    <row r="40" spans="1:9" ht="14.25" thickTop="1" thickBot="1" x14ac:dyDescent="0.25">
      <c r="A40" s="1854">
        <v>1</v>
      </c>
      <c r="B40" s="1853">
        <v>2</v>
      </c>
      <c r="C40" s="1853">
        <v>3</v>
      </c>
      <c r="D40" s="1853">
        <v>5</v>
      </c>
      <c r="E40" s="1852">
        <v>6</v>
      </c>
      <c r="F40" s="1852">
        <v>7</v>
      </c>
      <c r="G40" s="2223">
        <v>8</v>
      </c>
      <c r="H40" s="2146" t="s">
        <v>848</v>
      </c>
      <c r="I40" s="2165"/>
    </row>
    <row r="41" spans="1:9" ht="30.75" thickTop="1" x14ac:dyDescent="0.2">
      <c r="A41" s="2246">
        <v>3299</v>
      </c>
      <c r="B41" s="2277">
        <v>5336</v>
      </c>
      <c r="C41" s="2253">
        <v>32133006</v>
      </c>
      <c r="D41" s="2174" t="s">
        <v>1419</v>
      </c>
      <c r="E41" s="2170">
        <v>0</v>
      </c>
      <c r="F41" s="2170">
        <v>25</v>
      </c>
      <c r="G41" s="2236">
        <v>25</v>
      </c>
      <c r="H41" s="2153">
        <f>G41/F41*100</f>
        <v>100</v>
      </c>
      <c r="I41" s="2165"/>
    </row>
    <row r="42" spans="1:9" ht="30.75" thickBot="1" x14ac:dyDescent="0.25">
      <c r="A42" s="2246">
        <v>3299</v>
      </c>
      <c r="B42" s="2277">
        <v>5336</v>
      </c>
      <c r="C42" s="2253">
        <v>32533006</v>
      </c>
      <c r="D42" s="2174" t="s">
        <v>1419</v>
      </c>
      <c r="E42" s="2184">
        <v>0</v>
      </c>
      <c r="F42" s="2184">
        <v>143</v>
      </c>
      <c r="G42" s="2233">
        <v>143</v>
      </c>
      <c r="H42" s="2156">
        <f>G42/F42*100</f>
        <v>100</v>
      </c>
      <c r="I42" s="2165"/>
    </row>
    <row r="43" spans="1:9" ht="16.5" thickTop="1" thickBot="1" x14ac:dyDescent="0.3">
      <c r="A43" s="2175" t="s">
        <v>849</v>
      </c>
      <c r="B43" s="2176"/>
      <c r="C43" s="2176"/>
      <c r="D43" s="2177"/>
      <c r="E43" s="2152">
        <f>SUM(E41:E42)</f>
        <v>0</v>
      </c>
      <c r="F43" s="2152">
        <f>SUM(F41:F42)</f>
        <v>168</v>
      </c>
      <c r="G43" s="2152">
        <f>SUM(G41:G42)</f>
        <v>168</v>
      </c>
      <c r="H43" s="2157">
        <f>G43/F43*100</f>
        <v>100</v>
      </c>
      <c r="I43" s="2165"/>
    </row>
    <row r="44" spans="1:9" ht="13.5" thickTop="1" x14ac:dyDescent="0.2">
      <c r="I44" s="2165"/>
    </row>
    <row r="45" spans="1:9" x14ac:dyDescent="0.2">
      <c r="I45" s="2165"/>
    </row>
    <row r="46" spans="1:9" x14ac:dyDescent="0.2">
      <c r="I46" s="2165"/>
    </row>
    <row r="47" spans="1:9" x14ac:dyDescent="0.2">
      <c r="I47" s="2165"/>
    </row>
    <row r="48" spans="1:9" x14ac:dyDescent="0.2">
      <c r="I48" s="2165"/>
    </row>
    <row r="49" spans="1:9" x14ac:dyDescent="0.2">
      <c r="I49" s="2165"/>
    </row>
    <row r="50" spans="1:9" x14ac:dyDescent="0.2">
      <c r="I50" s="2165"/>
    </row>
    <row r="51" spans="1:9" x14ac:dyDescent="0.2">
      <c r="I51" s="2165"/>
    </row>
    <row r="52" spans="1:9" ht="15" x14ac:dyDescent="0.25">
      <c r="A52" s="2136" t="s">
        <v>1942</v>
      </c>
      <c r="D52" s="2130"/>
      <c r="E52" s="2131"/>
      <c r="H52" s="2165"/>
      <c r="I52" s="2165"/>
    </row>
    <row r="53" spans="1:9" ht="15.75" thickBot="1" x14ac:dyDescent="0.3">
      <c r="A53" s="2136" t="s">
        <v>1577</v>
      </c>
      <c r="D53" s="2130"/>
      <c r="E53" s="2131"/>
      <c r="H53" s="2240" t="s">
        <v>179</v>
      </c>
      <c r="I53" s="2165"/>
    </row>
    <row r="54" spans="1:9" ht="25.5" thickTop="1" thickBot="1" x14ac:dyDescent="0.25">
      <c r="A54" s="2138" t="s">
        <v>180</v>
      </c>
      <c r="B54" s="2139" t="s">
        <v>847</v>
      </c>
      <c r="C54" s="2139" t="s">
        <v>414</v>
      </c>
      <c r="D54" s="2140" t="s">
        <v>182</v>
      </c>
      <c r="E54" s="2171" t="s">
        <v>700</v>
      </c>
      <c r="F54" s="2171" t="s">
        <v>701</v>
      </c>
      <c r="G54" s="2172" t="s">
        <v>986</v>
      </c>
      <c r="H54" s="2173" t="s">
        <v>987</v>
      </c>
      <c r="I54" s="2165"/>
    </row>
    <row r="55" spans="1:9" ht="14.25" thickTop="1" thickBot="1" x14ac:dyDescent="0.25">
      <c r="A55" s="1854">
        <v>1</v>
      </c>
      <c r="B55" s="1853">
        <v>2</v>
      </c>
      <c r="C55" s="1853">
        <v>3</v>
      </c>
      <c r="D55" s="1853">
        <v>5</v>
      </c>
      <c r="E55" s="1852">
        <v>6</v>
      </c>
      <c r="F55" s="1852">
        <v>7</v>
      </c>
      <c r="G55" s="2223">
        <v>8</v>
      </c>
      <c r="H55" s="2146" t="s">
        <v>848</v>
      </c>
      <c r="I55" s="2165"/>
    </row>
    <row r="56" spans="1:9" ht="30.75" thickTop="1" x14ac:dyDescent="0.2">
      <c r="A56" s="2246">
        <v>3299</v>
      </c>
      <c r="B56" s="2277">
        <v>5336</v>
      </c>
      <c r="C56" s="2253">
        <v>32133006</v>
      </c>
      <c r="D56" s="2174" t="s">
        <v>1419</v>
      </c>
      <c r="E56" s="2170">
        <v>0</v>
      </c>
      <c r="F56" s="2170">
        <v>125</v>
      </c>
      <c r="G56" s="2236">
        <v>108</v>
      </c>
      <c r="H56" s="2153">
        <f>G56/F56*100</f>
        <v>86.4</v>
      </c>
      <c r="I56" s="2165"/>
    </row>
    <row r="57" spans="1:9" ht="30.75" thickBot="1" x14ac:dyDescent="0.25">
      <c r="A57" s="2246">
        <v>3299</v>
      </c>
      <c r="B57" s="2277">
        <v>5336</v>
      </c>
      <c r="C57" s="2253">
        <v>32533006</v>
      </c>
      <c r="D57" s="2174" t="s">
        <v>1419</v>
      </c>
      <c r="E57" s="2184">
        <v>0</v>
      </c>
      <c r="F57" s="2184">
        <v>710</v>
      </c>
      <c r="G57" s="2233">
        <v>611</v>
      </c>
      <c r="H57" s="2156">
        <f>G57/F57*100</f>
        <v>86.056338028169009</v>
      </c>
      <c r="I57" s="2165"/>
    </row>
    <row r="58" spans="1:9" ht="16.5" thickTop="1" thickBot="1" x14ac:dyDescent="0.3">
      <c r="A58" s="2175" t="s">
        <v>849</v>
      </c>
      <c r="B58" s="2176"/>
      <c r="C58" s="2176"/>
      <c r="D58" s="2177"/>
      <c r="E58" s="2152">
        <f>SUM(E56:E57)</f>
        <v>0</v>
      </c>
      <c r="F58" s="2152">
        <f>SUM(F56:F57)</f>
        <v>835</v>
      </c>
      <c r="G58" s="2152">
        <f>SUM(G56:G57)</f>
        <v>719</v>
      </c>
      <c r="H58" s="2157">
        <f>G58/F58*100</f>
        <v>86.107784431137731</v>
      </c>
      <c r="I58" s="2165"/>
    </row>
    <row r="59" spans="1:9" ht="9" customHeight="1" thickTop="1" x14ac:dyDescent="0.2">
      <c r="I59" s="2165"/>
    </row>
    <row r="60" spans="1:9" ht="15" x14ac:dyDescent="0.25">
      <c r="A60" s="2136" t="s">
        <v>54</v>
      </c>
      <c r="D60" s="2130"/>
      <c r="E60" s="2131"/>
      <c r="H60" s="2165"/>
      <c r="I60" s="2165"/>
    </row>
    <row r="61" spans="1:9" ht="15.75" thickBot="1" x14ac:dyDescent="0.3">
      <c r="A61" s="2136" t="s">
        <v>1112</v>
      </c>
      <c r="D61" s="2130"/>
      <c r="E61" s="2131"/>
      <c r="H61" s="2240" t="s">
        <v>179</v>
      </c>
      <c r="I61" s="2165"/>
    </row>
    <row r="62" spans="1:9" ht="25.5" thickTop="1" thickBot="1" x14ac:dyDescent="0.25">
      <c r="A62" s="2138" t="s">
        <v>180</v>
      </c>
      <c r="B62" s="2139" t="s">
        <v>847</v>
      </c>
      <c r="C62" s="2139" t="s">
        <v>414</v>
      </c>
      <c r="D62" s="2140" t="s">
        <v>182</v>
      </c>
      <c r="E62" s="2171" t="s">
        <v>700</v>
      </c>
      <c r="F62" s="2171" t="s">
        <v>701</v>
      </c>
      <c r="G62" s="2172" t="s">
        <v>986</v>
      </c>
      <c r="H62" s="2173" t="s">
        <v>987</v>
      </c>
      <c r="I62" s="2165"/>
    </row>
    <row r="63" spans="1:9" ht="14.25" thickTop="1" thickBot="1" x14ac:dyDescent="0.25">
      <c r="A63" s="1854">
        <v>1</v>
      </c>
      <c r="B63" s="1853">
        <v>2</v>
      </c>
      <c r="C63" s="1853">
        <v>3</v>
      </c>
      <c r="D63" s="1853">
        <v>5</v>
      </c>
      <c r="E63" s="1852">
        <v>6</v>
      </c>
      <c r="F63" s="1852">
        <v>7</v>
      </c>
      <c r="G63" s="2223">
        <v>8</v>
      </c>
      <c r="H63" s="2146" t="s">
        <v>848</v>
      </c>
      <c r="I63" s="2165"/>
    </row>
    <row r="64" spans="1:9" ht="30.75" thickTop="1" x14ac:dyDescent="0.2">
      <c r="A64" s="2246">
        <v>3299</v>
      </c>
      <c r="B64" s="2277">
        <v>5336</v>
      </c>
      <c r="C64" s="2253">
        <v>32133006</v>
      </c>
      <c r="D64" s="2174" t="s">
        <v>1419</v>
      </c>
      <c r="E64" s="2170">
        <v>0</v>
      </c>
      <c r="F64" s="2170">
        <v>130</v>
      </c>
      <c r="G64" s="2236">
        <v>76</v>
      </c>
      <c r="H64" s="2153">
        <f>G64/F64*100</f>
        <v>58.461538461538467</v>
      </c>
      <c r="I64" s="2165"/>
    </row>
    <row r="65" spans="1:9" ht="30" x14ac:dyDescent="0.2">
      <c r="A65" s="2246">
        <v>3299</v>
      </c>
      <c r="B65" s="2277">
        <v>5336</v>
      </c>
      <c r="C65" s="2253">
        <v>32533006</v>
      </c>
      <c r="D65" s="2174" t="s">
        <v>1419</v>
      </c>
      <c r="E65" s="2184">
        <v>0</v>
      </c>
      <c r="F65" s="2184">
        <v>735</v>
      </c>
      <c r="G65" s="2233">
        <v>428</v>
      </c>
      <c r="H65" s="2156">
        <f>G65/F65*100</f>
        <v>58.231292517006807</v>
      </c>
      <c r="I65" s="2165"/>
    </row>
    <row r="66" spans="1:9" ht="30" x14ac:dyDescent="0.2">
      <c r="A66" s="2246">
        <v>3299</v>
      </c>
      <c r="B66" s="2277">
        <v>6351</v>
      </c>
      <c r="C66" s="2253">
        <v>32133006</v>
      </c>
      <c r="D66" s="2273" t="s">
        <v>1433</v>
      </c>
      <c r="E66" s="2184">
        <v>0</v>
      </c>
      <c r="F66" s="2184">
        <v>12</v>
      </c>
      <c r="G66" s="2233">
        <v>0</v>
      </c>
      <c r="H66" s="2156">
        <f>G66/F66*100</f>
        <v>0</v>
      </c>
      <c r="I66" s="2165"/>
    </row>
    <row r="67" spans="1:9" ht="30.75" thickBot="1" x14ac:dyDescent="0.25">
      <c r="A67" s="2246">
        <v>3299</v>
      </c>
      <c r="B67" s="2277">
        <v>6351</v>
      </c>
      <c r="C67" s="2253">
        <v>32533006</v>
      </c>
      <c r="D67" s="2273" t="s">
        <v>1433</v>
      </c>
      <c r="E67" s="2184">
        <v>0</v>
      </c>
      <c r="F67" s="2184">
        <v>66</v>
      </c>
      <c r="G67" s="2233">
        <v>0</v>
      </c>
      <c r="H67" s="2156">
        <f>G67/F67*100</f>
        <v>0</v>
      </c>
      <c r="I67" s="2165"/>
    </row>
    <row r="68" spans="1:9" ht="16.5" thickTop="1" thickBot="1" x14ac:dyDescent="0.3">
      <c r="A68" s="2175" t="s">
        <v>849</v>
      </c>
      <c r="B68" s="2176"/>
      <c r="C68" s="2176"/>
      <c r="D68" s="2177"/>
      <c r="E68" s="2152">
        <f>SUM(E64:E65)</f>
        <v>0</v>
      </c>
      <c r="F68" s="2152">
        <f>SUM(F64:F67)</f>
        <v>943</v>
      </c>
      <c r="G68" s="2152">
        <f>SUM(G64:G67)</f>
        <v>504</v>
      </c>
      <c r="H68" s="2157">
        <f>G68/F68*100</f>
        <v>53.446447507953344</v>
      </c>
      <c r="I68" s="2165"/>
    </row>
    <row r="69" spans="1:9" ht="7.5" customHeight="1" thickTop="1" x14ac:dyDescent="0.2">
      <c r="I69" s="2165"/>
    </row>
    <row r="70" spans="1:9" ht="15" x14ac:dyDescent="0.25">
      <c r="A70" s="2136" t="s">
        <v>1943</v>
      </c>
      <c r="D70" s="2130"/>
      <c r="E70" s="2131"/>
      <c r="H70" s="2165"/>
      <c r="I70" s="2165"/>
    </row>
    <row r="71" spans="1:9" ht="15.75" thickBot="1" x14ac:dyDescent="0.3">
      <c r="A71" s="2136" t="s">
        <v>1113</v>
      </c>
      <c r="D71" s="2130"/>
      <c r="E71" s="2131"/>
      <c r="H71" s="2240" t="s">
        <v>179</v>
      </c>
      <c r="I71" s="2165"/>
    </row>
    <row r="72" spans="1:9" ht="25.5" thickTop="1" thickBot="1" x14ac:dyDescent="0.25">
      <c r="A72" s="2138" t="s">
        <v>180</v>
      </c>
      <c r="B72" s="2139" t="s">
        <v>847</v>
      </c>
      <c r="C72" s="2139" t="s">
        <v>414</v>
      </c>
      <c r="D72" s="2140" t="s">
        <v>182</v>
      </c>
      <c r="E72" s="2171" t="s">
        <v>700</v>
      </c>
      <c r="F72" s="2171" t="s">
        <v>701</v>
      </c>
      <c r="G72" s="2172" t="s">
        <v>986</v>
      </c>
      <c r="H72" s="2173" t="s">
        <v>987</v>
      </c>
      <c r="I72" s="2165"/>
    </row>
    <row r="73" spans="1:9" ht="14.25" thickTop="1" thickBot="1" x14ac:dyDescent="0.25">
      <c r="A73" s="1854">
        <v>1</v>
      </c>
      <c r="B73" s="1853">
        <v>2</v>
      </c>
      <c r="C73" s="1853">
        <v>3</v>
      </c>
      <c r="D73" s="1853">
        <v>5</v>
      </c>
      <c r="E73" s="1852">
        <v>6</v>
      </c>
      <c r="F73" s="1852">
        <v>7</v>
      </c>
      <c r="G73" s="2223">
        <v>8</v>
      </c>
      <c r="H73" s="2146" t="s">
        <v>848</v>
      </c>
      <c r="I73" s="2165"/>
    </row>
    <row r="74" spans="1:9" ht="30.75" thickTop="1" x14ac:dyDescent="0.2">
      <c r="A74" s="2246">
        <v>3299</v>
      </c>
      <c r="B74" s="2277">
        <v>5336</v>
      </c>
      <c r="C74" s="2253">
        <v>32133006</v>
      </c>
      <c r="D74" s="2174" t="s">
        <v>1419</v>
      </c>
      <c r="E74" s="2170">
        <v>0</v>
      </c>
      <c r="F74" s="2170">
        <v>169</v>
      </c>
      <c r="G74" s="2236">
        <v>85</v>
      </c>
      <c r="H74" s="2153">
        <f>G74/F74*100</f>
        <v>50.295857988165679</v>
      </c>
      <c r="I74" s="2165"/>
    </row>
    <row r="75" spans="1:9" ht="30.75" thickBot="1" x14ac:dyDescent="0.25">
      <c r="A75" s="2246">
        <v>3299</v>
      </c>
      <c r="B75" s="2277">
        <v>5336</v>
      </c>
      <c r="C75" s="2253">
        <v>32533006</v>
      </c>
      <c r="D75" s="2174" t="s">
        <v>1419</v>
      </c>
      <c r="E75" s="2184">
        <v>0</v>
      </c>
      <c r="F75" s="2184">
        <v>960</v>
      </c>
      <c r="G75" s="2233">
        <v>482</v>
      </c>
      <c r="H75" s="2156">
        <f>G75/F75*100</f>
        <v>50.208333333333336</v>
      </c>
      <c r="I75" s="2165"/>
    </row>
    <row r="76" spans="1:9" ht="16.5" thickTop="1" thickBot="1" x14ac:dyDescent="0.3">
      <c r="A76" s="2175" t="s">
        <v>849</v>
      </c>
      <c r="B76" s="2176"/>
      <c r="C76" s="2176"/>
      <c r="D76" s="2177"/>
      <c r="E76" s="2152">
        <f>SUM(E74:E75)</f>
        <v>0</v>
      </c>
      <c r="F76" s="2152">
        <f>SUM(F74:F75)</f>
        <v>1129</v>
      </c>
      <c r="G76" s="2152">
        <f>SUM(G74:G75)</f>
        <v>567</v>
      </c>
      <c r="H76" s="2157">
        <f>G76/F76*100</f>
        <v>50.221434898139947</v>
      </c>
      <c r="I76" s="2165"/>
    </row>
    <row r="77" spans="1:9" ht="13.5" thickTop="1" x14ac:dyDescent="0.2">
      <c r="I77" s="2165"/>
    </row>
    <row r="78" spans="1:9" ht="15" x14ac:dyDescent="0.25">
      <c r="A78" s="2136" t="s">
        <v>367</v>
      </c>
      <c r="D78" s="2130"/>
      <c r="E78" s="2131"/>
      <c r="H78" s="2165"/>
      <c r="I78" s="2165"/>
    </row>
    <row r="79" spans="1:9" ht="15.75" thickBot="1" x14ac:dyDescent="0.3">
      <c r="A79" s="2136" t="s">
        <v>1285</v>
      </c>
      <c r="D79" s="2130"/>
      <c r="E79" s="2131"/>
      <c r="H79" s="2240" t="s">
        <v>179</v>
      </c>
      <c r="I79" s="2165"/>
    </row>
    <row r="80" spans="1:9" ht="25.5" thickTop="1" thickBot="1" x14ac:dyDescent="0.25">
      <c r="A80" s="2138" t="s">
        <v>180</v>
      </c>
      <c r="B80" s="2139" t="s">
        <v>847</v>
      </c>
      <c r="C80" s="2139" t="s">
        <v>414</v>
      </c>
      <c r="D80" s="2140" t="s">
        <v>182</v>
      </c>
      <c r="E80" s="2171" t="s">
        <v>700</v>
      </c>
      <c r="F80" s="2171" t="s">
        <v>701</v>
      </c>
      <c r="G80" s="2172" t="s">
        <v>986</v>
      </c>
      <c r="H80" s="2173" t="s">
        <v>987</v>
      </c>
      <c r="I80" s="2165"/>
    </row>
    <row r="81" spans="1:9" ht="14.25" thickTop="1" thickBot="1" x14ac:dyDescent="0.25">
      <c r="A81" s="1854">
        <v>1</v>
      </c>
      <c r="B81" s="1853">
        <v>2</v>
      </c>
      <c r="C81" s="1853">
        <v>3</v>
      </c>
      <c r="D81" s="1853">
        <v>5</v>
      </c>
      <c r="E81" s="1852">
        <v>6</v>
      </c>
      <c r="F81" s="1852">
        <v>7</v>
      </c>
      <c r="G81" s="2223">
        <v>8</v>
      </c>
      <c r="H81" s="2146" t="s">
        <v>848</v>
      </c>
      <c r="I81" s="2165"/>
    </row>
    <row r="82" spans="1:9" ht="30.75" thickTop="1" x14ac:dyDescent="0.2">
      <c r="A82" s="2246">
        <v>3299</v>
      </c>
      <c r="B82" s="2277">
        <v>5336</v>
      </c>
      <c r="C82" s="2253">
        <v>32133006</v>
      </c>
      <c r="D82" s="2174" t="s">
        <v>1419</v>
      </c>
      <c r="E82" s="2170">
        <v>0</v>
      </c>
      <c r="F82" s="2170">
        <v>59</v>
      </c>
      <c r="G82" s="2236">
        <v>59</v>
      </c>
      <c r="H82" s="2153">
        <f>G82/F82*100</f>
        <v>100</v>
      </c>
      <c r="I82" s="2165"/>
    </row>
    <row r="83" spans="1:9" ht="30.75" thickBot="1" x14ac:dyDescent="0.25">
      <c r="A83" s="2246">
        <v>3299</v>
      </c>
      <c r="B83" s="2277">
        <v>5336</v>
      </c>
      <c r="C83" s="2253">
        <v>32533006</v>
      </c>
      <c r="D83" s="2174" t="s">
        <v>1419</v>
      </c>
      <c r="E83" s="2184">
        <v>0</v>
      </c>
      <c r="F83" s="2184">
        <v>336</v>
      </c>
      <c r="G83" s="2233">
        <v>336</v>
      </c>
      <c r="H83" s="2156">
        <f>G83/F83*100</f>
        <v>100</v>
      </c>
      <c r="I83" s="2165"/>
    </row>
    <row r="84" spans="1:9" ht="30.75" hidden="1" thickBot="1" x14ac:dyDescent="0.25">
      <c r="A84" s="2246">
        <v>3299</v>
      </c>
      <c r="B84" s="2253">
        <v>6351</v>
      </c>
      <c r="C84" s="2253">
        <v>32133006</v>
      </c>
      <c r="D84" s="2174" t="s">
        <v>1433</v>
      </c>
      <c r="E84" s="2184">
        <v>0</v>
      </c>
      <c r="F84" s="2184">
        <v>0</v>
      </c>
      <c r="G84" s="2233">
        <v>0</v>
      </c>
      <c r="H84" s="2156" t="e">
        <f>G84/F84*100</f>
        <v>#DIV/0!</v>
      </c>
      <c r="I84" s="2165"/>
    </row>
    <row r="85" spans="1:9" ht="30.75" hidden="1" thickBot="1" x14ac:dyDescent="0.25">
      <c r="A85" s="2246">
        <v>3299</v>
      </c>
      <c r="B85" s="2253">
        <v>6351</v>
      </c>
      <c r="C85" s="2253">
        <v>32533006</v>
      </c>
      <c r="D85" s="2174" t="s">
        <v>1433</v>
      </c>
      <c r="E85" s="2184">
        <v>0</v>
      </c>
      <c r="F85" s="2184">
        <v>0</v>
      </c>
      <c r="G85" s="2233">
        <v>0</v>
      </c>
      <c r="H85" s="2156" t="e">
        <f>G85/F85*100</f>
        <v>#DIV/0!</v>
      </c>
      <c r="I85" s="2165"/>
    </row>
    <row r="86" spans="1:9" ht="16.5" thickTop="1" thickBot="1" x14ac:dyDescent="0.3">
      <c r="A86" s="2175" t="s">
        <v>849</v>
      </c>
      <c r="B86" s="2176"/>
      <c r="C86" s="2176"/>
      <c r="D86" s="2177"/>
      <c r="E86" s="2152">
        <f>SUM(E82:E85)</f>
        <v>0</v>
      </c>
      <c r="F86" s="2152">
        <f>SUM(F82:F85)</f>
        <v>395</v>
      </c>
      <c r="G86" s="2152">
        <f>SUM(G82:G85)</f>
        <v>395</v>
      </c>
      <c r="H86" s="2157">
        <f>G86/F86*100</f>
        <v>100</v>
      </c>
      <c r="I86" s="2165"/>
    </row>
    <row r="87" spans="1:9" ht="10.5" customHeight="1" thickTop="1" x14ac:dyDescent="0.2">
      <c r="I87" s="2165"/>
    </row>
    <row r="88" spans="1:9" ht="15" x14ac:dyDescent="0.25">
      <c r="A88" s="2136" t="s">
        <v>1944</v>
      </c>
      <c r="D88" s="2130"/>
      <c r="E88" s="2131"/>
      <c r="H88" s="2165"/>
      <c r="I88" s="2165"/>
    </row>
    <row r="89" spans="1:9" ht="15.75" thickBot="1" x14ac:dyDescent="0.3">
      <c r="A89" s="2136" t="s">
        <v>1114</v>
      </c>
      <c r="D89" s="2130"/>
      <c r="E89" s="2131"/>
      <c r="H89" s="2240" t="s">
        <v>179</v>
      </c>
      <c r="I89" s="2165"/>
    </row>
    <row r="90" spans="1:9" ht="25.5" thickTop="1" thickBot="1" x14ac:dyDescent="0.25">
      <c r="A90" s="2138" t="s">
        <v>180</v>
      </c>
      <c r="B90" s="2139" t="s">
        <v>847</v>
      </c>
      <c r="C90" s="2139" t="s">
        <v>414</v>
      </c>
      <c r="D90" s="2140" t="s">
        <v>182</v>
      </c>
      <c r="E90" s="2171" t="s">
        <v>700</v>
      </c>
      <c r="F90" s="2171" t="s">
        <v>701</v>
      </c>
      <c r="G90" s="2172" t="s">
        <v>986</v>
      </c>
      <c r="H90" s="2173" t="s">
        <v>987</v>
      </c>
      <c r="I90" s="2165"/>
    </row>
    <row r="91" spans="1:9" ht="14.25" thickTop="1" thickBot="1" x14ac:dyDescent="0.25">
      <c r="A91" s="1854">
        <v>1</v>
      </c>
      <c r="B91" s="1853">
        <v>2</v>
      </c>
      <c r="C91" s="1853">
        <v>3</v>
      </c>
      <c r="D91" s="1853">
        <v>5</v>
      </c>
      <c r="E91" s="1852">
        <v>6</v>
      </c>
      <c r="F91" s="1852">
        <v>7</v>
      </c>
      <c r="G91" s="2223">
        <v>8</v>
      </c>
      <c r="H91" s="2146" t="s">
        <v>848</v>
      </c>
      <c r="I91" s="2165"/>
    </row>
    <row r="92" spans="1:9" ht="30.75" thickTop="1" x14ac:dyDescent="0.2">
      <c r="A92" s="2246">
        <v>3299</v>
      </c>
      <c r="B92" s="2277">
        <v>5336</v>
      </c>
      <c r="C92" s="2253">
        <v>32133006</v>
      </c>
      <c r="D92" s="2174" t="s">
        <v>1419</v>
      </c>
      <c r="E92" s="2170">
        <v>0</v>
      </c>
      <c r="F92" s="2170">
        <v>49</v>
      </c>
      <c r="G92" s="2236">
        <v>49</v>
      </c>
      <c r="H92" s="2153">
        <f>G92/F92*100</f>
        <v>100</v>
      </c>
      <c r="I92" s="2165"/>
    </row>
    <row r="93" spans="1:9" ht="30.75" thickBot="1" x14ac:dyDescent="0.25">
      <c r="A93" s="2246">
        <v>3299</v>
      </c>
      <c r="B93" s="2277">
        <v>5336</v>
      </c>
      <c r="C93" s="2253">
        <v>32533006</v>
      </c>
      <c r="D93" s="2174" t="s">
        <v>1419</v>
      </c>
      <c r="E93" s="2184">
        <v>0</v>
      </c>
      <c r="F93" s="2184">
        <v>278</v>
      </c>
      <c r="G93" s="2233">
        <v>278</v>
      </c>
      <c r="H93" s="2156">
        <f>G93/F93*100</f>
        <v>100</v>
      </c>
      <c r="I93" s="2165"/>
    </row>
    <row r="94" spans="1:9" ht="30.75" hidden="1" thickBot="1" x14ac:dyDescent="0.25">
      <c r="A94" s="2246">
        <v>3299</v>
      </c>
      <c r="B94" s="2253">
        <v>6351</v>
      </c>
      <c r="C94" s="2253">
        <v>32133006</v>
      </c>
      <c r="D94" s="2174" t="s">
        <v>1433</v>
      </c>
      <c r="E94" s="2184">
        <v>0</v>
      </c>
      <c r="F94" s="2184">
        <v>0</v>
      </c>
      <c r="G94" s="2233">
        <v>0</v>
      </c>
      <c r="H94" s="2156" t="e">
        <f>G94/F94*100</f>
        <v>#DIV/0!</v>
      </c>
      <c r="I94" s="2165"/>
    </row>
    <row r="95" spans="1:9" ht="30.75" hidden="1" thickBot="1" x14ac:dyDescent="0.25">
      <c r="A95" s="2246">
        <v>3299</v>
      </c>
      <c r="B95" s="2253">
        <v>6351</v>
      </c>
      <c r="C95" s="2253">
        <v>32533006</v>
      </c>
      <c r="D95" s="2174" t="s">
        <v>1433</v>
      </c>
      <c r="E95" s="2184">
        <v>0</v>
      </c>
      <c r="F95" s="2184">
        <v>0</v>
      </c>
      <c r="G95" s="2233">
        <v>0</v>
      </c>
      <c r="H95" s="2156" t="e">
        <f>G95/F95*100</f>
        <v>#DIV/0!</v>
      </c>
      <c r="I95" s="2165"/>
    </row>
    <row r="96" spans="1:9" ht="16.5" thickTop="1" thickBot="1" x14ac:dyDescent="0.3">
      <c r="A96" s="2175" t="s">
        <v>849</v>
      </c>
      <c r="B96" s="2176"/>
      <c r="C96" s="2176"/>
      <c r="D96" s="2177"/>
      <c r="E96" s="2152">
        <f>SUM(E92:E95)</f>
        <v>0</v>
      </c>
      <c r="F96" s="2152">
        <f>SUM(F92:F95)</f>
        <v>327</v>
      </c>
      <c r="G96" s="2152">
        <f>SUM(G92:G95)</f>
        <v>327</v>
      </c>
      <c r="H96" s="2157">
        <f>G96/F96*100</f>
        <v>100</v>
      </c>
      <c r="I96" s="2165"/>
    </row>
    <row r="97" spans="1:9" ht="8.25" customHeight="1" thickTop="1" x14ac:dyDescent="0.2">
      <c r="I97" s="2165"/>
    </row>
    <row r="98" spans="1:9" ht="15" hidden="1" x14ac:dyDescent="0.25">
      <c r="A98" s="2136" t="s">
        <v>1115</v>
      </c>
      <c r="D98" s="2130"/>
      <c r="E98" s="2131"/>
      <c r="H98" s="2165"/>
      <c r="I98" s="2165"/>
    </row>
    <row r="99" spans="1:9" ht="15" hidden="1" x14ac:dyDescent="0.25">
      <c r="A99" s="2136" t="s">
        <v>210</v>
      </c>
      <c r="D99" s="2130"/>
      <c r="E99" s="2131"/>
      <c r="H99" s="2165" t="s">
        <v>179</v>
      </c>
      <c r="I99" s="2165"/>
    </row>
    <row r="100" spans="1:9" ht="25.5" hidden="1" thickTop="1" thickBot="1" x14ac:dyDescent="0.25">
      <c r="A100" s="2138" t="s">
        <v>180</v>
      </c>
      <c r="B100" s="2139" t="s">
        <v>847</v>
      </c>
      <c r="C100" s="2139" t="s">
        <v>414</v>
      </c>
      <c r="D100" s="2140" t="s">
        <v>182</v>
      </c>
      <c r="E100" s="2171" t="s">
        <v>700</v>
      </c>
      <c r="F100" s="2171" t="s">
        <v>701</v>
      </c>
      <c r="G100" s="2172" t="s">
        <v>986</v>
      </c>
      <c r="H100" s="2173" t="s">
        <v>987</v>
      </c>
      <c r="I100" s="2165"/>
    </row>
    <row r="101" spans="1:9" ht="14.25" hidden="1" thickTop="1" thickBot="1" x14ac:dyDescent="0.25">
      <c r="A101" s="1854">
        <v>1</v>
      </c>
      <c r="B101" s="1853">
        <v>2</v>
      </c>
      <c r="C101" s="1853">
        <v>3</v>
      </c>
      <c r="D101" s="1853">
        <v>5</v>
      </c>
      <c r="E101" s="1852">
        <v>6</v>
      </c>
      <c r="F101" s="1852">
        <v>7</v>
      </c>
      <c r="G101" s="2223">
        <v>8</v>
      </c>
      <c r="H101" s="2146" t="s">
        <v>848</v>
      </c>
      <c r="I101" s="2165"/>
    </row>
    <row r="102" spans="1:9" ht="30.75" hidden="1" thickTop="1" x14ac:dyDescent="0.2">
      <c r="A102" s="2246">
        <v>3299</v>
      </c>
      <c r="B102" s="2277">
        <v>5336</v>
      </c>
      <c r="C102" s="2253">
        <v>32133006</v>
      </c>
      <c r="D102" s="2273" t="s">
        <v>1570</v>
      </c>
      <c r="E102" s="2170">
        <v>0</v>
      </c>
      <c r="F102" s="2170">
        <v>0</v>
      </c>
      <c r="G102" s="2236">
        <v>0</v>
      </c>
      <c r="H102" s="2153" t="e">
        <f>G102/F102*100</f>
        <v>#DIV/0!</v>
      </c>
      <c r="I102" s="2165"/>
    </row>
    <row r="103" spans="1:9" ht="30" hidden="1" x14ac:dyDescent="0.2">
      <c r="A103" s="2246">
        <v>3299</v>
      </c>
      <c r="B103" s="2277">
        <v>5336</v>
      </c>
      <c r="C103" s="2253">
        <v>32533006</v>
      </c>
      <c r="D103" s="2174" t="s">
        <v>1419</v>
      </c>
      <c r="E103" s="2184">
        <v>0</v>
      </c>
      <c r="F103" s="2184">
        <v>0</v>
      </c>
      <c r="G103" s="2233">
        <v>0</v>
      </c>
      <c r="H103" s="2156" t="e">
        <f>G103/F103*100</f>
        <v>#DIV/0!</v>
      </c>
      <c r="I103" s="2165"/>
    </row>
    <row r="104" spans="1:9" ht="16.5" hidden="1" thickTop="1" thickBot="1" x14ac:dyDescent="0.3">
      <c r="A104" s="2175" t="s">
        <v>849</v>
      </c>
      <c r="B104" s="2176"/>
      <c r="C104" s="2176"/>
      <c r="D104" s="2177"/>
      <c r="E104" s="2152">
        <f>SUM(E102:E103)</f>
        <v>0</v>
      </c>
      <c r="F104" s="2152">
        <f>SUM(F102:F103)</f>
        <v>0</v>
      </c>
      <c r="G104" s="2152">
        <f>SUM(G102:G103)</f>
        <v>0</v>
      </c>
      <c r="H104" s="2157" t="e">
        <f>G104/F104*100</f>
        <v>#DIV/0!</v>
      </c>
      <c r="I104" s="2165"/>
    </row>
    <row r="105" spans="1:9" ht="15" hidden="1" x14ac:dyDescent="0.25">
      <c r="A105" s="2189"/>
      <c r="B105" s="2189"/>
      <c r="C105" s="2189"/>
      <c r="D105" s="2189"/>
      <c r="E105" s="2159"/>
      <c r="F105" s="2159"/>
      <c r="G105" s="2159"/>
      <c r="H105" s="2190"/>
      <c r="I105" s="2165"/>
    </row>
    <row r="106" spans="1:9" ht="15" x14ac:dyDescent="0.25">
      <c r="A106" s="2278" t="s">
        <v>1945</v>
      </c>
      <c r="B106" s="2278"/>
      <c r="C106" s="2278"/>
      <c r="D106" s="2278"/>
      <c r="E106" s="2278"/>
      <c r="F106" s="2279"/>
      <c r="G106" s="2279"/>
      <c r="H106" s="2279"/>
      <c r="I106" s="2279"/>
    </row>
    <row r="107" spans="1:9" ht="15.75" thickBot="1" x14ac:dyDescent="0.3">
      <c r="A107" s="2278" t="s">
        <v>1576</v>
      </c>
      <c r="B107" s="2278"/>
      <c r="C107" s="2280"/>
      <c r="D107" s="2280"/>
      <c r="E107" s="2281"/>
      <c r="F107" s="2279"/>
      <c r="G107" s="2279"/>
      <c r="H107" s="2282" t="s">
        <v>179</v>
      </c>
      <c r="I107" s="2279"/>
    </row>
    <row r="108" spans="1:9" ht="25.5" thickTop="1" thickBot="1" x14ac:dyDescent="0.25">
      <c r="A108" s="2283" t="s">
        <v>180</v>
      </c>
      <c r="B108" s="2284" t="s">
        <v>847</v>
      </c>
      <c r="C108" s="2284" t="s">
        <v>414</v>
      </c>
      <c r="D108" s="2285" t="s">
        <v>182</v>
      </c>
      <c r="E108" s="2286" t="s">
        <v>700</v>
      </c>
      <c r="F108" s="2286" t="s">
        <v>701</v>
      </c>
      <c r="G108" s="2287" t="s">
        <v>986</v>
      </c>
      <c r="H108" s="2288" t="s">
        <v>987</v>
      </c>
      <c r="I108" s="2279"/>
    </row>
    <row r="109" spans="1:9" ht="14.25" thickTop="1" thickBot="1" x14ac:dyDescent="0.25">
      <c r="A109" s="2289">
        <v>1</v>
      </c>
      <c r="B109" s="2290">
        <v>2</v>
      </c>
      <c r="C109" s="2290">
        <v>3</v>
      </c>
      <c r="D109" s="2290">
        <v>5</v>
      </c>
      <c r="E109" s="2291">
        <v>6</v>
      </c>
      <c r="F109" s="2291">
        <v>7</v>
      </c>
      <c r="G109" s="2292">
        <v>8</v>
      </c>
      <c r="H109" s="2293" t="s">
        <v>848</v>
      </c>
      <c r="I109" s="2279"/>
    </row>
    <row r="110" spans="1:9" ht="30.75" thickTop="1" x14ac:dyDescent="0.2">
      <c r="A110" s="2294">
        <v>3299</v>
      </c>
      <c r="B110" s="2295">
        <v>5336</v>
      </c>
      <c r="C110" s="2295">
        <v>32133006</v>
      </c>
      <c r="D110" s="2174" t="s">
        <v>1419</v>
      </c>
      <c r="E110" s="2296">
        <v>0</v>
      </c>
      <c r="F110" s="2296">
        <v>171</v>
      </c>
      <c r="G110" s="2297">
        <v>133</v>
      </c>
      <c r="H110" s="2298">
        <v>88.6</v>
      </c>
      <c r="I110" s="2279"/>
    </row>
    <row r="111" spans="1:9" ht="30.75" thickBot="1" x14ac:dyDescent="0.25">
      <c r="A111" s="2294">
        <v>3299</v>
      </c>
      <c r="B111" s="2295">
        <v>5336</v>
      </c>
      <c r="C111" s="2295">
        <v>32533006</v>
      </c>
      <c r="D111" s="2174" t="s">
        <v>1419</v>
      </c>
      <c r="E111" s="2296">
        <v>0</v>
      </c>
      <c r="F111" s="2296">
        <v>966</v>
      </c>
      <c r="G111" s="2297">
        <v>753</v>
      </c>
      <c r="H111" s="2298">
        <v>89.1</v>
      </c>
      <c r="I111" s="2279"/>
    </row>
    <row r="112" spans="1:9" ht="16.5" thickTop="1" thickBot="1" x14ac:dyDescent="0.3">
      <c r="A112" s="2299" t="s">
        <v>849</v>
      </c>
      <c r="B112" s="2300"/>
      <c r="C112" s="2300"/>
      <c r="D112" s="2301"/>
      <c r="E112" s="2302">
        <v>0</v>
      </c>
      <c r="F112" s="2302">
        <f>SUM(F110:F111)</f>
        <v>1137</v>
      </c>
      <c r="G112" s="2302">
        <f>SUM(G110:G111)</f>
        <v>886</v>
      </c>
      <c r="H112" s="2303">
        <v>89</v>
      </c>
      <c r="I112" s="2279"/>
    </row>
    <row r="113" spans="1:9" ht="15" hidden="1" x14ac:dyDescent="0.25">
      <c r="A113" s="2136" t="s">
        <v>1286</v>
      </c>
      <c r="D113" s="2130"/>
      <c r="E113" s="2131"/>
      <c r="H113" s="2165"/>
      <c r="I113" s="2165"/>
    </row>
    <row r="114" spans="1:9" ht="15" hidden="1" x14ac:dyDescent="0.25">
      <c r="A114" s="2136" t="s">
        <v>1287</v>
      </c>
      <c r="D114" s="2130"/>
      <c r="E114" s="2131"/>
      <c r="H114" s="2165" t="s">
        <v>179</v>
      </c>
      <c r="I114" s="2165"/>
    </row>
    <row r="115" spans="1:9" ht="25.5" hidden="1" thickTop="1" thickBot="1" x14ac:dyDescent="0.25">
      <c r="A115" s="2138" t="s">
        <v>180</v>
      </c>
      <c r="B115" s="2139" t="s">
        <v>847</v>
      </c>
      <c r="C115" s="2139" t="s">
        <v>414</v>
      </c>
      <c r="D115" s="2140" t="s">
        <v>182</v>
      </c>
      <c r="E115" s="2171" t="s">
        <v>700</v>
      </c>
      <c r="F115" s="2171" t="s">
        <v>701</v>
      </c>
      <c r="G115" s="2172" t="s">
        <v>986</v>
      </c>
      <c r="H115" s="2173" t="s">
        <v>987</v>
      </c>
      <c r="I115" s="2165"/>
    </row>
    <row r="116" spans="1:9" ht="14.25" hidden="1" thickTop="1" thickBot="1" x14ac:dyDescent="0.25">
      <c r="A116" s="1854">
        <v>1</v>
      </c>
      <c r="B116" s="1853">
        <v>2</v>
      </c>
      <c r="C116" s="1853">
        <v>3</v>
      </c>
      <c r="D116" s="1853">
        <v>5</v>
      </c>
      <c r="E116" s="1852">
        <v>6</v>
      </c>
      <c r="F116" s="1852">
        <v>7</v>
      </c>
      <c r="G116" s="2223">
        <v>8</v>
      </c>
      <c r="H116" s="2146" t="s">
        <v>848</v>
      </c>
      <c r="I116" s="2165"/>
    </row>
    <row r="117" spans="1:9" ht="30.75" hidden="1" thickTop="1" x14ac:dyDescent="0.2">
      <c r="A117" s="2246">
        <v>3299</v>
      </c>
      <c r="B117" s="2277">
        <v>5336</v>
      </c>
      <c r="C117" s="2253">
        <v>32133006</v>
      </c>
      <c r="D117" s="2273" t="s">
        <v>1570</v>
      </c>
      <c r="E117" s="2170">
        <v>0</v>
      </c>
      <c r="F117" s="2170">
        <v>0</v>
      </c>
      <c r="G117" s="2236">
        <v>0</v>
      </c>
      <c r="H117" s="2153" t="e">
        <f>G117/F117*100</f>
        <v>#DIV/0!</v>
      </c>
      <c r="I117" s="2165"/>
    </row>
    <row r="118" spans="1:9" ht="30" hidden="1" x14ac:dyDescent="0.2">
      <c r="A118" s="2246">
        <v>3299</v>
      </c>
      <c r="B118" s="2277">
        <v>5336</v>
      </c>
      <c r="C118" s="2253">
        <v>32533006</v>
      </c>
      <c r="D118" s="2174" t="s">
        <v>1419</v>
      </c>
      <c r="E118" s="2184">
        <v>0</v>
      </c>
      <c r="F118" s="2184">
        <v>0</v>
      </c>
      <c r="G118" s="2233">
        <v>0</v>
      </c>
      <c r="H118" s="2156" t="e">
        <f>G118/F118*100</f>
        <v>#DIV/0!</v>
      </c>
      <c r="I118" s="2165"/>
    </row>
    <row r="119" spans="1:9" ht="16.5" hidden="1" thickTop="1" thickBot="1" x14ac:dyDescent="0.3">
      <c r="A119" s="2175" t="s">
        <v>849</v>
      </c>
      <c r="B119" s="2176"/>
      <c r="C119" s="2176"/>
      <c r="D119" s="2177"/>
      <c r="E119" s="2152">
        <f>SUM(E117:E118)</f>
        <v>0</v>
      </c>
      <c r="F119" s="2152">
        <f>SUM(F117:F118)</f>
        <v>0</v>
      </c>
      <c r="G119" s="2152">
        <f>SUM(G117:G118)</f>
        <v>0</v>
      </c>
      <c r="H119" s="2157" t="e">
        <f>G119/F119*100</f>
        <v>#DIV/0!</v>
      </c>
      <c r="I119" s="2165"/>
    </row>
    <row r="120" spans="1:9" hidden="1" x14ac:dyDescent="0.2">
      <c r="I120" s="2165"/>
    </row>
    <row r="121" spans="1:9" ht="15" hidden="1" x14ac:dyDescent="0.25">
      <c r="A121" s="2136" t="s">
        <v>1116</v>
      </c>
      <c r="D121" s="2130"/>
      <c r="E121" s="2131"/>
      <c r="H121" s="2165"/>
      <c r="I121" s="2165"/>
    </row>
    <row r="122" spans="1:9" ht="15" hidden="1" x14ac:dyDescent="0.25">
      <c r="A122" s="2136" t="s">
        <v>1288</v>
      </c>
      <c r="D122" s="2130"/>
      <c r="E122" s="2131"/>
      <c r="H122" s="2165" t="s">
        <v>179</v>
      </c>
      <c r="I122" s="2165"/>
    </row>
    <row r="123" spans="1:9" ht="25.5" hidden="1" thickTop="1" thickBot="1" x14ac:dyDescent="0.25">
      <c r="A123" s="2138" t="s">
        <v>180</v>
      </c>
      <c r="B123" s="2139" t="s">
        <v>847</v>
      </c>
      <c r="C123" s="2139" t="s">
        <v>414</v>
      </c>
      <c r="D123" s="2140" t="s">
        <v>182</v>
      </c>
      <c r="E123" s="2171" t="s">
        <v>700</v>
      </c>
      <c r="F123" s="2171" t="s">
        <v>701</v>
      </c>
      <c r="G123" s="2172" t="s">
        <v>986</v>
      </c>
      <c r="H123" s="2173" t="s">
        <v>987</v>
      </c>
      <c r="I123" s="2165"/>
    </row>
    <row r="124" spans="1:9" ht="14.25" hidden="1" thickTop="1" thickBot="1" x14ac:dyDescent="0.25">
      <c r="A124" s="1854">
        <v>1</v>
      </c>
      <c r="B124" s="1853">
        <v>2</v>
      </c>
      <c r="C124" s="1853">
        <v>3</v>
      </c>
      <c r="D124" s="1853">
        <v>5</v>
      </c>
      <c r="E124" s="1852">
        <v>6</v>
      </c>
      <c r="F124" s="1852">
        <v>7</v>
      </c>
      <c r="G124" s="2223">
        <v>8</v>
      </c>
      <c r="H124" s="2146" t="s">
        <v>848</v>
      </c>
      <c r="I124" s="2165"/>
    </row>
    <row r="125" spans="1:9" ht="30.75" hidden="1" thickTop="1" x14ac:dyDescent="0.2">
      <c r="A125" s="2246">
        <v>3299</v>
      </c>
      <c r="B125" s="2277">
        <v>5336</v>
      </c>
      <c r="C125" s="2253">
        <v>32133006</v>
      </c>
      <c r="D125" s="2273" t="s">
        <v>1570</v>
      </c>
      <c r="E125" s="2170">
        <v>0</v>
      </c>
      <c r="F125" s="2170">
        <v>0</v>
      </c>
      <c r="G125" s="2236">
        <v>0</v>
      </c>
      <c r="H125" s="2153" t="e">
        <f>G125/F125*100</f>
        <v>#DIV/0!</v>
      </c>
      <c r="I125" s="2165"/>
    </row>
    <row r="126" spans="1:9" ht="30" hidden="1" x14ac:dyDescent="0.2">
      <c r="A126" s="2246">
        <v>3299</v>
      </c>
      <c r="B126" s="2277">
        <v>5336</v>
      </c>
      <c r="C126" s="2253">
        <v>32533006</v>
      </c>
      <c r="D126" s="2174" t="s">
        <v>1419</v>
      </c>
      <c r="E126" s="2184">
        <v>0</v>
      </c>
      <c r="F126" s="2184">
        <v>0</v>
      </c>
      <c r="G126" s="2233">
        <v>0</v>
      </c>
      <c r="H126" s="2156" t="e">
        <f>G126/F126*100</f>
        <v>#DIV/0!</v>
      </c>
      <c r="I126" s="2165"/>
    </row>
    <row r="127" spans="1:9" ht="16.5" hidden="1" customHeight="1" thickTop="1" thickBot="1" x14ac:dyDescent="0.3">
      <c r="A127" s="2175" t="s">
        <v>849</v>
      </c>
      <c r="B127" s="2176"/>
      <c r="C127" s="2176"/>
      <c r="D127" s="2177"/>
      <c r="E127" s="2152">
        <f>SUM(E125:E126)</f>
        <v>0</v>
      </c>
      <c r="F127" s="2152">
        <f>SUM(F125:F126)</f>
        <v>0</v>
      </c>
      <c r="G127" s="2152">
        <f>SUM(G125:G126)</f>
        <v>0</v>
      </c>
      <c r="H127" s="2157" t="e">
        <f>G127/F127*100</f>
        <v>#DIV/0!</v>
      </c>
      <c r="I127" s="2165"/>
    </row>
    <row r="128" spans="1:9" ht="15" hidden="1" customHeight="1" thickTop="1" x14ac:dyDescent="0.2">
      <c r="I128" s="2165"/>
    </row>
    <row r="129" spans="1:9" ht="15" customHeight="1" thickTop="1" x14ac:dyDescent="0.25">
      <c r="A129" s="2136" t="s">
        <v>1117</v>
      </c>
      <c r="D129" s="2130"/>
      <c r="E129" s="2131"/>
      <c r="H129" s="2165"/>
      <c r="I129" s="2165"/>
    </row>
    <row r="130" spans="1:9" ht="15" customHeight="1" thickBot="1" x14ac:dyDescent="0.3">
      <c r="A130" s="2136" t="s">
        <v>1118</v>
      </c>
      <c r="D130" s="2130"/>
      <c r="E130" s="2131"/>
      <c r="H130" s="2240" t="s">
        <v>179</v>
      </c>
      <c r="I130" s="2165"/>
    </row>
    <row r="131" spans="1:9" ht="25.5" customHeight="1" thickTop="1" thickBot="1" x14ac:dyDescent="0.25">
      <c r="A131" s="2138" t="s">
        <v>180</v>
      </c>
      <c r="B131" s="2139" t="s">
        <v>847</v>
      </c>
      <c r="C131" s="2139" t="s">
        <v>414</v>
      </c>
      <c r="D131" s="2140" t="s">
        <v>182</v>
      </c>
      <c r="E131" s="2171" t="s">
        <v>700</v>
      </c>
      <c r="F131" s="2171" t="s">
        <v>701</v>
      </c>
      <c r="G131" s="2172" t="s">
        <v>986</v>
      </c>
      <c r="H131" s="2173" t="s">
        <v>987</v>
      </c>
      <c r="I131" s="2165"/>
    </row>
    <row r="132" spans="1:9" ht="15" customHeight="1" thickTop="1" thickBot="1" x14ac:dyDescent="0.25">
      <c r="A132" s="1854">
        <v>1</v>
      </c>
      <c r="B132" s="1853">
        <v>2</v>
      </c>
      <c r="C132" s="1853">
        <v>3</v>
      </c>
      <c r="D132" s="1853">
        <v>5</v>
      </c>
      <c r="E132" s="1852">
        <v>6</v>
      </c>
      <c r="F132" s="1852">
        <v>7</v>
      </c>
      <c r="G132" s="2223">
        <v>8</v>
      </c>
      <c r="H132" s="2146" t="s">
        <v>848</v>
      </c>
      <c r="I132" s="2165"/>
    </row>
    <row r="133" spans="1:9" ht="30.75" customHeight="1" thickTop="1" x14ac:dyDescent="0.2">
      <c r="A133" s="2246">
        <v>3299</v>
      </c>
      <c r="B133" s="2277">
        <v>5336</v>
      </c>
      <c r="C133" s="2253">
        <v>32133006</v>
      </c>
      <c r="D133" s="2174" t="s">
        <v>1419</v>
      </c>
      <c r="E133" s="2170">
        <v>0</v>
      </c>
      <c r="F133" s="2170">
        <v>33</v>
      </c>
      <c r="G133" s="2236">
        <v>33</v>
      </c>
      <c r="H133" s="2153">
        <f>G133/F133*100</f>
        <v>100</v>
      </c>
      <c r="I133" s="2165"/>
    </row>
    <row r="134" spans="1:9" ht="30.75" customHeight="1" thickBot="1" x14ac:dyDescent="0.25">
      <c r="A134" s="2246">
        <v>3299</v>
      </c>
      <c r="B134" s="2277">
        <v>5336</v>
      </c>
      <c r="C134" s="2253">
        <v>32533006</v>
      </c>
      <c r="D134" s="2174" t="s">
        <v>1419</v>
      </c>
      <c r="E134" s="2184">
        <v>0</v>
      </c>
      <c r="F134" s="2184">
        <v>188</v>
      </c>
      <c r="G134" s="2233">
        <v>188</v>
      </c>
      <c r="H134" s="2156">
        <f>G134/F134*100</f>
        <v>100</v>
      </c>
      <c r="I134" s="2165"/>
    </row>
    <row r="135" spans="1:9" ht="16.5" customHeight="1" thickTop="1" thickBot="1" x14ac:dyDescent="0.3">
      <c r="A135" s="2175" t="s">
        <v>849</v>
      </c>
      <c r="B135" s="2176"/>
      <c r="C135" s="2176"/>
      <c r="D135" s="2177"/>
      <c r="E135" s="2152">
        <f>SUM(E133:E134)</f>
        <v>0</v>
      </c>
      <c r="F135" s="2152">
        <f>SUM(F133:F134)</f>
        <v>221</v>
      </c>
      <c r="G135" s="2152">
        <f>SUM(G133:G134)</f>
        <v>221</v>
      </c>
      <c r="H135" s="2157">
        <f>G135/F135*100</f>
        <v>100</v>
      </c>
      <c r="I135" s="2165"/>
    </row>
    <row r="136" spans="1:9" ht="15" customHeight="1" thickTop="1" x14ac:dyDescent="0.2">
      <c r="I136" s="2165"/>
    </row>
    <row r="137" spans="1:9" ht="15" hidden="1" customHeight="1" x14ac:dyDescent="0.25">
      <c r="A137" s="2136" t="s">
        <v>1119</v>
      </c>
      <c r="D137" s="2130"/>
      <c r="E137" s="2131"/>
      <c r="H137" s="2165"/>
      <c r="I137" s="2165"/>
    </row>
    <row r="138" spans="1:9" ht="15" hidden="1" customHeight="1" thickBot="1" x14ac:dyDescent="0.3">
      <c r="A138" s="2136" t="s">
        <v>1120</v>
      </c>
      <c r="D138" s="2130"/>
      <c r="E138" s="2131"/>
      <c r="H138" s="2165" t="s">
        <v>179</v>
      </c>
      <c r="I138" s="2165"/>
    </row>
    <row r="139" spans="1:9" ht="25.5" hidden="1" customHeight="1" thickTop="1" thickBot="1" x14ac:dyDescent="0.25">
      <c r="A139" s="2138" t="s">
        <v>180</v>
      </c>
      <c r="B139" s="2139" t="s">
        <v>847</v>
      </c>
      <c r="C139" s="2139" t="s">
        <v>414</v>
      </c>
      <c r="D139" s="2140" t="s">
        <v>182</v>
      </c>
      <c r="E139" s="2171" t="s">
        <v>700</v>
      </c>
      <c r="F139" s="2171" t="s">
        <v>701</v>
      </c>
      <c r="G139" s="2172" t="s">
        <v>986</v>
      </c>
      <c r="H139" s="2173" t="s">
        <v>987</v>
      </c>
      <c r="I139" s="2165"/>
    </row>
    <row r="140" spans="1:9" ht="15" hidden="1" customHeight="1" thickTop="1" thickBot="1" x14ac:dyDescent="0.25">
      <c r="A140" s="1854">
        <v>1</v>
      </c>
      <c r="B140" s="1853">
        <v>2</v>
      </c>
      <c r="C140" s="1853">
        <v>3</v>
      </c>
      <c r="D140" s="1853">
        <v>5</v>
      </c>
      <c r="E140" s="1852">
        <v>6</v>
      </c>
      <c r="F140" s="1852">
        <v>7</v>
      </c>
      <c r="G140" s="2223">
        <v>8</v>
      </c>
      <c r="H140" s="2146" t="s">
        <v>848</v>
      </c>
      <c r="I140" s="2165"/>
    </row>
    <row r="141" spans="1:9" ht="42.75" hidden="1" customHeight="1" thickTop="1" x14ac:dyDescent="0.2">
      <c r="A141" s="2246">
        <v>3299</v>
      </c>
      <c r="B141" s="2253">
        <v>5213</v>
      </c>
      <c r="C141" s="2253">
        <v>32133006</v>
      </c>
      <c r="D141" s="2174" t="s">
        <v>1121</v>
      </c>
      <c r="E141" s="2170">
        <v>0</v>
      </c>
      <c r="F141" s="2170">
        <v>0</v>
      </c>
      <c r="G141" s="2236">
        <v>0</v>
      </c>
      <c r="H141" s="2153" t="e">
        <f>G141/F141*100</f>
        <v>#DIV/0!</v>
      </c>
      <c r="I141" s="2165"/>
    </row>
    <row r="142" spans="1:9" ht="47.25" hidden="1" customHeight="1" thickBot="1" x14ac:dyDescent="0.25">
      <c r="A142" s="2246">
        <v>3299</v>
      </c>
      <c r="B142" s="2253">
        <v>5213</v>
      </c>
      <c r="C142" s="2253">
        <v>32533006</v>
      </c>
      <c r="D142" s="2174" t="s">
        <v>1121</v>
      </c>
      <c r="E142" s="2184">
        <v>0</v>
      </c>
      <c r="F142" s="2184">
        <v>0</v>
      </c>
      <c r="G142" s="2233">
        <v>0</v>
      </c>
      <c r="H142" s="2156" t="e">
        <f>G142/F142*100</f>
        <v>#DIV/0!</v>
      </c>
      <c r="I142" s="2165"/>
    </row>
    <row r="143" spans="1:9" ht="16.5" hidden="1" customHeight="1" thickTop="1" thickBot="1" x14ac:dyDescent="0.3">
      <c r="A143" s="2175" t="s">
        <v>849</v>
      </c>
      <c r="B143" s="2176"/>
      <c r="C143" s="2176"/>
      <c r="D143" s="2177"/>
      <c r="E143" s="2152">
        <f>SUM(E141:E142)</f>
        <v>0</v>
      </c>
      <c r="F143" s="2152">
        <f>SUM(F141:F142)</f>
        <v>0</v>
      </c>
      <c r="G143" s="2152">
        <f>SUM(G141:G142)</f>
        <v>0</v>
      </c>
      <c r="H143" s="2157" t="e">
        <f>G143/F143*100</f>
        <v>#DIV/0!</v>
      </c>
      <c r="I143" s="2165"/>
    </row>
    <row r="144" spans="1:9" ht="15" hidden="1" customHeight="1" thickTop="1" x14ac:dyDescent="0.2">
      <c r="I144" s="2165"/>
    </row>
    <row r="145" spans="1:9" ht="15" customHeight="1" x14ac:dyDescent="0.25">
      <c r="A145" s="2136" t="s">
        <v>1575</v>
      </c>
      <c r="B145" s="2278"/>
      <c r="C145" s="2278"/>
      <c r="D145" s="2278"/>
      <c r="E145" s="2278"/>
      <c r="F145" s="2279"/>
      <c r="G145" s="2279"/>
      <c r="H145" s="2279"/>
      <c r="I145" s="2279"/>
    </row>
    <row r="146" spans="1:9" ht="15" customHeight="1" thickBot="1" x14ac:dyDescent="0.3">
      <c r="A146" s="2278" t="s">
        <v>1574</v>
      </c>
      <c r="B146" s="2278"/>
      <c r="C146" s="2280"/>
      <c r="D146" s="2280"/>
      <c r="E146" s="2281"/>
      <c r="F146" s="2279"/>
      <c r="G146" s="2279"/>
      <c r="H146" s="2282" t="s">
        <v>179</v>
      </c>
      <c r="I146" s="2279"/>
    </row>
    <row r="147" spans="1:9" ht="27.75" customHeight="1" thickTop="1" thickBot="1" x14ac:dyDescent="0.25">
      <c r="A147" s="2283" t="s">
        <v>180</v>
      </c>
      <c r="B147" s="2284" t="s">
        <v>847</v>
      </c>
      <c r="C147" s="2284" t="s">
        <v>414</v>
      </c>
      <c r="D147" s="2285" t="s">
        <v>182</v>
      </c>
      <c r="E147" s="2286" t="s">
        <v>700</v>
      </c>
      <c r="F147" s="2286" t="s">
        <v>701</v>
      </c>
      <c r="G147" s="2287" t="s">
        <v>986</v>
      </c>
      <c r="H147" s="2288" t="s">
        <v>987</v>
      </c>
      <c r="I147" s="2279"/>
    </row>
    <row r="148" spans="1:9" ht="15" customHeight="1" thickTop="1" thickBot="1" x14ac:dyDescent="0.25">
      <c r="A148" s="2289">
        <v>1</v>
      </c>
      <c r="B148" s="2290">
        <v>2</v>
      </c>
      <c r="C148" s="2290">
        <v>3</v>
      </c>
      <c r="D148" s="2290">
        <v>5</v>
      </c>
      <c r="E148" s="2291">
        <v>6</v>
      </c>
      <c r="F148" s="2291">
        <v>7</v>
      </c>
      <c r="G148" s="2292">
        <v>8</v>
      </c>
      <c r="H148" s="2293" t="s">
        <v>848</v>
      </c>
      <c r="I148" s="2279"/>
    </row>
    <row r="149" spans="1:9" ht="30.75" customHeight="1" thickTop="1" x14ac:dyDescent="0.2">
      <c r="A149" s="2294">
        <v>3299</v>
      </c>
      <c r="B149" s="2295">
        <v>5221</v>
      </c>
      <c r="C149" s="2295">
        <v>32133006</v>
      </c>
      <c r="D149" s="2304" t="s">
        <v>1477</v>
      </c>
      <c r="E149" s="2296">
        <v>0</v>
      </c>
      <c r="F149" s="2296">
        <v>237</v>
      </c>
      <c r="G149" s="2297">
        <v>152</v>
      </c>
      <c r="H149" s="2298">
        <v>84.8</v>
      </c>
      <c r="I149" s="2279"/>
    </row>
    <row r="150" spans="1:9" ht="30.75" customHeight="1" thickBot="1" x14ac:dyDescent="0.25">
      <c r="A150" s="2294">
        <v>3299</v>
      </c>
      <c r="B150" s="2295">
        <v>5221</v>
      </c>
      <c r="C150" s="2295">
        <v>32533006</v>
      </c>
      <c r="D150" s="2304" t="s">
        <v>1477</v>
      </c>
      <c r="E150" s="2296">
        <v>0</v>
      </c>
      <c r="F150" s="2296">
        <v>1341</v>
      </c>
      <c r="G150" s="2297">
        <v>863</v>
      </c>
      <c r="H150" s="2298">
        <v>84.9</v>
      </c>
      <c r="I150" s="2279"/>
    </row>
    <row r="151" spans="1:9" ht="15" customHeight="1" thickTop="1" thickBot="1" x14ac:dyDescent="0.3">
      <c r="A151" s="2299" t="s">
        <v>849</v>
      </c>
      <c r="B151" s="2300"/>
      <c r="C151" s="2300"/>
      <c r="D151" s="2301"/>
      <c r="E151" s="2302">
        <v>0</v>
      </c>
      <c r="F151" s="2302">
        <f>SUM(F149:F150)</f>
        <v>1578</v>
      </c>
      <c r="G151" s="2302">
        <f>SUM(G149:G150)</f>
        <v>1015</v>
      </c>
      <c r="H151" s="2303">
        <v>84.9</v>
      </c>
      <c r="I151" s="2279"/>
    </row>
    <row r="152" spans="1:9" ht="15" customHeight="1" thickTop="1" x14ac:dyDescent="0.2">
      <c r="I152" s="2165"/>
    </row>
    <row r="153" spans="1:9" ht="15" customHeight="1" x14ac:dyDescent="0.25">
      <c r="A153" s="2136" t="s">
        <v>1573</v>
      </c>
      <c r="B153" s="2278"/>
      <c r="C153" s="2278"/>
      <c r="D153" s="2278"/>
      <c r="E153" s="2278"/>
      <c r="F153" s="2279"/>
      <c r="G153" s="2279"/>
      <c r="H153" s="2279"/>
      <c r="I153" s="2279"/>
    </row>
    <row r="154" spans="1:9" ht="15" customHeight="1" thickBot="1" x14ac:dyDescent="0.3">
      <c r="A154" s="2278" t="s">
        <v>1572</v>
      </c>
      <c r="B154" s="2278"/>
      <c r="C154" s="2280"/>
      <c r="D154" s="2280"/>
      <c r="E154" s="2281"/>
      <c r="F154" s="2279"/>
      <c r="G154" s="2279"/>
      <c r="H154" s="2282" t="s">
        <v>179</v>
      </c>
      <c r="I154" s="2279"/>
    </row>
    <row r="155" spans="1:9" ht="27.75" customHeight="1" thickTop="1" thickBot="1" x14ac:dyDescent="0.25">
      <c r="A155" s="2283" t="s">
        <v>180</v>
      </c>
      <c r="B155" s="2284" t="s">
        <v>847</v>
      </c>
      <c r="C155" s="2284" t="s">
        <v>414</v>
      </c>
      <c r="D155" s="2285" t="s">
        <v>182</v>
      </c>
      <c r="E155" s="2286" t="s">
        <v>700</v>
      </c>
      <c r="F155" s="2286" t="s">
        <v>701</v>
      </c>
      <c r="G155" s="2287" t="s">
        <v>986</v>
      </c>
      <c r="H155" s="2288" t="s">
        <v>987</v>
      </c>
      <c r="I155" s="2279"/>
    </row>
    <row r="156" spans="1:9" ht="15" customHeight="1" thickTop="1" thickBot="1" x14ac:dyDescent="0.25">
      <c r="A156" s="2289">
        <v>1</v>
      </c>
      <c r="B156" s="2290">
        <v>2</v>
      </c>
      <c r="C156" s="2290">
        <v>3</v>
      </c>
      <c r="D156" s="2290">
        <v>5</v>
      </c>
      <c r="E156" s="2291">
        <v>6</v>
      </c>
      <c r="F156" s="2291">
        <v>7</v>
      </c>
      <c r="G156" s="2292">
        <v>8</v>
      </c>
      <c r="H156" s="2293" t="s">
        <v>848</v>
      </c>
      <c r="I156" s="2279"/>
    </row>
    <row r="157" spans="1:9" ht="30.75" customHeight="1" thickTop="1" x14ac:dyDescent="0.2">
      <c r="A157" s="2294">
        <v>3299</v>
      </c>
      <c r="B157" s="2295">
        <v>5221</v>
      </c>
      <c r="C157" s="2295">
        <v>32133006</v>
      </c>
      <c r="D157" s="2304" t="s">
        <v>1477</v>
      </c>
      <c r="E157" s="2296">
        <v>0</v>
      </c>
      <c r="F157" s="2296">
        <v>65</v>
      </c>
      <c r="G157" s="2297">
        <v>32</v>
      </c>
      <c r="H157" s="2298">
        <v>84.8</v>
      </c>
      <c r="I157" s="2279"/>
    </row>
    <row r="158" spans="1:9" ht="30.75" customHeight="1" thickBot="1" x14ac:dyDescent="0.25">
      <c r="A158" s="2294">
        <v>3299</v>
      </c>
      <c r="B158" s="2295">
        <v>5221</v>
      </c>
      <c r="C158" s="2295">
        <v>32533006</v>
      </c>
      <c r="D158" s="2304" t="s">
        <v>1477</v>
      </c>
      <c r="E158" s="2296">
        <v>0</v>
      </c>
      <c r="F158" s="2296">
        <v>369</v>
      </c>
      <c r="G158" s="2297">
        <v>184</v>
      </c>
      <c r="H158" s="2298">
        <v>84.9</v>
      </c>
      <c r="I158" s="2279"/>
    </row>
    <row r="159" spans="1:9" ht="15" customHeight="1" thickTop="1" thickBot="1" x14ac:dyDescent="0.3">
      <c r="A159" s="2299" t="s">
        <v>849</v>
      </c>
      <c r="B159" s="2300"/>
      <c r="C159" s="2300"/>
      <c r="D159" s="2301"/>
      <c r="E159" s="2302">
        <v>0</v>
      </c>
      <c r="F159" s="2302">
        <f>SUM(F157:F158)</f>
        <v>434</v>
      </c>
      <c r="G159" s="2302">
        <f>SUM(G157:G158)</f>
        <v>216</v>
      </c>
      <c r="H159" s="2303">
        <v>84.9</v>
      </c>
      <c r="I159" s="2279"/>
    </row>
    <row r="160" spans="1:9" ht="15" customHeight="1" thickTop="1" x14ac:dyDescent="0.2">
      <c r="I160" s="2165"/>
    </row>
    <row r="161" spans="1:9" ht="15" customHeight="1" x14ac:dyDescent="0.25">
      <c r="A161" s="2136" t="s">
        <v>1122</v>
      </c>
      <c r="D161" s="2130"/>
      <c r="E161" s="2131"/>
      <c r="H161" s="2165"/>
      <c r="I161" s="2165"/>
    </row>
    <row r="162" spans="1:9" ht="15" customHeight="1" thickBot="1" x14ac:dyDescent="0.3">
      <c r="A162" s="2136" t="s">
        <v>1087</v>
      </c>
      <c r="D162" s="2130"/>
      <c r="E162" s="2131"/>
      <c r="H162" s="2240" t="s">
        <v>179</v>
      </c>
      <c r="I162" s="2165"/>
    </row>
    <row r="163" spans="1:9" ht="25.5" customHeight="1" thickTop="1" thickBot="1" x14ac:dyDescent="0.25">
      <c r="A163" s="2138" t="s">
        <v>180</v>
      </c>
      <c r="B163" s="2139" t="s">
        <v>847</v>
      </c>
      <c r="C163" s="2139" t="s">
        <v>414</v>
      </c>
      <c r="D163" s="2140" t="s">
        <v>182</v>
      </c>
      <c r="E163" s="2171" t="s">
        <v>700</v>
      </c>
      <c r="F163" s="2171" t="s">
        <v>701</v>
      </c>
      <c r="G163" s="2172" t="s">
        <v>986</v>
      </c>
      <c r="H163" s="2173" t="s">
        <v>987</v>
      </c>
      <c r="I163" s="2165"/>
    </row>
    <row r="164" spans="1:9" ht="15" customHeight="1" thickTop="1" thickBot="1" x14ac:dyDescent="0.25">
      <c r="A164" s="1854">
        <v>1</v>
      </c>
      <c r="B164" s="1853">
        <v>2</v>
      </c>
      <c r="C164" s="1853">
        <v>3</v>
      </c>
      <c r="D164" s="1853">
        <v>5</v>
      </c>
      <c r="E164" s="1852">
        <v>6</v>
      </c>
      <c r="F164" s="1852">
        <v>7</v>
      </c>
      <c r="G164" s="2223">
        <v>8</v>
      </c>
      <c r="H164" s="2146" t="s">
        <v>848</v>
      </c>
      <c r="I164" s="2165"/>
    </row>
    <row r="165" spans="1:9" ht="42.75" customHeight="1" thickTop="1" x14ac:dyDescent="0.2">
      <c r="A165" s="2246">
        <v>3299</v>
      </c>
      <c r="B165" s="2253">
        <v>5213</v>
      </c>
      <c r="C165" s="2253">
        <v>32133006</v>
      </c>
      <c r="D165" s="2174" t="s">
        <v>1121</v>
      </c>
      <c r="E165" s="2170">
        <v>0</v>
      </c>
      <c r="F165" s="2170">
        <v>138</v>
      </c>
      <c r="G165" s="2236">
        <v>138</v>
      </c>
      <c r="H165" s="2153">
        <f>G165/F165*100</f>
        <v>100</v>
      </c>
      <c r="I165" s="2165"/>
    </row>
    <row r="166" spans="1:9" ht="47.25" customHeight="1" thickBot="1" x14ac:dyDescent="0.25">
      <c r="A166" s="2246">
        <v>3299</v>
      </c>
      <c r="B166" s="2253">
        <v>5213</v>
      </c>
      <c r="C166" s="2253">
        <v>32533006</v>
      </c>
      <c r="D166" s="2174" t="s">
        <v>1121</v>
      </c>
      <c r="E166" s="2184">
        <v>0</v>
      </c>
      <c r="F166" s="2184">
        <v>784</v>
      </c>
      <c r="G166" s="2233">
        <v>784</v>
      </c>
      <c r="H166" s="2156">
        <f>G166/F166*100</f>
        <v>100</v>
      </c>
      <c r="I166" s="2165"/>
    </row>
    <row r="167" spans="1:9" ht="47.25" hidden="1" customHeight="1" x14ac:dyDescent="0.2">
      <c r="A167" s="2305">
        <v>3299</v>
      </c>
      <c r="B167" s="2306">
        <v>6313</v>
      </c>
      <c r="C167" s="2253">
        <v>32133006</v>
      </c>
      <c r="D167" s="2269" t="s">
        <v>1123</v>
      </c>
      <c r="E167" s="2184">
        <v>0</v>
      </c>
      <c r="F167" s="2184">
        <v>0</v>
      </c>
      <c r="G167" s="2233">
        <v>0</v>
      </c>
      <c r="H167" s="2156" t="e">
        <f>G167/F167*100</f>
        <v>#DIV/0!</v>
      </c>
      <c r="I167" s="2165"/>
    </row>
    <row r="168" spans="1:9" ht="47.25" hidden="1" customHeight="1" thickBot="1" x14ac:dyDescent="0.25">
      <c r="A168" s="2305">
        <v>3299</v>
      </c>
      <c r="B168" s="2271">
        <v>6313</v>
      </c>
      <c r="C168" s="2307">
        <v>32533006</v>
      </c>
      <c r="D168" s="2180" t="s">
        <v>1123</v>
      </c>
      <c r="E168" s="2184">
        <v>0</v>
      </c>
      <c r="F168" s="2184">
        <v>0</v>
      </c>
      <c r="G168" s="2233">
        <v>0</v>
      </c>
      <c r="H168" s="2156" t="e">
        <f>G168/F168*100</f>
        <v>#DIV/0!</v>
      </c>
      <c r="I168" s="2165"/>
    </row>
    <row r="169" spans="1:9" ht="16.5" customHeight="1" thickTop="1" thickBot="1" x14ac:dyDescent="0.3">
      <c r="A169" s="2175" t="s">
        <v>849</v>
      </c>
      <c r="B169" s="2176"/>
      <c r="C169" s="2176"/>
      <c r="D169" s="2177"/>
      <c r="E169" s="2152">
        <f>SUM(E165:E166)</f>
        <v>0</v>
      </c>
      <c r="F169" s="2152">
        <f>SUM(F165:F168)</f>
        <v>922</v>
      </c>
      <c r="G169" s="2152">
        <f>SUM(G165:G168)</f>
        <v>922</v>
      </c>
      <c r="H169" s="2157">
        <f>G169/F169*100</f>
        <v>100</v>
      </c>
      <c r="I169" s="2165"/>
    </row>
    <row r="170" spans="1:9" ht="15" customHeight="1" thickTop="1" x14ac:dyDescent="0.2">
      <c r="I170" s="2165"/>
    </row>
    <row r="171" spans="1:9" ht="15" customHeight="1" x14ac:dyDescent="0.25">
      <c r="A171" s="2136" t="s">
        <v>1946</v>
      </c>
      <c r="D171" s="2130"/>
      <c r="E171" s="2131"/>
      <c r="H171" s="2165"/>
      <c r="I171" s="2165"/>
    </row>
    <row r="172" spans="1:9" ht="15" customHeight="1" thickBot="1" x14ac:dyDescent="0.3">
      <c r="A172" s="2136" t="s">
        <v>1124</v>
      </c>
      <c r="D172" s="2130"/>
      <c r="E172" s="2131"/>
      <c r="H172" s="2240" t="s">
        <v>179</v>
      </c>
      <c r="I172" s="2165"/>
    </row>
    <row r="173" spans="1:9" ht="25.5" customHeight="1" thickTop="1" thickBot="1" x14ac:dyDescent="0.25">
      <c r="A173" s="2138" t="s">
        <v>180</v>
      </c>
      <c r="B173" s="2139" t="s">
        <v>847</v>
      </c>
      <c r="C173" s="2139" t="s">
        <v>414</v>
      </c>
      <c r="D173" s="2140" t="s">
        <v>182</v>
      </c>
      <c r="E173" s="2171" t="s">
        <v>700</v>
      </c>
      <c r="F173" s="2171" t="s">
        <v>701</v>
      </c>
      <c r="G173" s="2172" t="s">
        <v>986</v>
      </c>
      <c r="H173" s="2173" t="s">
        <v>987</v>
      </c>
      <c r="I173" s="2165"/>
    </row>
    <row r="174" spans="1:9" ht="15" customHeight="1" thickTop="1" thickBot="1" x14ac:dyDescent="0.25">
      <c r="A174" s="1854">
        <v>1</v>
      </c>
      <c r="B174" s="1853">
        <v>2</v>
      </c>
      <c r="C174" s="1853">
        <v>3</v>
      </c>
      <c r="D174" s="1853">
        <v>5</v>
      </c>
      <c r="E174" s="1852">
        <v>6</v>
      </c>
      <c r="F174" s="1852">
        <v>7</v>
      </c>
      <c r="G174" s="2223">
        <v>8</v>
      </c>
      <c r="H174" s="2146" t="s">
        <v>848</v>
      </c>
      <c r="I174" s="2165"/>
    </row>
    <row r="175" spans="1:9" ht="30.75" customHeight="1" thickTop="1" x14ac:dyDescent="0.2">
      <c r="A175" s="2246">
        <v>3299</v>
      </c>
      <c r="B175" s="2253">
        <v>5221</v>
      </c>
      <c r="C175" s="2253">
        <v>32133006</v>
      </c>
      <c r="D175" s="2174" t="s">
        <v>1477</v>
      </c>
      <c r="E175" s="2170">
        <v>0</v>
      </c>
      <c r="F175" s="2170">
        <v>76</v>
      </c>
      <c r="G175" s="2236">
        <v>76</v>
      </c>
      <c r="H175" s="2153">
        <f>G175/F175*100</f>
        <v>100</v>
      </c>
      <c r="I175" s="2165"/>
    </row>
    <row r="176" spans="1:9" ht="30.75" customHeight="1" thickBot="1" x14ac:dyDescent="0.25">
      <c r="A176" s="2246">
        <v>3299</v>
      </c>
      <c r="B176" s="2253">
        <v>5221</v>
      </c>
      <c r="C176" s="2253">
        <v>32533006</v>
      </c>
      <c r="D176" s="2174" t="s">
        <v>1477</v>
      </c>
      <c r="E176" s="2184">
        <v>0</v>
      </c>
      <c r="F176" s="2184">
        <v>429</v>
      </c>
      <c r="G176" s="2233">
        <v>429</v>
      </c>
      <c r="H176" s="2156">
        <f>G176/F176*100</f>
        <v>100</v>
      </c>
      <c r="I176" s="2165"/>
    </row>
    <row r="177" spans="1:9" ht="15" customHeight="1" thickTop="1" thickBot="1" x14ac:dyDescent="0.3">
      <c r="A177" s="2175" t="s">
        <v>849</v>
      </c>
      <c r="B177" s="2176"/>
      <c r="C177" s="2176"/>
      <c r="D177" s="2177"/>
      <c r="E177" s="2152">
        <f>SUM(E175:E176)</f>
        <v>0</v>
      </c>
      <c r="F177" s="2152">
        <f>SUM(F175:F176)</f>
        <v>505</v>
      </c>
      <c r="G177" s="2152">
        <f>SUM(G175:G176)</f>
        <v>505</v>
      </c>
      <c r="H177" s="2157">
        <f>G177/F177*100</f>
        <v>100</v>
      </c>
      <c r="I177" s="2165"/>
    </row>
    <row r="178" spans="1:9" ht="15" customHeight="1" thickTop="1" x14ac:dyDescent="0.2">
      <c r="I178" s="2165"/>
    </row>
    <row r="179" spans="1:9" ht="15" customHeight="1" x14ac:dyDescent="0.25">
      <c r="A179" s="2136" t="s">
        <v>1947</v>
      </c>
      <c r="D179" s="2130"/>
      <c r="E179" s="2131"/>
      <c r="H179" s="2165"/>
      <c r="I179" s="2165"/>
    </row>
    <row r="180" spans="1:9" ht="15" customHeight="1" thickBot="1" x14ac:dyDescent="0.3">
      <c r="A180" s="2136" t="s">
        <v>1125</v>
      </c>
      <c r="D180" s="2130"/>
      <c r="E180" s="2131"/>
      <c r="H180" s="2240" t="s">
        <v>179</v>
      </c>
      <c r="I180" s="2165"/>
    </row>
    <row r="181" spans="1:9" ht="25.5" customHeight="1" thickTop="1" thickBot="1" x14ac:dyDescent="0.25">
      <c r="A181" s="2138" t="s">
        <v>180</v>
      </c>
      <c r="B181" s="2139" t="s">
        <v>847</v>
      </c>
      <c r="C181" s="2139" t="s">
        <v>414</v>
      </c>
      <c r="D181" s="2140" t="s">
        <v>182</v>
      </c>
      <c r="E181" s="2171" t="s">
        <v>700</v>
      </c>
      <c r="F181" s="2171" t="s">
        <v>701</v>
      </c>
      <c r="G181" s="2172" t="s">
        <v>986</v>
      </c>
      <c r="H181" s="2173" t="s">
        <v>987</v>
      </c>
      <c r="I181" s="2165"/>
    </row>
    <row r="182" spans="1:9" ht="15" customHeight="1" thickTop="1" thickBot="1" x14ac:dyDescent="0.25">
      <c r="A182" s="1854">
        <v>1</v>
      </c>
      <c r="B182" s="1853">
        <v>2</v>
      </c>
      <c r="C182" s="1853">
        <v>3</v>
      </c>
      <c r="D182" s="1853">
        <v>5</v>
      </c>
      <c r="E182" s="1852">
        <v>6</v>
      </c>
      <c r="F182" s="1852">
        <v>7</v>
      </c>
      <c r="G182" s="2223">
        <v>8</v>
      </c>
      <c r="H182" s="2146" t="s">
        <v>848</v>
      </c>
      <c r="I182" s="2165"/>
    </row>
    <row r="183" spans="1:9" ht="30.75" customHeight="1" thickTop="1" x14ac:dyDescent="0.2">
      <c r="A183" s="2246">
        <v>3299</v>
      </c>
      <c r="B183" s="2253">
        <v>5222</v>
      </c>
      <c r="C183" s="2253">
        <v>32133006</v>
      </c>
      <c r="D183" s="2174" t="s">
        <v>241</v>
      </c>
      <c r="E183" s="2170">
        <v>0</v>
      </c>
      <c r="F183" s="2170">
        <v>55</v>
      </c>
      <c r="G183" s="2236">
        <v>55</v>
      </c>
      <c r="H183" s="2153">
        <f>G183/F183*100</f>
        <v>100</v>
      </c>
      <c r="I183" s="2165"/>
    </row>
    <row r="184" spans="1:9" ht="30.75" customHeight="1" thickBot="1" x14ac:dyDescent="0.25">
      <c r="A184" s="2246">
        <v>3299</v>
      </c>
      <c r="B184" s="2253">
        <v>5222</v>
      </c>
      <c r="C184" s="2253">
        <v>32533006</v>
      </c>
      <c r="D184" s="2174" t="s">
        <v>241</v>
      </c>
      <c r="E184" s="2184">
        <v>0</v>
      </c>
      <c r="F184" s="2184">
        <v>309</v>
      </c>
      <c r="G184" s="2233">
        <v>309</v>
      </c>
      <c r="H184" s="2156">
        <f>G184/F184*100</f>
        <v>100</v>
      </c>
      <c r="I184" s="2165"/>
    </row>
    <row r="185" spans="1:9" ht="15" customHeight="1" thickTop="1" thickBot="1" x14ac:dyDescent="0.3">
      <c r="A185" s="2175" t="s">
        <v>849</v>
      </c>
      <c r="B185" s="2176"/>
      <c r="C185" s="2176"/>
      <c r="D185" s="2177"/>
      <c r="E185" s="2152">
        <f>SUM(E183:E184)</f>
        <v>0</v>
      </c>
      <c r="F185" s="2152">
        <f>SUM(F183:F184)</f>
        <v>364</v>
      </c>
      <c r="G185" s="2152">
        <f>SUM(G183:G184)</f>
        <v>364</v>
      </c>
      <c r="H185" s="2157">
        <f>G185/F185*100</f>
        <v>100</v>
      </c>
      <c r="I185" s="2165"/>
    </row>
    <row r="186" spans="1:9" ht="15" customHeight="1" thickTop="1" x14ac:dyDescent="0.2">
      <c r="I186" s="2165"/>
    </row>
    <row r="187" spans="1:9" ht="15" hidden="1" customHeight="1" x14ac:dyDescent="0.25">
      <c r="A187" s="2136" t="s">
        <v>250</v>
      </c>
      <c r="D187" s="2130"/>
      <c r="E187" s="2131"/>
      <c r="H187" s="2165"/>
      <c r="I187" s="2165"/>
    </row>
    <row r="188" spans="1:9" ht="15" hidden="1" customHeight="1" thickBot="1" x14ac:dyDescent="0.3">
      <c r="A188" s="2136" t="s">
        <v>251</v>
      </c>
      <c r="D188" s="2130"/>
      <c r="E188" s="2131"/>
      <c r="H188" s="2165" t="s">
        <v>179</v>
      </c>
      <c r="I188" s="2165"/>
    </row>
    <row r="189" spans="1:9" ht="25.5" hidden="1" customHeight="1" thickTop="1" thickBot="1" x14ac:dyDescent="0.25">
      <c r="A189" s="2138" t="s">
        <v>180</v>
      </c>
      <c r="B189" s="2139" t="s">
        <v>847</v>
      </c>
      <c r="C189" s="2139" t="s">
        <v>414</v>
      </c>
      <c r="D189" s="2140" t="s">
        <v>182</v>
      </c>
      <c r="E189" s="2171" t="s">
        <v>700</v>
      </c>
      <c r="F189" s="2171" t="s">
        <v>701</v>
      </c>
      <c r="G189" s="2172" t="s">
        <v>986</v>
      </c>
      <c r="H189" s="2173" t="s">
        <v>987</v>
      </c>
      <c r="I189" s="2165"/>
    </row>
    <row r="190" spans="1:9" ht="15" hidden="1" customHeight="1" thickTop="1" thickBot="1" x14ac:dyDescent="0.25">
      <c r="A190" s="1854">
        <v>1</v>
      </c>
      <c r="B190" s="1853">
        <v>2</v>
      </c>
      <c r="C190" s="1853">
        <v>3</v>
      </c>
      <c r="D190" s="1853">
        <v>5</v>
      </c>
      <c r="E190" s="1852">
        <v>6</v>
      </c>
      <c r="F190" s="1852">
        <v>7</v>
      </c>
      <c r="G190" s="2223">
        <v>8</v>
      </c>
      <c r="H190" s="2146" t="s">
        <v>848</v>
      </c>
      <c r="I190" s="2165"/>
    </row>
    <row r="191" spans="1:9" ht="15" hidden="1" customHeight="1" thickTop="1" x14ac:dyDescent="0.25">
      <c r="A191" s="2147">
        <v>3299</v>
      </c>
      <c r="B191" s="2148">
        <v>5321</v>
      </c>
      <c r="C191" s="2148">
        <v>32133006</v>
      </c>
      <c r="D191" s="2234" t="s">
        <v>1349</v>
      </c>
      <c r="E191" s="2170">
        <v>0</v>
      </c>
      <c r="F191" s="2170">
        <v>0</v>
      </c>
      <c r="G191" s="2236">
        <v>0</v>
      </c>
      <c r="H191" s="2153" t="e">
        <f>G191/F191*100</f>
        <v>#DIV/0!</v>
      </c>
      <c r="I191" s="2165"/>
    </row>
    <row r="192" spans="1:9" ht="15" hidden="1" customHeight="1" thickBot="1" x14ac:dyDescent="0.3">
      <c r="A192" s="2147">
        <v>3299</v>
      </c>
      <c r="B192" s="2148">
        <v>5321</v>
      </c>
      <c r="C192" s="2148">
        <v>32533006</v>
      </c>
      <c r="D192" s="2234" t="s">
        <v>1349</v>
      </c>
      <c r="E192" s="2184">
        <v>0</v>
      </c>
      <c r="F192" s="2184">
        <v>0</v>
      </c>
      <c r="G192" s="2233">
        <v>0</v>
      </c>
      <c r="H192" s="2156" t="e">
        <f>G192/F192*100</f>
        <v>#DIV/0!</v>
      </c>
      <c r="I192" s="2165"/>
    </row>
    <row r="193" spans="1:9" ht="15" hidden="1" customHeight="1" thickTop="1" thickBot="1" x14ac:dyDescent="0.3">
      <c r="A193" s="2175" t="s">
        <v>849</v>
      </c>
      <c r="B193" s="2176"/>
      <c r="C193" s="2176"/>
      <c r="D193" s="2177"/>
      <c r="E193" s="2152">
        <f>SUM(E191:E192)</f>
        <v>0</v>
      </c>
      <c r="F193" s="2152">
        <f>SUM(F191:F192)</f>
        <v>0</v>
      </c>
      <c r="G193" s="2152">
        <f>SUM(G191:G192)</f>
        <v>0</v>
      </c>
      <c r="H193" s="2157" t="e">
        <f>G193/F193*100</f>
        <v>#DIV/0!</v>
      </c>
      <c r="I193" s="2165"/>
    </row>
    <row r="194" spans="1:9" ht="15" hidden="1" customHeight="1" thickTop="1" x14ac:dyDescent="0.2">
      <c r="I194" s="2165"/>
    </row>
    <row r="195" spans="1:9" ht="15" customHeight="1" x14ac:dyDescent="0.25">
      <c r="A195" s="2136" t="s">
        <v>1102</v>
      </c>
      <c r="D195" s="2130"/>
      <c r="E195" s="2131"/>
      <c r="H195" s="2165"/>
      <c r="I195" s="2165"/>
    </row>
    <row r="196" spans="1:9" ht="15" customHeight="1" thickBot="1" x14ac:dyDescent="0.3">
      <c r="A196" s="2136" t="s">
        <v>1103</v>
      </c>
      <c r="D196" s="2130"/>
      <c r="E196" s="2131"/>
      <c r="H196" s="2240" t="s">
        <v>179</v>
      </c>
      <c r="I196" s="2165"/>
    </row>
    <row r="197" spans="1:9" ht="25.5" customHeight="1" thickTop="1" thickBot="1" x14ac:dyDescent="0.25">
      <c r="A197" s="2138" t="s">
        <v>180</v>
      </c>
      <c r="B197" s="2139" t="s">
        <v>847</v>
      </c>
      <c r="C197" s="2139" t="s">
        <v>414</v>
      </c>
      <c r="D197" s="2140" t="s">
        <v>182</v>
      </c>
      <c r="E197" s="2171" t="s">
        <v>700</v>
      </c>
      <c r="F197" s="2171" t="s">
        <v>701</v>
      </c>
      <c r="G197" s="2172" t="s">
        <v>986</v>
      </c>
      <c r="H197" s="2173" t="s">
        <v>987</v>
      </c>
      <c r="I197" s="2165"/>
    </row>
    <row r="198" spans="1:9" ht="15" customHeight="1" thickTop="1" thickBot="1" x14ac:dyDescent="0.25">
      <c r="A198" s="1854">
        <v>1</v>
      </c>
      <c r="B198" s="1853">
        <v>2</v>
      </c>
      <c r="C198" s="1853">
        <v>3</v>
      </c>
      <c r="D198" s="1853">
        <v>5</v>
      </c>
      <c r="E198" s="1852">
        <v>6</v>
      </c>
      <c r="F198" s="1852">
        <v>7</v>
      </c>
      <c r="G198" s="2223">
        <v>8</v>
      </c>
      <c r="H198" s="2146" t="s">
        <v>848</v>
      </c>
      <c r="I198" s="2165"/>
    </row>
    <row r="199" spans="1:9" ht="15" customHeight="1" thickTop="1" x14ac:dyDescent="0.25">
      <c r="A199" s="2147">
        <v>3299</v>
      </c>
      <c r="B199" s="2148">
        <v>5321</v>
      </c>
      <c r="C199" s="2148">
        <v>32133006</v>
      </c>
      <c r="D199" s="2234" t="s">
        <v>1349</v>
      </c>
      <c r="E199" s="2170">
        <v>0</v>
      </c>
      <c r="F199" s="2170">
        <v>186</v>
      </c>
      <c r="G199" s="2236">
        <v>186</v>
      </c>
      <c r="H199" s="2153">
        <f>G199/F199*100</f>
        <v>100</v>
      </c>
      <c r="I199" s="2165"/>
    </row>
    <row r="200" spans="1:9" ht="15" customHeight="1" thickBot="1" x14ac:dyDescent="0.3">
      <c r="A200" s="2147">
        <v>3299</v>
      </c>
      <c r="B200" s="2148">
        <v>5321</v>
      </c>
      <c r="C200" s="2148">
        <v>32533006</v>
      </c>
      <c r="D200" s="2234" t="s">
        <v>1349</v>
      </c>
      <c r="E200" s="2184">
        <v>0</v>
      </c>
      <c r="F200" s="2184">
        <v>1056</v>
      </c>
      <c r="G200" s="2233">
        <v>1056</v>
      </c>
      <c r="H200" s="2156">
        <f>G200/F200*100</f>
        <v>100</v>
      </c>
      <c r="I200" s="2165"/>
    </row>
    <row r="201" spans="1:9" ht="15" hidden="1" customHeight="1" x14ac:dyDescent="0.25">
      <c r="A201" s="2147">
        <v>3299</v>
      </c>
      <c r="B201" s="2204">
        <v>6341</v>
      </c>
      <c r="C201" s="2148">
        <v>32133006</v>
      </c>
      <c r="D201" s="2308" t="s">
        <v>271</v>
      </c>
      <c r="E201" s="2184">
        <v>0</v>
      </c>
      <c r="F201" s="2184">
        <v>0</v>
      </c>
      <c r="G201" s="2233">
        <v>0</v>
      </c>
      <c r="H201" s="2156" t="e">
        <f>G201/F201*100</f>
        <v>#DIV/0!</v>
      </c>
      <c r="I201" s="2165"/>
    </row>
    <row r="202" spans="1:9" ht="15" hidden="1" customHeight="1" thickBot="1" x14ac:dyDescent="0.3">
      <c r="A202" s="2186">
        <v>3299</v>
      </c>
      <c r="B202" s="2162">
        <v>6341</v>
      </c>
      <c r="C202" s="2162">
        <v>32533006</v>
      </c>
      <c r="D202" s="2308" t="s">
        <v>271</v>
      </c>
      <c r="E202" s="2184">
        <v>0</v>
      </c>
      <c r="F202" s="2184">
        <v>0</v>
      </c>
      <c r="G202" s="2233">
        <v>0</v>
      </c>
      <c r="H202" s="2156" t="e">
        <f>G202/F202*100</f>
        <v>#DIV/0!</v>
      </c>
      <c r="I202" s="2165"/>
    </row>
    <row r="203" spans="1:9" ht="15" customHeight="1" thickTop="1" thickBot="1" x14ac:dyDescent="0.3">
      <c r="A203" s="2175" t="s">
        <v>849</v>
      </c>
      <c r="B203" s="2176"/>
      <c r="C203" s="2176"/>
      <c r="D203" s="2177"/>
      <c r="E203" s="2152">
        <f>SUM(E199:E200)</f>
        <v>0</v>
      </c>
      <c r="F203" s="2152">
        <f>SUM(F199:F202)</f>
        <v>1242</v>
      </c>
      <c r="G203" s="2152">
        <f>SUM(G199:G202)</f>
        <v>1242</v>
      </c>
      <c r="H203" s="2157">
        <f>G203/F203*100</f>
        <v>100</v>
      </c>
      <c r="I203" s="2165"/>
    </row>
    <row r="204" spans="1:9" ht="15" customHeight="1" thickTop="1" x14ac:dyDescent="0.2">
      <c r="I204" s="2165"/>
    </row>
    <row r="205" spans="1:9" ht="15" x14ac:dyDescent="0.25">
      <c r="A205" s="2136" t="s">
        <v>1126</v>
      </c>
      <c r="D205" s="2130"/>
      <c r="E205" s="2131"/>
      <c r="H205" s="2165"/>
      <c r="I205" s="2165"/>
    </row>
    <row r="206" spans="1:9" ht="15.75" thickBot="1" x14ac:dyDescent="0.3">
      <c r="A206" s="2136" t="s">
        <v>1127</v>
      </c>
      <c r="D206" s="2130"/>
      <c r="E206" s="2131"/>
      <c r="H206" s="2240" t="s">
        <v>179</v>
      </c>
      <c r="I206" s="2165"/>
    </row>
    <row r="207" spans="1:9" ht="25.5" thickTop="1" thickBot="1" x14ac:dyDescent="0.25">
      <c r="A207" s="2138" t="s">
        <v>180</v>
      </c>
      <c r="B207" s="2139" t="s">
        <v>847</v>
      </c>
      <c r="C207" s="2139" t="s">
        <v>414</v>
      </c>
      <c r="D207" s="2140" t="s">
        <v>182</v>
      </c>
      <c r="E207" s="2171" t="s">
        <v>700</v>
      </c>
      <c r="F207" s="2171" t="s">
        <v>701</v>
      </c>
      <c r="G207" s="2172" t="s">
        <v>986</v>
      </c>
      <c r="H207" s="2173" t="s">
        <v>987</v>
      </c>
      <c r="I207" s="2165"/>
    </row>
    <row r="208" spans="1:9" ht="14.25" thickTop="1" thickBot="1" x14ac:dyDescent="0.25">
      <c r="A208" s="1854">
        <v>1</v>
      </c>
      <c r="B208" s="1853">
        <v>2</v>
      </c>
      <c r="C208" s="1853">
        <v>3</v>
      </c>
      <c r="D208" s="1853">
        <v>5</v>
      </c>
      <c r="E208" s="1852">
        <v>6</v>
      </c>
      <c r="F208" s="1852">
        <v>7</v>
      </c>
      <c r="G208" s="2223">
        <v>8</v>
      </c>
      <c r="H208" s="2146" t="s">
        <v>848</v>
      </c>
      <c r="I208" s="2165"/>
    </row>
    <row r="209" spans="1:9" ht="15.75" thickTop="1" x14ac:dyDescent="0.25">
      <c r="A209" s="2147">
        <v>3299</v>
      </c>
      <c r="B209" s="2148">
        <v>5321</v>
      </c>
      <c r="C209" s="2148">
        <v>32133006</v>
      </c>
      <c r="D209" s="2234" t="s">
        <v>1349</v>
      </c>
      <c r="E209" s="2170">
        <v>0</v>
      </c>
      <c r="F209" s="2170">
        <v>226</v>
      </c>
      <c r="G209" s="2236">
        <v>94</v>
      </c>
      <c r="H209" s="2153">
        <f>G209/F209*100</f>
        <v>41.592920353982301</v>
      </c>
      <c r="I209" s="2165"/>
    </row>
    <row r="210" spans="1:9" ht="15.75" thickBot="1" x14ac:dyDescent="0.3">
      <c r="A210" s="2147">
        <v>3299</v>
      </c>
      <c r="B210" s="2148">
        <v>5321</v>
      </c>
      <c r="C210" s="2148">
        <v>32533006</v>
      </c>
      <c r="D210" s="2234" t="s">
        <v>1349</v>
      </c>
      <c r="E210" s="2184">
        <v>0</v>
      </c>
      <c r="F210" s="2184">
        <v>1282</v>
      </c>
      <c r="G210" s="2233">
        <v>530</v>
      </c>
      <c r="H210" s="2156">
        <f>G210/F210*100</f>
        <v>41.341653666146641</v>
      </c>
      <c r="I210" s="2165"/>
    </row>
    <row r="211" spans="1:9" ht="16.5" thickTop="1" thickBot="1" x14ac:dyDescent="0.3">
      <c r="A211" s="2175" t="s">
        <v>849</v>
      </c>
      <c r="B211" s="2176"/>
      <c r="C211" s="2176"/>
      <c r="D211" s="2177"/>
      <c r="E211" s="2152">
        <f>SUM(E209:E210)</f>
        <v>0</v>
      </c>
      <c r="F211" s="2152">
        <f>SUM(F209:F210)</f>
        <v>1508</v>
      </c>
      <c r="G211" s="2152">
        <f>SUM(G209:G210)</f>
        <v>624</v>
      </c>
      <c r="H211" s="2157">
        <f>G211/F211*100</f>
        <v>41.379310344827587</v>
      </c>
      <c r="I211" s="2165"/>
    </row>
    <row r="212" spans="1:9" ht="15" customHeight="1" thickTop="1" x14ac:dyDescent="0.2">
      <c r="I212" s="2165"/>
    </row>
    <row r="213" spans="1:9" ht="15" x14ac:dyDescent="0.25">
      <c r="A213" s="2136" t="s">
        <v>1128</v>
      </c>
      <c r="D213" s="2130"/>
      <c r="E213" s="2131"/>
      <c r="H213" s="2165"/>
      <c r="I213" s="2165"/>
    </row>
    <row r="214" spans="1:9" ht="15.75" thickBot="1" x14ac:dyDescent="0.3">
      <c r="A214" s="2136" t="s">
        <v>1289</v>
      </c>
      <c r="D214" s="2130"/>
      <c r="E214" s="2131"/>
      <c r="H214" s="2240" t="s">
        <v>179</v>
      </c>
      <c r="I214" s="2165"/>
    </row>
    <row r="215" spans="1:9" ht="25.5" thickTop="1" thickBot="1" x14ac:dyDescent="0.25">
      <c r="A215" s="2138" t="s">
        <v>180</v>
      </c>
      <c r="B215" s="2139" t="s">
        <v>847</v>
      </c>
      <c r="C215" s="2139" t="s">
        <v>414</v>
      </c>
      <c r="D215" s="2140" t="s">
        <v>182</v>
      </c>
      <c r="E215" s="2171" t="s">
        <v>700</v>
      </c>
      <c r="F215" s="2171" t="s">
        <v>701</v>
      </c>
      <c r="G215" s="2172" t="s">
        <v>986</v>
      </c>
      <c r="H215" s="2173" t="s">
        <v>987</v>
      </c>
      <c r="I215" s="2165"/>
    </row>
    <row r="216" spans="1:9" ht="14.25" thickTop="1" thickBot="1" x14ac:dyDescent="0.25">
      <c r="A216" s="1854">
        <v>1</v>
      </c>
      <c r="B216" s="1853">
        <v>2</v>
      </c>
      <c r="C216" s="1853">
        <v>3</v>
      </c>
      <c r="D216" s="1853">
        <v>5</v>
      </c>
      <c r="E216" s="1852">
        <v>6</v>
      </c>
      <c r="F216" s="1852">
        <v>7</v>
      </c>
      <c r="G216" s="2223">
        <v>8</v>
      </c>
      <c r="H216" s="2146" t="s">
        <v>848</v>
      </c>
      <c r="I216" s="2165"/>
    </row>
    <row r="217" spans="1:9" ht="15.75" thickTop="1" x14ac:dyDescent="0.25">
      <c r="A217" s="2147">
        <v>3299</v>
      </c>
      <c r="B217" s="2148">
        <v>5321</v>
      </c>
      <c r="C217" s="2148">
        <v>32133006</v>
      </c>
      <c r="D217" s="2234" t="s">
        <v>1349</v>
      </c>
      <c r="E217" s="2170">
        <v>0</v>
      </c>
      <c r="F217" s="2170">
        <v>86</v>
      </c>
      <c r="G217" s="2236">
        <v>86</v>
      </c>
      <c r="H217" s="2153">
        <f>G217/F217*100</f>
        <v>100</v>
      </c>
      <c r="I217" s="2165"/>
    </row>
    <row r="218" spans="1:9" ht="15.75" thickBot="1" x14ac:dyDescent="0.3">
      <c r="A218" s="2147">
        <v>3299</v>
      </c>
      <c r="B218" s="2148">
        <v>5321</v>
      </c>
      <c r="C218" s="2148">
        <v>32533006</v>
      </c>
      <c r="D218" s="2234" t="s">
        <v>1349</v>
      </c>
      <c r="E218" s="2184">
        <v>0</v>
      </c>
      <c r="F218" s="2184">
        <v>485</v>
      </c>
      <c r="G218" s="2233">
        <v>485</v>
      </c>
      <c r="H218" s="2156">
        <f>G218/F218*100</f>
        <v>100</v>
      </c>
      <c r="I218" s="2165"/>
    </row>
    <row r="219" spans="1:9" ht="15.75" hidden="1" thickBot="1" x14ac:dyDescent="0.3">
      <c r="A219" s="2238">
        <v>3299</v>
      </c>
      <c r="B219" s="2309">
        <v>6341</v>
      </c>
      <c r="C219" s="2309">
        <v>32133006</v>
      </c>
      <c r="D219" s="2234" t="s">
        <v>271</v>
      </c>
      <c r="E219" s="2184">
        <v>0</v>
      </c>
      <c r="F219" s="2184">
        <v>0</v>
      </c>
      <c r="G219" s="2233">
        <v>0</v>
      </c>
      <c r="H219" s="2156" t="e">
        <f>G219/F219*100</f>
        <v>#DIV/0!</v>
      </c>
      <c r="I219" s="2165"/>
    </row>
    <row r="220" spans="1:9" ht="15.75" hidden="1" thickBot="1" x14ac:dyDescent="0.3">
      <c r="A220" s="2238">
        <v>3299</v>
      </c>
      <c r="B220" s="2205">
        <v>6341</v>
      </c>
      <c r="C220" s="2162">
        <v>32533006</v>
      </c>
      <c r="D220" s="2308" t="s">
        <v>271</v>
      </c>
      <c r="E220" s="2184">
        <v>0</v>
      </c>
      <c r="F220" s="2184">
        <v>0</v>
      </c>
      <c r="G220" s="2233">
        <v>0</v>
      </c>
      <c r="H220" s="2156" t="e">
        <f>G220/F220*100</f>
        <v>#DIV/0!</v>
      </c>
      <c r="I220" s="2165"/>
    </row>
    <row r="221" spans="1:9" ht="16.5" thickTop="1" thickBot="1" x14ac:dyDescent="0.3">
      <c r="A221" s="2175" t="s">
        <v>849</v>
      </c>
      <c r="B221" s="2176"/>
      <c r="C221" s="2176"/>
      <c r="D221" s="2177"/>
      <c r="E221" s="2152">
        <f>SUM(E217:E218)</f>
        <v>0</v>
      </c>
      <c r="F221" s="2152">
        <f>SUM(F217:F220)</f>
        <v>571</v>
      </c>
      <c r="G221" s="2152">
        <f>SUM(G217:G220)</f>
        <v>571</v>
      </c>
      <c r="H221" s="2157">
        <f>G221/F221*100</f>
        <v>100</v>
      </c>
      <c r="I221" s="2165"/>
    </row>
    <row r="222" spans="1:9" ht="13.5" thickTop="1" x14ac:dyDescent="0.2">
      <c r="I222" s="2165"/>
    </row>
    <row r="223" spans="1:9" x14ac:dyDescent="0.2">
      <c r="I223" s="2165"/>
    </row>
    <row r="224" spans="1:9" hidden="1" x14ac:dyDescent="0.2">
      <c r="I224" s="2165"/>
    </row>
    <row r="225" spans="1:12" hidden="1" x14ac:dyDescent="0.2">
      <c r="I225" s="2165"/>
    </row>
    <row r="226" spans="1:12" hidden="1" x14ac:dyDescent="0.2">
      <c r="I226" s="2165"/>
    </row>
    <row r="227" spans="1:12" hidden="1" x14ac:dyDescent="0.2">
      <c r="I227" s="2165"/>
    </row>
    <row r="228" spans="1:12" x14ac:dyDescent="0.2">
      <c r="I228" s="2165"/>
    </row>
    <row r="229" spans="1:12" ht="16.5" x14ac:dyDescent="0.25">
      <c r="A229" s="2206" t="s">
        <v>508</v>
      </c>
      <c r="B229" s="2207"/>
      <c r="C229" s="2208"/>
      <c r="D229" s="2209"/>
      <c r="E229" s="2210">
        <f>SUM(E230:E232)</f>
        <v>0</v>
      </c>
      <c r="F229" s="2210">
        <f>F230+F231+F232+F233</f>
        <v>24859</v>
      </c>
      <c r="G229" s="2210">
        <f>G230+G231+G232+G233</f>
        <v>14449</v>
      </c>
      <c r="H229" s="2232">
        <f>G229/F229*100</f>
        <v>58.123818335411727</v>
      </c>
      <c r="J229" s="2212">
        <f>J230+J231+J232</f>
        <v>0</v>
      </c>
      <c r="K229" s="2212">
        <f>K230+K231+K232</f>
        <v>24859118.389999997</v>
      </c>
      <c r="L229" s="2212">
        <f>L230+L231+L232</f>
        <v>14448529.880000001</v>
      </c>
    </row>
    <row r="230" spans="1:12" ht="15" x14ac:dyDescent="0.2">
      <c r="A230" s="1810" t="s">
        <v>288</v>
      </c>
      <c r="B230" s="1813"/>
      <c r="C230" s="1808"/>
      <c r="D230" s="2213"/>
      <c r="E230" s="1811">
        <f>SUM(E10:E17,E82:E83,E119,E127,E221)</f>
        <v>0</v>
      </c>
      <c r="F230" s="1811">
        <f>F10+F11+F12+F13+F14+F15+F16+F17+F24+F31+F32+F41+F42+F56+F57+F64+F65+F74+F75+F82+F83+F92+F93+F102+F103+F110+F111+F117+F118+F125+F126+F133+F134+F141+F142+F149+F150+F157+F158+F165+F166+F175+F176+F183+F184+F191+F192+F199+F200+F209+F210+F217+F218</f>
        <v>23032</v>
      </c>
      <c r="G230" s="1811">
        <f>G10+G11+G12+G13+G14+G15+G16+G17+G24+G31+G32+G41+G42+G56+G57+G64+G65+G74+G75+G82+G83+G92+G93+G102+G103+G110+G111+G117+G118+G125+G126+G133+G134+G141+G142+G149+G150+G157+G158+G165+G166+G175+G176+G183+G184+G191+G192+G199+G200+G209+G210+G217+G218</f>
        <v>14380</v>
      </c>
      <c r="H230" s="2231">
        <f>G230/F230*100</f>
        <v>62.434873219868017</v>
      </c>
      <c r="J230" s="2214">
        <v>0</v>
      </c>
      <c r="K230" s="2214">
        <v>23031685.489999998</v>
      </c>
      <c r="L230" s="2214">
        <v>14379617.75</v>
      </c>
    </row>
    <row r="231" spans="1:12" ht="15" x14ac:dyDescent="0.2">
      <c r="A231" s="1810" t="s">
        <v>289</v>
      </c>
      <c r="B231" s="1809"/>
      <c r="C231" s="1808"/>
      <c r="D231" s="2215"/>
      <c r="E231" s="1811">
        <f>SUM(E18:E23,E84:E85,)</f>
        <v>0</v>
      </c>
      <c r="F231" s="1811">
        <f>F20+F21+F22+F23+F66+F67</f>
        <v>1827</v>
      </c>
      <c r="G231" s="1811">
        <f>G20+G21+G22+G23+G66+G67</f>
        <v>69</v>
      </c>
      <c r="H231" s="2231">
        <f>G231/F231*100</f>
        <v>3.7766830870279149</v>
      </c>
      <c r="J231" s="2214">
        <v>0</v>
      </c>
      <c r="K231" s="2214">
        <v>1827432.9</v>
      </c>
      <c r="L231" s="2214">
        <v>68912.13</v>
      </c>
    </row>
    <row r="232" spans="1:12" ht="15" x14ac:dyDescent="0.2">
      <c r="A232" s="1810" t="s">
        <v>509</v>
      </c>
      <c r="B232" s="1809"/>
      <c r="C232" s="1808"/>
      <c r="D232" s="2215"/>
      <c r="E232" s="1811">
        <v>0</v>
      </c>
      <c r="F232" s="1811">
        <v>0</v>
      </c>
      <c r="G232" s="1811">
        <v>0</v>
      </c>
      <c r="H232" s="2231">
        <v>0</v>
      </c>
      <c r="J232" s="2214">
        <v>0</v>
      </c>
      <c r="K232" s="2214">
        <v>0</v>
      </c>
      <c r="L232" s="2214">
        <v>0</v>
      </c>
    </row>
    <row r="233" spans="1:12" ht="15" x14ac:dyDescent="0.2">
      <c r="A233" s="1810"/>
      <c r="B233" s="1809"/>
      <c r="C233" s="1808"/>
      <c r="D233" s="2215"/>
      <c r="E233" s="1811"/>
      <c r="F233" s="1811"/>
      <c r="G233" s="1811"/>
      <c r="H233" s="1807"/>
    </row>
    <row r="234" spans="1:12" ht="91.5" customHeight="1" thickBot="1" x14ac:dyDescent="0.4">
      <c r="A234" s="2800" t="s">
        <v>1059</v>
      </c>
      <c r="B234" s="2821"/>
      <c r="C234" s="2821"/>
      <c r="D234" s="2821"/>
      <c r="E234" s="1801">
        <f>SUM(E229)</f>
        <v>0</v>
      </c>
      <c r="F234" s="1801">
        <f>SUM(F229)</f>
        <v>24859</v>
      </c>
      <c r="G234" s="1801">
        <f>SUM(G229)</f>
        <v>14449</v>
      </c>
      <c r="H234" s="1800">
        <f>(G234/F234)*100</f>
        <v>58.123818335411727</v>
      </c>
    </row>
    <row r="235" spans="1:12" ht="13.5" thickTop="1" x14ac:dyDescent="0.2"/>
    <row r="356" spans="1:5" ht="13.5" thickBot="1" x14ac:dyDescent="0.25">
      <c r="A356" s="2179"/>
      <c r="B356" s="2179"/>
      <c r="C356" s="2179"/>
      <c r="D356" s="2264"/>
      <c r="E356" s="2265"/>
    </row>
    <row r="357" spans="1:5" ht="13.5" thickTop="1" x14ac:dyDescent="0.2">
      <c r="A357" s="2204"/>
      <c r="B357" s="2204"/>
      <c r="C357" s="2204"/>
      <c r="D357" s="2193"/>
      <c r="E357" s="2266"/>
    </row>
    <row r="358" spans="1:5" x14ac:dyDescent="0.2">
      <c r="D358" s="2131" t="e">
        <f>#REF!+#REF!</f>
        <v>#REF!</v>
      </c>
    </row>
  </sheetData>
  <mergeCells count="3">
    <mergeCell ref="A1:H1"/>
    <mergeCell ref="A25:D25"/>
    <mergeCell ref="A234:D234"/>
  </mergeCells>
  <pageMargins left="0.98425196850393704" right="0.98425196850393704" top="0.98425196850393704" bottom="0.98425196850393704" header="0.51181102362204722" footer="0.51181102362204722"/>
  <pageSetup paperSize="9" scale="72" firstPageNumber="144" orientation="portrait" useFirstPageNumber="1" r:id="rId1"/>
  <headerFooter alignWithMargins="0">
    <oddFooter xml:space="preserve">&amp;L&amp;"Arial,Kurzíva"Zastupitelstvo Olomouckého kraje 28. 6. 2013
6.- Závěrečný  účet Olomuckého kraje za rok 2012
Příloha č. 3: Plnění rozpočtu výdajů Olomouckého kraje k 31.12.2012&amp;R&amp;"Arial,Kurzíva"Strana &amp;P (Celkem 484)
</oddFooter>
  </headerFooter>
  <rowBreaks count="1" manualBreakCount="1">
    <brk id="51" max="7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349"/>
  <sheetViews>
    <sheetView showGridLines="0" view="pageBreakPreview" topLeftCell="A201" zoomScaleNormal="100" zoomScaleSheetLayoutView="100" workbookViewId="0">
      <selection activeCell="A198" sqref="A198"/>
    </sheetView>
  </sheetViews>
  <sheetFormatPr defaultRowHeight="12.75" x14ac:dyDescent="0.2"/>
  <cols>
    <col min="1" max="1" width="4.7109375" style="2130" customWidth="1"/>
    <col min="2" max="2" width="6.140625" style="2130" customWidth="1"/>
    <col min="3" max="3" width="10.28515625" style="2130" customWidth="1"/>
    <col min="4" max="4" width="40.42578125" style="2131" customWidth="1"/>
    <col min="5" max="5" width="10.42578125" style="2165" customWidth="1"/>
    <col min="6" max="6" width="15.85546875" style="2165" customWidth="1"/>
    <col min="7" max="7" width="13.85546875" style="2165" customWidth="1"/>
    <col min="8" max="8" width="8" style="2131" customWidth="1"/>
    <col min="9" max="9" width="14.28515625" style="2131" bestFit="1" customWidth="1"/>
    <col min="10" max="10" width="9.28515625" style="2131" bestFit="1" customWidth="1"/>
    <col min="11" max="11" width="16.140625" style="2131" bestFit="1" customWidth="1"/>
    <col min="12" max="12" width="16" style="2131" bestFit="1" customWidth="1"/>
    <col min="13" max="256" width="9.140625" style="2131"/>
    <col min="257" max="257" width="4.7109375" style="2131" customWidth="1"/>
    <col min="258" max="258" width="6.140625" style="2131" customWidth="1"/>
    <col min="259" max="259" width="10.28515625" style="2131" customWidth="1"/>
    <col min="260" max="260" width="40.42578125" style="2131" customWidth="1"/>
    <col min="261" max="261" width="10.42578125" style="2131" customWidth="1"/>
    <col min="262" max="262" width="15.85546875" style="2131" customWidth="1"/>
    <col min="263" max="263" width="13.85546875" style="2131" customWidth="1"/>
    <col min="264" max="264" width="6.42578125" style="2131" customWidth="1"/>
    <col min="265" max="265" width="14.28515625" style="2131" bestFit="1" customWidth="1"/>
    <col min="266" max="266" width="9.28515625" style="2131" bestFit="1" customWidth="1"/>
    <col min="267" max="267" width="16.140625" style="2131" bestFit="1" customWidth="1"/>
    <col min="268" max="268" width="16" style="2131" bestFit="1" customWidth="1"/>
    <col min="269" max="512" width="9.140625" style="2131"/>
    <col min="513" max="513" width="4.7109375" style="2131" customWidth="1"/>
    <col min="514" max="514" width="6.140625" style="2131" customWidth="1"/>
    <col min="515" max="515" width="10.28515625" style="2131" customWidth="1"/>
    <col min="516" max="516" width="40.42578125" style="2131" customWidth="1"/>
    <col min="517" max="517" width="10.42578125" style="2131" customWidth="1"/>
    <col min="518" max="518" width="15.85546875" style="2131" customWidth="1"/>
    <col min="519" max="519" width="13.85546875" style="2131" customWidth="1"/>
    <col min="520" max="520" width="6.42578125" style="2131" customWidth="1"/>
    <col min="521" max="521" width="14.28515625" style="2131" bestFit="1" customWidth="1"/>
    <col min="522" max="522" width="9.28515625" style="2131" bestFit="1" customWidth="1"/>
    <col min="523" max="523" width="16.140625" style="2131" bestFit="1" customWidth="1"/>
    <col min="524" max="524" width="16" style="2131" bestFit="1" customWidth="1"/>
    <col min="525" max="768" width="9.140625" style="2131"/>
    <col min="769" max="769" width="4.7109375" style="2131" customWidth="1"/>
    <col min="770" max="770" width="6.140625" style="2131" customWidth="1"/>
    <col min="771" max="771" width="10.28515625" style="2131" customWidth="1"/>
    <col min="772" max="772" width="40.42578125" style="2131" customWidth="1"/>
    <col min="773" max="773" width="10.42578125" style="2131" customWidth="1"/>
    <col min="774" max="774" width="15.85546875" style="2131" customWidth="1"/>
    <col min="775" max="775" width="13.85546875" style="2131" customWidth="1"/>
    <col min="776" max="776" width="6.42578125" style="2131" customWidth="1"/>
    <col min="777" max="777" width="14.28515625" style="2131" bestFit="1" customWidth="1"/>
    <col min="778" max="778" width="9.28515625" style="2131" bestFit="1" customWidth="1"/>
    <col min="779" max="779" width="16.140625" style="2131" bestFit="1" customWidth="1"/>
    <col min="780" max="780" width="16" style="2131" bestFit="1" customWidth="1"/>
    <col min="781" max="1024" width="9.140625" style="2131"/>
    <col min="1025" max="1025" width="4.7109375" style="2131" customWidth="1"/>
    <col min="1026" max="1026" width="6.140625" style="2131" customWidth="1"/>
    <col min="1027" max="1027" width="10.28515625" style="2131" customWidth="1"/>
    <col min="1028" max="1028" width="40.42578125" style="2131" customWidth="1"/>
    <col min="1029" max="1029" width="10.42578125" style="2131" customWidth="1"/>
    <col min="1030" max="1030" width="15.85546875" style="2131" customWidth="1"/>
    <col min="1031" max="1031" width="13.85546875" style="2131" customWidth="1"/>
    <col min="1032" max="1032" width="6.42578125" style="2131" customWidth="1"/>
    <col min="1033" max="1033" width="14.28515625" style="2131" bestFit="1" customWidth="1"/>
    <col min="1034" max="1034" width="9.28515625" style="2131" bestFit="1" customWidth="1"/>
    <col min="1035" max="1035" width="16.140625" style="2131" bestFit="1" customWidth="1"/>
    <col min="1036" max="1036" width="16" style="2131" bestFit="1" customWidth="1"/>
    <col min="1037" max="1280" width="9.140625" style="2131"/>
    <col min="1281" max="1281" width="4.7109375" style="2131" customWidth="1"/>
    <col min="1282" max="1282" width="6.140625" style="2131" customWidth="1"/>
    <col min="1283" max="1283" width="10.28515625" style="2131" customWidth="1"/>
    <col min="1284" max="1284" width="40.42578125" style="2131" customWidth="1"/>
    <col min="1285" max="1285" width="10.42578125" style="2131" customWidth="1"/>
    <col min="1286" max="1286" width="15.85546875" style="2131" customWidth="1"/>
    <col min="1287" max="1287" width="13.85546875" style="2131" customWidth="1"/>
    <col min="1288" max="1288" width="6.42578125" style="2131" customWidth="1"/>
    <col min="1289" max="1289" width="14.28515625" style="2131" bestFit="1" customWidth="1"/>
    <col min="1290" max="1290" width="9.28515625" style="2131" bestFit="1" customWidth="1"/>
    <col min="1291" max="1291" width="16.140625" style="2131" bestFit="1" customWidth="1"/>
    <col min="1292" max="1292" width="16" style="2131" bestFit="1" customWidth="1"/>
    <col min="1293" max="1536" width="9.140625" style="2131"/>
    <col min="1537" max="1537" width="4.7109375" style="2131" customWidth="1"/>
    <col min="1538" max="1538" width="6.140625" style="2131" customWidth="1"/>
    <col min="1539" max="1539" width="10.28515625" style="2131" customWidth="1"/>
    <col min="1540" max="1540" width="40.42578125" style="2131" customWidth="1"/>
    <col min="1541" max="1541" width="10.42578125" style="2131" customWidth="1"/>
    <col min="1542" max="1542" width="15.85546875" style="2131" customWidth="1"/>
    <col min="1543" max="1543" width="13.85546875" style="2131" customWidth="1"/>
    <col min="1544" max="1544" width="6.42578125" style="2131" customWidth="1"/>
    <col min="1545" max="1545" width="14.28515625" style="2131" bestFit="1" customWidth="1"/>
    <col min="1546" max="1546" width="9.28515625" style="2131" bestFit="1" customWidth="1"/>
    <col min="1547" max="1547" width="16.140625" style="2131" bestFit="1" customWidth="1"/>
    <col min="1548" max="1548" width="16" style="2131" bestFit="1" customWidth="1"/>
    <col min="1549" max="1792" width="9.140625" style="2131"/>
    <col min="1793" max="1793" width="4.7109375" style="2131" customWidth="1"/>
    <col min="1794" max="1794" width="6.140625" style="2131" customWidth="1"/>
    <col min="1795" max="1795" width="10.28515625" style="2131" customWidth="1"/>
    <col min="1796" max="1796" width="40.42578125" style="2131" customWidth="1"/>
    <col min="1797" max="1797" width="10.42578125" style="2131" customWidth="1"/>
    <col min="1798" max="1798" width="15.85546875" style="2131" customWidth="1"/>
    <col min="1799" max="1799" width="13.85546875" style="2131" customWidth="1"/>
    <col min="1800" max="1800" width="6.42578125" style="2131" customWidth="1"/>
    <col min="1801" max="1801" width="14.28515625" style="2131" bestFit="1" customWidth="1"/>
    <col min="1802" max="1802" width="9.28515625" style="2131" bestFit="1" customWidth="1"/>
    <col min="1803" max="1803" width="16.140625" style="2131" bestFit="1" customWidth="1"/>
    <col min="1804" max="1804" width="16" style="2131" bestFit="1" customWidth="1"/>
    <col min="1805" max="2048" width="9.140625" style="2131"/>
    <col min="2049" max="2049" width="4.7109375" style="2131" customWidth="1"/>
    <col min="2050" max="2050" width="6.140625" style="2131" customWidth="1"/>
    <col min="2051" max="2051" width="10.28515625" style="2131" customWidth="1"/>
    <col min="2052" max="2052" width="40.42578125" style="2131" customWidth="1"/>
    <col min="2053" max="2053" width="10.42578125" style="2131" customWidth="1"/>
    <col min="2054" max="2054" width="15.85546875" style="2131" customWidth="1"/>
    <col min="2055" max="2055" width="13.85546875" style="2131" customWidth="1"/>
    <col min="2056" max="2056" width="6.42578125" style="2131" customWidth="1"/>
    <col min="2057" max="2057" width="14.28515625" style="2131" bestFit="1" customWidth="1"/>
    <col min="2058" max="2058" width="9.28515625" style="2131" bestFit="1" customWidth="1"/>
    <col min="2059" max="2059" width="16.140625" style="2131" bestFit="1" customWidth="1"/>
    <col min="2060" max="2060" width="16" style="2131" bestFit="1" customWidth="1"/>
    <col min="2061" max="2304" width="9.140625" style="2131"/>
    <col min="2305" max="2305" width="4.7109375" style="2131" customWidth="1"/>
    <col min="2306" max="2306" width="6.140625" style="2131" customWidth="1"/>
    <col min="2307" max="2307" width="10.28515625" style="2131" customWidth="1"/>
    <col min="2308" max="2308" width="40.42578125" style="2131" customWidth="1"/>
    <col min="2309" max="2309" width="10.42578125" style="2131" customWidth="1"/>
    <col min="2310" max="2310" width="15.85546875" style="2131" customWidth="1"/>
    <col min="2311" max="2311" width="13.85546875" style="2131" customWidth="1"/>
    <col min="2312" max="2312" width="6.42578125" style="2131" customWidth="1"/>
    <col min="2313" max="2313" width="14.28515625" style="2131" bestFit="1" customWidth="1"/>
    <col min="2314" max="2314" width="9.28515625" style="2131" bestFit="1" customWidth="1"/>
    <col min="2315" max="2315" width="16.140625" style="2131" bestFit="1" customWidth="1"/>
    <col min="2316" max="2316" width="16" style="2131" bestFit="1" customWidth="1"/>
    <col min="2317" max="2560" width="9.140625" style="2131"/>
    <col min="2561" max="2561" width="4.7109375" style="2131" customWidth="1"/>
    <col min="2562" max="2562" width="6.140625" style="2131" customWidth="1"/>
    <col min="2563" max="2563" width="10.28515625" style="2131" customWidth="1"/>
    <col min="2564" max="2564" width="40.42578125" style="2131" customWidth="1"/>
    <col min="2565" max="2565" width="10.42578125" style="2131" customWidth="1"/>
    <col min="2566" max="2566" width="15.85546875" style="2131" customWidth="1"/>
    <col min="2567" max="2567" width="13.85546875" style="2131" customWidth="1"/>
    <col min="2568" max="2568" width="6.42578125" style="2131" customWidth="1"/>
    <col min="2569" max="2569" width="14.28515625" style="2131" bestFit="1" customWidth="1"/>
    <col min="2570" max="2570" width="9.28515625" style="2131" bestFit="1" customWidth="1"/>
    <col min="2571" max="2571" width="16.140625" style="2131" bestFit="1" customWidth="1"/>
    <col min="2572" max="2572" width="16" style="2131" bestFit="1" customWidth="1"/>
    <col min="2573" max="2816" width="9.140625" style="2131"/>
    <col min="2817" max="2817" width="4.7109375" style="2131" customWidth="1"/>
    <col min="2818" max="2818" width="6.140625" style="2131" customWidth="1"/>
    <col min="2819" max="2819" width="10.28515625" style="2131" customWidth="1"/>
    <col min="2820" max="2820" width="40.42578125" style="2131" customWidth="1"/>
    <col min="2821" max="2821" width="10.42578125" style="2131" customWidth="1"/>
    <col min="2822" max="2822" width="15.85546875" style="2131" customWidth="1"/>
    <col min="2823" max="2823" width="13.85546875" style="2131" customWidth="1"/>
    <col min="2824" max="2824" width="6.42578125" style="2131" customWidth="1"/>
    <col min="2825" max="2825" width="14.28515625" style="2131" bestFit="1" customWidth="1"/>
    <col min="2826" max="2826" width="9.28515625" style="2131" bestFit="1" customWidth="1"/>
    <col min="2827" max="2827" width="16.140625" style="2131" bestFit="1" customWidth="1"/>
    <col min="2828" max="2828" width="16" style="2131" bestFit="1" customWidth="1"/>
    <col min="2829" max="3072" width="9.140625" style="2131"/>
    <col min="3073" max="3073" width="4.7109375" style="2131" customWidth="1"/>
    <col min="3074" max="3074" width="6.140625" style="2131" customWidth="1"/>
    <col min="3075" max="3075" width="10.28515625" style="2131" customWidth="1"/>
    <col min="3076" max="3076" width="40.42578125" style="2131" customWidth="1"/>
    <col min="3077" max="3077" width="10.42578125" style="2131" customWidth="1"/>
    <col min="3078" max="3078" width="15.85546875" style="2131" customWidth="1"/>
    <col min="3079" max="3079" width="13.85546875" style="2131" customWidth="1"/>
    <col min="3080" max="3080" width="6.42578125" style="2131" customWidth="1"/>
    <col min="3081" max="3081" width="14.28515625" style="2131" bestFit="1" customWidth="1"/>
    <col min="3082" max="3082" width="9.28515625" style="2131" bestFit="1" customWidth="1"/>
    <col min="3083" max="3083" width="16.140625" style="2131" bestFit="1" customWidth="1"/>
    <col min="3084" max="3084" width="16" style="2131" bestFit="1" customWidth="1"/>
    <col min="3085" max="3328" width="9.140625" style="2131"/>
    <col min="3329" max="3329" width="4.7109375" style="2131" customWidth="1"/>
    <col min="3330" max="3330" width="6.140625" style="2131" customWidth="1"/>
    <col min="3331" max="3331" width="10.28515625" style="2131" customWidth="1"/>
    <col min="3332" max="3332" width="40.42578125" style="2131" customWidth="1"/>
    <col min="3333" max="3333" width="10.42578125" style="2131" customWidth="1"/>
    <col min="3334" max="3334" width="15.85546875" style="2131" customWidth="1"/>
    <col min="3335" max="3335" width="13.85546875" style="2131" customWidth="1"/>
    <col min="3336" max="3336" width="6.42578125" style="2131" customWidth="1"/>
    <col min="3337" max="3337" width="14.28515625" style="2131" bestFit="1" customWidth="1"/>
    <col min="3338" max="3338" width="9.28515625" style="2131" bestFit="1" customWidth="1"/>
    <col min="3339" max="3339" width="16.140625" style="2131" bestFit="1" customWidth="1"/>
    <col min="3340" max="3340" width="16" style="2131" bestFit="1" customWidth="1"/>
    <col min="3341" max="3584" width="9.140625" style="2131"/>
    <col min="3585" max="3585" width="4.7109375" style="2131" customWidth="1"/>
    <col min="3586" max="3586" width="6.140625" style="2131" customWidth="1"/>
    <col min="3587" max="3587" width="10.28515625" style="2131" customWidth="1"/>
    <col min="3588" max="3588" width="40.42578125" style="2131" customWidth="1"/>
    <col min="3589" max="3589" width="10.42578125" style="2131" customWidth="1"/>
    <col min="3590" max="3590" width="15.85546875" style="2131" customWidth="1"/>
    <col min="3591" max="3591" width="13.85546875" style="2131" customWidth="1"/>
    <col min="3592" max="3592" width="6.42578125" style="2131" customWidth="1"/>
    <col min="3593" max="3593" width="14.28515625" style="2131" bestFit="1" customWidth="1"/>
    <col min="3594" max="3594" width="9.28515625" style="2131" bestFit="1" customWidth="1"/>
    <col min="3595" max="3595" width="16.140625" style="2131" bestFit="1" customWidth="1"/>
    <col min="3596" max="3596" width="16" style="2131" bestFit="1" customWidth="1"/>
    <col min="3597" max="3840" width="9.140625" style="2131"/>
    <col min="3841" max="3841" width="4.7109375" style="2131" customWidth="1"/>
    <col min="3842" max="3842" width="6.140625" style="2131" customWidth="1"/>
    <col min="3843" max="3843" width="10.28515625" style="2131" customWidth="1"/>
    <col min="3844" max="3844" width="40.42578125" style="2131" customWidth="1"/>
    <col min="3845" max="3845" width="10.42578125" style="2131" customWidth="1"/>
    <col min="3846" max="3846" width="15.85546875" style="2131" customWidth="1"/>
    <col min="3847" max="3847" width="13.85546875" style="2131" customWidth="1"/>
    <col min="3848" max="3848" width="6.42578125" style="2131" customWidth="1"/>
    <col min="3849" max="3849" width="14.28515625" style="2131" bestFit="1" customWidth="1"/>
    <col min="3850" max="3850" width="9.28515625" style="2131" bestFit="1" customWidth="1"/>
    <col min="3851" max="3851" width="16.140625" style="2131" bestFit="1" customWidth="1"/>
    <col min="3852" max="3852" width="16" style="2131" bestFit="1" customWidth="1"/>
    <col min="3853" max="4096" width="9.140625" style="2131"/>
    <col min="4097" max="4097" width="4.7109375" style="2131" customWidth="1"/>
    <col min="4098" max="4098" width="6.140625" style="2131" customWidth="1"/>
    <col min="4099" max="4099" width="10.28515625" style="2131" customWidth="1"/>
    <col min="4100" max="4100" width="40.42578125" style="2131" customWidth="1"/>
    <col min="4101" max="4101" width="10.42578125" style="2131" customWidth="1"/>
    <col min="4102" max="4102" width="15.85546875" style="2131" customWidth="1"/>
    <col min="4103" max="4103" width="13.85546875" style="2131" customWidth="1"/>
    <col min="4104" max="4104" width="6.42578125" style="2131" customWidth="1"/>
    <col min="4105" max="4105" width="14.28515625" style="2131" bestFit="1" customWidth="1"/>
    <col min="4106" max="4106" width="9.28515625" style="2131" bestFit="1" customWidth="1"/>
    <col min="4107" max="4107" width="16.140625" style="2131" bestFit="1" customWidth="1"/>
    <col min="4108" max="4108" width="16" style="2131" bestFit="1" customWidth="1"/>
    <col min="4109" max="4352" width="9.140625" style="2131"/>
    <col min="4353" max="4353" width="4.7109375" style="2131" customWidth="1"/>
    <col min="4354" max="4354" width="6.140625" style="2131" customWidth="1"/>
    <col min="4355" max="4355" width="10.28515625" style="2131" customWidth="1"/>
    <col min="4356" max="4356" width="40.42578125" style="2131" customWidth="1"/>
    <col min="4357" max="4357" width="10.42578125" style="2131" customWidth="1"/>
    <col min="4358" max="4358" width="15.85546875" style="2131" customWidth="1"/>
    <col min="4359" max="4359" width="13.85546875" style="2131" customWidth="1"/>
    <col min="4360" max="4360" width="6.42578125" style="2131" customWidth="1"/>
    <col min="4361" max="4361" width="14.28515625" style="2131" bestFit="1" customWidth="1"/>
    <col min="4362" max="4362" width="9.28515625" style="2131" bestFit="1" customWidth="1"/>
    <col min="4363" max="4363" width="16.140625" style="2131" bestFit="1" customWidth="1"/>
    <col min="4364" max="4364" width="16" style="2131" bestFit="1" customWidth="1"/>
    <col min="4365" max="4608" width="9.140625" style="2131"/>
    <col min="4609" max="4609" width="4.7109375" style="2131" customWidth="1"/>
    <col min="4610" max="4610" width="6.140625" style="2131" customWidth="1"/>
    <col min="4611" max="4611" width="10.28515625" style="2131" customWidth="1"/>
    <col min="4612" max="4612" width="40.42578125" style="2131" customWidth="1"/>
    <col min="4613" max="4613" width="10.42578125" style="2131" customWidth="1"/>
    <col min="4614" max="4614" width="15.85546875" style="2131" customWidth="1"/>
    <col min="4615" max="4615" width="13.85546875" style="2131" customWidth="1"/>
    <col min="4616" max="4616" width="6.42578125" style="2131" customWidth="1"/>
    <col min="4617" max="4617" width="14.28515625" style="2131" bestFit="1" customWidth="1"/>
    <col min="4618" max="4618" width="9.28515625" style="2131" bestFit="1" customWidth="1"/>
    <col min="4619" max="4619" width="16.140625" style="2131" bestFit="1" customWidth="1"/>
    <col min="4620" max="4620" width="16" style="2131" bestFit="1" customWidth="1"/>
    <col min="4621" max="4864" width="9.140625" style="2131"/>
    <col min="4865" max="4865" width="4.7109375" style="2131" customWidth="1"/>
    <col min="4866" max="4866" width="6.140625" style="2131" customWidth="1"/>
    <col min="4867" max="4867" width="10.28515625" style="2131" customWidth="1"/>
    <col min="4868" max="4868" width="40.42578125" style="2131" customWidth="1"/>
    <col min="4869" max="4869" width="10.42578125" style="2131" customWidth="1"/>
    <col min="4870" max="4870" width="15.85546875" style="2131" customWidth="1"/>
    <col min="4871" max="4871" width="13.85546875" style="2131" customWidth="1"/>
    <col min="4872" max="4872" width="6.42578125" style="2131" customWidth="1"/>
    <col min="4873" max="4873" width="14.28515625" style="2131" bestFit="1" customWidth="1"/>
    <col min="4874" max="4874" width="9.28515625" style="2131" bestFit="1" customWidth="1"/>
    <col min="4875" max="4875" width="16.140625" style="2131" bestFit="1" customWidth="1"/>
    <col min="4876" max="4876" width="16" style="2131" bestFit="1" customWidth="1"/>
    <col min="4877" max="5120" width="9.140625" style="2131"/>
    <col min="5121" max="5121" width="4.7109375" style="2131" customWidth="1"/>
    <col min="5122" max="5122" width="6.140625" style="2131" customWidth="1"/>
    <col min="5123" max="5123" width="10.28515625" style="2131" customWidth="1"/>
    <col min="5124" max="5124" width="40.42578125" style="2131" customWidth="1"/>
    <col min="5125" max="5125" width="10.42578125" style="2131" customWidth="1"/>
    <col min="5126" max="5126" width="15.85546875" style="2131" customWidth="1"/>
    <col min="5127" max="5127" width="13.85546875" style="2131" customWidth="1"/>
    <col min="5128" max="5128" width="6.42578125" style="2131" customWidth="1"/>
    <col min="5129" max="5129" width="14.28515625" style="2131" bestFit="1" customWidth="1"/>
    <col min="5130" max="5130" width="9.28515625" style="2131" bestFit="1" customWidth="1"/>
    <col min="5131" max="5131" width="16.140625" style="2131" bestFit="1" customWidth="1"/>
    <col min="5132" max="5132" width="16" style="2131" bestFit="1" customWidth="1"/>
    <col min="5133" max="5376" width="9.140625" style="2131"/>
    <col min="5377" max="5377" width="4.7109375" style="2131" customWidth="1"/>
    <col min="5378" max="5378" width="6.140625" style="2131" customWidth="1"/>
    <col min="5379" max="5379" width="10.28515625" style="2131" customWidth="1"/>
    <col min="5380" max="5380" width="40.42578125" style="2131" customWidth="1"/>
    <col min="5381" max="5381" width="10.42578125" style="2131" customWidth="1"/>
    <col min="5382" max="5382" width="15.85546875" style="2131" customWidth="1"/>
    <col min="5383" max="5383" width="13.85546875" style="2131" customWidth="1"/>
    <col min="5384" max="5384" width="6.42578125" style="2131" customWidth="1"/>
    <col min="5385" max="5385" width="14.28515625" style="2131" bestFit="1" customWidth="1"/>
    <col min="5386" max="5386" width="9.28515625" style="2131" bestFit="1" customWidth="1"/>
    <col min="5387" max="5387" width="16.140625" style="2131" bestFit="1" customWidth="1"/>
    <col min="5388" max="5388" width="16" style="2131" bestFit="1" customWidth="1"/>
    <col min="5389" max="5632" width="9.140625" style="2131"/>
    <col min="5633" max="5633" width="4.7109375" style="2131" customWidth="1"/>
    <col min="5634" max="5634" width="6.140625" style="2131" customWidth="1"/>
    <col min="5635" max="5635" width="10.28515625" style="2131" customWidth="1"/>
    <col min="5636" max="5636" width="40.42578125" style="2131" customWidth="1"/>
    <col min="5637" max="5637" width="10.42578125" style="2131" customWidth="1"/>
    <col min="5638" max="5638" width="15.85546875" style="2131" customWidth="1"/>
    <col min="5639" max="5639" width="13.85546875" style="2131" customWidth="1"/>
    <col min="5640" max="5640" width="6.42578125" style="2131" customWidth="1"/>
    <col min="5641" max="5641" width="14.28515625" style="2131" bestFit="1" customWidth="1"/>
    <col min="5642" max="5642" width="9.28515625" style="2131" bestFit="1" customWidth="1"/>
    <col min="5643" max="5643" width="16.140625" style="2131" bestFit="1" customWidth="1"/>
    <col min="5644" max="5644" width="16" style="2131" bestFit="1" customWidth="1"/>
    <col min="5645" max="5888" width="9.140625" style="2131"/>
    <col min="5889" max="5889" width="4.7109375" style="2131" customWidth="1"/>
    <col min="5890" max="5890" width="6.140625" style="2131" customWidth="1"/>
    <col min="5891" max="5891" width="10.28515625" style="2131" customWidth="1"/>
    <col min="5892" max="5892" width="40.42578125" style="2131" customWidth="1"/>
    <col min="5893" max="5893" width="10.42578125" style="2131" customWidth="1"/>
    <col min="5894" max="5894" width="15.85546875" style="2131" customWidth="1"/>
    <col min="5895" max="5895" width="13.85546875" style="2131" customWidth="1"/>
    <col min="5896" max="5896" width="6.42578125" style="2131" customWidth="1"/>
    <col min="5897" max="5897" width="14.28515625" style="2131" bestFit="1" customWidth="1"/>
    <col min="5898" max="5898" width="9.28515625" style="2131" bestFit="1" customWidth="1"/>
    <col min="5899" max="5899" width="16.140625" style="2131" bestFit="1" customWidth="1"/>
    <col min="5900" max="5900" width="16" style="2131" bestFit="1" customWidth="1"/>
    <col min="5901" max="6144" width="9.140625" style="2131"/>
    <col min="6145" max="6145" width="4.7109375" style="2131" customWidth="1"/>
    <col min="6146" max="6146" width="6.140625" style="2131" customWidth="1"/>
    <col min="6147" max="6147" width="10.28515625" style="2131" customWidth="1"/>
    <col min="6148" max="6148" width="40.42578125" style="2131" customWidth="1"/>
    <col min="6149" max="6149" width="10.42578125" style="2131" customWidth="1"/>
    <col min="6150" max="6150" width="15.85546875" style="2131" customWidth="1"/>
    <col min="6151" max="6151" width="13.85546875" style="2131" customWidth="1"/>
    <col min="6152" max="6152" width="6.42578125" style="2131" customWidth="1"/>
    <col min="6153" max="6153" width="14.28515625" style="2131" bestFit="1" customWidth="1"/>
    <col min="6154" max="6154" width="9.28515625" style="2131" bestFit="1" customWidth="1"/>
    <col min="6155" max="6155" width="16.140625" style="2131" bestFit="1" customWidth="1"/>
    <col min="6156" max="6156" width="16" style="2131" bestFit="1" customWidth="1"/>
    <col min="6157" max="6400" width="9.140625" style="2131"/>
    <col min="6401" max="6401" width="4.7109375" style="2131" customWidth="1"/>
    <col min="6402" max="6402" width="6.140625" style="2131" customWidth="1"/>
    <col min="6403" max="6403" width="10.28515625" style="2131" customWidth="1"/>
    <col min="6404" max="6404" width="40.42578125" style="2131" customWidth="1"/>
    <col min="6405" max="6405" width="10.42578125" style="2131" customWidth="1"/>
    <col min="6406" max="6406" width="15.85546875" style="2131" customWidth="1"/>
    <col min="6407" max="6407" width="13.85546875" style="2131" customWidth="1"/>
    <col min="6408" max="6408" width="6.42578125" style="2131" customWidth="1"/>
    <col min="6409" max="6409" width="14.28515625" style="2131" bestFit="1" customWidth="1"/>
    <col min="6410" max="6410" width="9.28515625" style="2131" bestFit="1" customWidth="1"/>
    <col min="6411" max="6411" width="16.140625" style="2131" bestFit="1" customWidth="1"/>
    <col min="6412" max="6412" width="16" style="2131" bestFit="1" customWidth="1"/>
    <col min="6413" max="6656" width="9.140625" style="2131"/>
    <col min="6657" max="6657" width="4.7109375" style="2131" customWidth="1"/>
    <col min="6658" max="6658" width="6.140625" style="2131" customWidth="1"/>
    <col min="6659" max="6659" width="10.28515625" style="2131" customWidth="1"/>
    <col min="6660" max="6660" width="40.42578125" style="2131" customWidth="1"/>
    <col min="6661" max="6661" width="10.42578125" style="2131" customWidth="1"/>
    <col min="6662" max="6662" width="15.85546875" style="2131" customWidth="1"/>
    <col min="6663" max="6663" width="13.85546875" style="2131" customWidth="1"/>
    <col min="6664" max="6664" width="6.42578125" style="2131" customWidth="1"/>
    <col min="6665" max="6665" width="14.28515625" style="2131" bestFit="1" customWidth="1"/>
    <col min="6666" max="6666" width="9.28515625" style="2131" bestFit="1" customWidth="1"/>
    <col min="6667" max="6667" width="16.140625" style="2131" bestFit="1" customWidth="1"/>
    <col min="6668" max="6668" width="16" style="2131" bestFit="1" customWidth="1"/>
    <col min="6669" max="6912" width="9.140625" style="2131"/>
    <col min="6913" max="6913" width="4.7109375" style="2131" customWidth="1"/>
    <col min="6914" max="6914" width="6.140625" style="2131" customWidth="1"/>
    <col min="6915" max="6915" width="10.28515625" style="2131" customWidth="1"/>
    <col min="6916" max="6916" width="40.42578125" style="2131" customWidth="1"/>
    <col min="6917" max="6917" width="10.42578125" style="2131" customWidth="1"/>
    <col min="6918" max="6918" width="15.85546875" style="2131" customWidth="1"/>
    <col min="6919" max="6919" width="13.85546875" style="2131" customWidth="1"/>
    <col min="6920" max="6920" width="6.42578125" style="2131" customWidth="1"/>
    <col min="6921" max="6921" width="14.28515625" style="2131" bestFit="1" customWidth="1"/>
    <col min="6922" max="6922" width="9.28515625" style="2131" bestFit="1" customWidth="1"/>
    <col min="6923" max="6923" width="16.140625" style="2131" bestFit="1" customWidth="1"/>
    <col min="6924" max="6924" width="16" style="2131" bestFit="1" customWidth="1"/>
    <col min="6925" max="7168" width="9.140625" style="2131"/>
    <col min="7169" max="7169" width="4.7109375" style="2131" customWidth="1"/>
    <col min="7170" max="7170" width="6.140625" style="2131" customWidth="1"/>
    <col min="7171" max="7171" width="10.28515625" style="2131" customWidth="1"/>
    <col min="7172" max="7172" width="40.42578125" style="2131" customWidth="1"/>
    <col min="7173" max="7173" width="10.42578125" style="2131" customWidth="1"/>
    <col min="7174" max="7174" width="15.85546875" style="2131" customWidth="1"/>
    <col min="7175" max="7175" width="13.85546875" style="2131" customWidth="1"/>
    <col min="7176" max="7176" width="6.42578125" style="2131" customWidth="1"/>
    <col min="7177" max="7177" width="14.28515625" style="2131" bestFit="1" customWidth="1"/>
    <col min="7178" max="7178" width="9.28515625" style="2131" bestFit="1" customWidth="1"/>
    <col min="7179" max="7179" width="16.140625" style="2131" bestFit="1" customWidth="1"/>
    <col min="7180" max="7180" width="16" style="2131" bestFit="1" customWidth="1"/>
    <col min="7181" max="7424" width="9.140625" style="2131"/>
    <col min="7425" max="7425" width="4.7109375" style="2131" customWidth="1"/>
    <col min="7426" max="7426" width="6.140625" style="2131" customWidth="1"/>
    <col min="7427" max="7427" width="10.28515625" style="2131" customWidth="1"/>
    <col min="7428" max="7428" width="40.42578125" style="2131" customWidth="1"/>
    <col min="7429" max="7429" width="10.42578125" style="2131" customWidth="1"/>
    <col min="7430" max="7430" width="15.85546875" style="2131" customWidth="1"/>
    <col min="7431" max="7431" width="13.85546875" style="2131" customWidth="1"/>
    <col min="7432" max="7432" width="6.42578125" style="2131" customWidth="1"/>
    <col min="7433" max="7433" width="14.28515625" style="2131" bestFit="1" customWidth="1"/>
    <col min="7434" max="7434" width="9.28515625" style="2131" bestFit="1" customWidth="1"/>
    <col min="7435" max="7435" width="16.140625" style="2131" bestFit="1" customWidth="1"/>
    <col min="7436" max="7436" width="16" style="2131" bestFit="1" customWidth="1"/>
    <col min="7437" max="7680" width="9.140625" style="2131"/>
    <col min="7681" max="7681" width="4.7109375" style="2131" customWidth="1"/>
    <col min="7682" max="7682" width="6.140625" style="2131" customWidth="1"/>
    <col min="7683" max="7683" width="10.28515625" style="2131" customWidth="1"/>
    <col min="7684" max="7684" width="40.42578125" style="2131" customWidth="1"/>
    <col min="7685" max="7685" width="10.42578125" style="2131" customWidth="1"/>
    <col min="7686" max="7686" width="15.85546875" style="2131" customWidth="1"/>
    <col min="7687" max="7687" width="13.85546875" style="2131" customWidth="1"/>
    <col min="7688" max="7688" width="6.42578125" style="2131" customWidth="1"/>
    <col min="7689" max="7689" width="14.28515625" style="2131" bestFit="1" customWidth="1"/>
    <col min="7690" max="7690" width="9.28515625" style="2131" bestFit="1" customWidth="1"/>
    <col min="7691" max="7691" width="16.140625" style="2131" bestFit="1" customWidth="1"/>
    <col min="7692" max="7692" width="16" style="2131" bestFit="1" customWidth="1"/>
    <col min="7693" max="7936" width="9.140625" style="2131"/>
    <col min="7937" max="7937" width="4.7109375" style="2131" customWidth="1"/>
    <col min="7938" max="7938" width="6.140625" style="2131" customWidth="1"/>
    <col min="7939" max="7939" width="10.28515625" style="2131" customWidth="1"/>
    <col min="7940" max="7940" width="40.42578125" style="2131" customWidth="1"/>
    <col min="7941" max="7941" width="10.42578125" style="2131" customWidth="1"/>
    <col min="7942" max="7942" width="15.85546875" style="2131" customWidth="1"/>
    <col min="7943" max="7943" width="13.85546875" style="2131" customWidth="1"/>
    <col min="7944" max="7944" width="6.42578125" style="2131" customWidth="1"/>
    <col min="7945" max="7945" width="14.28515625" style="2131" bestFit="1" customWidth="1"/>
    <col min="7946" max="7946" width="9.28515625" style="2131" bestFit="1" customWidth="1"/>
    <col min="7947" max="7947" width="16.140625" style="2131" bestFit="1" customWidth="1"/>
    <col min="7948" max="7948" width="16" style="2131" bestFit="1" customWidth="1"/>
    <col min="7949" max="8192" width="9.140625" style="2131"/>
    <col min="8193" max="8193" width="4.7109375" style="2131" customWidth="1"/>
    <col min="8194" max="8194" width="6.140625" style="2131" customWidth="1"/>
    <col min="8195" max="8195" width="10.28515625" style="2131" customWidth="1"/>
    <col min="8196" max="8196" width="40.42578125" style="2131" customWidth="1"/>
    <col min="8197" max="8197" width="10.42578125" style="2131" customWidth="1"/>
    <col min="8198" max="8198" width="15.85546875" style="2131" customWidth="1"/>
    <col min="8199" max="8199" width="13.85546875" style="2131" customWidth="1"/>
    <col min="8200" max="8200" width="6.42578125" style="2131" customWidth="1"/>
    <col min="8201" max="8201" width="14.28515625" style="2131" bestFit="1" customWidth="1"/>
    <col min="8202" max="8202" width="9.28515625" style="2131" bestFit="1" customWidth="1"/>
    <col min="8203" max="8203" width="16.140625" style="2131" bestFit="1" customWidth="1"/>
    <col min="8204" max="8204" width="16" style="2131" bestFit="1" customWidth="1"/>
    <col min="8205" max="8448" width="9.140625" style="2131"/>
    <col min="8449" max="8449" width="4.7109375" style="2131" customWidth="1"/>
    <col min="8450" max="8450" width="6.140625" style="2131" customWidth="1"/>
    <col min="8451" max="8451" width="10.28515625" style="2131" customWidth="1"/>
    <col min="8452" max="8452" width="40.42578125" style="2131" customWidth="1"/>
    <col min="8453" max="8453" width="10.42578125" style="2131" customWidth="1"/>
    <col min="8454" max="8454" width="15.85546875" style="2131" customWidth="1"/>
    <col min="8455" max="8455" width="13.85546875" style="2131" customWidth="1"/>
    <col min="8456" max="8456" width="6.42578125" style="2131" customWidth="1"/>
    <col min="8457" max="8457" width="14.28515625" style="2131" bestFit="1" customWidth="1"/>
    <col min="8458" max="8458" width="9.28515625" style="2131" bestFit="1" customWidth="1"/>
    <col min="8459" max="8459" width="16.140625" style="2131" bestFit="1" customWidth="1"/>
    <col min="8460" max="8460" width="16" style="2131" bestFit="1" customWidth="1"/>
    <col min="8461" max="8704" width="9.140625" style="2131"/>
    <col min="8705" max="8705" width="4.7109375" style="2131" customWidth="1"/>
    <col min="8706" max="8706" width="6.140625" style="2131" customWidth="1"/>
    <col min="8707" max="8707" width="10.28515625" style="2131" customWidth="1"/>
    <col min="8708" max="8708" width="40.42578125" style="2131" customWidth="1"/>
    <col min="8709" max="8709" width="10.42578125" style="2131" customWidth="1"/>
    <col min="8710" max="8710" width="15.85546875" style="2131" customWidth="1"/>
    <col min="8711" max="8711" width="13.85546875" style="2131" customWidth="1"/>
    <col min="8712" max="8712" width="6.42578125" style="2131" customWidth="1"/>
    <col min="8713" max="8713" width="14.28515625" style="2131" bestFit="1" customWidth="1"/>
    <col min="8714" max="8714" width="9.28515625" style="2131" bestFit="1" customWidth="1"/>
    <col min="8715" max="8715" width="16.140625" style="2131" bestFit="1" customWidth="1"/>
    <col min="8716" max="8716" width="16" style="2131" bestFit="1" customWidth="1"/>
    <col min="8717" max="8960" width="9.140625" style="2131"/>
    <col min="8961" max="8961" width="4.7109375" style="2131" customWidth="1"/>
    <col min="8962" max="8962" width="6.140625" style="2131" customWidth="1"/>
    <col min="8963" max="8963" width="10.28515625" style="2131" customWidth="1"/>
    <col min="8964" max="8964" width="40.42578125" style="2131" customWidth="1"/>
    <col min="8965" max="8965" width="10.42578125" style="2131" customWidth="1"/>
    <col min="8966" max="8966" width="15.85546875" style="2131" customWidth="1"/>
    <col min="8967" max="8967" width="13.85546875" style="2131" customWidth="1"/>
    <col min="8968" max="8968" width="6.42578125" style="2131" customWidth="1"/>
    <col min="8969" max="8969" width="14.28515625" style="2131" bestFit="1" customWidth="1"/>
    <col min="8970" max="8970" width="9.28515625" style="2131" bestFit="1" customWidth="1"/>
    <col min="8971" max="8971" width="16.140625" style="2131" bestFit="1" customWidth="1"/>
    <col min="8972" max="8972" width="16" style="2131" bestFit="1" customWidth="1"/>
    <col min="8973" max="9216" width="9.140625" style="2131"/>
    <col min="9217" max="9217" width="4.7109375" style="2131" customWidth="1"/>
    <col min="9218" max="9218" width="6.140625" style="2131" customWidth="1"/>
    <col min="9219" max="9219" width="10.28515625" style="2131" customWidth="1"/>
    <col min="9220" max="9220" width="40.42578125" style="2131" customWidth="1"/>
    <col min="9221" max="9221" width="10.42578125" style="2131" customWidth="1"/>
    <col min="9222" max="9222" width="15.85546875" style="2131" customWidth="1"/>
    <col min="9223" max="9223" width="13.85546875" style="2131" customWidth="1"/>
    <col min="9224" max="9224" width="6.42578125" style="2131" customWidth="1"/>
    <col min="9225" max="9225" width="14.28515625" style="2131" bestFit="1" customWidth="1"/>
    <col min="9226" max="9226" width="9.28515625" style="2131" bestFit="1" customWidth="1"/>
    <col min="9227" max="9227" width="16.140625" style="2131" bestFit="1" customWidth="1"/>
    <col min="9228" max="9228" width="16" style="2131" bestFit="1" customWidth="1"/>
    <col min="9229" max="9472" width="9.140625" style="2131"/>
    <col min="9473" max="9473" width="4.7109375" style="2131" customWidth="1"/>
    <col min="9474" max="9474" width="6.140625" style="2131" customWidth="1"/>
    <col min="9475" max="9475" width="10.28515625" style="2131" customWidth="1"/>
    <col min="9476" max="9476" width="40.42578125" style="2131" customWidth="1"/>
    <col min="9477" max="9477" width="10.42578125" style="2131" customWidth="1"/>
    <col min="9478" max="9478" width="15.85546875" style="2131" customWidth="1"/>
    <col min="9479" max="9479" width="13.85546875" style="2131" customWidth="1"/>
    <col min="9480" max="9480" width="6.42578125" style="2131" customWidth="1"/>
    <col min="9481" max="9481" width="14.28515625" style="2131" bestFit="1" customWidth="1"/>
    <col min="9482" max="9482" width="9.28515625" style="2131" bestFit="1" customWidth="1"/>
    <col min="9483" max="9483" width="16.140625" style="2131" bestFit="1" customWidth="1"/>
    <col min="9484" max="9484" width="16" style="2131" bestFit="1" customWidth="1"/>
    <col min="9485" max="9728" width="9.140625" style="2131"/>
    <col min="9729" max="9729" width="4.7109375" style="2131" customWidth="1"/>
    <col min="9730" max="9730" width="6.140625" style="2131" customWidth="1"/>
    <col min="9731" max="9731" width="10.28515625" style="2131" customWidth="1"/>
    <col min="9732" max="9732" width="40.42578125" style="2131" customWidth="1"/>
    <col min="9733" max="9733" width="10.42578125" style="2131" customWidth="1"/>
    <col min="9734" max="9734" width="15.85546875" style="2131" customWidth="1"/>
    <col min="9735" max="9735" width="13.85546875" style="2131" customWidth="1"/>
    <col min="9736" max="9736" width="6.42578125" style="2131" customWidth="1"/>
    <col min="9737" max="9737" width="14.28515625" style="2131" bestFit="1" customWidth="1"/>
    <col min="9738" max="9738" width="9.28515625" style="2131" bestFit="1" customWidth="1"/>
    <col min="9739" max="9739" width="16.140625" style="2131" bestFit="1" customWidth="1"/>
    <col min="9740" max="9740" width="16" style="2131" bestFit="1" customWidth="1"/>
    <col min="9741" max="9984" width="9.140625" style="2131"/>
    <col min="9985" max="9985" width="4.7109375" style="2131" customWidth="1"/>
    <col min="9986" max="9986" width="6.140625" style="2131" customWidth="1"/>
    <col min="9987" max="9987" width="10.28515625" style="2131" customWidth="1"/>
    <col min="9988" max="9988" width="40.42578125" style="2131" customWidth="1"/>
    <col min="9989" max="9989" width="10.42578125" style="2131" customWidth="1"/>
    <col min="9990" max="9990" width="15.85546875" style="2131" customWidth="1"/>
    <col min="9991" max="9991" width="13.85546875" style="2131" customWidth="1"/>
    <col min="9992" max="9992" width="6.42578125" style="2131" customWidth="1"/>
    <col min="9993" max="9993" width="14.28515625" style="2131" bestFit="1" customWidth="1"/>
    <col min="9994" max="9994" width="9.28515625" style="2131" bestFit="1" customWidth="1"/>
    <col min="9995" max="9995" width="16.140625" style="2131" bestFit="1" customWidth="1"/>
    <col min="9996" max="9996" width="16" style="2131" bestFit="1" customWidth="1"/>
    <col min="9997" max="10240" width="9.140625" style="2131"/>
    <col min="10241" max="10241" width="4.7109375" style="2131" customWidth="1"/>
    <col min="10242" max="10242" width="6.140625" style="2131" customWidth="1"/>
    <col min="10243" max="10243" width="10.28515625" style="2131" customWidth="1"/>
    <col min="10244" max="10244" width="40.42578125" style="2131" customWidth="1"/>
    <col min="10245" max="10245" width="10.42578125" style="2131" customWidth="1"/>
    <col min="10246" max="10246" width="15.85546875" style="2131" customWidth="1"/>
    <col min="10247" max="10247" width="13.85546875" style="2131" customWidth="1"/>
    <col min="10248" max="10248" width="6.42578125" style="2131" customWidth="1"/>
    <col min="10249" max="10249" width="14.28515625" style="2131" bestFit="1" customWidth="1"/>
    <col min="10250" max="10250" width="9.28515625" style="2131" bestFit="1" customWidth="1"/>
    <col min="10251" max="10251" width="16.140625" style="2131" bestFit="1" customWidth="1"/>
    <col min="10252" max="10252" width="16" style="2131" bestFit="1" customWidth="1"/>
    <col min="10253" max="10496" width="9.140625" style="2131"/>
    <col min="10497" max="10497" width="4.7109375" style="2131" customWidth="1"/>
    <col min="10498" max="10498" width="6.140625" style="2131" customWidth="1"/>
    <col min="10499" max="10499" width="10.28515625" style="2131" customWidth="1"/>
    <col min="10500" max="10500" width="40.42578125" style="2131" customWidth="1"/>
    <col min="10501" max="10501" width="10.42578125" style="2131" customWidth="1"/>
    <col min="10502" max="10502" width="15.85546875" style="2131" customWidth="1"/>
    <col min="10503" max="10503" width="13.85546875" style="2131" customWidth="1"/>
    <col min="10504" max="10504" width="6.42578125" style="2131" customWidth="1"/>
    <col min="10505" max="10505" width="14.28515625" style="2131" bestFit="1" customWidth="1"/>
    <col min="10506" max="10506" width="9.28515625" style="2131" bestFit="1" customWidth="1"/>
    <col min="10507" max="10507" width="16.140625" style="2131" bestFit="1" customWidth="1"/>
    <col min="10508" max="10508" width="16" style="2131" bestFit="1" customWidth="1"/>
    <col min="10509" max="10752" width="9.140625" style="2131"/>
    <col min="10753" max="10753" width="4.7109375" style="2131" customWidth="1"/>
    <col min="10754" max="10754" width="6.140625" style="2131" customWidth="1"/>
    <col min="10755" max="10755" width="10.28515625" style="2131" customWidth="1"/>
    <col min="10756" max="10756" width="40.42578125" style="2131" customWidth="1"/>
    <col min="10757" max="10757" width="10.42578125" style="2131" customWidth="1"/>
    <col min="10758" max="10758" width="15.85546875" style="2131" customWidth="1"/>
    <col min="10759" max="10759" width="13.85546875" style="2131" customWidth="1"/>
    <col min="10760" max="10760" width="6.42578125" style="2131" customWidth="1"/>
    <col min="10761" max="10761" width="14.28515625" style="2131" bestFit="1" customWidth="1"/>
    <col min="10762" max="10762" width="9.28515625" style="2131" bestFit="1" customWidth="1"/>
    <col min="10763" max="10763" width="16.140625" style="2131" bestFit="1" customWidth="1"/>
    <col min="10764" max="10764" width="16" style="2131" bestFit="1" customWidth="1"/>
    <col min="10765" max="11008" width="9.140625" style="2131"/>
    <col min="11009" max="11009" width="4.7109375" style="2131" customWidth="1"/>
    <col min="11010" max="11010" width="6.140625" style="2131" customWidth="1"/>
    <col min="11011" max="11011" width="10.28515625" style="2131" customWidth="1"/>
    <col min="11012" max="11012" width="40.42578125" style="2131" customWidth="1"/>
    <col min="11013" max="11013" width="10.42578125" style="2131" customWidth="1"/>
    <col min="11014" max="11014" width="15.85546875" style="2131" customWidth="1"/>
    <col min="11015" max="11015" width="13.85546875" style="2131" customWidth="1"/>
    <col min="11016" max="11016" width="6.42578125" style="2131" customWidth="1"/>
    <col min="11017" max="11017" width="14.28515625" style="2131" bestFit="1" customWidth="1"/>
    <col min="11018" max="11018" width="9.28515625" style="2131" bestFit="1" customWidth="1"/>
    <col min="11019" max="11019" width="16.140625" style="2131" bestFit="1" customWidth="1"/>
    <col min="11020" max="11020" width="16" style="2131" bestFit="1" customWidth="1"/>
    <col min="11021" max="11264" width="9.140625" style="2131"/>
    <col min="11265" max="11265" width="4.7109375" style="2131" customWidth="1"/>
    <col min="11266" max="11266" width="6.140625" style="2131" customWidth="1"/>
    <col min="11267" max="11267" width="10.28515625" style="2131" customWidth="1"/>
    <col min="11268" max="11268" width="40.42578125" style="2131" customWidth="1"/>
    <col min="11269" max="11269" width="10.42578125" style="2131" customWidth="1"/>
    <col min="11270" max="11270" width="15.85546875" style="2131" customWidth="1"/>
    <col min="11271" max="11271" width="13.85546875" style="2131" customWidth="1"/>
    <col min="11272" max="11272" width="6.42578125" style="2131" customWidth="1"/>
    <col min="11273" max="11273" width="14.28515625" style="2131" bestFit="1" customWidth="1"/>
    <col min="11274" max="11274" width="9.28515625" style="2131" bestFit="1" customWidth="1"/>
    <col min="11275" max="11275" width="16.140625" style="2131" bestFit="1" customWidth="1"/>
    <col min="11276" max="11276" width="16" style="2131" bestFit="1" customWidth="1"/>
    <col min="11277" max="11520" width="9.140625" style="2131"/>
    <col min="11521" max="11521" width="4.7109375" style="2131" customWidth="1"/>
    <col min="11522" max="11522" width="6.140625" style="2131" customWidth="1"/>
    <col min="11523" max="11523" width="10.28515625" style="2131" customWidth="1"/>
    <col min="11524" max="11524" width="40.42578125" style="2131" customWidth="1"/>
    <col min="11525" max="11525" width="10.42578125" style="2131" customWidth="1"/>
    <col min="11526" max="11526" width="15.85546875" style="2131" customWidth="1"/>
    <col min="11527" max="11527" width="13.85546875" style="2131" customWidth="1"/>
    <col min="11528" max="11528" width="6.42578125" style="2131" customWidth="1"/>
    <col min="11529" max="11529" width="14.28515625" style="2131" bestFit="1" customWidth="1"/>
    <col min="11530" max="11530" width="9.28515625" style="2131" bestFit="1" customWidth="1"/>
    <col min="11531" max="11531" width="16.140625" style="2131" bestFit="1" customWidth="1"/>
    <col min="11532" max="11532" width="16" style="2131" bestFit="1" customWidth="1"/>
    <col min="11533" max="11776" width="9.140625" style="2131"/>
    <col min="11777" max="11777" width="4.7109375" style="2131" customWidth="1"/>
    <col min="11778" max="11778" width="6.140625" style="2131" customWidth="1"/>
    <col min="11779" max="11779" width="10.28515625" style="2131" customWidth="1"/>
    <col min="11780" max="11780" width="40.42578125" style="2131" customWidth="1"/>
    <col min="11781" max="11781" width="10.42578125" style="2131" customWidth="1"/>
    <col min="11782" max="11782" width="15.85546875" style="2131" customWidth="1"/>
    <col min="11783" max="11783" width="13.85546875" style="2131" customWidth="1"/>
    <col min="11784" max="11784" width="6.42578125" style="2131" customWidth="1"/>
    <col min="11785" max="11785" width="14.28515625" style="2131" bestFit="1" customWidth="1"/>
    <col min="11786" max="11786" width="9.28515625" style="2131" bestFit="1" customWidth="1"/>
    <col min="11787" max="11787" width="16.140625" style="2131" bestFit="1" customWidth="1"/>
    <col min="11788" max="11788" width="16" style="2131" bestFit="1" customWidth="1"/>
    <col min="11789" max="12032" width="9.140625" style="2131"/>
    <col min="12033" max="12033" width="4.7109375" style="2131" customWidth="1"/>
    <col min="12034" max="12034" width="6.140625" style="2131" customWidth="1"/>
    <col min="12035" max="12035" width="10.28515625" style="2131" customWidth="1"/>
    <col min="12036" max="12036" width="40.42578125" style="2131" customWidth="1"/>
    <col min="12037" max="12037" width="10.42578125" style="2131" customWidth="1"/>
    <col min="12038" max="12038" width="15.85546875" style="2131" customWidth="1"/>
    <col min="12039" max="12039" width="13.85546875" style="2131" customWidth="1"/>
    <col min="12040" max="12040" width="6.42578125" style="2131" customWidth="1"/>
    <col min="12041" max="12041" width="14.28515625" style="2131" bestFit="1" customWidth="1"/>
    <col min="12042" max="12042" width="9.28515625" style="2131" bestFit="1" customWidth="1"/>
    <col min="12043" max="12043" width="16.140625" style="2131" bestFit="1" customWidth="1"/>
    <col min="12044" max="12044" width="16" style="2131" bestFit="1" customWidth="1"/>
    <col min="12045" max="12288" width="9.140625" style="2131"/>
    <col min="12289" max="12289" width="4.7109375" style="2131" customWidth="1"/>
    <col min="12290" max="12290" width="6.140625" style="2131" customWidth="1"/>
    <col min="12291" max="12291" width="10.28515625" style="2131" customWidth="1"/>
    <col min="12292" max="12292" width="40.42578125" style="2131" customWidth="1"/>
    <col min="12293" max="12293" width="10.42578125" style="2131" customWidth="1"/>
    <col min="12294" max="12294" width="15.85546875" style="2131" customWidth="1"/>
    <col min="12295" max="12295" width="13.85546875" style="2131" customWidth="1"/>
    <col min="12296" max="12296" width="6.42578125" style="2131" customWidth="1"/>
    <col min="12297" max="12297" width="14.28515625" style="2131" bestFit="1" customWidth="1"/>
    <col min="12298" max="12298" width="9.28515625" style="2131" bestFit="1" customWidth="1"/>
    <col min="12299" max="12299" width="16.140625" style="2131" bestFit="1" customWidth="1"/>
    <col min="12300" max="12300" width="16" style="2131" bestFit="1" customWidth="1"/>
    <col min="12301" max="12544" width="9.140625" style="2131"/>
    <col min="12545" max="12545" width="4.7109375" style="2131" customWidth="1"/>
    <col min="12546" max="12546" width="6.140625" style="2131" customWidth="1"/>
    <col min="12547" max="12547" width="10.28515625" style="2131" customWidth="1"/>
    <col min="12548" max="12548" width="40.42578125" style="2131" customWidth="1"/>
    <col min="12549" max="12549" width="10.42578125" style="2131" customWidth="1"/>
    <col min="12550" max="12550" width="15.85546875" style="2131" customWidth="1"/>
    <col min="12551" max="12551" width="13.85546875" style="2131" customWidth="1"/>
    <col min="12552" max="12552" width="6.42578125" style="2131" customWidth="1"/>
    <col min="12553" max="12553" width="14.28515625" style="2131" bestFit="1" customWidth="1"/>
    <col min="12554" max="12554" width="9.28515625" style="2131" bestFit="1" customWidth="1"/>
    <col min="12555" max="12555" width="16.140625" style="2131" bestFit="1" customWidth="1"/>
    <col min="12556" max="12556" width="16" style="2131" bestFit="1" customWidth="1"/>
    <col min="12557" max="12800" width="9.140625" style="2131"/>
    <col min="12801" max="12801" width="4.7109375" style="2131" customWidth="1"/>
    <col min="12802" max="12802" width="6.140625" style="2131" customWidth="1"/>
    <col min="12803" max="12803" width="10.28515625" style="2131" customWidth="1"/>
    <col min="12804" max="12804" width="40.42578125" style="2131" customWidth="1"/>
    <col min="12805" max="12805" width="10.42578125" style="2131" customWidth="1"/>
    <col min="12806" max="12806" width="15.85546875" style="2131" customWidth="1"/>
    <col min="12807" max="12807" width="13.85546875" style="2131" customWidth="1"/>
    <col min="12808" max="12808" width="6.42578125" style="2131" customWidth="1"/>
    <col min="12809" max="12809" width="14.28515625" style="2131" bestFit="1" customWidth="1"/>
    <col min="12810" max="12810" width="9.28515625" style="2131" bestFit="1" customWidth="1"/>
    <col min="12811" max="12811" width="16.140625" style="2131" bestFit="1" customWidth="1"/>
    <col min="12812" max="12812" width="16" style="2131" bestFit="1" customWidth="1"/>
    <col min="12813" max="13056" width="9.140625" style="2131"/>
    <col min="13057" max="13057" width="4.7109375" style="2131" customWidth="1"/>
    <col min="13058" max="13058" width="6.140625" style="2131" customWidth="1"/>
    <col min="13059" max="13059" width="10.28515625" style="2131" customWidth="1"/>
    <col min="13060" max="13060" width="40.42578125" style="2131" customWidth="1"/>
    <col min="13061" max="13061" width="10.42578125" style="2131" customWidth="1"/>
    <col min="13062" max="13062" width="15.85546875" style="2131" customWidth="1"/>
    <col min="13063" max="13063" width="13.85546875" style="2131" customWidth="1"/>
    <col min="13064" max="13064" width="6.42578125" style="2131" customWidth="1"/>
    <col min="13065" max="13065" width="14.28515625" style="2131" bestFit="1" customWidth="1"/>
    <col min="13066" max="13066" width="9.28515625" style="2131" bestFit="1" customWidth="1"/>
    <col min="13067" max="13067" width="16.140625" style="2131" bestFit="1" customWidth="1"/>
    <col min="13068" max="13068" width="16" style="2131" bestFit="1" customWidth="1"/>
    <col min="13069" max="13312" width="9.140625" style="2131"/>
    <col min="13313" max="13313" width="4.7109375" style="2131" customWidth="1"/>
    <col min="13314" max="13314" width="6.140625" style="2131" customWidth="1"/>
    <col min="13315" max="13315" width="10.28515625" style="2131" customWidth="1"/>
    <col min="13316" max="13316" width="40.42578125" style="2131" customWidth="1"/>
    <col min="13317" max="13317" width="10.42578125" style="2131" customWidth="1"/>
    <col min="13318" max="13318" width="15.85546875" style="2131" customWidth="1"/>
    <col min="13319" max="13319" width="13.85546875" style="2131" customWidth="1"/>
    <col min="13320" max="13320" width="6.42578125" style="2131" customWidth="1"/>
    <col min="13321" max="13321" width="14.28515625" style="2131" bestFit="1" customWidth="1"/>
    <col min="13322" max="13322" width="9.28515625" style="2131" bestFit="1" customWidth="1"/>
    <col min="13323" max="13323" width="16.140625" style="2131" bestFit="1" customWidth="1"/>
    <col min="13324" max="13324" width="16" style="2131" bestFit="1" customWidth="1"/>
    <col min="13325" max="13568" width="9.140625" style="2131"/>
    <col min="13569" max="13569" width="4.7109375" style="2131" customWidth="1"/>
    <col min="13570" max="13570" width="6.140625" style="2131" customWidth="1"/>
    <col min="13571" max="13571" width="10.28515625" style="2131" customWidth="1"/>
    <col min="13572" max="13572" width="40.42578125" style="2131" customWidth="1"/>
    <col min="13573" max="13573" width="10.42578125" style="2131" customWidth="1"/>
    <col min="13574" max="13574" width="15.85546875" style="2131" customWidth="1"/>
    <col min="13575" max="13575" width="13.85546875" style="2131" customWidth="1"/>
    <col min="13576" max="13576" width="6.42578125" style="2131" customWidth="1"/>
    <col min="13577" max="13577" width="14.28515625" style="2131" bestFit="1" customWidth="1"/>
    <col min="13578" max="13578" width="9.28515625" style="2131" bestFit="1" customWidth="1"/>
    <col min="13579" max="13579" width="16.140625" style="2131" bestFit="1" customWidth="1"/>
    <col min="13580" max="13580" width="16" style="2131" bestFit="1" customWidth="1"/>
    <col min="13581" max="13824" width="9.140625" style="2131"/>
    <col min="13825" max="13825" width="4.7109375" style="2131" customWidth="1"/>
    <col min="13826" max="13826" width="6.140625" style="2131" customWidth="1"/>
    <col min="13827" max="13827" width="10.28515625" style="2131" customWidth="1"/>
    <col min="13828" max="13828" width="40.42578125" style="2131" customWidth="1"/>
    <col min="13829" max="13829" width="10.42578125" style="2131" customWidth="1"/>
    <col min="13830" max="13830" width="15.85546875" style="2131" customWidth="1"/>
    <col min="13831" max="13831" width="13.85546875" style="2131" customWidth="1"/>
    <col min="13832" max="13832" width="6.42578125" style="2131" customWidth="1"/>
    <col min="13833" max="13833" width="14.28515625" style="2131" bestFit="1" customWidth="1"/>
    <col min="13834" max="13834" width="9.28515625" style="2131" bestFit="1" customWidth="1"/>
    <col min="13835" max="13835" width="16.140625" style="2131" bestFit="1" customWidth="1"/>
    <col min="13836" max="13836" width="16" style="2131" bestFit="1" customWidth="1"/>
    <col min="13837" max="14080" width="9.140625" style="2131"/>
    <col min="14081" max="14081" width="4.7109375" style="2131" customWidth="1"/>
    <col min="14082" max="14082" width="6.140625" style="2131" customWidth="1"/>
    <col min="14083" max="14083" width="10.28515625" style="2131" customWidth="1"/>
    <col min="14084" max="14084" width="40.42578125" style="2131" customWidth="1"/>
    <col min="14085" max="14085" width="10.42578125" style="2131" customWidth="1"/>
    <col min="14086" max="14086" width="15.85546875" style="2131" customWidth="1"/>
    <col min="14087" max="14087" width="13.85546875" style="2131" customWidth="1"/>
    <col min="14088" max="14088" width="6.42578125" style="2131" customWidth="1"/>
    <col min="14089" max="14089" width="14.28515625" style="2131" bestFit="1" customWidth="1"/>
    <col min="14090" max="14090" width="9.28515625" style="2131" bestFit="1" customWidth="1"/>
    <col min="14091" max="14091" width="16.140625" style="2131" bestFit="1" customWidth="1"/>
    <col min="14092" max="14092" width="16" style="2131" bestFit="1" customWidth="1"/>
    <col min="14093" max="14336" width="9.140625" style="2131"/>
    <col min="14337" max="14337" width="4.7109375" style="2131" customWidth="1"/>
    <col min="14338" max="14338" width="6.140625" style="2131" customWidth="1"/>
    <col min="14339" max="14339" width="10.28515625" style="2131" customWidth="1"/>
    <col min="14340" max="14340" width="40.42578125" style="2131" customWidth="1"/>
    <col min="14341" max="14341" width="10.42578125" style="2131" customWidth="1"/>
    <col min="14342" max="14342" width="15.85546875" style="2131" customWidth="1"/>
    <col min="14343" max="14343" width="13.85546875" style="2131" customWidth="1"/>
    <col min="14344" max="14344" width="6.42578125" style="2131" customWidth="1"/>
    <col min="14345" max="14345" width="14.28515625" style="2131" bestFit="1" customWidth="1"/>
    <col min="14346" max="14346" width="9.28515625" style="2131" bestFit="1" customWidth="1"/>
    <col min="14347" max="14347" width="16.140625" style="2131" bestFit="1" customWidth="1"/>
    <col min="14348" max="14348" width="16" style="2131" bestFit="1" customWidth="1"/>
    <col min="14349" max="14592" width="9.140625" style="2131"/>
    <col min="14593" max="14593" width="4.7109375" style="2131" customWidth="1"/>
    <col min="14594" max="14594" width="6.140625" style="2131" customWidth="1"/>
    <col min="14595" max="14595" width="10.28515625" style="2131" customWidth="1"/>
    <col min="14596" max="14596" width="40.42578125" style="2131" customWidth="1"/>
    <col min="14597" max="14597" width="10.42578125" style="2131" customWidth="1"/>
    <col min="14598" max="14598" width="15.85546875" style="2131" customWidth="1"/>
    <col min="14599" max="14599" width="13.85546875" style="2131" customWidth="1"/>
    <col min="14600" max="14600" width="6.42578125" style="2131" customWidth="1"/>
    <col min="14601" max="14601" width="14.28515625" style="2131" bestFit="1" customWidth="1"/>
    <col min="14602" max="14602" width="9.28515625" style="2131" bestFit="1" customWidth="1"/>
    <col min="14603" max="14603" width="16.140625" style="2131" bestFit="1" customWidth="1"/>
    <col min="14604" max="14604" width="16" style="2131" bestFit="1" customWidth="1"/>
    <col min="14605" max="14848" width="9.140625" style="2131"/>
    <col min="14849" max="14849" width="4.7109375" style="2131" customWidth="1"/>
    <col min="14850" max="14850" width="6.140625" style="2131" customWidth="1"/>
    <col min="14851" max="14851" width="10.28515625" style="2131" customWidth="1"/>
    <col min="14852" max="14852" width="40.42578125" style="2131" customWidth="1"/>
    <col min="14853" max="14853" width="10.42578125" style="2131" customWidth="1"/>
    <col min="14854" max="14854" width="15.85546875" style="2131" customWidth="1"/>
    <col min="14855" max="14855" width="13.85546875" style="2131" customWidth="1"/>
    <col min="14856" max="14856" width="6.42578125" style="2131" customWidth="1"/>
    <col min="14857" max="14857" width="14.28515625" style="2131" bestFit="1" customWidth="1"/>
    <col min="14858" max="14858" width="9.28515625" style="2131" bestFit="1" customWidth="1"/>
    <col min="14859" max="14859" width="16.140625" style="2131" bestFit="1" customWidth="1"/>
    <col min="14860" max="14860" width="16" style="2131" bestFit="1" customWidth="1"/>
    <col min="14861" max="15104" width="9.140625" style="2131"/>
    <col min="15105" max="15105" width="4.7109375" style="2131" customWidth="1"/>
    <col min="15106" max="15106" width="6.140625" style="2131" customWidth="1"/>
    <col min="15107" max="15107" width="10.28515625" style="2131" customWidth="1"/>
    <col min="15108" max="15108" width="40.42578125" style="2131" customWidth="1"/>
    <col min="15109" max="15109" width="10.42578125" style="2131" customWidth="1"/>
    <col min="15110" max="15110" width="15.85546875" style="2131" customWidth="1"/>
    <col min="15111" max="15111" width="13.85546875" style="2131" customWidth="1"/>
    <col min="15112" max="15112" width="6.42578125" style="2131" customWidth="1"/>
    <col min="15113" max="15113" width="14.28515625" style="2131" bestFit="1" customWidth="1"/>
    <col min="15114" max="15114" width="9.28515625" style="2131" bestFit="1" customWidth="1"/>
    <col min="15115" max="15115" width="16.140625" style="2131" bestFit="1" customWidth="1"/>
    <col min="15116" max="15116" width="16" style="2131" bestFit="1" customWidth="1"/>
    <col min="15117" max="15360" width="9.140625" style="2131"/>
    <col min="15361" max="15361" width="4.7109375" style="2131" customWidth="1"/>
    <col min="15362" max="15362" width="6.140625" style="2131" customWidth="1"/>
    <col min="15363" max="15363" width="10.28515625" style="2131" customWidth="1"/>
    <col min="15364" max="15364" width="40.42578125" style="2131" customWidth="1"/>
    <col min="15365" max="15365" width="10.42578125" style="2131" customWidth="1"/>
    <col min="15366" max="15366" width="15.85546875" style="2131" customWidth="1"/>
    <col min="15367" max="15367" width="13.85546875" style="2131" customWidth="1"/>
    <col min="15368" max="15368" width="6.42578125" style="2131" customWidth="1"/>
    <col min="15369" max="15369" width="14.28515625" style="2131" bestFit="1" customWidth="1"/>
    <col min="15370" max="15370" width="9.28515625" style="2131" bestFit="1" customWidth="1"/>
    <col min="15371" max="15371" width="16.140625" style="2131" bestFit="1" customWidth="1"/>
    <col min="15372" max="15372" width="16" style="2131" bestFit="1" customWidth="1"/>
    <col min="15373" max="15616" width="9.140625" style="2131"/>
    <col min="15617" max="15617" width="4.7109375" style="2131" customWidth="1"/>
    <col min="15618" max="15618" width="6.140625" style="2131" customWidth="1"/>
    <col min="15619" max="15619" width="10.28515625" style="2131" customWidth="1"/>
    <col min="15620" max="15620" width="40.42578125" style="2131" customWidth="1"/>
    <col min="15621" max="15621" width="10.42578125" style="2131" customWidth="1"/>
    <col min="15622" max="15622" width="15.85546875" style="2131" customWidth="1"/>
    <col min="15623" max="15623" width="13.85546875" style="2131" customWidth="1"/>
    <col min="15624" max="15624" width="6.42578125" style="2131" customWidth="1"/>
    <col min="15625" max="15625" width="14.28515625" style="2131" bestFit="1" customWidth="1"/>
    <col min="15626" max="15626" width="9.28515625" style="2131" bestFit="1" customWidth="1"/>
    <col min="15627" max="15627" width="16.140625" style="2131" bestFit="1" customWidth="1"/>
    <col min="15628" max="15628" width="16" style="2131" bestFit="1" customWidth="1"/>
    <col min="15629" max="15872" width="9.140625" style="2131"/>
    <col min="15873" max="15873" width="4.7109375" style="2131" customWidth="1"/>
    <col min="15874" max="15874" width="6.140625" style="2131" customWidth="1"/>
    <col min="15875" max="15875" width="10.28515625" style="2131" customWidth="1"/>
    <col min="15876" max="15876" width="40.42578125" style="2131" customWidth="1"/>
    <col min="15877" max="15877" width="10.42578125" style="2131" customWidth="1"/>
    <col min="15878" max="15878" width="15.85546875" style="2131" customWidth="1"/>
    <col min="15879" max="15879" width="13.85546875" style="2131" customWidth="1"/>
    <col min="15880" max="15880" width="6.42578125" style="2131" customWidth="1"/>
    <col min="15881" max="15881" width="14.28515625" style="2131" bestFit="1" customWidth="1"/>
    <col min="15882" max="15882" width="9.28515625" style="2131" bestFit="1" customWidth="1"/>
    <col min="15883" max="15883" width="16.140625" style="2131" bestFit="1" customWidth="1"/>
    <col min="15884" max="15884" width="16" style="2131" bestFit="1" customWidth="1"/>
    <col min="15885" max="16128" width="9.140625" style="2131"/>
    <col min="16129" max="16129" width="4.7109375" style="2131" customWidth="1"/>
    <col min="16130" max="16130" width="6.140625" style="2131" customWidth="1"/>
    <col min="16131" max="16131" width="10.28515625" style="2131" customWidth="1"/>
    <col min="16132" max="16132" width="40.42578125" style="2131" customWidth="1"/>
    <col min="16133" max="16133" width="10.42578125" style="2131" customWidth="1"/>
    <col min="16134" max="16134" width="15.85546875" style="2131" customWidth="1"/>
    <col min="16135" max="16135" width="13.85546875" style="2131" customWidth="1"/>
    <col min="16136" max="16136" width="6.42578125" style="2131" customWidth="1"/>
    <col min="16137" max="16137" width="14.28515625" style="2131" bestFit="1" customWidth="1"/>
    <col min="16138" max="16138" width="9.28515625" style="2131" bestFit="1" customWidth="1"/>
    <col min="16139" max="16139" width="16.140625" style="2131" bestFit="1" customWidth="1"/>
    <col min="16140" max="16140" width="16" style="2131" bestFit="1" customWidth="1"/>
    <col min="16141" max="16384" width="9.140625" style="2131"/>
  </cols>
  <sheetData>
    <row r="1" spans="1:8" ht="38.25" customHeight="1" thickBot="1" x14ac:dyDescent="0.25">
      <c r="A1" s="2818" t="s">
        <v>832</v>
      </c>
      <c r="B1" s="2818"/>
      <c r="C1" s="2818"/>
      <c r="D1" s="2818"/>
      <c r="E1" s="2818"/>
      <c r="F1" s="2818"/>
      <c r="G1" s="2818"/>
      <c r="H1" s="2818"/>
    </row>
    <row r="2" spans="1:8" ht="18" x14ac:dyDescent="0.25">
      <c r="A2" s="2135"/>
      <c r="B2" s="2168"/>
      <c r="C2" s="2168"/>
      <c r="D2" s="2168"/>
      <c r="E2" s="2168"/>
      <c r="F2" s="2168"/>
      <c r="G2" s="2168"/>
      <c r="H2" s="2222" t="s">
        <v>833</v>
      </c>
    </row>
    <row r="3" spans="1:8" ht="18" x14ac:dyDescent="0.25">
      <c r="A3" s="1939" t="s">
        <v>404</v>
      </c>
      <c r="B3" s="2168"/>
      <c r="C3" s="2129" t="s">
        <v>379</v>
      </c>
      <c r="D3" s="2168"/>
      <c r="E3" s="2168"/>
      <c r="F3" s="2168"/>
      <c r="G3" s="2168"/>
      <c r="H3" s="2222"/>
    </row>
    <row r="4" spans="1:8" ht="18" x14ac:dyDescent="0.25">
      <c r="A4" s="2135"/>
      <c r="B4" s="2168"/>
      <c r="C4" s="2129" t="s">
        <v>380</v>
      </c>
      <c r="D4" s="2168"/>
      <c r="E4" s="2168"/>
      <c r="F4" s="2168"/>
      <c r="G4" s="2168"/>
      <c r="H4" s="2222"/>
    </row>
    <row r="5" spans="1:8" ht="18" x14ac:dyDescent="0.25">
      <c r="A5" s="2134" t="s">
        <v>834</v>
      </c>
      <c r="B5" s="2168"/>
      <c r="C5" s="2168"/>
      <c r="D5" s="2168"/>
      <c r="E5" s="2168"/>
      <c r="F5" s="2168"/>
      <c r="G5" s="2168"/>
      <c r="H5" s="2222"/>
    </row>
    <row r="7" spans="1:8" ht="15.75" thickBot="1" x14ac:dyDescent="0.3">
      <c r="A7" s="2136" t="s">
        <v>273</v>
      </c>
      <c r="H7" s="2240" t="s">
        <v>179</v>
      </c>
    </row>
    <row r="8" spans="1:8" s="1849" customFormat="1" ht="25.5" thickTop="1" thickBot="1" x14ac:dyDescent="0.25">
      <c r="A8" s="2138" t="s">
        <v>180</v>
      </c>
      <c r="B8" s="2139" t="s">
        <v>847</v>
      </c>
      <c r="C8" s="2139" t="s">
        <v>414</v>
      </c>
      <c r="D8" s="2140" t="s">
        <v>182</v>
      </c>
      <c r="E8" s="2171" t="s">
        <v>700</v>
      </c>
      <c r="F8" s="2171" t="s">
        <v>701</v>
      </c>
      <c r="G8" s="2172" t="s">
        <v>986</v>
      </c>
      <c r="H8" s="2173" t="s">
        <v>987</v>
      </c>
    </row>
    <row r="9" spans="1:8" s="1849" customFormat="1" ht="13.5" thickTop="1" thickBot="1" x14ac:dyDescent="0.25">
      <c r="A9" s="1854">
        <v>1</v>
      </c>
      <c r="B9" s="1853">
        <v>2</v>
      </c>
      <c r="C9" s="1853">
        <v>3</v>
      </c>
      <c r="D9" s="1853">
        <v>4</v>
      </c>
      <c r="E9" s="1852">
        <v>5</v>
      </c>
      <c r="F9" s="1852">
        <v>6</v>
      </c>
      <c r="G9" s="2223">
        <v>7</v>
      </c>
      <c r="H9" s="2251" t="s">
        <v>61</v>
      </c>
    </row>
    <row r="10" spans="1:8" ht="45.75" thickTop="1" x14ac:dyDescent="0.2">
      <c r="A10" s="2246">
        <v>3299</v>
      </c>
      <c r="B10" s="2253">
        <v>5213</v>
      </c>
      <c r="C10" s="2258">
        <v>32133006</v>
      </c>
      <c r="D10" s="2201" t="s">
        <v>1417</v>
      </c>
      <c r="E10" s="2170">
        <v>0</v>
      </c>
      <c r="F10" s="2170">
        <v>613</v>
      </c>
      <c r="G10" s="2170">
        <v>383</v>
      </c>
      <c r="H10" s="2153">
        <f t="shared" ref="H10:H33" si="0">G10/F10*100</f>
        <v>62.479608482871129</v>
      </c>
    </row>
    <row r="11" spans="1:8" ht="45" x14ac:dyDescent="0.2">
      <c r="A11" s="2246">
        <v>3299</v>
      </c>
      <c r="B11" s="2253">
        <v>5213</v>
      </c>
      <c r="C11" s="2258">
        <v>32533006</v>
      </c>
      <c r="D11" s="2174" t="s">
        <v>1417</v>
      </c>
      <c r="E11" s="2184">
        <v>0</v>
      </c>
      <c r="F11" s="2184">
        <v>3473</v>
      </c>
      <c r="G11" s="2184">
        <v>2169</v>
      </c>
      <c r="H11" s="2156">
        <f t="shared" si="0"/>
        <v>62.453210480852285</v>
      </c>
    </row>
    <row r="12" spans="1:8" ht="30" x14ac:dyDescent="0.2">
      <c r="A12" s="2246">
        <v>3299</v>
      </c>
      <c r="B12" s="2253">
        <v>5221</v>
      </c>
      <c r="C12" s="2258">
        <v>32133006</v>
      </c>
      <c r="D12" s="2174" t="s">
        <v>1477</v>
      </c>
      <c r="E12" s="2184">
        <v>0</v>
      </c>
      <c r="F12" s="2184">
        <v>459</v>
      </c>
      <c r="G12" s="2184">
        <v>83</v>
      </c>
      <c r="H12" s="2156">
        <f t="shared" si="0"/>
        <v>18.082788671023962</v>
      </c>
    </row>
    <row r="13" spans="1:8" ht="30" x14ac:dyDescent="0.2">
      <c r="A13" s="2246">
        <v>3299</v>
      </c>
      <c r="B13" s="2253">
        <v>5221</v>
      </c>
      <c r="C13" s="2258">
        <v>32533006</v>
      </c>
      <c r="D13" s="2174" t="s">
        <v>1477</v>
      </c>
      <c r="E13" s="2184">
        <v>0</v>
      </c>
      <c r="F13" s="2184">
        <v>2601</v>
      </c>
      <c r="G13" s="2184">
        <v>469</v>
      </c>
      <c r="H13" s="2156">
        <f t="shared" si="0"/>
        <v>18.031526336024605</v>
      </c>
    </row>
    <row r="14" spans="1:8" ht="30" x14ac:dyDescent="0.2">
      <c r="A14" s="2246">
        <v>3299</v>
      </c>
      <c r="B14" s="2253">
        <v>5222</v>
      </c>
      <c r="C14" s="2258">
        <v>32133006</v>
      </c>
      <c r="D14" s="2174" t="s">
        <v>241</v>
      </c>
      <c r="E14" s="2184">
        <v>0</v>
      </c>
      <c r="F14" s="2184">
        <v>452</v>
      </c>
      <c r="G14" s="2184">
        <v>254</v>
      </c>
      <c r="H14" s="2156">
        <f t="shared" si="0"/>
        <v>56.194690265486727</v>
      </c>
    </row>
    <row r="15" spans="1:8" ht="30" x14ac:dyDescent="0.2">
      <c r="A15" s="2246">
        <v>3299</v>
      </c>
      <c r="B15" s="2253">
        <v>5222</v>
      </c>
      <c r="C15" s="2258">
        <v>32533006</v>
      </c>
      <c r="D15" s="2174" t="s">
        <v>241</v>
      </c>
      <c r="E15" s="2184">
        <v>0</v>
      </c>
      <c r="F15" s="2184">
        <v>2563</v>
      </c>
      <c r="G15" s="2184">
        <v>1438</v>
      </c>
      <c r="H15" s="2156">
        <f t="shared" si="0"/>
        <v>56.106125634022632</v>
      </c>
    </row>
    <row r="16" spans="1:8" ht="30" x14ac:dyDescent="0.2">
      <c r="A16" s="2246">
        <v>3299</v>
      </c>
      <c r="B16" s="2253">
        <v>5223</v>
      </c>
      <c r="C16" s="2258">
        <v>32133006</v>
      </c>
      <c r="D16" s="2174" t="s">
        <v>926</v>
      </c>
      <c r="E16" s="2184">
        <v>0</v>
      </c>
      <c r="F16" s="2184">
        <v>52</v>
      </c>
      <c r="G16" s="2184">
        <v>0</v>
      </c>
      <c r="H16" s="2156">
        <f t="shared" si="0"/>
        <v>0</v>
      </c>
    </row>
    <row r="17" spans="1:8" ht="30" x14ac:dyDescent="0.2">
      <c r="A17" s="2246">
        <v>3299</v>
      </c>
      <c r="B17" s="2253">
        <v>5223</v>
      </c>
      <c r="C17" s="2258">
        <v>32533006</v>
      </c>
      <c r="D17" s="2174" t="s">
        <v>926</v>
      </c>
      <c r="E17" s="2184">
        <v>0</v>
      </c>
      <c r="F17" s="2184">
        <v>297</v>
      </c>
      <c r="G17" s="2184">
        <v>0</v>
      </c>
      <c r="H17" s="2156">
        <f t="shared" si="0"/>
        <v>0</v>
      </c>
    </row>
    <row r="18" spans="1:8" ht="15.95" customHeight="1" x14ac:dyDescent="0.2">
      <c r="A18" s="2246">
        <v>3299</v>
      </c>
      <c r="B18" s="2253">
        <v>5332</v>
      </c>
      <c r="C18" s="2258">
        <v>32133006</v>
      </c>
      <c r="D18" s="2174" t="s">
        <v>687</v>
      </c>
      <c r="E18" s="2184">
        <v>0</v>
      </c>
      <c r="F18" s="2184">
        <v>329</v>
      </c>
      <c r="G18" s="2184">
        <v>114</v>
      </c>
      <c r="H18" s="2156">
        <f t="shared" si="0"/>
        <v>34.650455927051674</v>
      </c>
    </row>
    <row r="19" spans="1:8" ht="15.95" customHeight="1" x14ac:dyDescent="0.2">
      <c r="A19" s="2246">
        <v>3299</v>
      </c>
      <c r="B19" s="2253">
        <v>5332</v>
      </c>
      <c r="C19" s="2258">
        <v>32533006</v>
      </c>
      <c r="D19" s="2174" t="s">
        <v>687</v>
      </c>
      <c r="E19" s="2184">
        <v>0</v>
      </c>
      <c r="F19" s="2184">
        <v>1866</v>
      </c>
      <c r="G19" s="2184">
        <v>646</v>
      </c>
      <c r="H19" s="2156">
        <f t="shared" si="0"/>
        <v>34.619506966773848</v>
      </c>
    </row>
    <row r="20" spans="1:8" ht="15" x14ac:dyDescent="0.2">
      <c r="A20" s="2246">
        <v>3299</v>
      </c>
      <c r="B20" s="2253">
        <v>5901</v>
      </c>
      <c r="C20" s="2258">
        <v>32133006</v>
      </c>
      <c r="D20" s="2174" t="s">
        <v>670</v>
      </c>
      <c r="E20" s="2184">
        <v>0</v>
      </c>
      <c r="F20" s="2184">
        <v>124</v>
      </c>
      <c r="G20" s="2184">
        <v>0</v>
      </c>
      <c r="H20" s="2156">
        <f t="shared" si="0"/>
        <v>0</v>
      </c>
    </row>
    <row r="21" spans="1:8" ht="15" x14ac:dyDescent="0.2">
      <c r="A21" s="2246">
        <v>3299</v>
      </c>
      <c r="B21" s="2253">
        <v>5901</v>
      </c>
      <c r="C21" s="2258">
        <v>32533006</v>
      </c>
      <c r="D21" s="2174" t="s">
        <v>670</v>
      </c>
      <c r="E21" s="2184">
        <v>0</v>
      </c>
      <c r="F21" s="2184">
        <v>702</v>
      </c>
      <c r="G21" s="2184">
        <v>0</v>
      </c>
      <c r="H21" s="2156">
        <f t="shared" si="0"/>
        <v>0</v>
      </c>
    </row>
    <row r="22" spans="1:8" ht="45" hidden="1" x14ac:dyDescent="0.2">
      <c r="A22" s="2246">
        <v>3299</v>
      </c>
      <c r="B22" s="2253">
        <v>6313</v>
      </c>
      <c r="C22" s="2258">
        <v>32133006</v>
      </c>
      <c r="D22" s="2174" t="s">
        <v>96</v>
      </c>
      <c r="E22" s="2184">
        <v>0</v>
      </c>
      <c r="F22" s="2184">
        <v>0</v>
      </c>
      <c r="G22" s="2184">
        <v>0</v>
      </c>
      <c r="H22" s="2156" t="e">
        <f t="shared" si="0"/>
        <v>#DIV/0!</v>
      </c>
    </row>
    <row r="23" spans="1:8" ht="45" hidden="1" x14ac:dyDescent="0.2">
      <c r="A23" s="2246">
        <v>3299</v>
      </c>
      <c r="B23" s="2253">
        <v>6313</v>
      </c>
      <c r="C23" s="2258">
        <v>32533006</v>
      </c>
      <c r="D23" s="2174" t="s">
        <v>96</v>
      </c>
      <c r="E23" s="2184">
        <v>0</v>
      </c>
      <c r="F23" s="2184">
        <v>0</v>
      </c>
      <c r="G23" s="2184">
        <v>0</v>
      </c>
      <c r="H23" s="2156" t="e">
        <f t="shared" si="0"/>
        <v>#DIV/0!</v>
      </c>
    </row>
    <row r="24" spans="1:8" ht="30" hidden="1" x14ac:dyDescent="0.2">
      <c r="A24" s="2246">
        <v>3299</v>
      </c>
      <c r="B24" s="2253">
        <v>6321</v>
      </c>
      <c r="C24" s="2258">
        <v>32133006</v>
      </c>
      <c r="D24" s="2174" t="s">
        <v>1284</v>
      </c>
      <c r="E24" s="2184">
        <v>0</v>
      </c>
      <c r="F24" s="2184">
        <v>0</v>
      </c>
      <c r="G24" s="2184">
        <v>0</v>
      </c>
      <c r="H24" s="2156" t="e">
        <f t="shared" si="0"/>
        <v>#DIV/0!</v>
      </c>
    </row>
    <row r="25" spans="1:8" ht="30" hidden="1" x14ac:dyDescent="0.2">
      <c r="A25" s="2246">
        <v>3299</v>
      </c>
      <c r="B25" s="2253">
        <v>6321</v>
      </c>
      <c r="C25" s="2258">
        <v>32533006</v>
      </c>
      <c r="D25" s="2174" t="s">
        <v>1284</v>
      </c>
      <c r="E25" s="2184">
        <v>0</v>
      </c>
      <c r="F25" s="2184">
        <v>0</v>
      </c>
      <c r="G25" s="2184">
        <v>0</v>
      </c>
      <c r="H25" s="2156" t="e">
        <f t="shared" si="0"/>
        <v>#DIV/0!</v>
      </c>
    </row>
    <row r="26" spans="1:8" ht="30" hidden="1" x14ac:dyDescent="0.2">
      <c r="A26" s="2246">
        <v>3299</v>
      </c>
      <c r="B26" s="2253">
        <v>6322</v>
      </c>
      <c r="C26" s="2258">
        <v>32133006</v>
      </c>
      <c r="D26" s="2174" t="s">
        <v>1290</v>
      </c>
      <c r="E26" s="2184">
        <v>0</v>
      </c>
      <c r="F26" s="2184">
        <v>0</v>
      </c>
      <c r="G26" s="2184">
        <v>0</v>
      </c>
      <c r="H26" s="2156" t="e">
        <f t="shared" si="0"/>
        <v>#DIV/0!</v>
      </c>
    </row>
    <row r="27" spans="1:8" ht="30" hidden="1" x14ac:dyDescent="0.2">
      <c r="A27" s="2246">
        <v>3299</v>
      </c>
      <c r="B27" s="2253">
        <v>6322</v>
      </c>
      <c r="C27" s="2258">
        <v>32533006</v>
      </c>
      <c r="D27" s="2174" t="s">
        <v>1290</v>
      </c>
      <c r="E27" s="2184">
        <v>0</v>
      </c>
      <c r="F27" s="2184">
        <v>0</v>
      </c>
      <c r="G27" s="2184">
        <v>0</v>
      </c>
      <c r="H27" s="2156" t="e">
        <f t="shared" si="0"/>
        <v>#DIV/0!</v>
      </c>
    </row>
    <row r="28" spans="1:8" ht="15" hidden="1" x14ac:dyDescent="0.2">
      <c r="A28" s="2246">
        <v>3299</v>
      </c>
      <c r="B28" s="2253">
        <v>6352</v>
      </c>
      <c r="C28" s="2258">
        <v>32133006</v>
      </c>
      <c r="D28" s="2174" t="s">
        <v>206</v>
      </c>
      <c r="E28" s="2184">
        <v>0</v>
      </c>
      <c r="F28" s="2184">
        <v>0</v>
      </c>
      <c r="G28" s="2184">
        <v>0</v>
      </c>
      <c r="H28" s="2156" t="e">
        <f t="shared" si="0"/>
        <v>#DIV/0!</v>
      </c>
    </row>
    <row r="29" spans="1:8" ht="15" hidden="1" x14ac:dyDescent="0.2">
      <c r="A29" s="2246">
        <v>3299</v>
      </c>
      <c r="B29" s="2253">
        <v>6352</v>
      </c>
      <c r="C29" s="2258">
        <v>32533006</v>
      </c>
      <c r="D29" s="2174" t="s">
        <v>206</v>
      </c>
      <c r="E29" s="2184">
        <v>0</v>
      </c>
      <c r="F29" s="2184">
        <v>0</v>
      </c>
      <c r="G29" s="2184">
        <v>0</v>
      </c>
      <c r="H29" s="2156" t="e">
        <f t="shared" si="0"/>
        <v>#DIV/0!</v>
      </c>
    </row>
    <row r="30" spans="1:8" ht="15" x14ac:dyDescent="0.2">
      <c r="A30" s="2246">
        <v>3299</v>
      </c>
      <c r="B30" s="2253">
        <v>6901</v>
      </c>
      <c r="C30" s="2258">
        <v>32133006</v>
      </c>
      <c r="D30" s="2174" t="s">
        <v>468</v>
      </c>
      <c r="E30" s="2184">
        <v>0</v>
      </c>
      <c r="F30" s="2184">
        <v>395</v>
      </c>
      <c r="G30" s="2184">
        <v>0</v>
      </c>
      <c r="H30" s="2156">
        <f t="shared" si="0"/>
        <v>0</v>
      </c>
    </row>
    <row r="31" spans="1:8" ht="15" x14ac:dyDescent="0.2">
      <c r="A31" s="2246">
        <v>3299</v>
      </c>
      <c r="B31" s="2253">
        <v>6901</v>
      </c>
      <c r="C31" s="2258">
        <v>32533006</v>
      </c>
      <c r="D31" s="2174" t="s">
        <v>468</v>
      </c>
      <c r="E31" s="2184">
        <v>0</v>
      </c>
      <c r="F31" s="2184">
        <v>2238</v>
      </c>
      <c r="G31" s="2184">
        <v>0</v>
      </c>
      <c r="H31" s="2156">
        <f t="shared" si="0"/>
        <v>0</v>
      </c>
    </row>
    <row r="32" spans="1:8" ht="15.75" thickBot="1" x14ac:dyDescent="0.25">
      <c r="A32" s="2246">
        <v>6402</v>
      </c>
      <c r="B32" s="2253">
        <v>5363</v>
      </c>
      <c r="C32" s="2258">
        <v>19</v>
      </c>
      <c r="D32" s="2174" t="s">
        <v>1824</v>
      </c>
      <c r="E32" s="2184">
        <v>0</v>
      </c>
      <c r="F32" s="2184">
        <v>5</v>
      </c>
      <c r="G32" s="2184">
        <v>5</v>
      </c>
      <c r="H32" s="2163">
        <f t="shared" si="0"/>
        <v>100</v>
      </c>
    </row>
    <row r="33" spans="1:9" s="2164" customFormat="1" ht="16.5" thickTop="1" thickBot="1" x14ac:dyDescent="0.3">
      <c r="A33" s="2806" t="s">
        <v>849</v>
      </c>
      <c r="B33" s="2807"/>
      <c r="C33" s="2807"/>
      <c r="D33" s="2807"/>
      <c r="E33" s="2152">
        <f>SUM(E10:E31)</f>
        <v>0</v>
      </c>
      <c r="F33" s="2152">
        <f>SUM(F10:F32)</f>
        <v>16169</v>
      </c>
      <c r="G33" s="2152">
        <f>SUM(G10:G32)</f>
        <v>5561</v>
      </c>
      <c r="H33" s="2163">
        <f t="shared" si="0"/>
        <v>34.392974209907848</v>
      </c>
      <c r="I33" s="2262"/>
    </row>
    <row r="34" spans="1:9" ht="13.5" thickTop="1" x14ac:dyDescent="0.2">
      <c r="I34" s="2165"/>
    </row>
    <row r="35" spans="1:9" x14ac:dyDescent="0.2">
      <c r="I35" s="2165"/>
    </row>
    <row r="36" spans="1:9" ht="15" x14ac:dyDescent="0.25">
      <c r="A36" s="2136" t="s">
        <v>1129</v>
      </c>
      <c r="D36" s="2130"/>
      <c r="E36" s="2131"/>
      <c r="H36" s="2165"/>
      <c r="I36" s="2165"/>
    </row>
    <row r="37" spans="1:9" ht="15.75" thickBot="1" x14ac:dyDescent="0.3">
      <c r="A37" s="2136" t="s">
        <v>207</v>
      </c>
      <c r="D37" s="2130"/>
      <c r="E37" s="2131"/>
      <c r="H37" s="2240" t="s">
        <v>179</v>
      </c>
      <c r="I37" s="2165"/>
    </row>
    <row r="38" spans="1:9" ht="25.5" thickTop="1" thickBot="1" x14ac:dyDescent="0.25">
      <c r="A38" s="2138" t="s">
        <v>180</v>
      </c>
      <c r="B38" s="2139" t="s">
        <v>847</v>
      </c>
      <c r="C38" s="2139" t="s">
        <v>414</v>
      </c>
      <c r="D38" s="2140" t="s">
        <v>182</v>
      </c>
      <c r="E38" s="2171" t="s">
        <v>700</v>
      </c>
      <c r="F38" s="2171" t="s">
        <v>701</v>
      </c>
      <c r="G38" s="2172" t="s">
        <v>986</v>
      </c>
      <c r="H38" s="2173" t="s">
        <v>987</v>
      </c>
      <c r="I38" s="2165"/>
    </row>
    <row r="39" spans="1:9" ht="14.25" thickTop="1" thickBot="1" x14ac:dyDescent="0.25">
      <c r="A39" s="1854">
        <v>1</v>
      </c>
      <c r="B39" s="1853">
        <v>2</v>
      </c>
      <c r="C39" s="1853">
        <v>3</v>
      </c>
      <c r="D39" s="1853">
        <v>5</v>
      </c>
      <c r="E39" s="1852">
        <v>6</v>
      </c>
      <c r="F39" s="1852">
        <v>7</v>
      </c>
      <c r="G39" s="2223">
        <v>8</v>
      </c>
      <c r="H39" s="2146" t="s">
        <v>848</v>
      </c>
      <c r="I39" s="2165"/>
    </row>
    <row r="40" spans="1:9" ht="30.75" thickTop="1" x14ac:dyDescent="0.2">
      <c r="A40" s="2246">
        <v>3299</v>
      </c>
      <c r="B40" s="2253">
        <v>5336</v>
      </c>
      <c r="C40" s="2253">
        <v>32133006</v>
      </c>
      <c r="D40" s="2174" t="s">
        <v>1419</v>
      </c>
      <c r="E40" s="2170">
        <v>0</v>
      </c>
      <c r="F40" s="2170">
        <v>23</v>
      </c>
      <c r="G40" s="2236">
        <v>15</v>
      </c>
      <c r="H40" s="2153">
        <f>G40/F40*100</f>
        <v>65.217391304347828</v>
      </c>
      <c r="I40" s="2165"/>
    </row>
    <row r="41" spans="1:9" ht="30.75" thickBot="1" x14ac:dyDescent="0.25">
      <c r="A41" s="2246">
        <v>3299</v>
      </c>
      <c r="B41" s="2277">
        <v>5336</v>
      </c>
      <c r="C41" s="2253">
        <v>32533006</v>
      </c>
      <c r="D41" s="2174" t="s">
        <v>1419</v>
      </c>
      <c r="E41" s="2184">
        <v>0</v>
      </c>
      <c r="F41" s="2184">
        <v>128</v>
      </c>
      <c r="G41" s="2233">
        <v>86</v>
      </c>
      <c r="H41" s="2156">
        <f>G41/F41*100</f>
        <v>67.1875</v>
      </c>
      <c r="I41" s="2165"/>
    </row>
    <row r="42" spans="1:9" ht="30.75" hidden="1" thickBot="1" x14ac:dyDescent="0.25">
      <c r="A42" s="2246">
        <v>3299</v>
      </c>
      <c r="B42" s="2253">
        <v>6351</v>
      </c>
      <c r="C42" s="2253">
        <v>32133006</v>
      </c>
      <c r="D42" s="2174" t="s">
        <v>1433</v>
      </c>
      <c r="E42" s="2184">
        <v>0</v>
      </c>
      <c r="F42" s="2184">
        <v>0</v>
      </c>
      <c r="G42" s="2233">
        <v>0</v>
      </c>
      <c r="H42" s="2156" t="e">
        <f>G42/F42*100</f>
        <v>#DIV/0!</v>
      </c>
      <c r="I42" s="2165"/>
    </row>
    <row r="43" spans="1:9" ht="30.75" hidden="1" thickBot="1" x14ac:dyDescent="0.25">
      <c r="A43" s="2246">
        <v>3299</v>
      </c>
      <c r="B43" s="2253">
        <v>6351</v>
      </c>
      <c r="C43" s="2253">
        <v>32533006</v>
      </c>
      <c r="D43" s="2174" t="s">
        <v>1433</v>
      </c>
      <c r="E43" s="2184">
        <v>0</v>
      </c>
      <c r="F43" s="2184">
        <v>0</v>
      </c>
      <c r="G43" s="2233">
        <v>0</v>
      </c>
      <c r="H43" s="2156" t="e">
        <f>G43/F43*100</f>
        <v>#DIV/0!</v>
      </c>
      <c r="I43" s="2165"/>
    </row>
    <row r="44" spans="1:9" ht="16.5" thickTop="1" thickBot="1" x14ac:dyDescent="0.3">
      <c r="A44" s="2175" t="s">
        <v>849</v>
      </c>
      <c r="B44" s="2176"/>
      <c r="C44" s="2176"/>
      <c r="D44" s="2177"/>
      <c r="E44" s="2152">
        <f>SUM(E40:E43)</f>
        <v>0</v>
      </c>
      <c r="F44" s="2152">
        <f>SUM(F40:F43)</f>
        <v>151</v>
      </c>
      <c r="G44" s="2152">
        <f>SUM(G40:G43)</f>
        <v>101</v>
      </c>
      <c r="H44" s="2157">
        <f>G44/F44*100</f>
        <v>66.88741721854305</v>
      </c>
      <c r="I44" s="2165"/>
    </row>
    <row r="45" spans="1:9" ht="13.5" thickTop="1" x14ac:dyDescent="0.2">
      <c r="I45" s="2165"/>
    </row>
    <row r="46" spans="1:9" ht="15" x14ac:dyDescent="0.25">
      <c r="A46" s="2136" t="s">
        <v>1464</v>
      </c>
      <c r="D46" s="2130"/>
      <c r="E46" s="2131"/>
      <c r="H46" s="2165"/>
      <c r="I46" s="2165"/>
    </row>
    <row r="47" spans="1:9" ht="15.75" thickBot="1" x14ac:dyDescent="0.3">
      <c r="A47" s="2136" t="s">
        <v>1571</v>
      </c>
      <c r="D47" s="2130"/>
      <c r="E47" s="2131"/>
      <c r="H47" s="2240" t="s">
        <v>179</v>
      </c>
      <c r="I47" s="2165"/>
    </row>
    <row r="48" spans="1:9" ht="25.5" thickTop="1" thickBot="1" x14ac:dyDescent="0.25">
      <c r="A48" s="2138" t="s">
        <v>180</v>
      </c>
      <c r="B48" s="2139" t="s">
        <v>847</v>
      </c>
      <c r="C48" s="2139" t="s">
        <v>414</v>
      </c>
      <c r="D48" s="2140" t="s">
        <v>182</v>
      </c>
      <c r="E48" s="2171" t="s">
        <v>700</v>
      </c>
      <c r="F48" s="2171" t="s">
        <v>701</v>
      </c>
      <c r="G48" s="2172" t="s">
        <v>986</v>
      </c>
      <c r="H48" s="2173" t="s">
        <v>987</v>
      </c>
      <c r="I48" s="2165"/>
    </row>
    <row r="49" spans="1:9" ht="14.25" thickTop="1" thickBot="1" x14ac:dyDescent="0.25">
      <c r="A49" s="1854">
        <v>1</v>
      </c>
      <c r="B49" s="1853">
        <v>2</v>
      </c>
      <c r="C49" s="1853">
        <v>3</v>
      </c>
      <c r="D49" s="1853">
        <v>5</v>
      </c>
      <c r="E49" s="1852">
        <v>6</v>
      </c>
      <c r="F49" s="1852">
        <v>7</v>
      </c>
      <c r="G49" s="2223">
        <v>8</v>
      </c>
      <c r="H49" s="2146" t="s">
        <v>848</v>
      </c>
      <c r="I49" s="2165"/>
    </row>
    <row r="50" spans="1:9" ht="30.75" thickTop="1" x14ac:dyDescent="0.2">
      <c r="A50" s="2246">
        <v>3299</v>
      </c>
      <c r="B50" s="2253">
        <v>5336</v>
      </c>
      <c r="C50" s="2253">
        <v>32133006</v>
      </c>
      <c r="D50" s="2174" t="s">
        <v>1419</v>
      </c>
      <c r="E50" s="2170">
        <v>0</v>
      </c>
      <c r="F50" s="2170">
        <v>306</v>
      </c>
      <c r="G50" s="2236">
        <v>156</v>
      </c>
      <c r="H50" s="2153">
        <f>G50/F50*100</f>
        <v>50.980392156862742</v>
      </c>
      <c r="I50" s="2165"/>
    </row>
    <row r="51" spans="1:9" ht="30.75" thickBot="1" x14ac:dyDescent="0.25">
      <c r="A51" s="2246">
        <v>3299</v>
      </c>
      <c r="B51" s="2277">
        <v>5336</v>
      </c>
      <c r="C51" s="2253">
        <v>32533006</v>
      </c>
      <c r="D51" s="2174" t="s">
        <v>1419</v>
      </c>
      <c r="E51" s="2184">
        <v>0</v>
      </c>
      <c r="F51" s="2184">
        <v>1733</v>
      </c>
      <c r="G51" s="2233">
        <v>884</v>
      </c>
      <c r="H51" s="2156">
        <f>G51/F51*100</f>
        <v>51.009809578765143</v>
      </c>
      <c r="I51" s="2165"/>
    </row>
    <row r="52" spans="1:9" ht="30.75" hidden="1" thickBot="1" x14ac:dyDescent="0.25">
      <c r="A52" s="2246">
        <v>3299</v>
      </c>
      <c r="B52" s="2253">
        <v>6351</v>
      </c>
      <c r="C52" s="2253">
        <v>32133006</v>
      </c>
      <c r="D52" s="2174" t="s">
        <v>1433</v>
      </c>
      <c r="E52" s="2184">
        <v>0</v>
      </c>
      <c r="F52" s="2184">
        <v>0</v>
      </c>
      <c r="G52" s="2233">
        <v>0</v>
      </c>
      <c r="H52" s="2156" t="e">
        <f>G52/F52*100</f>
        <v>#DIV/0!</v>
      </c>
      <c r="I52" s="2165"/>
    </row>
    <row r="53" spans="1:9" ht="30.75" hidden="1" thickBot="1" x14ac:dyDescent="0.25">
      <c r="A53" s="2246">
        <v>3299</v>
      </c>
      <c r="B53" s="2253">
        <v>6351</v>
      </c>
      <c r="C53" s="2253">
        <v>32533006</v>
      </c>
      <c r="D53" s="2174" t="s">
        <v>1433</v>
      </c>
      <c r="E53" s="2184">
        <v>0</v>
      </c>
      <c r="F53" s="2184">
        <v>0</v>
      </c>
      <c r="G53" s="2233">
        <v>0</v>
      </c>
      <c r="H53" s="2156" t="e">
        <f>G53/F53*100</f>
        <v>#DIV/0!</v>
      </c>
      <c r="I53" s="2165"/>
    </row>
    <row r="54" spans="1:9" ht="16.5" thickTop="1" thickBot="1" x14ac:dyDescent="0.3">
      <c r="A54" s="2175" t="s">
        <v>849</v>
      </c>
      <c r="B54" s="2176"/>
      <c r="C54" s="2176"/>
      <c r="D54" s="2177"/>
      <c r="E54" s="2152">
        <f>SUM(E50:E53)</f>
        <v>0</v>
      </c>
      <c r="F54" s="2152">
        <f>SUM(F50:F53)</f>
        <v>2039</v>
      </c>
      <c r="G54" s="2152">
        <f>SUM(G50:G53)</f>
        <v>1040</v>
      </c>
      <c r="H54" s="2157">
        <f>G54/F54*100</f>
        <v>51.005394801373228</v>
      </c>
      <c r="I54" s="2165"/>
    </row>
    <row r="55" spans="1:9" ht="13.5" thickTop="1" x14ac:dyDescent="0.2">
      <c r="I55" s="2165"/>
    </row>
    <row r="56" spans="1:9" ht="15" x14ac:dyDescent="0.25">
      <c r="A56" s="2136" t="s">
        <v>1933</v>
      </c>
      <c r="D56" s="2130"/>
      <c r="E56" s="2131"/>
      <c r="H56" s="2165"/>
      <c r="I56" s="2165"/>
    </row>
    <row r="57" spans="1:9" ht="15.75" thickBot="1" x14ac:dyDescent="0.3">
      <c r="A57" s="2136" t="s">
        <v>1418</v>
      </c>
      <c r="D57" s="2130"/>
      <c r="E57" s="2131"/>
      <c r="H57" s="2240" t="s">
        <v>179</v>
      </c>
      <c r="I57" s="2165"/>
    </row>
    <row r="58" spans="1:9" ht="25.5" thickTop="1" thickBot="1" x14ac:dyDescent="0.25">
      <c r="A58" s="2138" t="s">
        <v>180</v>
      </c>
      <c r="B58" s="2139" t="s">
        <v>847</v>
      </c>
      <c r="C58" s="2139" t="s">
        <v>414</v>
      </c>
      <c r="D58" s="2140" t="s">
        <v>182</v>
      </c>
      <c r="E58" s="2171" t="s">
        <v>700</v>
      </c>
      <c r="F58" s="2171" t="s">
        <v>701</v>
      </c>
      <c r="G58" s="2172" t="s">
        <v>986</v>
      </c>
      <c r="H58" s="2173" t="s">
        <v>987</v>
      </c>
      <c r="I58" s="2165"/>
    </row>
    <row r="59" spans="1:9" ht="14.25" thickTop="1" thickBot="1" x14ac:dyDescent="0.25">
      <c r="A59" s="1854">
        <v>1</v>
      </c>
      <c r="B59" s="1853">
        <v>2</v>
      </c>
      <c r="C59" s="1853">
        <v>3</v>
      </c>
      <c r="D59" s="1853">
        <v>5</v>
      </c>
      <c r="E59" s="1852">
        <v>6</v>
      </c>
      <c r="F59" s="1852">
        <v>7</v>
      </c>
      <c r="G59" s="2223">
        <v>8</v>
      </c>
      <c r="H59" s="2146" t="s">
        <v>848</v>
      </c>
      <c r="I59" s="2165"/>
    </row>
    <row r="60" spans="1:9" ht="30.75" thickTop="1" x14ac:dyDescent="0.2">
      <c r="A60" s="2246">
        <v>3299</v>
      </c>
      <c r="B60" s="2277">
        <v>5336</v>
      </c>
      <c r="C60" s="2253">
        <v>32133006</v>
      </c>
      <c r="D60" s="2174" t="s">
        <v>1419</v>
      </c>
      <c r="E60" s="2170">
        <v>0</v>
      </c>
      <c r="F60" s="2170">
        <v>136</v>
      </c>
      <c r="G60" s="2236">
        <v>68</v>
      </c>
      <c r="H60" s="2153">
        <f>G60/F60*100</f>
        <v>50</v>
      </c>
      <c r="I60" s="2165"/>
    </row>
    <row r="61" spans="1:9" ht="30.75" thickBot="1" x14ac:dyDescent="0.25">
      <c r="A61" s="2246">
        <v>3299</v>
      </c>
      <c r="B61" s="2277">
        <v>5336</v>
      </c>
      <c r="C61" s="2253">
        <v>32533006</v>
      </c>
      <c r="D61" s="2174" t="s">
        <v>1419</v>
      </c>
      <c r="E61" s="2184">
        <v>0</v>
      </c>
      <c r="F61" s="2184">
        <v>770</v>
      </c>
      <c r="G61" s="2233">
        <v>389</v>
      </c>
      <c r="H61" s="2156">
        <f>G61/F61*100</f>
        <v>50.519480519480517</v>
      </c>
      <c r="I61" s="2165"/>
    </row>
    <row r="62" spans="1:9" ht="30.75" hidden="1" thickBot="1" x14ac:dyDescent="0.25">
      <c r="A62" s="2246">
        <v>3299</v>
      </c>
      <c r="B62" s="2253">
        <v>6351</v>
      </c>
      <c r="C62" s="2253">
        <v>32133006</v>
      </c>
      <c r="D62" s="2174" t="s">
        <v>1433</v>
      </c>
      <c r="E62" s="2184">
        <v>0</v>
      </c>
      <c r="F62" s="2184">
        <v>0</v>
      </c>
      <c r="G62" s="2233">
        <v>0</v>
      </c>
      <c r="H62" s="2156" t="e">
        <f>G62/F62*100</f>
        <v>#DIV/0!</v>
      </c>
      <c r="I62" s="2165"/>
    </row>
    <row r="63" spans="1:9" ht="30.75" hidden="1" thickBot="1" x14ac:dyDescent="0.25">
      <c r="A63" s="2246">
        <v>3299</v>
      </c>
      <c r="B63" s="2253">
        <v>6351</v>
      </c>
      <c r="C63" s="2253">
        <v>32533006</v>
      </c>
      <c r="D63" s="2174" t="s">
        <v>1433</v>
      </c>
      <c r="E63" s="2184">
        <v>0</v>
      </c>
      <c r="F63" s="2184">
        <v>0</v>
      </c>
      <c r="G63" s="2233">
        <v>0</v>
      </c>
      <c r="H63" s="2156" t="e">
        <f>G63/F63*100</f>
        <v>#DIV/0!</v>
      </c>
      <c r="I63" s="2165"/>
    </row>
    <row r="64" spans="1:9" ht="16.5" thickTop="1" thickBot="1" x14ac:dyDescent="0.3">
      <c r="A64" s="2175" t="s">
        <v>849</v>
      </c>
      <c r="B64" s="2176"/>
      <c r="C64" s="2176"/>
      <c r="D64" s="2177"/>
      <c r="E64" s="2152">
        <f>SUM(E60:E63)</f>
        <v>0</v>
      </c>
      <c r="F64" s="2152">
        <f>SUM(F60:F63)</f>
        <v>906</v>
      </c>
      <c r="G64" s="2152">
        <f>SUM(G60:G63)</f>
        <v>457</v>
      </c>
      <c r="H64" s="2157">
        <f>G64/F64*100</f>
        <v>50.441501103752763</v>
      </c>
      <c r="I64" s="2165"/>
    </row>
    <row r="65" spans="1:9" ht="13.5" thickTop="1" x14ac:dyDescent="0.2">
      <c r="I65" s="2165"/>
    </row>
    <row r="66" spans="1:9" ht="15" x14ac:dyDescent="0.25">
      <c r="A66" s="2136" t="s">
        <v>1948</v>
      </c>
      <c r="D66" s="2130"/>
      <c r="E66" s="2131"/>
      <c r="H66" s="2165"/>
      <c r="I66" s="2165"/>
    </row>
    <row r="67" spans="1:9" ht="15.75" thickBot="1" x14ac:dyDescent="0.3">
      <c r="A67" s="2136" t="s">
        <v>1421</v>
      </c>
      <c r="D67" s="2130"/>
      <c r="E67" s="2131"/>
      <c r="H67" s="2240" t="s">
        <v>179</v>
      </c>
      <c r="I67" s="2165"/>
    </row>
    <row r="68" spans="1:9" ht="25.5" thickTop="1" thickBot="1" x14ac:dyDescent="0.25">
      <c r="A68" s="2138" t="s">
        <v>180</v>
      </c>
      <c r="B68" s="2139" t="s">
        <v>847</v>
      </c>
      <c r="C68" s="2139" t="s">
        <v>414</v>
      </c>
      <c r="D68" s="2140" t="s">
        <v>182</v>
      </c>
      <c r="E68" s="2171" t="s">
        <v>700</v>
      </c>
      <c r="F68" s="2171" t="s">
        <v>701</v>
      </c>
      <c r="G68" s="2172" t="s">
        <v>986</v>
      </c>
      <c r="H68" s="2173" t="s">
        <v>987</v>
      </c>
      <c r="I68" s="2165"/>
    </row>
    <row r="69" spans="1:9" ht="14.25" thickTop="1" thickBot="1" x14ac:dyDescent="0.25">
      <c r="A69" s="1854">
        <v>1</v>
      </c>
      <c r="B69" s="1853">
        <v>2</v>
      </c>
      <c r="C69" s="1853">
        <v>3</v>
      </c>
      <c r="D69" s="1853">
        <v>5</v>
      </c>
      <c r="E69" s="1852">
        <v>6</v>
      </c>
      <c r="F69" s="1852">
        <v>7</v>
      </c>
      <c r="G69" s="2223">
        <v>8</v>
      </c>
      <c r="H69" s="2146" t="s">
        <v>848</v>
      </c>
      <c r="I69" s="2165"/>
    </row>
    <row r="70" spans="1:9" ht="30.75" thickTop="1" x14ac:dyDescent="0.2">
      <c r="A70" s="2246">
        <v>3299</v>
      </c>
      <c r="B70" s="2277">
        <v>5336</v>
      </c>
      <c r="C70" s="2253">
        <v>32133006</v>
      </c>
      <c r="D70" s="2174" t="s">
        <v>1419</v>
      </c>
      <c r="E70" s="2170">
        <v>0</v>
      </c>
      <c r="F70" s="2170">
        <v>251</v>
      </c>
      <c r="G70" s="2236">
        <v>207</v>
      </c>
      <c r="H70" s="2153">
        <f>G70/F70*100</f>
        <v>82.470119521912352</v>
      </c>
      <c r="I70" s="2165"/>
    </row>
    <row r="71" spans="1:9" ht="30.75" thickBot="1" x14ac:dyDescent="0.25">
      <c r="A71" s="2246">
        <v>3299</v>
      </c>
      <c r="B71" s="2277">
        <v>5336</v>
      </c>
      <c r="C71" s="2253">
        <v>32533006</v>
      </c>
      <c r="D71" s="2174" t="s">
        <v>1419</v>
      </c>
      <c r="E71" s="2184">
        <v>0</v>
      </c>
      <c r="F71" s="2184">
        <v>1422</v>
      </c>
      <c r="G71" s="2233">
        <v>1172</v>
      </c>
      <c r="H71" s="2156">
        <f>G71/F71*100</f>
        <v>82.419127988748244</v>
      </c>
      <c r="I71" s="2165"/>
    </row>
    <row r="72" spans="1:9" ht="30.75" hidden="1" thickBot="1" x14ac:dyDescent="0.25">
      <c r="A72" s="2246">
        <v>3299</v>
      </c>
      <c r="B72" s="2253">
        <v>6351</v>
      </c>
      <c r="C72" s="2253">
        <v>32133006</v>
      </c>
      <c r="D72" s="2174" t="s">
        <v>1433</v>
      </c>
      <c r="E72" s="2184">
        <v>0</v>
      </c>
      <c r="F72" s="2184">
        <v>0</v>
      </c>
      <c r="G72" s="2233">
        <v>0</v>
      </c>
      <c r="H72" s="2156" t="e">
        <f>G72/F72*100</f>
        <v>#DIV/0!</v>
      </c>
      <c r="I72" s="2165"/>
    </row>
    <row r="73" spans="1:9" ht="30.75" hidden="1" thickBot="1" x14ac:dyDescent="0.25">
      <c r="A73" s="2246">
        <v>3299</v>
      </c>
      <c r="B73" s="2253">
        <v>6351</v>
      </c>
      <c r="C73" s="2253">
        <v>32533006</v>
      </c>
      <c r="D73" s="2174" t="s">
        <v>1433</v>
      </c>
      <c r="E73" s="2184">
        <v>0</v>
      </c>
      <c r="F73" s="2184">
        <v>0</v>
      </c>
      <c r="G73" s="2233">
        <v>0</v>
      </c>
      <c r="H73" s="2156" t="e">
        <f>G73/F73*100</f>
        <v>#DIV/0!</v>
      </c>
      <c r="I73" s="2165"/>
    </row>
    <row r="74" spans="1:9" ht="16.5" thickTop="1" thickBot="1" x14ac:dyDescent="0.3">
      <c r="A74" s="2175" t="s">
        <v>849</v>
      </c>
      <c r="B74" s="2176"/>
      <c r="C74" s="2176"/>
      <c r="D74" s="2177"/>
      <c r="E74" s="2152">
        <f>SUM(E70:E73)</f>
        <v>0</v>
      </c>
      <c r="F74" s="2152">
        <f>SUM(F70:F73)</f>
        <v>1673</v>
      </c>
      <c r="G74" s="2152">
        <f>SUM(G70:G73)</f>
        <v>1379</v>
      </c>
      <c r="H74" s="2157">
        <f>G74/F74*100</f>
        <v>82.426778242677827</v>
      </c>
      <c r="I74" s="2165"/>
    </row>
    <row r="75" spans="1:9" ht="13.5" thickTop="1" x14ac:dyDescent="0.2">
      <c r="I75" s="2165"/>
    </row>
    <row r="76" spans="1:9" ht="15" x14ac:dyDescent="0.25">
      <c r="A76" s="2136" t="s">
        <v>1843</v>
      </c>
      <c r="D76" s="2130"/>
      <c r="E76" s="2131"/>
      <c r="H76" s="2165"/>
      <c r="I76" s="2165"/>
    </row>
    <row r="77" spans="1:9" ht="15.75" thickBot="1" x14ac:dyDescent="0.3">
      <c r="A77" s="2136" t="s">
        <v>1422</v>
      </c>
      <c r="D77" s="2130"/>
      <c r="E77" s="2131"/>
      <c r="H77" s="2240" t="s">
        <v>179</v>
      </c>
      <c r="I77" s="2165"/>
    </row>
    <row r="78" spans="1:9" ht="25.5" thickTop="1" thickBot="1" x14ac:dyDescent="0.25">
      <c r="A78" s="2138" t="s">
        <v>180</v>
      </c>
      <c r="B78" s="2139" t="s">
        <v>847</v>
      </c>
      <c r="C78" s="2139" t="s">
        <v>414</v>
      </c>
      <c r="D78" s="2140" t="s">
        <v>182</v>
      </c>
      <c r="E78" s="2171" t="s">
        <v>700</v>
      </c>
      <c r="F78" s="2171" t="s">
        <v>701</v>
      </c>
      <c r="G78" s="2172" t="s">
        <v>986</v>
      </c>
      <c r="H78" s="2173" t="s">
        <v>987</v>
      </c>
      <c r="I78" s="2165"/>
    </row>
    <row r="79" spans="1:9" ht="14.25" thickTop="1" thickBot="1" x14ac:dyDescent="0.25">
      <c r="A79" s="1854">
        <v>1</v>
      </c>
      <c r="B79" s="1853">
        <v>2</v>
      </c>
      <c r="C79" s="1853">
        <v>3</v>
      </c>
      <c r="D79" s="1853">
        <v>5</v>
      </c>
      <c r="E79" s="1852">
        <v>6</v>
      </c>
      <c r="F79" s="1852">
        <v>7</v>
      </c>
      <c r="G79" s="2223">
        <v>8</v>
      </c>
      <c r="H79" s="2146" t="s">
        <v>848</v>
      </c>
      <c r="I79" s="2165"/>
    </row>
    <row r="80" spans="1:9" ht="30.75" thickTop="1" x14ac:dyDescent="0.2">
      <c r="A80" s="2246">
        <v>3299</v>
      </c>
      <c r="B80" s="2277">
        <v>5336</v>
      </c>
      <c r="C80" s="2253">
        <v>32133006</v>
      </c>
      <c r="D80" s="2174" t="s">
        <v>1419</v>
      </c>
      <c r="E80" s="2170">
        <v>0</v>
      </c>
      <c r="F80" s="2170">
        <v>56</v>
      </c>
      <c r="G80" s="2236">
        <v>54</v>
      </c>
      <c r="H80" s="2153">
        <f>G80/F80*100</f>
        <v>96.428571428571431</v>
      </c>
      <c r="I80" s="2165"/>
    </row>
    <row r="81" spans="1:9" ht="30.75" thickBot="1" x14ac:dyDescent="0.25">
      <c r="A81" s="2246">
        <v>3299</v>
      </c>
      <c r="B81" s="2277">
        <v>5336</v>
      </c>
      <c r="C81" s="2253">
        <v>32533006</v>
      </c>
      <c r="D81" s="2174" t="s">
        <v>1419</v>
      </c>
      <c r="E81" s="2184">
        <v>0</v>
      </c>
      <c r="F81" s="2184">
        <v>321</v>
      </c>
      <c r="G81" s="2233">
        <v>306</v>
      </c>
      <c r="H81" s="2156">
        <f>G81/F81*100</f>
        <v>95.327102803738313</v>
      </c>
      <c r="I81" s="2165"/>
    </row>
    <row r="82" spans="1:9" ht="30.75" hidden="1" thickBot="1" x14ac:dyDescent="0.25">
      <c r="A82" s="2246">
        <v>3299</v>
      </c>
      <c r="B82" s="2253">
        <v>6351</v>
      </c>
      <c r="C82" s="2253">
        <v>32133006</v>
      </c>
      <c r="D82" s="2174" t="s">
        <v>1433</v>
      </c>
      <c r="E82" s="2184">
        <v>0</v>
      </c>
      <c r="F82" s="2184">
        <v>0</v>
      </c>
      <c r="G82" s="2233">
        <v>0</v>
      </c>
      <c r="H82" s="2156" t="e">
        <f>G82/F82*100</f>
        <v>#DIV/0!</v>
      </c>
      <c r="I82" s="2165"/>
    </row>
    <row r="83" spans="1:9" ht="30.75" hidden="1" thickBot="1" x14ac:dyDescent="0.25">
      <c r="A83" s="2246">
        <v>3299</v>
      </c>
      <c r="B83" s="2253">
        <v>6351</v>
      </c>
      <c r="C83" s="2253">
        <v>32533006</v>
      </c>
      <c r="D83" s="2174" t="s">
        <v>1433</v>
      </c>
      <c r="E83" s="2184">
        <v>0</v>
      </c>
      <c r="F83" s="2184">
        <v>0</v>
      </c>
      <c r="G83" s="2233">
        <v>0</v>
      </c>
      <c r="H83" s="2156" t="e">
        <f>G83/F83*100</f>
        <v>#DIV/0!</v>
      </c>
      <c r="I83" s="2165"/>
    </row>
    <row r="84" spans="1:9" ht="16.5" thickTop="1" thickBot="1" x14ac:dyDescent="0.3">
      <c r="A84" s="2175" t="s">
        <v>849</v>
      </c>
      <c r="B84" s="2176"/>
      <c r="C84" s="2176"/>
      <c r="D84" s="2177"/>
      <c r="E84" s="2152">
        <f>SUM(E80:E83)</f>
        <v>0</v>
      </c>
      <c r="F84" s="2152">
        <f>SUM(F80:F83)</f>
        <v>377</v>
      </c>
      <c r="G84" s="2152">
        <f>SUM(G80:G83)</f>
        <v>360</v>
      </c>
      <c r="H84" s="2157">
        <f>G84/F84*100</f>
        <v>95.490716180371351</v>
      </c>
      <c r="I84" s="2165"/>
    </row>
    <row r="85" spans="1:9" ht="13.5" thickTop="1" x14ac:dyDescent="0.2">
      <c r="I85" s="2165"/>
    </row>
    <row r="86" spans="1:9" hidden="1" x14ac:dyDescent="0.2">
      <c r="I86" s="2165"/>
    </row>
    <row r="87" spans="1:9" ht="15" hidden="1" x14ac:dyDescent="0.25">
      <c r="A87" s="2136" t="s">
        <v>1425</v>
      </c>
      <c r="D87" s="2130"/>
      <c r="E87" s="2131"/>
      <c r="H87" s="2165"/>
      <c r="I87" s="2165"/>
    </row>
    <row r="88" spans="1:9" ht="15" hidden="1" x14ac:dyDescent="0.25">
      <c r="A88" s="2136" t="s">
        <v>1426</v>
      </c>
      <c r="D88" s="2130"/>
      <c r="E88" s="2131"/>
      <c r="H88" s="2165" t="s">
        <v>179</v>
      </c>
      <c r="I88" s="2165"/>
    </row>
    <row r="89" spans="1:9" ht="25.5" hidden="1" thickTop="1" thickBot="1" x14ac:dyDescent="0.25">
      <c r="A89" s="2138" t="s">
        <v>180</v>
      </c>
      <c r="B89" s="2139" t="s">
        <v>847</v>
      </c>
      <c r="C89" s="2139" t="s">
        <v>414</v>
      </c>
      <c r="D89" s="2140" t="s">
        <v>182</v>
      </c>
      <c r="E89" s="2171" t="s">
        <v>700</v>
      </c>
      <c r="F89" s="2171" t="s">
        <v>701</v>
      </c>
      <c r="G89" s="2172" t="s">
        <v>986</v>
      </c>
      <c r="H89" s="2173" t="s">
        <v>987</v>
      </c>
      <c r="I89" s="2165"/>
    </row>
    <row r="90" spans="1:9" ht="14.25" hidden="1" thickTop="1" thickBot="1" x14ac:dyDescent="0.25">
      <c r="A90" s="1854">
        <v>1</v>
      </c>
      <c r="B90" s="1853">
        <v>2</v>
      </c>
      <c r="C90" s="1853">
        <v>3</v>
      </c>
      <c r="D90" s="1853">
        <v>5</v>
      </c>
      <c r="E90" s="1852">
        <v>6</v>
      </c>
      <c r="F90" s="1852">
        <v>7</v>
      </c>
      <c r="G90" s="2223">
        <v>8</v>
      </c>
      <c r="H90" s="2146" t="s">
        <v>848</v>
      </c>
      <c r="I90" s="2165"/>
    </row>
    <row r="91" spans="1:9" ht="30.75" hidden="1" thickTop="1" x14ac:dyDescent="0.2">
      <c r="A91" s="2246">
        <v>3299</v>
      </c>
      <c r="B91" s="2277">
        <v>5336</v>
      </c>
      <c r="C91" s="2253">
        <v>32133006</v>
      </c>
      <c r="D91" s="2273" t="s">
        <v>1570</v>
      </c>
      <c r="E91" s="2170">
        <v>0</v>
      </c>
      <c r="F91" s="2170">
        <v>0</v>
      </c>
      <c r="G91" s="2236">
        <v>0</v>
      </c>
      <c r="H91" s="2153" t="e">
        <f>G91/F91*100</f>
        <v>#DIV/0!</v>
      </c>
      <c r="I91" s="2165"/>
    </row>
    <row r="92" spans="1:9" ht="30" hidden="1" x14ac:dyDescent="0.2">
      <c r="A92" s="2246">
        <v>3299</v>
      </c>
      <c r="B92" s="2277">
        <v>5336</v>
      </c>
      <c r="C92" s="2253">
        <v>32533006</v>
      </c>
      <c r="D92" s="2273" t="s">
        <v>1570</v>
      </c>
      <c r="E92" s="2184">
        <v>0</v>
      </c>
      <c r="F92" s="2184">
        <v>0</v>
      </c>
      <c r="G92" s="2233">
        <v>0</v>
      </c>
      <c r="H92" s="2156" t="e">
        <f>G92/F92*100</f>
        <v>#DIV/0!</v>
      </c>
      <c r="I92" s="2165"/>
    </row>
    <row r="93" spans="1:9" ht="30" hidden="1" x14ac:dyDescent="0.2">
      <c r="A93" s="2246">
        <v>3299</v>
      </c>
      <c r="B93" s="2253">
        <v>6351</v>
      </c>
      <c r="C93" s="2253">
        <v>32133006</v>
      </c>
      <c r="D93" s="2174" t="s">
        <v>1433</v>
      </c>
      <c r="E93" s="2184">
        <v>0</v>
      </c>
      <c r="F93" s="2184">
        <v>0</v>
      </c>
      <c r="G93" s="2233">
        <v>0</v>
      </c>
      <c r="H93" s="2156" t="e">
        <f>G93/F93*100</f>
        <v>#DIV/0!</v>
      </c>
      <c r="I93" s="2165"/>
    </row>
    <row r="94" spans="1:9" ht="30" hidden="1" x14ac:dyDescent="0.2">
      <c r="A94" s="2246">
        <v>3299</v>
      </c>
      <c r="B94" s="2253">
        <v>6351</v>
      </c>
      <c r="C94" s="2253">
        <v>32533006</v>
      </c>
      <c r="D94" s="2174" t="s">
        <v>1433</v>
      </c>
      <c r="E94" s="2184">
        <v>0</v>
      </c>
      <c r="F94" s="2184">
        <v>0</v>
      </c>
      <c r="G94" s="2233">
        <v>0</v>
      </c>
      <c r="H94" s="2156" t="e">
        <f>G94/F94*100</f>
        <v>#DIV/0!</v>
      </c>
      <c r="I94" s="2165"/>
    </row>
    <row r="95" spans="1:9" ht="16.5" hidden="1" thickTop="1" thickBot="1" x14ac:dyDescent="0.3">
      <c r="A95" s="2175" t="s">
        <v>849</v>
      </c>
      <c r="B95" s="2176"/>
      <c r="C95" s="2176"/>
      <c r="D95" s="2177"/>
      <c r="E95" s="2152">
        <f>SUM(E91:E94)</f>
        <v>0</v>
      </c>
      <c r="F95" s="2152">
        <f>SUM(F91:F94)</f>
        <v>0</v>
      </c>
      <c r="G95" s="2152">
        <f>SUM(G91:G94)</f>
        <v>0</v>
      </c>
      <c r="H95" s="2157" t="e">
        <f>G95/F95*100</f>
        <v>#DIV/0!</v>
      </c>
      <c r="I95" s="2165"/>
    </row>
    <row r="96" spans="1:9" hidden="1" x14ac:dyDescent="0.2">
      <c r="I96" s="2165"/>
    </row>
    <row r="97" spans="1:9" ht="15" x14ac:dyDescent="0.25">
      <c r="A97" s="2136" t="s">
        <v>1130</v>
      </c>
      <c r="D97" s="2130"/>
      <c r="E97" s="2131"/>
      <c r="H97" s="2165"/>
      <c r="I97" s="2165"/>
    </row>
    <row r="98" spans="1:9" ht="15.75" thickBot="1" x14ac:dyDescent="0.3">
      <c r="A98" s="2136" t="s">
        <v>1428</v>
      </c>
      <c r="D98" s="2130"/>
      <c r="E98" s="2131"/>
      <c r="H98" s="2240" t="s">
        <v>179</v>
      </c>
      <c r="I98" s="2165"/>
    </row>
    <row r="99" spans="1:9" ht="25.5" thickTop="1" thickBot="1" x14ac:dyDescent="0.25">
      <c r="A99" s="2138" t="s">
        <v>180</v>
      </c>
      <c r="B99" s="2139" t="s">
        <v>847</v>
      </c>
      <c r="C99" s="2139" t="s">
        <v>414</v>
      </c>
      <c r="D99" s="2140" t="s">
        <v>182</v>
      </c>
      <c r="E99" s="2171" t="s">
        <v>700</v>
      </c>
      <c r="F99" s="2171" t="s">
        <v>701</v>
      </c>
      <c r="G99" s="2172" t="s">
        <v>986</v>
      </c>
      <c r="H99" s="2173" t="s">
        <v>987</v>
      </c>
      <c r="I99" s="2165"/>
    </row>
    <row r="100" spans="1:9" ht="14.25" thickTop="1" thickBot="1" x14ac:dyDescent="0.25">
      <c r="A100" s="1854">
        <v>1</v>
      </c>
      <c r="B100" s="1853">
        <v>2</v>
      </c>
      <c r="C100" s="1853">
        <v>3</v>
      </c>
      <c r="D100" s="1853">
        <v>5</v>
      </c>
      <c r="E100" s="1852">
        <v>6</v>
      </c>
      <c r="F100" s="1852">
        <v>7</v>
      </c>
      <c r="G100" s="2223">
        <v>8</v>
      </c>
      <c r="H100" s="2146" t="s">
        <v>848</v>
      </c>
      <c r="I100" s="2165"/>
    </row>
    <row r="101" spans="1:9" ht="30.75" thickTop="1" x14ac:dyDescent="0.2">
      <c r="A101" s="2246">
        <v>3299</v>
      </c>
      <c r="B101" s="2277">
        <v>5336</v>
      </c>
      <c r="C101" s="2253">
        <v>32133006</v>
      </c>
      <c r="D101" s="2174" t="s">
        <v>1419</v>
      </c>
      <c r="E101" s="2170">
        <v>0</v>
      </c>
      <c r="F101" s="2170">
        <v>42</v>
      </c>
      <c r="G101" s="2236">
        <v>20</v>
      </c>
      <c r="H101" s="2153">
        <f>G101/F101*100</f>
        <v>47.619047619047613</v>
      </c>
      <c r="I101" s="2165"/>
    </row>
    <row r="102" spans="1:9" ht="30.75" thickBot="1" x14ac:dyDescent="0.25">
      <c r="A102" s="2246">
        <v>3299</v>
      </c>
      <c r="B102" s="2277">
        <v>5336</v>
      </c>
      <c r="C102" s="2253">
        <v>32533006</v>
      </c>
      <c r="D102" s="2174" t="s">
        <v>1419</v>
      </c>
      <c r="E102" s="2184">
        <v>0</v>
      </c>
      <c r="F102" s="2184">
        <v>236</v>
      </c>
      <c r="G102" s="2233">
        <v>115</v>
      </c>
      <c r="H102" s="2156">
        <f>G102/F102*100</f>
        <v>48.728813559322035</v>
      </c>
      <c r="I102" s="2165"/>
    </row>
    <row r="103" spans="1:9" ht="30.75" hidden="1" thickBot="1" x14ac:dyDescent="0.25">
      <c r="A103" s="2246">
        <v>3299</v>
      </c>
      <c r="B103" s="2253">
        <v>6351</v>
      </c>
      <c r="C103" s="2253">
        <v>32133006</v>
      </c>
      <c r="D103" s="2174" t="s">
        <v>1433</v>
      </c>
      <c r="E103" s="2184">
        <v>0</v>
      </c>
      <c r="F103" s="2184">
        <v>0</v>
      </c>
      <c r="G103" s="2233">
        <v>0</v>
      </c>
      <c r="H103" s="2156" t="e">
        <f>G103/F103*100</f>
        <v>#DIV/0!</v>
      </c>
      <c r="I103" s="2165"/>
    </row>
    <row r="104" spans="1:9" ht="30.75" hidden="1" thickBot="1" x14ac:dyDescent="0.25">
      <c r="A104" s="2246">
        <v>3299</v>
      </c>
      <c r="B104" s="2253">
        <v>6351</v>
      </c>
      <c r="C104" s="2253">
        <v>32533006</v>
      </c>
      <c r="D104" s="2174" t="s">
        <v>1433</v>
      </c>
      <c r="E104" s="2184">
        <v>0</v>
      </c>
      <c r="F104" s="2184">
        <v>0</v>
      </c>
      <c r="G104" s="2233">
        <v>0</v>
      </c>
      <c r="H104" s="2156" t="e">
        <f>G104/F104*100</f>
        <v>#DIV/0!</v>
      </c>
      <c r="I104" s="2165"/>
    </row>
    <row r="105" spans="1:9" ht="16.5" thickTop="1" thickBot="1" x14ac:dyDescent="0.3">
      <c r="A105" s="2175" t="s">
        <v>849</v>
      </c>
      <c r="B105" s="2176"/>
      <c r="C105" s="2176"/>
      <c r="D105" s="2177"/>
      <c r="E105" s="2152">
        <f>SUM(E101:E104)</f>
        <v>0</v>
      </c>
      <c r="F105" s="2152">
        <f>SUM(F101:F104)</f>
        <v>278</v>
      </c>
      <c r="G105" s="2152">
        <f>SUM(G101:G104)</f>
        <v>135</v>
      </c>
      <c r="H105" s="2157">
        <f>G105/F105*100</f>
        <v>48.561151079136685</v>
      </c>
      <c r="I105" s="2165"/>
    </row>
    <row r="106" spans="1:9" ht="13.5" thickTop="1" x14ac:dyDescent="0.2">
      <c r="I106" s="2165"/>
    </row>
    <row r="107" spans="1:9" ht="15" x14ac:dyDescent="0.25">
      <c r="A107" s="2278" t="s">
        <v>1579</v>
      </c>
      <c r="B107" s="2278"/>
      <c r="C107" s="2278"/>
      <c r="D107" s="2278"/>
      <c r="E107" s="2281"/>
      <c r="F107" s="2279"/>
      <c r="G107" s="2279"/>
      <c r="H107" s="2279"/>
      <c r="I107" s="2279"/>
    </row>
    <row r="108" spans="1:9" ht="15.75" thickBot="1" x14ac:dyDescent="0.3">
      <c r="A108" s="2278" t="s">
        <v>1578</v>
      </c>
      <c r="B108" s="2278"/>
      <c r="C108" s="2280"/>
      <c r="D108" s="2280"/>
      <c r="E108" s="2281"/>
      <c r="F108" s="2279"/>
      <c r="G108" s="2279"/>
      <c r="H108" s="2282" t="s">
        <v>179</v>
      </c>
      <c r="I108" s="2279"/>
    </row>
    <row r="109" spans="1:9" ht="25.5" thickTop="1" thickBot="1" x14ac:dyDescent="0.25">
      <c r="A109" s="2283" t="s">
        <v>180</v>
      </c>
      <c r="B109" s="2284" t="s">
        <v>847</v>
      </c>
      <c r="C109" s="2284" t="s">
        <v>414</v>
      </c>
      <c r="D109" s="2285" t="s">
        <v>182</v>
      </c>
      <c r="E109" s="2286" t="s">
        <v>700</v>
      </c>
      <c r="F109" s="2286" t="s">
        <v>701</v>
      </c>
      <c r="G109" s="2287" t="s">
        <v>986</v>
      </c>
      <c r="H109" s="2288" t="s">
        <v>987</v>
      </c>
      <c r="I109" s="2279"/>
    </row>
    <row r="110" spans="1:9" ht="14.25" thickTop="1" thickBot="1" x14ac:dyDescent="0.25">
      <c r="A110" s="2289">
        <v>1</v>
      </c>
      <c r="B110" s="2290">
        <v>2</v>
      </c>
      <c r="C110" s="2290">
        <v>3</v>
      </c>
      <c r="D110" s="2290">
        <v>5</v>
      </c>
      <c r="E110" s="2291">
        <v>6</v>
      </c>
      <c r="F110" s="2291">
        <v>7</v>
      </c>
      <c r="G110" s="2292">
        <v>8</v>
      </c>
      <c r="H110" s="2293" t="s">
        <v>848</v>
      </c>
      <c r="I110" s="2279"/>
    </row>
    <row r="111" spans="1:9" ht="30.75" thickTop="1" x14ac:dyDescent="0.2">
      <c r="A111" s="2294">
        <v>3299</v>
      </c>
      <c r="B111" s="2295">
        <v>5336</v>
      </c>
      <c r="C111" s="2295">
        <v>32133006</v>
      </c>
      <c r="D111" s="2174" t="s">
        <v>1419</v>
      </c>
      <c r="E111" s="2296">
        <v>0</v>
      </c>
      <c r="F111" s="2296">
        <v>174</v>
      </c>
      <c r="G111" s="2297">
        <v>141</v>
      </c>
      <c r="H111" s="2298">
        <v>100</v>
      </c>
      <c r="I111" s="2279"/>
    </row>
    <row r="112" spans="1:9" ht="30" x14ac:dyDescent="0.2">
      <c r="A112" s="2294">
        <v>3299</v>
      </c>
      <c r="B112" s="2277">
        <v>5336</v>
      </c>
      <c r="C112" s="2295">
        <v>32533006</v>
      </c>
      <c r="D112" s="2174" t="s">
        <v>1419</v>
      </c>
      <c r="E112" s="2296">
        <v>0</v>
      </c>
      <c r="F112" s="2296">
        <v>984</v>
      </c>
      <c r="G112" s="2297">
        <v>797</v>
      </c>
      <c r="H112" s="2298">
        <v>99.8</v>
      </c>
      <c r="I112" s="2279"/>
    </row>
    <row r="113" spans="1:9" ht="30" x14ac:dyDescent="0.2">
      <c r="A113" s="2294">
        <v>3299</v>
      </c>
      <c r="B113" s="2277">
        <v>6351</v>
      </c>
      <c r="C113" s="2310">
        <v>32133006</v>
      </c>
      <c r="D113" s="2273" t="s">
        <v>1433</v>
      </c>
      <c r="E113" s="2296">
        <v>0</v>
      </c>
      <c r="F113" s="2296">
        <v>9</v>
      </c>
      <c r="G113" s="2311">
        <v>8</v>
      </c>
      <c r="H113" s="2298">
        <v>99.8</v>
      </c>
      <c r="I113" s="2279"/>
    </row>
    <row r="114" spans="1:9" ht="30.75" thickBot="1" x14ac:dyDescent="0.25">
      <c r="A114" s="2312">
        <v>3299</v>
      </c>
      <c r="B114" s="2313">
        <v>6351</v>
      </c>
      <c r="C114" s="2310">
        <v>32533006</v>
      </c>
      <c r="D114" s="2273" t="s">
        <v>1433</v>
      </c>
      <c r="E114" s="2296">
        <v>0</v>
      </c>
      <c r="F114" s="2296">
        <v>49</v>
      </c>
      <c r="G114" s="2314">
        <v>48</v>
      </c>
      <c r="H114" s="2298">
        <v>99.8</v>
      </c>
      <c r="I114" s="2279"/>
    </row>
    <row r="115" spans="1:9" ht="16.5" thickTop="1" thickBot="1" x14ac:dyDescent="0.3">
      <c r="A115" s="2299" t="s">
        <v>849</v>
      </c>
      <c r="B115" s="2300"/>
      <c r="C115" s="2300"/>
      <c r="D115" s="2301"/>
      <c r="E115" s="2302">
        <v>0</v>
      </c>
      <c r="F115" s="2302">
        <f>SUM(F111:F114)</f>
        <v>1216</v>
      </c>
      <c r="G115" s="2302">
        <f>SUM(G111:G114)</f>
        <v>994</v>
      </c>
      <c r="H115" s="2303">
        <v>99.9</v>
      </c>
      <c r="I115" s="2279"/>
    </row>
    <row r="116" spans="1:9" ht="13.5" thickTop="1" x14ac:dyDescent="0.2">
      <c r="I116" s="2165"/>
    </row>
    <row r="117" spans="1:9" ht="15" x14ac:dyDescent="0.25">
      <c r="A117" s="2136" t="s">
        <v>1934</v>
      </c>
      <c r="D117" s="2130"/>
      <c r="E117" s="2131"/>
      <c r="H117" s="2165"/>
      <c r="I117" s="2165"/>
    </row>
    <row r="118" spans="1:9" ht="15.75" thickBot="1" x14ac:dyDescent="0.3">
      <c r="A118" s="2136" t="s">
        <v>208</v>
      </c>
      <c r="D118" s="2130"/>
      <c r="E118" s="2131"/>
      <c r="H118" s="2240" t="s">
        <v>179</v>
      </c>
      <c r="I118" s="2165"/>
    </row>
    <row r="119" spans="1:9" ht="25.5" thickTop="1" thickBot="1" x14ac:dyDescent="0.25">
      <c r="A119" s="2138" t="s">
        <v>180</v>
      </c>
      <c r="B119" s="2139" t="s">
        <v>847</v>
      </c>
      <c r="C119" s="2139" t="s">
        <v>414</v>
      </c>
      <c r="D119" s="2140" t="s">
        <v>182</v>
      </c>
      <c r="E119" s="2171" t="s">
        <v>700</v>
      </c>
      <c r="F119" s="2171" t="s">
        <v>701</v>
      </c>
      <c r="G119" s="2172" t="s">
        <v>986</v>
      </c>
      <c r="H119" s="2173" t="s">
        <v>987</v>
      </c>
      <c r="I119" s="2165"/>
    </row>
    <row r="120" spans="1:9" ht="14.25" thickTop="1" thickBot="1" x14ac:dyDescent="0.25">
      <c r="A120" s="1854">
        <v>1</v>
      </c>
      <c r="B120" s="1853">
        <v>2</v>
      </c>
      <c r="C120" s="1853">
        <v>3</v>
      </c>
      <c r="D120" s="1853">
        <v>5</v>
      </c>
      <c r="E120" s="1852">
        <v>6</v>
      </c>
      <c r="F120" s="1852">
        <v>7</v>
      </c>
      <c r="G120" s="2223">
        <v>8</v>
      </c>
      <c r="H120" s="2146" t="s">
        <v>848</v>
      </c>
      <c r="I120" s="2165"/>
    </row>
    <row r="121" spans="1:9" ht="30.75" thickTop="1" x14ac:dyDescent="0.2">
      <c r="A121" s="2246">
        <v>3299</v>
      </c>
      <c r="B121" s="2277">
        <v>5336</v>
      </c>
      <c r="C121" s="2253">
        <v>32133006</v>
      </c>
      <c r="D121" s="2174" t="s">
        <v>1419</v>
      </c>
      <c r="E121" s="2170">
        <v>0</v>
      </c>
      <c r="F121" s="2170">
        <v>45</v>
      </c>
      <c r="G121" s="2236">
        <v>30</v>
      </c>
      <c r="H121" s="2153">
        <f>G121/F121*100</f>
        <v>66.666666666666657</v>
      </c>
      <c r="I121" s="2165"/>
    </row>
    <row r="122" spans="1:9" ht="30.75" thickBot="1" x14ac:dyDescent="0.25">
      <c r="A122" s="2246">
        <v>3299</v>
      </c>
      <c r="B122" s="2277">
        <v>5336</v>
      </c>
      <c r="C122" s="2253">
        <v>32533006</v>
      </c>
      <c r="D122" s="2174" t="s">
        <v>1419</v>
      </c>
      <c r="E122" s="2184">
        <v>0</v>
      </c>
      <c r="F122" s="2184">
        <v>254</v>
      </c>
      <c r="G122" s="2233">
        <v>170</v>
      </c>
      <c r="H122" s="2156">
        <f>G122/F122*100</f>
        <v>66.929133858267718</v>
      </c>
      <c r="I122" s="2165"/>
    </row>
    <row r="123" spans="1:9" ht="30.75" hidden="1" thickBot="1" x14ac:dyDescent="0.25">
      <c r="A123" s="2246">
        <v>3299</v>
      </c>
      <c r="B123" s="2253">
        <v>6351</v>
      </c>
      <c r="C123" s="2253">
        <v>32133006</v>
      </c>
      <c r="D123" s="2174" t="s">
        <v>1433</v>
      </c>
      <c r="E123" s="2184">
        <v>0</v>
      </c>
      <c r="F123" s="2184">
        <v>0</v>
      </c>
      <c r="G123" s="2233">
        <v>0</v>
      </c>
      <c r="H123" s="2156" t="e">
        <f>G123/F123*100</f>
        <v>#DIV/0!</v>
      </c>
      <c r="I123" s="2165"/>
    </row>
    <row r="124" spans="1:9" ht="30.75" hidden="1" thickBot="1" x14ac:dyDescent="0.25">
      <c r="A124" s="2246">
        <v>3299</v>
      </c>
      <c r="B124" s="2253">
        <v>6351</v>
      </c>
      <c r="C124" s="2253">
        <v>32533006</v>
      </c>
      <c r="D124" s="2174" t="s">
        <v>1433</v>
      </c>
      <c r="E124" s="2184">
        <v>0</v>
      </c>
      <c r="F124" s="2184">
        <v>0</v>
      </c>
      <c r="G124" s="2233">
        <v>0</v>
      </c>
      <c r="H124" s="2156" t="e">
        <f>G124/F124*100</f>
        <v>#DIV/0!</v>
      </c>
      <c r="I124" s="2165"/>
    </row>
    <row r="125" spans="1:9" ht="16.5" thickTop="1" thickBot="1" x14ac:dyDescent="0.3">
      <c r="A125" s="2175" t="s">
        <v>849</v>
      </c>
      <c r="B125" s="2176"/>
      <c r="C125" s="2176"/>
      <c r="D125" s="2177"/>
      <c r="E125" s="2152">
        <f>SUM(E121:E124)</f>
        <v>0</v>
      </c>
      <c r="F125" s="2152">
        <f>SUM(F121:F124)</f>
        <v>299</v>
      </c>
      <c r="G125" s="2152">
        <f>SUM(G121:G124)</f>
        <v>200</v>
      </c>
      <c r="H125" s="2157">
        <f>G125/F125*100</f>
        <v>66.889632107023417</v>
      </c>
      <c r="I125" s="2165"/>
    </row>
    <row r="126" spans="1:9" ht="13.5" thickTop="1" x14ac:dyDescent="0.2">
      <c r="I126" s="2165"/>
    </row>
    <row r="127" spans="1:9" ht="15" hidden="1" x14ac:dyDescent="0.25">
      <c r="A127" s="2136" t="s">
        <v>209</v>
      </c>
      <c r="D127" s="2130"/>
      <c r="E127" s="2131"/>
      <c r="H127" s="2165"/>
      <c r="I127" s="2165"/>
    </row>
    <row r="128" spans="1:9" ht="15" hidden="1" x14ac:dyDescent="0.25">
      <c r="A128" s="2136" t="s">
        <v>210</v>
      </c>
      <c r="D128" s="2130"/>
      <c r="E128" s="2131"/>
      <c r="H128" s="2165" t="s">
        <v>179</v>
      </c>
      <c r="I128" s="2165"/>
    </row>
    <row r="129" spans="1:9" ht="25.5" hidden="1" thickTop="1" thickBot="1" x14ac:dyDescent="0.25">
      <c r="A129" s="2138" t="s">
        <v>180</v>
      </c>
      <c r="B129" s="2139" t="s">
        <v>847</v>
      </c>
      <c r="C129" s="2139" t="s">
        <v>414</v>
      </c>
      <c r="D129" s="2140" t="s">
        <v>182</v>
      </c>
      <c r="E129" s="2171" t="s">
        <v>700</v>
      </c>
      <c r="F129" s="2171" t="s">
        <v>701</v>
      </c>
      <c r="G129" s="2172" t="s">
        <v>986</v>
      </c>
      <c r="H129" s="2173" t="s">
        <v>987</v>
      </c>
      <c r="I129" s="2165"/>
    </row>
    <row r="130" spans="1:9" ht="14.25" hidden="1" thickTop="1" thickBot="1" x14ac:dyDescent="0.25">
      <c r="A130" s="1854">
        <v>1</v>
      </c>
      <c r="B130" s="1853">
        <v>2</v>
      </c>
      <c r="C130" s="1853">
        <v>3</v>
      </c>
      <c r="D130" s="1853">
        <v>5</v>
      </c>
      <c r="E130" s="1852">
        <v>6</v>
      </c>
      <c r="F130" s="1852">
        <v>7</v>
      </c>
      <c r="G130" s="2223">
        <v>8</v>
      </c>
      <c r="H130" s="2146" t="s">
        <v>848</v>
      </c>
      <c r="I130" s="2165"/>
    </row>
    <row r="131" spans="1:9" ht="30.75" hidden="1" thickTop="1" x14ac:dyDescent="0.2">
      <c r="A131" s="2246">
        <v>3299</v>
      </c>
      <c r="B131" s="2277">
        <v>5336</v>
      </c>
      <c r="C131" s="2253">
        <v>32133006</v>
      </c>
      <c r="D131" s="2273" t="s">
        <v>1570</v>
      </c>
      <c r="E131" s="2170">
        <v>0</v>
      </c>
      <c r="F131" s="2170">
        <v>0</v>
      </c>
      <c r="G131" s="2236">
        <v>0</v>
      </c>
      <c r="H131" s="2153" t="e">
        <f>G131/F131*100</f>
        <v>#DIV/0!</v>
      </c>
      <c r="I131" s="2165"/>
    </row>
    <row r="132" spans="1:9" ht="30" hidden="1" x14ac:dyDescent="0.2">
      <c r="A132" s="2246">
        <v>3299</v>
      </c>
      <c r="B132" s="2277">
        <v>5336</v>
      </c>
      <c r="C132" s="2253">
        <v>32533006</v>
      </c>
      <c r="D132" s="2273" t="s">
        <v>1570</v>
      </c>
      <c r="E132" s="2184">
        <v>0</v>
      </c>
      <c r="F132" s="2184">
        <v>0</v>
      </c>
      <c r="G132" s="2233">
        <v>0</v>
      </c>
      <c r="H132" s="2156" t="e">
        <f>G132/F132*100</f>
        <v>#DIV/0!</v>
      </c>
      <c r="I132" s="2165"/>
    </row>
    <row r="133" spans="1:9" ht="30" hidden="1" x14ac:dyDescent="0.2">
      <c r="A133" s="2246">
        <v>3299</v>
      </c>
      <c r="B133" s="2253">
        <v>6351</v>
      </c>
      <c r="C133" s="2253">
        <v>32133006</v>
      </c>
      <c r="D133" s="2174" t="s">
        <v>1433</v>
      </c>
      <c r="E133" s="2184">
        <v>0</v>
      </c>
      <c r="F133" s="2184">
        <v>0</v>
      </c>
      <c r="G133" s="2233">
        <v>0</v>
      </c>
      <c r="H133" s="2156" t="e">
        <f>G133/F133*100</f>
        <v>#DIV/0!</v>
      </c>
      <c r="I133" s="2165"/>
    </row>
    <row r="134" spans="1:9" ht="30" hidden="1" x14ac:dyDescent="0.2">
      <c r="A134" s="2246">
        <v>3299</v>
      </c>
      <c r="B134" s="2253">
        <v>6351</v>
      </c>
      <c r="C134" s="2253">
        <v>32533006</v>
      </c>
      <c r="D134" s="2174" t="s">
        <v>1433</v>
      </c>
      <c r="E134" s="2184">
        <v>0</v>
      </c>
      <c r="F134" s="2184">
        <v>0</v>
      </c>
      <c r="G134" s="2233">
        <v>0</v>
      </c>
      <c r="H134" s="2156" t="e">
        <f>G134/F134*100</f>
        <v>#DIV/0!</v>
      </c>
      <c r="I134" s="2165"/>
    </row>
    <row r="135" spans="1:9" ht="16.5" hidden="1" thickTop="1" thickBot="1" x14ac:dyDescent="0.3">
      <c r="A135" s="2175" t="s">
        <v>849</v>
      </c>
      <c r="B135" s="2176"/>
      <c r="C135" s="2176"/>
      <c r="D135" s="2177"/>
      <c r="E135" s="2152">
        <f>SUM(E131:E134)</f>
        <v>0</v>
      </c>
      <c r="F135" s="2152">
        <f>SUM(F131:F134)</f>
        <v>0</v>
      </c>
      <c r="G135" s="2152">
        <f>SUM(G131:G134)</f>
        <v>0</v>
      </c>
      <c r="H135" s="2157" t="e">
        <f>G135/F135*100</f>
        <v>#DIV/0!</v>
      </c>
      <c r="I135" s="2165"/>
    </row>
    <row r="136" spans="1:9" hidden="1" x14ac:dyDescent="0.2">
      <c r="I136" s="2165"/>
    </row>
    <row r="137" spans="1:9" ht="15" hidden="1" x14ac:dyDescent="0.25">
      <c r="A137" s="2136" t="s">
        <v>211</v>
      </c>
      <c r="D137" s="2130"/>
      <c r="E137" s="2131"/>
      <c r="H137" s="2165"/>
      <c r="I137" s="2165"/>
    </row>
    <row r="138" spans="1:9" ht="15" hidden="1" x14ac:dyDescent="0.25">
      <c r="A138" s="2136" t="s">
        <v>212</v>
      </c>
      <c r="D138" s="2130"/>
      <c r="E138" s="2131"/>
      <c r="H138" s="2165" t="s">
        <v>179</v>
      </c>
      <c r="I138" s="2165"/>
    </row>
    <row r="139" spans="1:9" ht="25.5" hidden="1" thickTop="1" thickBot="1" x14ac:dyDescent="0.25">
      <c r="A139" s="2138" t="s">
        <v>180</v>
      </c>
      <c r="B139" s="2139" t="s">
        <v>847</v>
      </c>
      <c r="C139" s="2139" t="s">
        <v>414</v>
      </c>
      <c r="D139" s="2140" t="s">
        <v>182</v>
      </c>
      <c r="E139" s="2171" t="s">
        <v>700</v>
      </c>
      <c r="F139" s="2171" t="s">
        <v>701</v>
      </c>
      <c r="G139" s="2172" t="s">
        <v>986</v>
      </c>
      <c r="H139" s="2173" t="s">
        <v>987</v>
      </c>
      <c r="I139" s="2165"/>
    </row>
    <row r="140" spans="1:9" ht="14.25" hidden="1" thickTop="1" thickBot="1" x14ac:dyDescent="0.25">
      <c r="A140" s="1854">
        <v>1</v>
      </c>
      <c r="B140" s="1853">
        <v>2</v>
      </c>
      <c r="C140" s="1853">
        <v>3</v>
      </c>
      <c r="D140" s="1853">
        <v>5</v>
      </c>
      <c r="E140" s="1852">
        <v>6</v>
      </c>
      <c r="F140" s="1852">
        <v>7</v>
      </c>
      <c r="G140" s="2223">
        <v>8</v>
      </c>
      <c r="H140" s="2146" t="s">
        <v>848</v>
      </c>
      <c r="I140" s="2165"/>
    </row>
    <row r="141" spans="1:9" ht="30.75" hidden="1" thickTop="1" x14ac:dyDescent="0.2">
      <c r="A141" s="2246">
        <v>3299</v>
      </c>
      <c r="B141" s="2277">
        <v>5336</v>
      </c>
      <c r="C141" s="2253">
        <v>32133006</v>
      </c>
      <c r="D141" s="2273" t="s">
        <v>1570</v>
      </c>
      <c r="E141" s="2170">
        <v>0</v>
      </c>
      <c r="F141" s="2170">
        <v>0</v>
      </c>
      <c r="G141" s="2236">
        <v>0</v>
      </c>
      <c r="H141" s="2153" t="e">
        <f>G141/F141*100</f>
        <v>#DIV/0!</v>
      </c>
      <c r="I141" s="2165"/>
    </row>
    <row r="142" spans="1:9" ht="30" hidden="1" x14ac:dyDescent="0.2">
      <c r="A142" s="2246">
        <v>3299</v>
      </c>
      <c r="B142" s="2277">
        <v>5336</v>
      </c>
      <c r="C142" s="2253">
        <v>32533006</v>
      </c>
      <c r="D142" s="2273" t="s">
        <v>1570</v>
      </c>
      <c r="E142" s="2184">
        <v>0</v>
      </c>
      <c r="F142" s="2184">
        <v>0</v>
      </c>
      <c r="G142" s="2233">
        <v>0</v>
      </c>
      <c r="H142" s="2156" t="e">
        <f>G142/F142*100</f>
        <v>#DIV/0!</v>
      </c>
      <c r="I142" s="2165"/>
    </row>
    <row r="143" spans="1:9" ht="30" hidden="1" x14ac:dyDescent="0.2">
      <c r="A143" s="2246">
        <v>3299</v>
      </c>
      <c r="B143" s="2253">
        <v>6351</v>
      </c>
      <c r="C143" s="2253">
        <v>32133006</v>
      </c>
      <c r="D143" s="2174" t="s">
        <v>1433</v>
      </c>
      <c r="E143" s="2184">
        <v>0</v>
      </c>
      <c r="F143" s="2184">
        <v>0</v>
      </c>
      <c r="G143" s="2233">
        <v>0</v>
      </c>
      <c r="H143" s="2156" t="e">
        <f>G143/F143*100</f>
        <v>#DIV/0!</v>
      </c>
      <c r="I143" s="2165"/>
    </row>
    <row r="144" spans="1:9" ht="30" hidden="1" x14ac:dyDescent="0.2">
      <c r="A144" s="2246">
        <v>3299</v>
      </c>
      <c r="B144" s="2253">
        <v>6351</v>
      </c>
      <c r="C144" s="2253">
        <v>32533006</v>
      </c>
      <c r="D144" s="2174" t="s">
        <v>1433</v>
      </c>
      <c r="E144" s="2184">
        <v>0</v>
      </c>
      <c r="F144" s="2184">
        <v>0</v>
      </c>
      <c r="G144" s="2233">
        <v>0</v>
      </c>
      <c r="H144" s="2156" t="e">
        <f>G144/F144*100</f>
        <v>#DIV/0!</v>
      </c>
      <c r="I144" s="2165"/>
    </row>
    <row r="145" spans="1:9" ht="16.5" hidden="1" thickTop="1" thickBot="1" x14ac:dyDescent="0.3">
      <c r="A145" s="2175" t="s">
        <v>849</v>
      </c>
      <c r="B145" s="2176"/>
      <c r="C145" s="2176"/>
      <c r="D145" s="2177"/>
      <c r="E145" s="2152">
        <f>SUM(E141:E144)</f>
        <v>0</v>
      </c>
      <c r="F145" s="2152">
        <f>SUM(F141:F144)</f>
        <v>0</v>
      </c>
      <c r="G145" s="2152">
        <f>SUM(G141:G144)</f>
        <v>0</v>
      </c>
      <c r="H145" s="2157" t="e">
        <f>G145/F145*100</f>
        <v>#DIV/0!</v>
      </c>
      <c r="I145" s="2165"/>
    </row>
    <row r="146" spans="1:9" hidden="1" x14ac:dyDescent="0.2">
      <c r="I146" s="2165"/>
    </row>
    <row r="147" spans="1:9" ht="15" x14ac:dyDescent="0.25">
      <c r="A147" s="2136" t="s">
        <v>319</v>
      </c>
      <c r="D147" s="2130"/>
      <c r="E147" s="2131"/>
      <c r="H147" s="2165"/>
      <c r="I147" s="2165"/>
    </row>
    <row r="148" spans="1:9" ht="15.75" thickBot="1" x14ac:dyDescent="0.3">
      <c r="A148" s="2136" t="s">
        <v>1131</v>
      </c>
      <c r="D148" s="2130"/>
      <c r="E148" s="2131"/>
      <c r="H148" s="2165" t="s">
        <v>179</v>
      </c>
      <c r="I148" s="2165"/>
    </row>
    <row r="149" spans="1:9" ht="25.5" thickTop="1" thickBot="1" x14ac:dyDescent="0.25">
      <c r="A149" s="2138" t="s">
        <v>180</v>
      </c>
      <c r="B149" s="2139" t="s">
        <v>847</v>
      </c>
      <c r="C149" s="2139" t="s">
        <v>414</v>
      </c>
      <c r="D149" s="2140" t="s">
        <v>182</v>
      </c>
      <c r="E149" s="2171" t="s">
        <v>700</v>
      </c>
      <c r="F149" s="2171" t="s">
        <v>701</v>
      </c>
      <c r="G149" s="2172" t="s">
        <v>986</v>
      </c>
      <c r="H149" s="2173" t="s">
        <v>987</v>
      </c>
      <c r="I149" s="2165"/>
    </row>
    <row r="150" spans="1:9" ht="14.25" thickTop="1" thickBot="1" x14ac:dyDescent="0.25">
      <c r="A150" s="1854">
        <v>1</v>
      </c>
      <c r="B150" s="1853">
        <v>2</v>
      </c>
      <c r="C150" s="1853">
        <v>3</v>
      </c>
      <c r="D150" s="1853">
        <v>5</v>
      </c>
      <c r="E150" s="1852">
        <v>6</v>
      </c>
      <c r="F150" s="1852">
        <v>7</v>
      </c>
      <c r="G150" s="2223">
        <v>8</v>
      </c>
      <c r="H150" s="2146" t="s">
        <v>848</v>
      </c>
      <c r="I150" s="2165"/>
    </row>
    <row r="151" spans="1:9" ht="30.75" thickTop="1" x14ac:dyDescent="0.2">
      <c r="A151" s="2246">
        <v>3299</v>
      </c>
      <c r="B151" s="2277">
        <v>5336</v>
      </c>
      <c r="C151" s="2253">
        <v>32133006</v>
      </c>
      <c r="D151" s="2174" t="s">
        <v>1419</v>
      </c>
      <c r="E151" s="2170">
        <v>0</v>
      </c>
      <c r="F151" s="2170">
        <v>51</v>
      </c>
      <c r="G151" s="2236">
        <v>51</v>
      </c>
      <c r="H151" s="2153">
        <f>G151/F151*100</f>
        <v>100</v>
      </c>
      <c r="I151" s="2165"/>
    </row>
    <row r="152" spans="1:9" ht="30.75" thickBot="1" x14ac:dyDescent="0.25">
      <c r="A152" s="2246">
        <v>3299</v>
      </c>
      <c r="B152" s="2277">
        <v>5336</v>
      </c>
      <c r="C152" s="2253">
        <v>32533006</v>
      </c>
      <c r="D152" s="2174" t="s">
        <v>1419</v>
      </c>
      <c r="E152" s="2184">
        <v>0</v>
      </c>
      <c r="F152" s="2184">
        <v>290</v>
      </c>
      <c r="G152" s="2233">
        <v>289</v>
      </c>
      <c r="H152" s="2156">
        <f>G152/F152*100</f>
        <v>99.655172413793096</v>
      </c>
      <c r="I152" s="2165"/>
    </row>
    <row r="153" spans="1:9" ht="30.75" hidden="1" thickBot="1" x14ac:dyDescent="0.25">
      <c r="A153" s="2246">
        <v>3299</v>
      </c>
      <c r="B153" s="2253">
        <v>6351</v>
      </c>
      <c r="C153" s="2253">
        <v>32133006</v>
      </c>
      <c r="D153" s="2174" t="s">
        <v>1433</v>
      </c>
      <c r="E153" s="2184">
        <v>0</v>
      </c>
      <c r="F153" s="2184">
        <v>0</v>
      </c>
      <c r="G153" s="2233">
        <v>0</v>
      </c>
      <c r="H153" s="2156" t="e">
        <f>G153/F153*100</f>
        <v>#DIV/0!</v>
      </c>
      <c r="I153" s="2165"/>
    </row>
    <row r="154" spans="1:9" ht="30.75" hidden="1" thickBot="1" x14ac:dyDescent="0.25">
      <c r="A154" s="2246">
        <v>3299</v>
      </c>
      <c r="B154" s="2253">
        <v>6351</v>
      </c>
      <c r="C154" s="2253">
        <v>32533006</v>
      </c>
      <c r="D154" s="2174" t="s">
        <v>1433</v>
      </c>
      <c r="E154" s="2184">
        <v>0</v>
      </c>
      <c r="F154" s="2184">
        <v>0</v>
      </c>
      <c r="G154" s="2233">
        <v>0</v>
      </c>
      <c r="H154" s="2156" t="e">
        <f>G154/F154*100</f>
        <v>#DIV/0!</v>
      </c>
      <c r="I154" s="2165"/>
    </row>
    <row r="155" spans="1:9" ht="16.5" thickTop="1" thickBot="1" x14ac:dyDescent="0.3">
      <c r="A155" s="2175" t="s">
        <v>849</v>
      </c>
      <c r="B155" s="2176"/>
      <c r="C155" s="2176"/>
      <c r="D155" s="2177"/>
      <c r="E155" s="2152">
        <f>SUM(E151:E154)</f>
        <v>0</v>
      </c>
      <c r="F155" s="2152">
        <f>SUM(F151:F154)</f>
        <v>341</v>
      </c>
      <c r="G155" s="2152">
        <f>SUM(G151:G154)</f>
        <v>340</v>
      </c>
      <c r="H155" s="2157">
        <f>G155/F155*100</f>
        <v>99.706744868035187</v>
      </c>
      <c r="I155" s="2165"/>
    </row>
    <row r="156" spans="1:9" ht="13.5" thickTop="1" x14ac:dyDescent="0.2">
      <c r="I156" s="2165"/>
    </row>
    <row r="157" spans="1:9" ht="15" x14ac:dyDescent="0.25">
      <c r="A157" s="2136" t="s">
        <v>1937</v>
      </c>
      <c r="D157" s="2130"/>
      <c r="E157" s="2131"/>
      <c r="H157" s="2165"/>
      <c r="I157" s="2165"/>
    </row>
    <row r="158" spans="1:9" ht="15.75" thickBot="1" x14ac:dyDescent="0.3">
      <c r="A158" s="2136" t="s">
        <v>1432</v>
      </c>
      <c r="D158" s="2130"/>
      <c r="E158" s="2131"/>
      <c r="H158" s="2240" t="s">
        <v>179</v>
      </c>
      <c r="I158" s="2165"/>
    </row>
    <row r="159" spans="1:9" ht="25.5" thickTop="1" thickBot="1" x14ac:dyDescent="0.25">
      <c r="A159" s="2138" t="s">
        <v>180</v>
      </c>
      <c r="B159" s="2139" t="s">
        <v>847</v>
      </c>
      <c r="C159" s="2139" t="s">
        <v>414</v>
      </c>
      <c r="D159" s="2140" t="s">
        <v>182</v>
      </c>
      <c r="E159" s="2171" t="s">
        <v>700</v>
      </c>
      <c r="F159" s="2171" t="s">
        <v>701</v>
      </c>
      <c r="G159" s="2172" t="s">
        <v>986</v>
      </c>
      <c r="H159" s="2173" t="s">
        <v>987</v>
      </c>
      <c r="I159" s="2165"/>
    </row>
    <row r="160" spans="1:9" ht="14.25" thickTop="1" thickBot="1" x14ac:dyDescent="0.25">
      <c r="A160" s="1854">
        <v>1</v>
      </c>
      <c r="B160" s="1853">
        <v>2</v>
      </c>
      <c r="C160" s="1853">
        <v>3</v>
      </c>
      <c r="D160" s="1853">
        <v>5</v>
      </c>
      <c r="E160" s="1852">
        <v>6</v>
      </c>
      <c r="F160" s="1852">
        <v>7</v>
      </c>
      <c r="G160" s="2223">
        <v>8</v>
      </c>
      <c r="H160" s="2146" t="s">
        <v>848</v>
      </c>
      <c r="I160" s="2165"/>
    </row>
    <row r="161" spans="1:9" ht="30.75" thickTop="1" x14ac:dyDescent="0.2">
      <c r="A161" s="2246">
        <v>3299</v>
      </c>
      <c r="B161" s="2277">
        <v>5336</v>
      </c>
      <c r="C161" s="2253">
        <v>32133006</v>
      </c>
      <c r="D161" s="2174" t="s">
        <v>1419</v>
      </c>
      <c r="E161" s="2170">
        <v>0</v>
      </c>
      <c r="F161" s="2170">
        <v>76</v>
      </c>
      <c r="G161" s="2236">
        <v>11</v>
      </c>
      <c r="H161" s="2153">
        <f>G161/F161*100</f>
        <v>14.473684210526317</v>
      </c>
      <c r="I161" s="2165"/>
    </row>
    <row r="162" spans="1:9" ht="30.75" thickBot="1" x14ac:dyDescent="0.25">
      <c r="A162" s="2246">
        <v>3299</v>
      </c>
      <c r="B162" s="2277">
        <v>5336</v>
      </c>
      <c r="C162" s="2253">
        <v>32533006</v>
      </c>
      <c r="D162" s="2174" t="s">
        <v>1419</v>
      </c>
      <c r="E162" s="2184">
        <v>0</v>
      </c>
      <c r="F162" s="2184">
        <v>430</v>
      </c>
      <c r="G162" s="2233">
        <v>61</v>
      </c>
      <c r="H162" s="2156">
        <f>G162/F162*100</f>
        <v>14.186046511627906</v>
      </c>
      <c r="I162" s="2165"/>
    </row>
    <row r="163" spans="1:9" ht="30.75" hidden="1" thickBot="1" x14ac:dyDescent="0.25">
      <c r="A163" s="2246">
        <v>3299</v>
      </c>
      <c r="B163" s="2253">
        <v>6351</v>
      </c>
      <c r="C163" s="2253">
        <v>32133006</v>
      </c>
      <c r="D163" s="2174" t="s">
        <v>1433</v>
      </c>
      <c r="E163" s="2184">
        <v>0</v>
      </c>
      <c r="F163" s="2184">
        <v>0</v>
      </c>
      <c r="G163" s="2233">
        <v>0</v>
      </c>
      <c r="H163" s="2156" t="e">
        <f>G163/F163*100</f>
        <v>#DIV/0!</v>
      </c>
      <c r="I163" s="2165"/>
    </row>
    <row r="164" spans="1:9" ht="30.75" hidden="1" thickBot="1" x14ac:dyDescent="0.25">
      <c r="A164" s="2246">
        <v>3299</v>
      </c>
      <c r="B164" s="2253">
        <v>6351</v>
      </c>
      <c r="C164" s="2253">
        <v>32533006</v>
      </c>
      <c r="D164" s="2174" t="s">
        <v>1433</v>
      </c>
      <c r="E164" s="2184">
        <v>0</v>
      </c>
      <c r="F164" s="2184">
        <v>0</v>
      </c>
      <c r="G164" s="2233">
        <v>0</v>
      </c>
      <c r="H164" s="2156" t="e">
        <f>G164/F164*100</f>
        <v>#DIV/0!</v>
      </c>
      <c r="I164" s="2165"/>
    </row>
    <row r="165" spans="1:9" ht="16.5" thickTop="1" thickBot="1" x14ac:dyDescent="0.3">
      <c r="A165" s="2175" t="s">
        <v>849</v>
      </c>
      <c r="B165" s="2176"/>
      <c r="C165" s="2176"/>
      <c r="D165" s="2177"/>
      <c r="E165" s="2152">
        <f>SUM(E161:E164)</f>
        <v>0</v>
      </c>
      <c r="F165" s="2152">
        <f>SUM(F161:F164)</f>
        <v>506</v>
      </c>
      <c r="G165" s="2152">
        <f>SUM(G161:G164)</f>
        <v>72</v>
      </c>
      <c r="H165" s="2157">
        <f>G165/F165*100</f>
        <v>14.229249011857709</v>
      </c>
      <c r="I165" s="2165"/>
    </row>
    <row r="166" spans="1:9" ht="13.5" thickTop="1" x14ac:dyDescent="0.2">
      <c r="I166" s="2165"/>
    </row>
    <row r="167" spans="1:9" ht="15" x14ac:dyDescent="0.25">
      <c r="A167" s="2136" t="s">
        <v>625</v>
      </c>
      <c r="D167" s="2130"/>
      <c r="E167" s="2131"/>
      <c r="H167" s="2165"/>
      <c r="I167" s="2165"/>
    </row>
    <row r="168" spans="1:9" ht="15.75" thickBot="1" x14ac:dyDescent="0.3">
      <c r="A168" s="2136" t="s">
        <v>626</v>
      </c>
      <c r="D168" s="2130"/>
      <c r="E168" s="2131"/>
      <c r="H168" s="2240" t="s">
        <v>179</v>
      </c>
      <c r="I168" s="2165"/>
    </row>
    <row r="169" spans="1:9" ht="25.5" thickTop="1" thickBot="1" x14ac:dyDescent="0.25">
      <c r="A169" s="2138" t="s">
        <v>180</v>
      </c>
      <c r="B169" s="2139" t="s">
        <v>847</v>
      </c>
      <c r="C169" s="2139" t="s">
        <v>414</v>
      </c>
      <c r="D169" s="2140" t="s">
        <v>182</v>
      </c>
      <c r="E169" s="2171" t="s">
        <v>700</v>
      </c>
      <c r="F169" s="2171" t="s">
        <v>701</v>
      </c>
      <c r="G169" s="2172" t="s">
        <v>986</v>
      </c>
      <c r="H169" s="2173" t="s">
        <v>987</v>
      </c>
      <c r="I169" s="2165"/>
    </row>
    <row r="170" spans="1:9" ht="14.25" thickTop="1" thickBot="1" x14ac:dyDescent="0.25">
      <c r="A170" s="1854">
        <v>1</v>
      </c>
      <c r="B170" s="1853">
        <v>2</v>
      </c>
      <c r="C170" s="1853">
        <v>3</v>
      </c>
      <c r="D170" s="1853">
        <v>5</v>
      </c>
      <c r="E170" s="1852">
        <v>6</v>
      </c>
      <c r="F170" s="1852">
        <v>7</v>
      </c>
      <c r="G170" s="2223">
        <v>8</v>
      </c>
      <c r="H170" s="2146" t="s">
        <v>848</v>
      </c>
      <c r="I170" s="2165"/>
    </row>
    <row r="171" spans="1:9" ht="30.75" thickTop="1" x14ac:dyDescent="0.2">
      <c r="A171" s="2246">
        <v>3299</v>
      </c>
      <c r="B171" s="2277">
        <v>5336</v>
      </c>
      <c r="C171" s="2253">
        <v>32133006</v>
      </c>
      <c r="D171" s="2174" t="s">
        <v>1419</v>
      </c>
      <c r="E171" s="2170">
        <v>0</v>
      </c>
      <c r="F171" s="2170">
        <v>103</v>
      </c>
      <c r="G171" s="2236">
        <v>75</v>
      </c>
      <c r="H171" s="2153">
        <f>G171/F171*100</f>
        <v>72.815533980582529</v>
      </c>
      <c r="I171" s="2165"/>
    </row>
    <row r="172" spans="1:9" ht="30.75" thickBot="1" x14ac:dyDescent="0.25">
      <c r="A172" s="2246">
        <v>3299</v>
      </c>
      <c r="B172" s="2277">
        <v>5336</v>
      </c>
      <c r="C172" s="2253">
        <v>32533006</v>
      </c>
      <c r="D172" s="2174" t="s">
        <v>1419</v>
      </c>
      <c r="E172" s="2184">
        <v>0</v>
      </c>
      <c r="F172" s="2184">
        <v>583</v>
      </c>
      <c r="G172" s="2233">
        <v>423</v>
      </c>
      <c r="H172" s="2156">
        <f>G172/F172*100</f>
        <v>72.555746140651806</v>
      </c>
      <c r="I172" s="2165"/>
    </row>
    <row r="173" spans="1:9" ht="30.75" hidden="1" thickBot="1" x14ac:dyDescent="0.25">
      <c r="A173" s="2246">
        <v>3299</v>
      </c>
      <c r="B173" s="2253">
        <v>6351</v>
      </c>
      <c r="C173" s="2253">
        <v>32133006</v>
      </c>
      <c r="D173" s="2174" t="s">
        <v>1433</v>
      </c>
      <c r="E173" s="2184">
        <v>0</v>
      </c>
      <c r="F173" s="2184">
        <v>0</v>
      </c>
      <c r="G173" s="2233">
        <v>0</v>
      </c>
      <c r="H173" s="2156" t="e">
        <f>G173/F173*100</f>
        <v>#DIV/0!</v>
      </c>
      <c r="I173" s="2165"/>
    </row>
    <row r="174" spans="1:9" ht="30.75" hidden="1" thickBot="1" x14ac:dyDescent="0.25">
      <c r="A174" s="2246">
        <v>3299</v>
      </c>
      <c r="B174" s="2253">
        <v>6351</v>
      </c>
      <c r="C174" s="2253">
        <v>32533006</v>
      </c>
      <c r="D174" s="2174" t="s">
        <v>1433</v>
      </c>
      <c r="E174" s="2184">
        <v>0</v>
      </c>
      <c r="F174" s="2184">
        <v>0</v>
      </c>
      <c r="G174" s="2233">
        <v>0</v>
      </c>
      <c r="H174" s="2156" t="e">
        <f>G174/F174*100</f>
        <v>#DIV/0!</v>
      </c>
      <c r="I174" s="2165"/>
    </row>
    <row r="175" spans="1:9" ht="16.5" thickTop="1" thickBot="1" x14ac:dyDescent="0.3">
      <c r="A175" s="2175" t="s">
        <v>849</v>
      </c>
      <c r="B175" s="2176"/>
      <c r="C175" s="2176"/>
      <c r="D175" s="2177"/>
      <c r="E175" s="2152">
        <f>SUM(E171:E174)</f>
        <v>0</v>
      </c>
      <c r="F175" s="2152">
        <f>SUM(F171:F174)</f>
        <v>686</v>
      </c>
      <c r="G175" s="2152">
        <f>SUM(G171:G174)</f>
        <v>498</v>
      </c>
      <c r="H175" s="2157">
        <f>G175/F175*100</f>
        <v>72.59475218658892</v>
      </c>
      <c r="I175" s="2165"/>
    </row>
    <row r="176" spans="1:9" ht="13.5" thickTop="1" x14ac:dyDescent="0.2">
      <c r="I176" s="2165"/>
    </row>
    <row r="177" spans="1:9" ht="15" x14ac:dyDescent="0.25">
      <c r="A177" s="2136" t="s">
        <v>1949</v>
      </c>
      <c r="D177" s="2130"/>
      <c r="E177" s="2131"/>
      <c r="H177" s="2165"/>
      <c r="I177" s="2165"/>
    </row>
    <row r="178" spans="1:9" ht="15.75" thickBot="1" x14ac:dyDescent="0.3">
      <c r="A178" s="2136" t="s">
        <v>971</v>
      </c>
      <c r="D178" s="2130"/>
      <c r="E178" s="2131"/>
      <c r="H178" s="2240" t="s">
        <v>179</v>
      </c>
      <c r="I178" s="2165"/>
    </row>
    <row r="179" spans="1:9" ht="25.5" thickTop="1" thickBot="1" x14ac:dyDescent="0.25">
      <c r="A179" s="2138" t="s">
        <v>180</v>
      </c>
      <c r="B179" s="2139" t="s">
        <v>847</v>
      </c>
      <c r="C179" s="2139" t="s">
        <v>414</v>
      </c>
      <c r="D179" s="2140" t="s">
        <v>182</v>
      </c>
      <c r="E179" s="2171" t="s">
        <v>700</v>
      </c>
      <c r="F179" s="2171" t="s">
        <v>701</v>
      </c>
      <c r="G179" s="2172" t="s">
        <v>986</v>
      </c>
      <c r="H179" s="2173" t="s">
        <v>987</v>
      </c>
      <c r="I179" s="2165"/>
    </row>
    <row r="180" spans="1:9" ht="14.25" thickTop="1" thickBot="1" x14ac:dyDescent="0.25">
      <c r="A180" s="1854">
        <v>1</v>
      </c>
      <c r="B180" s="1853">
        <v>2</v>
      </c>
      <c r="C180" s="1853">
        <v>3</v>
      </c>
      <c r="D180" s="1853">
        <v>5</v>
      </c>
      <c r="E180" s="1852">
        <v>6</v>
      </c>
      <c r="F180" s="1852">
        <v>7</v>
      </c>
      <c r="G180" s="2223">
        <v>8</v>
      </c>
      <c r="H180" s="2146" t="s">
        <v>848</v>
      </c>
      <c r="I180" s="2165"/>
    </row>
    <row r="181" spans="1:9" ht="30.75" thickTop="1" x14ac:dyDescent="0.2">
      <c r="A181" s="2246">
        <v>3299</v>
      </c>
      <c r="B181" s="2277">
        <v>5336</v>
      </c>
      <c r="C181" s="2253">
        <v>32133006</v>
      </c>
      <c r="D181" s="2174" t="s">
        <v>1419</v>
      </c>
      <c r="E181" s="2170">
        <v>0</v>
      </c>
      <c r="F181" s="2170">
        <v>191</v>
      </c>
      <c r="G181" s="2236">
        <v>97</v>
      </c>
      <c r="H181" s="2153">
        <f>G181/F181*100</f>
        <v>50.785340314136128</v>
      </c>
      <c r="I181" s="2165"/>
    </row>
    <row r="182" spans="1:9" ht="30.75" thickBot="1" x14ac:dyDescent="0.25">
      <c r="A182" s="2246">
        <v>3299</v>
      </c>
      <c r="B182" s="2277">
        <v>5336</v>
      </c>
      <c r="C182" s="2253">
        <v>32533006</v>
      </c>
      <c r="D182" s="2174" t="s">
        <v>1419</v>
      </c>
      <c r="E182" s="2184">
        <v>0</v>
      </c>
      <c r="F182" s="2184">
        <v>1078</v>
      </c>
      <c r="G182" s="2233">
        <v>549</v>
      </c>
      <c r="H182" s="2156">
        <f>G182/F182*100</f>
        <v>50.927643784786646</v>
      </c>
      <c r="I182" s="2165"/>
    </row>
    <row r="183" spans="1:9" ht="30.75" hidden="1" thickBot="1" x14ac:dyDescent="0.25">
      <c r="A183" s="2246">
        <v>3299</v>
      </c>
      <c r="B183" s="2253">
        <v>6351</v>
      </c>
      <c r="C183" s="2253">
        <v>32133006</v>
      </c>
      <c r="D183" s="2174" t="s">
        <v>1433</v>
      </c>
      <c r="E183" s="2184">
        <v>0</v>
      </c>
      <c r="F183" s="2184">
        <v>0</v>
      </c>
      <c r="G183" s="2233">
        <v>0</v>
      </c>
      <c r="H183" s="2156" t="e">
        <f>G183/F183*100</f>
        <v>#DIV/0!</v>
      </c>
      <c r="I183" s="2165"/>
    </row>
    <row r="184" spans="1:9" ht="30.75" hidden="1" thickBot="1" x14ac:dyDescent="0.25">
      <c r="A184" s="2246">
        <v>3299</v>
      </c>
      <c r="B184" s="2253">
        <v>6351</v>
      </c>
      <c r="C184" s="2253">
        <v>32533006</v>
      </c>
      <c r="D184" s="2174" t="s">
        <v>1433</v>
      </c>
      <c r="E184" s="2184">
        <v>0</v>
      </c>
      <c r="F184" s="2184">
        <v>0</v>
      </c>
      <c r="G184" s="2233">
        <v>0</v>
      </c>
      <c r="H184" s="2156" t="e">
        <f>G184/F184*100</f>
        <v>#DIV/0!</v>
      </c>
      <c r="I184" s="2165"/>
    </row>
    <row r="185" spans="1:9" ht="16.5" thickTop="1" thickBot="1" x14ac:dyDescent="0.3">
      <c r="A185" s="2175" t="s">
        <v>849</v>
      </c>
      <c r="B185" s="2176"/>
      <c r="C185" s="2176"/>
      <c r="D185" s="2177"/>
      <c r="E185" s="2152">
        <f>SUM(E181:E184)</f>
        <v>0</v>
      </c>
      <c r="F185" s="2152">
        <f>SUM(F181:F184)</f>
        <v>1269</v>
      </c>
      <c r="G185" s="2152">
        <f>SUM(G181:G184)</f>
        <v>646</v>
      </c>
      <c r="H185" s="2157">
        <f>G185/F185*100</f>
        <v>50.906225374310473</v>
      </c>
      <c r="I185" s="2165"/>
    </row>
    <row r="186" spans="1:9" ht="13.5" thickTop="1" x14ac:dyDescent="0.2">
      <c r="I186" s="2165"/>
    </row>
    <row r="187" spans="1:9" ht="15" x14ac:dyDescent="0.25">
      <c r="A187" s="2136" t="s">
        <v>1133</v>
      </c>
      <c r="D187" s="2130"/>
      <c r="E187" s="2131"/>
      <c r="H187" s="2165"/>
      <c r="I187" s="2165"/>
    </row>
    <row r="188" spans="1:9" ht="15.75" thickBot="1" x14ac:dyDescent="0.3">
      <c r="A188" s="2136" t="s">
        <v>1134</v>
      </c>
      <c r="D188" s="2130"/>
      <c r="E188" s="2131"/>
      <c r="H188" s="2240" t="s">
        <v>179</v>
      </c>
      <c r="I188" s="2165"/>
    </row>
    <row r="189" spans="1:9" ht="25.5" thickTop="1" thickBot="1" x14ac:dyDescent="0.25">
      <c r="A189" s="2138" t="s">
        <v>180</v>
      </c>
      <c r="B189" s="2139" t="s">
        <v>847</v>
      </c>
      <c r="C189" s="2139" t="s">
        <v>414</v>
      </c>
      <c r="D189" s="2140" t="s">
        <v>182</v>
      </c>
      <c r="E189" s="2171" t="s">
        <v>700</v>
      </c>
      <c r="F189" s="2171" t="s">
        <v>701</v>
      </c>
      <c r="G189" s="2172" t="s">
        <v>986</v>
      </c>
      <c r="H189" s="2173" t="s">
        <v>987</v>
      </c>
      <c r="I189" s="2165"/>
    </row>
    <row r="190" spans="1:9" ht="14.25" thickTop="1" thickBot="1" x14ac:dyDescent="0.25">
      <c r="A190" s="1854">
        <v>1</v>
      </c>
      <c r="B190" s="1853">
        <v>2</v>
      </c>
      <c r="C190" s="1853">
        <v>3</v>
      </c>
      <c r="D190" s="1853">
        <v>5</v>
      </c>
      <c r="E190" s="1852">
        <v>6</v>
      </c>
      <c r="F190" s="1852">
        <v>7</v>
      </c>
      <c r="G190" s="2223">
        <v>8</v>
      </c>
      <c r="H190" s="2146" t="s">
        <v>848</v>
      </c>
      <c r="I190" s="2165"/>
    </row>
    <row r="191" spans="1:9" ht="30.75" thickTop="1" x14ac:dyDescent="0.2">
      <c r="A191" s="2246">
        <v>3299</v>
      </c>
      <c r="B191" s="2277">
        <v>5336</v>
      </c>
      <c r="C191" s="2253">
        <v>32133006</v>
      </c>
      <c r="D191" s="2174" t="s">
        <v>1419</v>
      </c>
      <c r="E191" s="2170">
        <v>0</v>
      </c>
      <c r="F191" s="2170">
        <v>279</v>
      </c>
      <c r="G191" s="2236">
        <v>144</v>
      </c>
      <c r="H191" s="2153">
        <f>G191/F191*100</f>
        <v>51.612903225806448</v>
      </c>
      <c r="I191" s="2165"/>
    </row>
    <row r="192" spans="1:9" ht="30.75" thickBot="1" x14ac:dyDescent="0.25">
      <c r="A192" s="2246">
        <v>3299</v>
      </c>
      <c r="B192" s="2277">
        <v>5336</v>
      </c>
      <c r="C192" s="2253">
        <v>32533006</v>
      </c>
      <c r="D192" s="2174" t="s">
        <v>1419</v>
      </c>
      <c r="E192" s="2184">
        <v>0</v>
      </c>
      <c r="F192" s="2184">
        <v>1579</v>
      </c>
      <c r="G192" s="2233">
        <v>819</v>
      </c>
      <c r="H192" s="2156">
        <f>G192/F192*100</f>
        <v>51.868271057631411</v>
      </c>
      <c r="I192" s="2165"/>
    </row>
    <row r="193" spans="1:9" ht="30.75" hidden="1" thickBot="1" x14ac:dyDescent="0.25">
      <c r="A193" s="2246">
        <v>3299</v>
      </c>
      <c r="B193" s="2253">
        <v>6351</v>
      </c>
      <c r="C193" s="2253">
        <v>32133006</v>
      </c>
      <c r="D193" s="2174" t="s">
        <v>1433</v>
      </c>
      <c r="E193" s="2184">
        <v>0</v>
      </c>
      <c r="F193" s="2184">
        <v>0</v>
      </c>
      <c r="G193" s="2233">
        <v>0</v>
      </c>
      <c r="H193" s="2156" t="e">
        <f>G193/F193*100</f>
        <v>#DIV/0!</v>
      </c>
      <c r="I193" s="2165"/>
    </row>
    <row r="194" spans="1:9" ht="30.75" hidden="1" thickBot="1" x14ac:dyDescent="0.25">
      <c r="A194" s="2246">
        <v>3299</v>
      </c>
      <c r="B194" s="2253">
        <v>6351</v>
      </c>
      <c r="C194" s="2253">
        <v>32533006</v>
      </c>
      <c r="D194" s="2174" t="s">
        <v>1433</v>
      </c>
      <c r="E194" s="2184">
        <v>0</v>
      </c>
      <c r="F194" s="2184">
        <v>0</v>
      </c>
      <c r="G194" s="2233">
        <v>0</v>
      </c>
      <c r="H194" s="2156" t="e">
        <f>G194/F194*100</f>
        <v>#DIV/0!</v>
      </c>
      <c r="I194" s="2165"/>
    </row>
    <row r="195" spans="1:9" ht="16.5" thickTop="1" thickBot="1" x14ac:dyDescent="0.3">
      <c r="A195" s="2175" t="s">
        <v>849</v>
      </c>
      <c r="B195" s="2176"/>
      <c r="C195" s="2176"/>
      <c r="D195" s="2177"/>
      <c r="E195" s="2152">
        <f>SUM(E191:E194)</f>
        <v>0</v>
      </c>
      <c r="F195" s="2152">
        <f>SUM(F191:F194)</f>
        <v>1858</v>
      </c>
      <c r="G195" s="2152">
        <f>SUM(G191:G194)</f>
        <v>963</v>
      </c>
      <c r="H195" s="2157">
        <f>G195/F195*100</f>
        <v>51.829924650161466</v>
      </c>
      <c r="I195" s="2165"/>
    </row>
    <row r="196" spans="1:9" ht="13.5" thickTop="1" x14ac:dyDescent="0.2">
      <c r="I196" s="2165"/>
    </row>
    <row r="197" spans="1:9" ht="15" x14ac:dyDescent="0.25">
      <c r="A197" s="2136" t="s">
        <v>1938</v>
      </c>
      <c r="D197" s="2130"/>
      <c r="E197" s="2131"/>
      <c r="H197" s="2165"/>
      <c r="I197" s="2165"/>
    </row>
    <row r="198" spans="1:9" ht="15.75" thickBot="1" x14ac:dyDescent="0.3">
      <c r="A198" s="2136" t="s">
        <v>972</v>
      </c>
      <c r="D198" s="2130"/>
      <c r="E198" s="2131"/>
      <c r="H198" s="2240" t="s">
        <v>179</v>
      </c>
      <c r="I198" s="2165"/>
    </row>
    <row r="199" spans="1:9" ht="25.5" thickTop="1" thickBot="1" x14ac:dyDescent="0.25">
      <c r="A199" s="2138" t="s">
        <v>180</v>
      </c>
      <c r="B199" s="2139" t="s">
        <v>847</v>
      </c>
      <c r="C199" s="2139" t="s">
        <v>414</v>
      </c>
      <c r="D199" s="2140" t="s">
        <v>182</v>
      </c>
      <c r="E199" s="2171" t="s">
        <v>700</v>
      </c>
      <c r="F199" s="2171" t="s">
        <v>701</v>
      </c>
      <c r="G199" s="2172" t="s">
        <v>986</v>
      </c>
      <c r="H199" s="2173" t="s">
        <v>987</v>
      </c>
      <c r="I199" s="2165"/>
    </row>
    <row r="200" spans="1:9" ht="14.25" thickTop="1" thickBot="1" x14ac:dyDescent="0.25">
      <c r="A200" s="1854">
        <v>1</v>
      </c>
      <c r="B200" s="1853">
        <v>2</v>
      </c>
      <c r="C200" s="1853">
        <v>3</v>
      </c>
      <c r="D200" s="1853">
        <v>5</v>
      </c>
      <c r="E200" s="1852">
        <v>6</v>
      </c>
      <c r="F200" s="1852">
        <v>7</v>
      </c>
      <c r="G200" s="2223">
        <v>8</v>
      </c>
      <c r="H200" s="2146" t="s">
        <v>848</v>
      </c>
      <c r="I200" s="2165"/>
    </row>
    <row r="201" spans="1:9" ht="30.75" thickTop="1" x14ac:dyDescent="0.2">
      <c r="A201" s="2246">
        <v>3299</v>
      </c>
      <c r="B201" s="2277">
        <v>5336</v>
      </c>
      <c r="C201" s="2253">
        <v>32133006</v>
      </c>
      <c r="D201" s="2174" t="s">
        <v>1419</v>
      </c>
      <c r="E201" s="2170">
        <v>0</v>
      </c>
      <c r="F201" s="2170">
        <v>619</v>
      </c>
      <c r="G201" s="2236">
        <v>473</v>
      </c>
      <c r="H201" s="2153">
        <f>G201/F201*100</f>
        <v>76.413570274636513</v>
      </c>
      <c r="I201" s="2165"/>
    </row>
    <row r="202" spans="1:9" ht="30.75" thickBot="1" x14ac:dyDescent="0.25">
      <c r="A202" s="2246">
        <v>3299</v>
      </c>
      <c r="B202" s="2277">
        <v>5336</v>
      </c>
      <c r="C202" s="2253">
        <v>32533006</v>
      </c>
      <c r="D202" s="2174" t="s">
        <v>1419</v>
      </c>
      <c r="E202" s="2184">
        <v>0</v>
      </c>
      <c r="F202" s="2184">
        <v>3508</v>
      </c>
      <c r="G202" s="2233">
        <v>2680</v>
      </c>
      <c r="H202" s="2156">
        <f>G202/F202*100</f>
        <v>76.396807297605477</v>
      </c>
      <c r="I202" s="2165"/>
    </row>
    <row r="203" spans="1:9" ht="30.75" hidden="1" thickBot="1" x14ac:dyDescent="0.25">
      <c r="A203" s="2246">
        <v>3299</v>
      </c>
      <c r="B203" s="2253">
        <v>6351</v>
      </c>
      <c r="C203" s="2253">
        <v>32133006</v>
      </c>
      <c r="D203" s="2174" t="s">
        <v>1433</v>
      </c>
      <c r="E203" s="2184">
        <v>0</v>
      </c>
      <c r="F203" s="2184">
        <v>0</v>
      </c>
      <c r="G203" s="2233">
        <v>0</v>
      </c>
      <c r="H203" s="2156" t="e">
        <f>G203/F203*100</f>
        <v>#DIV/0!</v>
      </c>
      <c r="I203" s="2165"/>
    </row>
    <row r="204" spans="1:9" ht="30.75" hidden="1" thickBot="1" x14ac:dyDescent="0.25">
      <c r="A204" s="2246">
        <v>3299</v>
      </c>
      <c r="B204" s="2253">
        <v>6351</v>
      </c>
      <c r="C204" s="2253">
        <v>32533006</v>
      </c>
      <c r="D204" s="2174" t="s">
        <v>1433</v>
      </c>
      <c r="E204" s="2184">
        <v>0</v>
      </c>
      <c r="F204" s="2184">
        <v>0</v>
      </c>
      <c r="G204" s="2233">
        <v>0</v>
      </c>
      <c r="H204" s="2156" t="e">
        <f>G204/F204*100</f>
        <v>#DIV/0!</v>
      </c>
      <c r="I204" s="2165"/>
    </row>
    <row r="205" spans="1:9" ht="16.5" thickTop="1" thickBot="1" x14ac:dyDescent="0.3">
      <c r="A205" s="2175" t="s">
        <v>849</v>
      </c>
      <c r="B205" s="2176"/>
      <c r="C205" s="2176"/>
      <c r="D205" s="2177"/>
      <c r="E205" s="2152">
        <f>SUM(E201:E204)</f>
        <v>0</v>
      </c>
      <c r="F205" s="2152">
        <f>SUM(F201:F204)</f>
        <v>4127</v>
      </c>
      <c r="G205" s="2152">
        <f>SUM(G201:G204)</f>
        <v>3153</v>
      </c>
      <c r="H205" s="2157">
        <f>G205/F205*100</f>
        <v>76.399321541071004</v>
      </c>
      <c r="I205" s="2165"/>
    </row>
    <row r="206" spans="1:9" ht="13.5" thickTop="1" x14ac:dyDescent="0.2">
      <c r="I206" s="2165"/>
    </row>
    <row r="207" spans="1:9" ht="15" hidden="1" x14ac:dyDescent="0.25">
      <c r="A207" s="2136" t="s">
        <v>292</v>
      </c>
      <c r="D207" s="2130"/>
      <c r="E207" s="2131"/>
      <c r="H207" s="2165"/>
      <c r="I207" s="2165"/>
    </row>
    <row r="208" spans="1:9" ht="15" hidden="1" x14ac:dyDescent="0.25">
      <c r="A208" s="2136" t="s">
        <v>293</v>
      </c>
      <c r="D208" s="2130"/>
      <c r="E208" s="2131"/>
      <c r="H208" s="2165" t="s">
        <v>179</v>
      </c>
      <c r="I208" s="2165"/>
    </row>
    <row r="209" spans="1:12" ht="25.5" hidden="1" thickTop="1" thickBot="1" x14ac:dyDescent="0.25">
      <c r="A209" s="2138" t="s">
        <v>180</v>
      </c>
      <c r="B209" s="2139" t="s">
        <v>847</v>
      </c>
      <c r="C209" s="2139" t="s">
        <v>414</v>
      </c>
      <c r="D209" s="2140" t="s">
        <v>182</v>
      </c>
      <c r="E209" s="2171" t="s">
        <v>700</v>
      </c>
      <c r="F209" s="2171" t="s">
        <v>701</v>
      </c>
      <c r="G209" s="2172" t="s">
        <v>986</v>
      </c>
      <c r="H209" s="2173" t="s">
        <v>987</v>
      </c>
      <c r="I209" s="2165"/>
    </row>
    <row r="210" spans="1:12" ht="14.25" hidden="1" thickTop="1" thickBot="1" x14ac:dyDescent="0.25">
      <c r="A210" s="1854">
        <v>1</v>
      </c>
      <c r="B210" s="1853">
        <v>2</v>
      </c>
      <c r="C210" s="1853">
        <v>3</v>
      </c>
      <c r="D210" s="1853">
        <v>5</v>
      </c>
      <c r="E210" s="1852">
        <v>6</v>
      </c>
      <c r="F210" s="1852">
        <v>7</v>
      </c>
      <c r="G210" s="2223">
        <v>8</v>
      </c>
      <c r="H210" s="2146" t="s">
        <v>848</v>
      </c>
      <c r="I210" s="2165"/>
    </row>
    <row r="211" spans="1:12" ht="30.75" hidden="1" thickTop="1" x14ac:dyDescent="0.2">
      <c r="A211" s="2246">
        <v>3299</v>
      </c>
      <c r="B211" s="2253">
        <v>5222</v>
      </c>
      <c r="C211" s="2253">
        <v>32133006</v>
      </c>
      <c r="D211" s="2174" t="s">
        <v>241</v>
      </c>
      <c r="E211" s="2170">
        <v>0</v>
      </c>
      <c r="F211" s="2170">
        <v>0</v>
      </c>
      <c r="G211" s="2236">
        <v>0</v>
      </c>
      <c r="H211" s="2153" t="e">
        <f>G211/F211*100</f>
        <v>#DIV/0!</v>
      </c>
      <c r="I211" s="2165"/>
    </row>
    <row r="212" spans="1:12" ht="30" hidden="1" x14ac:dyDescent="0.2">
      <c r="A212" s="2246">
        <v>3299</v>
      </c>
      <c r="B212" s="2253">
        <v>5222</v>
      </c>
      <c r="C212" s="2253">
        <v>32533006</v>
      </c>
      <c r="D212" s="2174" t="s">
        <v>241</v>
      </c>
      <c r="E212" s="2184">
        <v>0</v>
      </c>
      <c r="F212" s="2184">
        <v>0</v>
      </c>
      <c r="G212" s="2233">
        <v>0</v>
      </c>
      <c r="H212" s="2156" t="e">
        <f>G212/F212*100</f>
        <v>#DIV/0!</v>
      </c>
      <c r="I212" s="2165"/>
    </row>
    <row r="213" spans="1:12" ht="30" hidden="1" x14ac:dyDescent="0.2">
      <c r="A213" s="2246">
        <v>3299</v>
      </c>
      <c r="B213" s="2253">
        <v>6351</v>
      </c>
      <c r="C213" s="2253">
        <v>32133006</v>
      </c>
      <c r="D213" s="2174" t="s">
        <v>1433</v>
      </c>
      <c r="E213" s="2184">
        <v>0</v>
      </c>
      <c r="F213" s="2184">
        <v>0</v>
      </c>
      <c r="G213" s="2233">
        <v>0</v>
      </c>
      <c r="H213" s="2156" t="e">
        <f>G213/F213*100</f>
        <v>#DIV/0!</v>
      </c>
      <c r="I213" s="2165"/>
    </row>
    <row r="214" spans="1:12" ht="30" hidden="1" x14ac:dyDescent="0.2">
      <c r="A214" s="2246">
        <v>3299</v>
      </c>
      <c r="B214" s="2253">
        <v>6351</v>
      </c>
      <c r="C214" s="2253">
        <v>32533006</v>
      </c>
      <c r="D214" s="2174" t="s">
        <v>1433</v>
      </c>
      <c r="E214" s="2184">
        <v>0</v>
      </c>
      <c r="F214" s="2184">
        <v>0</v>
      </c>
      <c r="G214" s="2233">
        <v>0</v>
      </c>
      <c r="H214" s="2156" t="e">
        <f>G214/F214*100</f>
        <v>#DIV/0!</v>
      </c>
      <c r="I214" s="2165"/>
    </row>
    <row r="215" spans="1:12" ht="16.5" hidden="1" thickTop="1" thickBot="1" x14ac:dyDescent="0.3">
      <c r="A215" s="2175" t="s">
        <v>849</v>
      </c>
      <c r="B215" s="2176"/>
      <c r="C215" s="2176"/>
      <c r="D215" s="2177"/>
      <c r="E215" s="2152">
        <f>SUM(E211:E214)</f>
        <v>0</v>
      </c>
      <c r="F215" s="2152">
        <f>SUM(F211:F214)</f>
        <v>0</v>
      </c>
      <c r="G215" s="2152">
        <f>SUM(G211:G214)</f>
        <v>0</v>
      </c>
      <c r="H215" s="2157" t="e">
        <f>G215/F215*100</f>
        <v>#DIV/0!</v>
      </c>
      <c r="I215" s="2165"/>
    </row>
    <row r="216" spans="1:12" hidden="1" x14ac:dyDescent="0.2">
      <c r="I216" s="2165"/>
    </row>
    <row r="217" spans="1:12" x14ac:dyDescent="0.2">
      <c r="I217" s="2165"/>
    </row>
    <row r="218" spans="1:12" x14ac:dyDescent="0.2">
      <c r="I218" s="2165"/>
    </row>
    <row r="219" spans="1:12" x14ac:dyDescent="0.2">
      <c r="I219" s="2165"/>
    </row>
    <row r="221" spans="1:12" ht="16.5" x14ac:dyDescent="0.25">
      <c r="A221" s="2206" t="s">
        <v>508</v>
      </c>
      <c r="B221" s="2207"/>
      <c r="C221" s="2208"/>
      <c r="D221" s="2209"/>
      <c r="E221" s="2210">
        <f>SUM(E222:E224)</f>
        <v>0</v>
      </c>
      <c r="F221" s="2210">
        <f>F222+F223+F224+F225</f>
        <v>31895</v>
      </c>
      <c r="G221" s="2210">
        <f>G222+G223+G224+G225</f>
        <v>15899</v>
      </c>
      <c r="H221" s="2232">
        <f>G221/F221*100</f>
        <v>49.847938548361817</v>
      </c>
      <c r="J221" s="2212">
        <f>J222+J223+J224</f>
        <v>0</v>
      </c>
      <c r="K221" s="2212">
        <f>K222+K223+K224</f>
        <v>31894969.629999999</v>
      </c>
      <c r="L221" s="2212">
        <f>L222+L223+L224</f>
        <v>15898576.84</v>
      </c>
    </row>
    <row r="222" spans="1:12" ht="15" x14ac:dyDescent="0.2">
      <c r="A222" s="1810" t="s">
        <v>288</v>
      </c>
      <c r="B222" s="1813"/>
      <c r="C222" s="1808"/>
      <c r="D222" s="2213"/>
      <c r="E222" s="1811">
        <f>SUM(E10:E21,E40:E41,E80:E81,E91:E92,E121:E122,E131:E132,E141:E142,E201:E202)</f>
        <v>0</v>
      </c>
      <c r="F222" s="1811">
        <f>F10+F11+F12+F13+F14+F15+F16+F17+F18+F19+F20+F21+F32+F40+F41+F50+F51+F60+F61+F70+F71+F80+F81+F91+F92+F101+F102+F111+F112+F121+F122+F131+F132+F141+F142+F151+F152+F161+F162+F171+F172+F181+F182+F191+F192+F201+F202</f>
        <v>29204</v>
      </c>
      <c r="G222" s="1811">
        <f>G10+G11+G12+G13+G14+G15+G16+G17+G18+G19+G20+G21+G32+G40+G41+G50+G51+G60+G61+G70+G71+G80+G81+G91+G92+G101+G102+G111+G112+G121+G122+G131+G132+G141+G142+G151+G152+G161+G162+G171+G172+G181+G182+G191+G192+G201+G202</f>
        <v>15843</v>
      </c>
      <c r="H222" s="2231">
        <f>G222/F222*100</f>
        <v>54.249417887960547</v>
      </c>
      <c r="J222" s="2214">
        <v>0</v>
      </c>
      <c r="K222" s="2214">
        <v>29204593.43</v>
      </c>
      <c r="L222" s="2214">
        <v>15841696.84</v>
      </c>
    </row>
    <row r="223" spans="1:12" ht="15" x14ac:dyDescent="0.2">
      <c r="A223" s="1810" t="s">
        <v>289</v>
      </c>
      <c r="B223" s="1809"/>
      <c r="C223" s="1808"/>
      <c r="D223" s="2215"/>
      <c r="E223" s="1811">
        <f>SUM(E22:E31,E42:E43,E82:E83,E93:E94,E123:E124,E133:E134,E143:E144,E203:E204)</f>
        <v>0</v>
      </c>
      <c r="F223" s="1811">
        <f>F26+F27+F30+F31+F72+F73+F82+F83+F113+F114</f>
        <v>2691</v>
      </c>
      <c r="G223" s="1811">
        <f>G26+G27+G30+G31+G72+G73+G82+G83+G113+G114</f>
        <v>56</v>
      </c>
      <c r="H223" s="2231">
        <v>0</v>
      </c>
      <c r="J223" s="2214">
        <v>0</v>
      </c>
      <c r="K223" s="2214">
        <v>2690376.2</v>
      </c>
      <c r="L223" s="2214">
        <v>56880</v>
      </c>
    </row>
    <row r="224" spans="1:12" ht="15" x14ac:dyDescent="0.2">
      <c r="A224" s="1810" t="s">
        <v>509</v>
      </c>
      <c r="B224" s="1809"/>
      <c r="C224" s="1808"/>
      <c r="D224" s="2215"/>
      <c r="E224" s="1811">
        <v>0</v>
      </c>
      <c r="F224" s="1811">
        <v>0</v>
      </c>
      <c r="G224" s="1811">
        <v>0</v>
      </c>
      <c r="H224" s="2231">
        <v>0</v>
      </c>
      <c r="J224" s="2214">
        <v>0</v>
      </c>
      <c r="K224" s="2214">
        <v>0</v>
      </c>
      <c r="L224" s="2214">
        <v>0</v>
      </c>
    </row>
    <row r="225" spans="1:8" ht="15" x14ac:dyDescent="0.2">
      <c r="A225" s="1810"/>
      <c r="B225" s="1809"/>
      <c r="C225" s="1808"/>
      <c r="D225" s="2215"/>
      <c r="E225" s="1811"/>
      <c r="F225" s="1811"/>
      <c r="G225" s="1811"/>
      <c r="H225" s="1807"/>
    </row>
    <row r="226" spans="1:8" ht="70.5" customHeight="1" thickBot="1" x14ac:dyDescent="0.4">
      <c r="A226" s="2800" t="s">
        <v>333</v>
      </c>
      <c r="B226" s="2821"/>
      <c r="C226" s="2821"/>
      <c r="D226" s="2821"/>
      <c r="E226" s="1801">
        <f>SUM(E221)</f>
        <v>0</v>
      </c>
      <c r="F226" s="1801">
        <f>SUM(F221)</f>
        <v>31895</v>
      </c>
      <c r="G226" s="1801">
        <f>SUM(G221)</f>
        <v>15899</v>
      </c>
      <c r="H226" s="1800">
        <f>(G226/F226)*100</f>
        <v>49.847938548361817</v>
      </c>
    </row>
    <row r="227" spans="1:8" ht="13.5" thickTop="1" x14ac:dyDescent="0.2"/>
    <row r="347" spans="1:5" ht="13.5" thickBot="1" x14ac:dyDescent="0.25">
      <c r="A347" s="2179"/>
      <c r="B347" s="2179"/>
      <c r="C347" s="2179"/>
      <c r="D347" s="2264"/>
      <c r="E347" s="2265"/>
    </row>
    <row r="348" spans="1:5" ht="13.5" thickTop="1" x14ac:dyDescent="0.2">
      <c r="A348" s="2204"/>
      <c r="B348" s="2204"/>
      <c r="C348" s="2204"/>
      <c r="D348" s="2193"/>
      <c r="E348" s="2266"/>
    </row>
    <row r="349" spans="1:5" x14ac:dyDescent="0.2">
      <c r="D349" s="2131" t="e">
        <f>#REF!+#REF!</f>
        <v>#REF!</v>
      </c>
    </row>
  </sheetData>
  <mergeCells count="3">
    <mergeCell ref="A1:H1"/>
    <mergeCell ref="A33:D33"/>
    <mergeCell ref="A226:D226"/>
  </mergeCells>
  <pageMargins left="0.98425196850393704" right="0.98425196850393704" top="0.98425196850393704" bottom="0.98425196850393704" header="0.51181102362204722" footer="0.51181102362204722"/>
  <pageSetup paperSize="9" scale="74" firstPageNumber="148" orientation="portrait" useFirstPageNumber="1" r:id="rId1"/>
  <headerFooter alignWithMargins="0">
    <oddFooter xml:space="preserve">&amp;L&amp;"Arial,Kurzíva"Zastupitelstvo Olomouckého kraje 28. 6. 2013
6.- Závěrečný  účet Olomuckého kraje za rok 2012
Příloha č. 3: Plnění rozpočtu výdajů Olomouckého kraje k 31.12.2012&amp;R&amp;"Arial,Kurzíva"Strana &amp;P (Celkem 484)
</oddFooter>
  </headerFooter>
  <rowBreaks count="3" manualBreakCount="3">
    <brk id="55" max="7" man="1"/>
    <brk id="116" max="7" man="1"/>
    <brk id="196" max="7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45"/>
  <sheetViews>
    <sheetView showGridLines="0" view="pageBreakPreview" topLeftCell="A327" zoomScaleNormal="100" zoomScaleSheetLayoutView="100" workbookViewId="0">
      <selection activeCell="L286" sqref="L286"/>
    </sheetView>
  </sheetViews>
  <sheetFormatPr defaultRowHeight="12.75" x14ac:dyDescent="0.2"/>
  <cols>
    <col min="1" max="1" width="4.7109375" style="2130" customWidth="1"/>
    <col min="2" max="2" width="6.140625" style="2130" customWidth="1"/>
    <col min="3" max="3" width="8.7109375" style="2130" customWidth="1"/>
    <col min="4" max="4" width="42.140625" style="2131" customWidth="1"/>
    <col min="5" max="5" width="12.85546875" style="2165" customWidth="1"/>
    <col min="6" max="6" width="15.85546875" style="2165" customWidth="1"/>
    <col min="7" max="7" width="14.5703125" style="2165" customWidth="1"/>
    <col min="8" max="8" width="10" style="2131" customWidth="1"/>
    <col min="9" max="9" width="12.7109375" style="2131" bestFit="1" customWidth="1"/>
    <col min="10" max="10" width="20.7109375" style="2131" customWidth="1"/>
    <col min="11" max="11" width="20.140625" style="2131" customWidth="1"/>
    <col min="12" max="12" width="20.85546875" style="2131" customWidth="1"/>
    <col min="13" max="256" width="9.140625" style="2131"/>
    <col min="257" max="257" width="4.7109375" style="2131" customWidth="1"/>
    <col min="258" max="258" width="6.140625" style="2131" customWidth="1"/>
    <col min="259" max="259" width="8.7109375" style="2131" customWidth="1"/>
    <col min="260" max="260" width="42.140625" style="2131" customWidth="1"/>
    <col min="261" max="261" width="12.85546875" style="2131" customWidth="1"/>
    <col min="262" max="262" width="15.85546875" style="2131" customWidth="1"/>
    <col min="263" max="263" width="14.5703125" style="2131" customWidth="1"/>
    <col min="264" max="264" width="8.28515625" style="2131" customWidth="1"/>
    <col min="265" max="265" width="12.7109375" style="2131" bestFit="1" customWidth="1"/>
    <col min="266" max="266" width="20.7109375" style="2131" customWidth="1"/>
    <col min="267" max="267" width="20.140625" style="2131" customWidth="1"/>
    <col min="268" max="268" width="20.85546875" style="2131" customWidth="1"/>
    <col min="269" max="512" width="9.140625" style="2131"/>
    <col min="513" max="513" width="4.7109375" style="2131" customWidth="1"/>
    <col min="514" max="514" width="6.140625" style="2131" customWidth="1"/>
    <col min="515" max="515" width="8.7109375" style="2131" customWidth="1"/>
    <col min="516" max="516" width="42.140625" style="2131" customWidth="1"/>
    <col min="517" max="517" width="12.85546875" style="2131" customWidth="1"/>
    <col min="518" max="518" width="15.85546875" style="2131" customWidth="1"/>
    <col min="519" max="519" width="14.5703125" style="2131" customWidth="1"/>
    <col min="520" max="520" width="8.28515625" style="2131" customWidth="1"/>
    <col min="521" max="521" width="12.7109375" style="2131" bestFit="1" customWidth="1"/>
    <col min="522" max="522" width="20.7109375" style="2131" customWidth="1"/>
    <col min="523" max="523" width="20.140625" style="2131" customWidth="1"/>
    <col min="524" max="524" width="20.85546875" style="2131" customWidth="1"/>
    <col min="525" max="768" width="9.140625" style="2131"/>
    <col min="769" max="769" width="4.7109375" style="2131" customWidth="1"/>
    <col min="770" max="770" width="6.140625" style="2131" customWidth="1"/>
    <col min="771" max="771" width="8.7109375" style="2131" customWidth="1"/>
    <col min="772" max="772" width="42.140625" style="2131" customWidth="1"/>
    <col min="773" max="773" width="12.85546875" style="2131" customWidth="1"/>
    <col min="774" max="774" width="15.85546875" style="2131" customWidth="1"/>
    <col min="775" max="775" width="14.5703125" style="2131" customWidth="1"/>
    <col min="776" max="776" width="8.28515625" style="2131" customWidth="1"/>
    <col min="777" max="777" width="12.7109375" style="2131" bestFit="1" customWidth="1"/>
    <col min="778" max="778" width="20.7109375" style="2131" customWidth="1"/>
    <col min="779" max="779" width="20.140625" style="2131" customWidth="1"/>
    <col min="780" max="780" width="20.85546875" style="2131" customWidth="1"/>
    <col min="781" max="1024" width="9.140625" style="2131"/>
    <col min="1025" max="1025" width="4.7109375" style="2131" customWidth="1"/>
    <col min="1026" max="1026" width="6.140625" style="2131" customWidth="1"/>
    <col min="1027" max="1027" width="8.7109375" style="2131" customWidth="1"/>
    <col min="1028" max="1028" width="42.140625" style="2131" customWidth="1"/>
    <col min="1029" max="1029" width="12.85546875" style="2131" customWidth="1"/>
    <col min="1030" max="1030" width="15.85546875" style="2131" customWidth="1"/>
    <col min="1031" max="1031" width="14.5703125" style="2131" customWidth="1"/>
    <col min="1032" max="1032" width="8.28515625" style="2131" customWidth="1"/>
    <col min="1033" max="1033" width="12.7109375" style="2131" bestFit="1" customWidth="1"/>
    <col min="1034" max="1034" width="20.7109375" style="2131" customWidth="1"/>
    <col min="1035" max="1035" width="20.140625" style="2131" customWidth="1"/>
    <col min="1036" max="1036" width="20.85546875" style="2131" customWidth="1"/>
    <col min="1037" max="1280" width="9.140625" style="2131"/>
    <col min="1281" max="1281" width="4.7109375" style="2131" customWidth="1"/>
    <col min="1282" max="1282" width="6.140625" style="2131" customWidth="1"/>
    <col min="1283" max="1283" width="8.7109375" style="2131" customWidth="1"/>
    <col min="1284" max="1284" width="42.140625" style="2131" customWidth="1"/>
    <col min="1285" max="1285" width="12.85546875" style="2131" customWidth="1"/>
    <col min="1286" max="1286" width="15.85546875" style="2131" customWidth="1"/>
    <col min="1287" max="1287" width="14.5703125" style="2131" customWidth="1"/>
    <col min="1288" max="1288" width="8.28515625" style="2131" customWidth="1"/>
    <col min="1289" max="1289" width="12.7109375" style="2131" bestFit="1" customWidth="1"/>
    <col min="1290" max="1290" width="20.7109375" style="2131" customWidth="1"/>
    <col min="1291" max="1291" width="20.140625" style="2131" customWidth="1"/>
    <col min="1292" max="1292" width="20.85546875" style="2131" customWidth="1"/>
    <col min="1293" max="1536" width="9.140625" style="2131"/>
    <col min="1537" max="1537" width="4.7109375" style="2131" customWidth="1"/>
    <col min="1538" max="1538" width="6.140625" style="2131" customWidth="1"/>
    <col min="1539" max="1539" width="8.7109375" style="2131" customWidth="1"/>
    <col min="1540" max="1540" width="42.140625" style="2131" customWidth="1"/>
    <col min="1541" max="1541" width="12.85546875" style="2131" customWidth="1"/>
    <col min="1542" max="1542" width="15.85546875" style="2131" customWidth="1"/>
    <col min="1543" max="1543" width="14.5703125" style="2131" customWidth="1"/>
    <col min="1544" max="1544" width="8.28515625" style="2131" customWidth="1"/>
    <col min="1545" max="1545" width="12.7109375" style="2131" bestFit="1" customWidth="1"/>
    <col min="1546" max="1546" width="20.7109375" style="2131" customWidth="1"/>
    <col min="1547" max="1547" width="20.140625" style="2131" customWidth="1"/>
    <col min="1548" max="1548" width="20.85546875" style="2131" customWidth="1"/>
    <col min="1549" max="1792" width="9.140625" style="2131"/>
    <col min="1793" max="1793" width="4.7109375" style="2131" customWidth="1"/>
    <col min="1794" max="1794" width="6.140625" style="2131" customWidth="1"/>
    <col min="1795" max="1795" width="8.7109375" style="2131" customWidth="1"/>
    <col min="1796" max="1796" width="42.140625" style="2131" customWidth="1"/>
    <col min="1797" max="1797" width="12.85546875" style="2131" customWidth="1"/>
    <col min="1798" max="1798" width="15.85546875" style="2131" customWidth="1"/>
    <col min="1799" max="1799" width="14.5703125" style="2131" customWidth="1"/>
    <col min="1800" max="1800" width="8.28515625" style="2131" customWidth="1"/>
    <col min="1801" max="1801" width="12.7109375" style="2131" bestFit="1" customWidth="1"/>
    <col min="1802" max="1802" width="20.7109375" style="2131" customWidth="1"/>
    <col min="1803" max="1803" width="20.140625" style="2131" customWidth="1"/>
    <col min="1804" max="1804" width="20.85546875" style="2131" customWidth="1"/>
    <col min="1805" max="2048" width="9.140625" style="2131"/>
    <col min="2049" max="2049" width="4.7109375" style="2131" customWidth="1"/>
    <col min="2050" max="2050" width="6.140625" style="2131" customWidth="1"/>
    <col min="2051" max="2051" width="8.7109375" style="2131" customWidth="1"/>
    <col min="2052" max="2052" width="42.140625" style="2131" customWidth="1"/>
    <col min="2053" max="2053" width="12.85546875" style="2131" customWidth="1"/>
    <col min="2054" max="2054" width="15.85546875" style="2131" customWidth="1"/>
    <col min="2055" max="2055" width="14.5703125" style="2131" customWidth="1"/>
    <col min="2056" max="2056" width="8.28515625" style="2131" customWidth="1"/>
    <col min="2057" max="2057" width="12.7109375" style="2131" bestFit="1" customWidth="1"/>
    <col min="2058" max="2058" width="20.7109375" style="2131" customWidth="1"/>
    <col min="2059" max="2059" width="20.140625" style="2131" customWidth="1"/>
    <col min="2060" max="2060" width="20.85546875" style="2131" customWidth="1"/>
    <col min="2061" max="2304" width="9.140625" style="2131"/>
    <col min="2305" max="2305" width="4.7109375" style="2131" customWidth="1"/>
    <col min="2306" max="2306" width="6.140625" style="2131" customWidth="1"/>
    <col min="2307" max="2307" width="8.7109375" style="2131" customWidth="1"/>
    <col min="2308" max="2308" width="42.140625" style="2131" customWidth="1"/>
    <col min="2309" max="2309" width="12.85546875" style="2131" customWidth="1"/>
    <col min="2310" max="2310" width="15.85546875" style="2131" customWidth="1"/>
    <col min="2311" max="2311" width="14.5703125" style="2131" customWidth="1"/>
    <col min="2312" max="2312" width="8.28515625" style="2131" customWidth="1"/>
    <col min="2313" max="2313" width="12.7109375" style="2131" bestFit="1" customWidth="1"/>
    <col min="2314" max="2314" width="20.7109375" style="2131" customWidth="1"/>
    <col min="2315" max="2315" width="20.140625" style="2131" customWidth="1"/>
    <col min="2316" max="2316" width="20.85546875" style="2131" customWidth="1"/>
    <col min="2317" max="2560" width="9.140625" style="2131"/>
    <col min="2561" max="2561" width="4.7109375" style="2131" customWidth="1"/>
    <col min="2562" max="2562" width="6.140625" style="2131" customWidth="1"/>
    <col min="2563" max="2563" width="8.7109375" style="2131" customWidth="1"/>
    <col min="2564" max="2564" width="42.140625" style="2131" customWidth="1"/>
    <col min="2565" max="2565" width="12.85546875" style="2131" customWidth="1"/>
    <col min="2566" max="2566" width="15.85546875" style="2131" customWidth="1"/>
    <col min="2567" max="2567" width="14.5703125" style="2131" customWidth="1"/>
    <col min="2568" max="2568" width="8.28515625" style="2131" customWidth="1"/>
    <col min="2569" max="2569" width="12.7109375" style="2131" bestFit="1" customWidth="1"/>
    <col min="2570" max="2570" width="20.7109375" style="2131" customWidth="1"/>
    <col min="2571" max="2571" width="20.140625" style="2131" customWidth="1"/>
    <col min="2572" max="2572" width="20.85546875" style="2131" customWidth="1"/>
    <col min="2573" max="2816" width="9.140625" style="2131"/>
    <col min="2817" max="2817" width="4.7109375" style="2131" customWidth="1"/>
    <col min="2818" max="2818" width="6.140625" style="2131" customWidth="1"/>
    <col min="2819" max="2819" width="8.7109375" style="2131" customWidth="1"/>
    <col min="2820" max="2820" width="42.140625" style="2131" customWidth="1"/>
    <col min="2821" max="2821" width="12.85546875" style="2131" customWidth="1"/>
    <col min="2822" max="2822" width="15.85546875" style="2131" customWidth="1"/>
    <col min="2823" max="2823" width="14.5703125" style="2131" customWidth="1"/>
    <col min="2824" max="2824" width="8.28515625" style="2131" customWidth="1"/>
    <col min="2825" max="2825" width="12.7109375" style="2131" bestFit="1" customWidth="1"/>
    <col min="2826" max="2826" width="20.7109375" style="2131" customWidth="1"/>
    <col min="2827" max="2827" width="20.140625" style="2131" customWidth="1"/>
    <col min="2828" max="2828" width="20.85546875" style="2131" customWidth="1"/>
    <col min="2829" max="3072" width="9.140625" style="2131"/>
    <col min="3073" max="3073" width="4.7109375" style="2131" customWidth="1"/>
    <col min="3074" max="3074" width="6.140625" style="2131" customWidth="1"/>
    <col min="3075" max="3075" width="8.7109375" style="2131" customWidth="1"/>
    <col min="3076" max="3076" width="42.140625" style="2131" customWidth="1"/>
    <col min="3077" max="3077" width="12.85546875" style="2131" customWidth="1"/>
    <col min="3078" max="3078" width="15.85546875" style="2131" customWidth="1"/>
    <col min="3079" max="3079" width="14.5703125" style="2131" customWidth="1"/>
    <col min="3080" max="3080" width="8.28515625" style="2131" customWidth="1"/>
    <col min="3081" max="3081" width="12.7109375" style="2131" bestFit="1" customWidth="1"/>
    <col min="3082" max="3082" width="20.7109375" style="2131" customWidth="1"/>
    <col min="3083" max="3083" width="20.140625" style="2131" customWidth="1"/>
    <col min="3084" max="3084" width="20.85546875" style="2131" customWidth="1"/>
    <col min="3085" max="3328" width="9.140625" style="2131"/>
    <col min="3329" max="3329" width="4.7109375" style="2131" customWidth="1"/>
    <col min="3330" max="3330" width="6.140625" style="2131" customWidth="1"/>
    <col min="3331" max="3331" width="8.7109375" style="2131" customWidth="1"/>
    <col min="3332" max="3332" width="42.140625" style="2131" customWidth="1"/>
    <col min="3333" max="3333" width="12.85546875" style="2131" customWidth="1"/>
    <col min="3334" max="3334" width="15.85546875" style="2131" customWidth="1"/>
    <col min="3335" max="3335" width="14.5703125" style="2131" customWidth="1"/>
    <col min="3336" max="3336" width="8.28515625" style="2131" customWidth="1"/>
    <col min="3337" max="3337" width="12.7109375" style="2131" bestFit="1" customWidth="1"/>
    <col min="3338" max="3338" width="20.7109375" style="2131" customWidth="1"/>
    <col min="3339" max="3339" width="20.140625" style="2131" customWidth="1"/>
    <col min="3340" max="3340" width="20.85546875" style="2131" customWidth="1"/>
    <col min="3341" max="3584" width="9.140625" style="2131"/>
    <col min="3585" max="3585" width="4.7109375" style="2131" customWidth="1"/>
    <col min="3586" max="3586" width="6.140625" style="2131" customWidth="1"/>
    <col min="3587" max="3587" width="8.7109375" style="2131" customWidth="1"/>
    <col min="3588" max="3588" width="42.140625" style="2131" customWidth="1"/>
    <col min="3589" max="3589" width="12.85546875" style="2131" customWidth="1"/>
    <col min="3590" max="3590" width="15.85546875" style="2131" customWidth="1"/>
    <col min="3591" max="3591" width="14.5703125" style="2131" customWidth="1"/>
    <col min="3592" max="3592" width="8.28515625" style="2131" customWidth="1"/>
    <col min="3593" max="3593" width="12.7109375" style="2131" bestFit="1" customWidth="1"/>
    <col min="3594" max="3594" width="20.7109375" style="2131" customWidth="1"/>
    <col min="3595" max="3595" width="20.140625" style="2131" customWidth="1"/>
    <col min="3596" max="3596" width="20.85546875" style="2131" customWidth="1"/>
    <col min="3597" max="3840" width="9.140625" style="2131"/>
    <col min="3841" max="3841" width="4.7109375" style="2131" customWidth="1"/>
    <col min="3842" max="3842" width="6.140625" style="2131" customWidth="1"/>
    <col min="3843" max="3843" width="8.7109375" style="2131" customWidth="1"/>
    <col min="3844" max="3844" width="42.140625" style="2131" customWidth="1"/>
    <col min="3845" max="3845" width="12.85546875" style="2131" customWidth="1"/>
    <col min="3846" max="3846" width="15.85546875" style="2131" customWidth="1"/>
    <col min="3847" max="3847" width="14.5703125" style="2131" customWidth="1"/>
    <col min="3848" max="3848" width="8.28515625" style="2131" customWidth="1"/>
    <col min="3849" max="3849" width="12.7109375" style="2131" bestFit="1" customWidth="1"/>
    <col min="3850" max="3850" width="20.7109375" style="2131" customWidth="1"/>
    <col min="3851" max="3851" width="20.140625" style="2131" customWidth="1"/>
    <col min="3852" max="3852" width="20.85546875" style="2131" customWidth="1"/>
    <col min="3853" max="4096" width="9.140625" style="2131"/>
    <col min="4097" max="4097" width="4.7109375" style="2131" customWidth="1"/>
    <col min="4098" max="4098" width="6.140625" style="2131" customWidth="1"/>
    <col min="4099" max="4099" width="8.7109375" style="2131" customWidth="1"/>
    <col min="4100" max="4100" width="42.140625" style="2131" customWidth="1"/>
    <col min="4101" max="4101" width="12.85546875" style="2131" customWidth="1"/>
    <col min="4102" max="4102" width="15.85546875" style="2131" customWidth="1"/>
    <col min="4103" max="4103" width="14.5703125" style="2131" customWidth="1"/>
    <col min="4104" max="4104" width="8.28515625" style="2131" customWidth="1"/>
    <col min="4105" max="4105" width="12.7109375" style="2131" bestFit="1" customWidth="1"/>
    <col min="4106" max="4106" width="20.7109375" style="2131" customWidth="1"/>
    <col min="4107" max="4107" width="20.140625" style="2131" customWidth="1"/>
    <col min="4108" max="4108" width="20.85546875" style="2131" customWidth="1"/>
    <col min="4109" max="4352" width="9.140625" style="2131"/>
    <col min="4353" max="4353" width="4.7109375" style="2131" customWidth="1"/>
    <col min="4354" max="4354" width="6.140625" style="2131" customWidth="1"/>
    <col min="4355" max="4355" width="8.7109375" style="2131" customWidth="1"/>
    <col min="4356" max="4356" width="42.140625" style="2131" customWidth="1"/>
    <col min="4357" max="4357" width="12.85546875" style="2131" customWidth="1"/>
    <col min="4358" max="4358" width="15.85546875" style="2131" customWidth="1"/>
    <col min="4359" max="4359" width="14.5703125" style="2131" customWidth="1"/>
    <col min="4360" max="4360" width="8.28515625" style="2131" customWidth="1"/>
    <col min="4361" max="4361" width="12.7109375" style="2131" bestFit="1" customWidth="1"/>
    <col min="4362" max="4362" width="20.7109375" style="2131" customWidth="1"/>
    <col min="4363" max="4363" width="20.140625" style="2131" customWidth="1"/>
    <col min="4364" max="4364" width="20.85546875" style="2131" customWidth="1"/>
    <col min="4365" max="4608" width="9.140625" style="2131"/>
    <col min="4609" max="4609" width="4.7109375" style="2131" customWidth="1"/>
    <col min="4610" max="4610" width="6.140625" style="2131" customWidth="1"/>
    <col min="4611" max="4611" width="8.7109375" style="2131" customWidth="1"/>
    <col min="4612" max="4612" width="42.140625" style="2131" customWidth="1"/>
    <col min="4613" max="4613" width="12.85546875" style="2131" customWidth="1"/>
    <col min="4614" max="4614" width="15.85546875" style="2131" customWidth="1"/>
    <col min="4615" max="4615" width="14.5703125" style="2131" customWidth="1"/>
    <col min="4616" max="4616" width="8.28515625" style="2131" customWidth="1"/>
    <col min="4617" max="4617" width="12.7109375" style="2131" bestFit="1" customWidth="1"/>
    <col min="4618" max="4618" width="20.7109375" style="2131" customWidth="1"/>
    <col min="4619" max="4619" width="20.140625" style="2131" customWidth="1"/>
    <col min="4620" max="4620" width="20.85546875" style="2131" customWidth="1"/>
    <col min="4621" max="4864" width="9.140625" style="2131"/>
    <col min="4865" max="4865" width="4.7109375" style="2131" customWidth="1"/>
    <col min="4866" max="4866" width="6.140625" style="2131" customWidth="1"/>
    <col min="4867" max="4867" width="8.7109375" style="2131" customWidth="1"/>
    <col min="4868" max="4868" width="42.140625" style="2131" customWidth="1"/>
    <col min="4869" max="4869" width="12.85546875" style="2131" customWidth="1"/>
    <col min="4870" max="4870" width="15.85546875" style="2131" customWidth="1"/>
    <col min="4871" max="4871" width="14.5703125" style="2131" customWidth="1"/>
    <col min="4872" max="4872" width="8.28515625" style="2131" customWidth="1"/>
    <col min="4873" max="4873" width="12.7109375" style="2131" bestFit="1" customWidth="1"/>
    <col min="4874" max="4874" width="20.7109375" style="2131" customWidth="1"/>
    <col min="4875" max="4875" width="20.140625" style="2131" customWidth="1"/>
    <col min="4876" max="4876" width="20.85546875" style="2131" customWidth="1"/>
    <col min="4877" max="5120" width="9.140625" style="2131"/>
    <col min="5121" max="5121" width="4.7109375" style="2131" customWidth="1"/>
    <col min="5122" max="5122" width="6.140625" style="2131" customWidth="1"/>
    <col min="5123" max="5123" width="8.7109375" style="2131" customWidth="1"/>
    <col min="5124" max="5124" width="42.140625" style="2131" customWidth="1"/>
    <col min="5125" max="5125" width="12.85546875" style="2131" customWidth="1"/>
    <col min="5126" max="5126" width="15.85546875" style="2131" customWidth="1"/>
    <col min="5127" max="5127" width="14.5703125" style="2131" customWidth="1"/>
    <col min="5128" max="5128" width="8.28515625" style="2131" customWidth="1"/>
    <col min="5129" max="5129" width="12.7109375" style="2131" bestFit="1" customWidth="1"/>
    <col min="5130" max="5130" width="20.7109375" style="2131" customWidth="1"/>
    <col min="5131" max="5131" width="20.140625" style="2131" customWidth="1"/>
    <col min="5132" max="5132" width="20.85546875" style="2131" customWidth="1"/>
    <col min="5133" max="5376" width="9.140625" style="2131"/>
    <col min="5377" max="5377" width="4.7109375" style="2131" customWidth="1"/>
    <col min="5378" max="5378" width="6.140625" style="2131" customWidth="1"/>
    <col min="5379" max="5379" width="8.7109375" style="2131" customWidth="1"/>
    <col min="5380" max="5380" width="42.140625" style="2131" customWidth="1"/>
    <col min="5381" max="5381" width="12.85546875" style="2131" customWidth="1"/>
    <col min="5382" max="5382" width="15.85546875" style="2131" customWidth="1"/>
    <col min="5383" max="5383" width="14.5703125" style="2131" customWidth="1"/>
    <col min="5384" max="5384" width="8.28515625" style="2131" customWidth="1"/>
    <col min="5385" max="5385" width="12.7109375" style="2131" bestFit="1" customWidth="1"/>
    <col min="5386" max="5386" width="20.7109375" style="2131" customWidth="1"/>
    <col min="5387" max="5387" width="20.140625" style="2131" customWidth="1"/>
    <col min="5388" max="5388" width="20.85546875" style="2131" customWidth="1"/>
    <col min="5389" max="5632" width="9.140625" style="2131"/>
    <col min="5633" max="5633" width="4.7109375" style="2131" customWidth="1"/>
    <col min="5634" max="5634" width="6.140625" style="2131" customWidth="1"/>
    <col min="5635" max="5635" width="8.7109375" style="2131" customWidth="1"/>
    <col min="5636" max="5636" width="42.140625" style="2131" customWidth="1"/>
    <col min="5637" max="5637" width="12.85546875" style="2131" customWidth="1"/>
    <col min="5638" max="5638" width="15.85546875" style="2131" customWidth="1"/>
    <col min="5639" max="5639" width="14.5703125" style="2131" customWidth="1"/>
    <col min="5640" max="5640" width="8.28515625" style="2131" customWidth="1"/>
    <col min="5641" max="5641" width="12.7109375" style="2131" bestFit="1" customWidth="1"/>
    <col min="5642" max="5642" width="20.7109375" style="2131" customWidth="1"/>
    <col min="5643" max="5643" width="20.140625" style="2131" customWidth="1"/>
    <col min="5644" max="5644" width="20.85546875" style="2131" customWidth="1"/>
    <col min="5645" max="5888" width="9.140625" style="2131"/>
    <col min="5889" max="5889" width="4.7109375" style="2131" customWidth="1"/>
    <col min="5890" max="5890" width="6.140625" style="2131" customWidth="1"/>
    <col min="5891" max="5891" width="8.7109375" style="2131" customWidth="1"/>
    <col min="5892" max="5892" width="42.140625" style="2131" customWidth="1"/>
    <col min="5893" max="5893" width="12.85546875" style="2131" customWidth="1"/>
    <col min="5894" max="5894" width="15.85546875" style="2131" customWidth="1"/>
    <col min="5895" max="5895" width="14.5703125" style="2131" customWidth="1"/>
    <col min="5896" max="5896" width="8.28515625" style="2131" customWidth="1"/>
    <col min="5897" max="5897" width="12.7109375" style="2131" bestFit="1" customWidth="1"/>
    <col min="5898" max="5898" width="20.7109375" style="2131" customWidth="1"/>
    <col min="5899" max="5899" width="20.140625" style="2131" customWidth="1"/>
    <col min="5900" max="5900" width="20.85546875" style="2131" customWidth="1"/>
    <col min="5901" max="6144" width="9.140625" style="2131"/>
    <col min="6145" max="6145" width="4.7109375" style="2131" customWidth="1"/>
    <col min="6146" max="6146" width="6.140625" style="2131" customWidth="1"/>
    <col min="6147" max="6147" width="8.7109375" style="2131" customWidth="1"/>
    <col min="6148" max="6148" width="42.140625" style="2131" customWidth="1"/>
    <col min="6149" max="6149" width="12.85546875" style="2131" customWidth="1"/>
    <col min="6150" max="6150" width="15.85546875" style="2131" customWidth="1"/>
    <col min="6151" max="6151" width="14.5703125" style="2131" customWidth="1"/>
    <col min="6152" max="6152" width="8.28515625" style="2131" customWidth="1"/>
    <col min="6153" max="6153" width="12.7109375" style="2131" bestFit="1" customWidth="1"/>
    <col min="6154" max="6154" width="20.7109375" style="2131" customWidth="1"/>
    <col min="6155" max="6155" width="20.140625" style="2131" customWidth="1"/>
    <col min="6156" max="6156" width="20.85546875" style="2131" customWidth="1"/>
    <col min="6157" max="6400" width="9.140625" style="2131"/>
    <col min="6401" max="6401" width="4.7109375" style="2131" customWidth="1"/>
    <col min="6402" max="6402" width="6.140625" style="2131" customWidth="1"/>
    <col min="6403" max="6403" width="8.7109375" style="2131" customWidth="1"/>
    <col min="6404" max="6404" width="42.140625" style="2131" customWidth="1"/>
    <col min="6405" max="6405" width="12.85546875" style="2131" customWidth="1"/>
    <col min="6406" max="6406" width="15.85546875" style="2131" customWidth="1"/>
    <col min="6407" max="6407" width="14.5703125" style="2131" customWidth="1"/>
    <col min="6408" max="6408" width="8.28515625" style="2131" customWidth="1"/>
    <col min="6409" max="6409" width="12.7109375" style="2131" bestFit="1" customWidth="1"/>
    <col min="6410" max="6410" width="20.7109375" style="2131" customWidth="1"/>
    <col min="6411" max="6411" width="20.140625" style="2131" customWidth="1"/>
    <col min="6412" max="6412" width="20.85546875" style="2131" customWidth="1"/>
    <col min="6413" max="6656" width="9.140625" style="2131"/>
    <col min="6657" max="6657" width="4.7109375" style="2131" customWidth="1"/>
    <col min="6658" max="6658" width="6.140625" style="2131" customWidth="1"/>
    <col min="6659" max="6659" width="8.7109375" style="2131" customWidth="1"/>
    <col min="6660" max="6660" width="42.140625" style="2131" customWidth="1"/>
    <col min="6661" max="6661" width="12.85546875" style="2131" customWidth="1"/>
    <col min="6662" max="6662" width="15.85546875" style="2131" customWidth="1"/>
    <col min="6663" max="6663" width="14.5703125" style="2131" customWidth="1"/>
    <col min="6664" max="6664" width="8.28515625" style="2131" customWidth="1"/>
    <col min="6665" max="6665" width="12.7109375" style="2131" bestFit="1" customWidth="1"/>
    <col min="6666" max="6666" width="20.7109375" style="2131" customWidth="1"/>
    <col min="6667" max="6667" width="20.140625" style="2131" customWidth="1"/>
    <col min="6668" max="6668" width="20.85546875" style="2131" customWidth="1"/>
    <col min="6669" max="6912" width="9.140625" style="2131"/>
    <col min="6913" max="6913" width="4.7109375" style="2131" customWidth="1"/>
    <col min="6914" max="6914" width="6.140625" style="2131" customWidth="1"/>
    <col min="6915" max="6915" width="8.7109375" style="2131" customWidth="1"/>
    <col min="6916" max="6916" width="42.140625" style="2131" customWidth="1"/>
    <col min="6917" max="6917" width="12.85546875" style="2131" customWidth="1"/>
    <col min="6918" max="6918" width="15.85546875" style="2131" customWidth="1"/>
    <col min="6919" max="6919" width="14.5703125" style="2131" customWidth="1"/>
    <col min="6920" max="6920" width="8.28515625" style="2131" customWidth="1"/>
    <col min="6921" max="6921" width="12.7109375" style="2131" bestFit="1" customWidth="1"/>
    <col min="6922" max="6922" width="20.7109375" style="2131" customWidth="1"/>
    <col min="6923" max="6923" width="20.140625" style="2131" customWidth="1"/>
    <col min="6924" max="6924" width="20.85546875" style="2131" customWidth="1"/>
    <col min="6925" max="7168" width="9.140625" style="2131"/>
    <col min="7169" max="7169" width="4.7109375" style="2131" customWidth="1"/>
    <col min="7170" max="7170" width="6.140625" style="2131" customWidth="1"/>
    <col min="7171" max="7171" width="8.7109375" style="2131" customWidth="1"/>
    <col min="7172" max="7172" width="42.140625" style="2131" customWidth="1"/>
    <col min="7173" max="7173" width="12.85546875" style="2131" customWidth="1"/>
    <col min="7174" max="7174" width="15.85546875" style="2131" customWidth="1"/>
    <col min="7175" max="7175" width="14.5703125" style="2131" customWidth="1"/>
    <col min="7176" max="7176" width="8.28515625" style="2131" customWidth="1"/>
    <col min="7177" max="7177" width="12.7109375" style="2131" bestFit="1" customWidth="1"/>
    <col min="7178" max="7178" width="20.7109375" style="2131" customWidth="1"/>
    <col min="7179" max="7179" width="20.140625" style="2131" customWidth="1"/>
    <col min="7180" max="7180" width="20.85546875" style="2131" customWidth="1"/>
    <col min="7181" max="7424" width="9.140625" style="2131"/>
    <col min="7425" max="7425" width="4.7109375" style="2131" customWidth="1"/>
    <col min="7426" max="7426" width="6.140625" style="2131" customWidth="1"/>
    <col min="7427" max="7427" width="8.7109375" style="2131" customWidth="1"/>
    <col min="7428" max="7428" width="42.140625" style="2131" customWidth="1"/>
    <col min="7429" max="7429" width="12.85546875" style="2131" customWidth="1"/>
    <col min="7430" max="7430" width="15.85546875" style="2131" customWidth="1"/>
    <col min="7431" max="7431" width="14.5703125" style="2131" customWidth="1"/>
    <col min="7432" max="7432" width="8.28515625" style="2131" customWidth="1"/>
    <col min="7433" max="7433" width="12.7109375" style="2131" bestFit="1" customWidth="1"/>
    <col min="7434" max="7434" width="20.7109375" style="2131" customWidth="1"/>
    <col min="7435" max="7435" width="20.140625" style="2131" customWidth="1"/>
    <col min="7436" max="7436" width="20.85546875" style="2131" customWidth="1"/>
    <col min="7437" max="7680" width="9.140625" style="2131"/>
    <col min="7681" max="7681" width="4.7109375" style="2131" customWidth="1"/>
    <col min="7682" max="7682" width="6.140625" style="2131" customWidth="1"/>
    <col min="7683" max="7683" width="8.7109375" style="2131" customWidth="1"/>
    <col min="7684" max="7684" width="42.140625" style="2131" customWidth="1"/>
    <col min="7685" max="7685" width="12.85546875" style="2131" customWidth="1"/>
    <col min="7686" max="7686" width="15.85546875" style="2131" customWidth="1"/>
    <col min="7687" max="7687" width="14.5703125" style="2131" customWidth="1"/>
    <col min="7688" max="7688" width="8.28515625" style="2131" customWidth="1"/>
    <col min="7689" max="7689" width="12.7109375" style="2131" bestFit="1" customWidth="1"/>
    <col min="7690" max="7690" width="20.7109375" style="2131" customWidth="1"/>
    <col min="7691" max="7691" width="20.140625" style="2131" customWidth="1"/>
    <col min="7692" max="7692" width="20.85546875" style="2131" customWidth="1"/>
    <col min="7693" max="7936" width="9.140625" style="2131"/>
    <col min="7937" max="7937" width="4.7109375" style="2131" customWidth="1"/>
    <col min="7938" max="7938" width="6.140625" style="2131" customWidth="1"/>
    <col min="7939" max="7939" width="8.7109375" style="2131" customWidth="1"/>
    <col min="7940" max="7940" width="42.140625" style="2131" customWidth="1"/>
    <col min="7941" max="7941" width="12.85546875" style="2131" customWidth="1"/>
    <col min="7942" max="7942" width="15.85546875" style="2131" customWidth="1"/>
    <col min="7943" max="7943" width="14.5703125" style="2131" customWidth="1"/>
    <col min="7944" max="7944" width="8.28515625" style="2131" customWidth="1"/>
    <col min="7945" max="7945" width="12.7109375" style="2131" bestFit="1" customWidth="1"/>
    <col min="7946" max="7946" width="20.7109375" style="2131" customWidth="1"/>
    <col min="7947" max="7947" width="20.140625" style="2131" customWidth="1"/>
    <col min="7948" max="7948" width="20.85546875" style="2131" customWidth="1"/>
    <col min="7949" max="8192" width="9.140625" style="2131"/>
    <col min="8193" max="8193" width="4.7109375" style="2131" customWidth="1"/>
    <col min="8194" max="8194" width="6.140625" style="2131" customWidth="1"/>
    <col min="8195" max="8195" width="8.7109375" style="2131" customWidth="1"/>
    <col min="8196" max="8196" width="42.140625" style="2131" customWidth="1"/>
    <col min="8197" max="8197" width="12.85546875" style="2131" customWidth="1"/>
    <col min="8198" max="8198" width="15.85546875" style="2131" customWidth="1"/>
    <col min="8199" max="8199" width="14.5703125" style="2131" customWidth="1"/>
    <col min="8200" max="8200" width="8.28515625" style="2131" customWidth="1"/>
    <col min="8201" max="8201" width="12.7109375" style="2131" bestFit="1" customWidth="1"/>
    <col min="8202" max="8202" width="20.7109375" style="2131" customWidth="1"/>
    <col min="8203" max="8203" width="20.140625" style="2131" customWidth="1"/>
    <col min="8204" max="8204" width="20.85546875" style="2131" customWidth="1"/>
    <col min="8205" max="8448" width="9.140625" style="2131"/>
    <col min="8449" max="8449" width="4.7109375" style="2131" customWidth="1"/>
    <col min="8450" max="8450" width="6.140625" style="2131" customWidth="1"/>
    <col min="8451" max="8451" width="8.7109375" style="2131" customWidth="1"/>
    <col min="8452" max="8452" width="42.140625" style="2131" customWidth="1"/>
    <col min="8453" max="8453" width="12.85546875" style="2131" customWidth="1"/>
    <col min="8454" max="8454" width="15.85546875" style="2131" customWidth="1"/>
    <col min="8455" max="8455" width="14.5703125" style="2131" customWidth="1"/>
    <col min="8456" max="8456" width="8.28515625" style="2131" customWidth="1"/>
    <col min="8457" max="8457" width="12.7109375" style="2131" bestFit="1" customWidth="1"/>
    <col min="8458" max="8458" width="20.7109375" style="2131" customWidth="1"/>
    <col min="8459" max="8459" width="20.140625" style="2131" customWidth="1"/>
    <col min="8460" max="8460" width="20.85546875" style="2131" customWidth="1"/>
    <col min="8461" max="8704" width="9.140625" style="2131"/>
    <col min="8705" max="8705" width="4.7109375" style="2131" customWidth="1"/>
    <col min="8706" max="8706" width="6.140625" style="2131" customWidth="1"/>
    <col min="8707" max="8707" width="8.7109375" style="2131" customWidth="1"/>
    <col min="8708" max="8708" width="42.140625" style="2131" customWidth="1"/>
    <col min="8709" max="8709" width="12.85546875" style="2131" customWidth="1"/>
    <col min="8710" max="8710" width="15.85546875" style="2131" customWidth="1"/>
    <col min="8711" max="8711" width="14.5703125" style="2131" customWidth="1"/>
    <col min="8712" max="8712" width="8.28515625" style="2131" customWidth="1"/>
    <col min="8713" max="8713" width="12.7109375" style="2131" bestFit="1" customWidth="1"/>
    <col min="8714" max="8714" width="20.7109375" style="2131" customWidth="1"/>
    <col min="8715" max="8715" width="20.140625" style="2131" customWidth="1"/>
    <col min="8716" max="8716" width="20.85546875" style="2131" customWidth="1"/>
    <col min="8717" max="8960" width="9.140625" style="2131"/>
    <col min="8961" max="8961" width="4.7109375" style="2131" customWidth="1"/>
    <col min="8962" max="8962" width="6.140625" style="2131" customWidth="1"/>
    <col min="8963" max="8963" width="8.7109375" style="2131" customWidth="1"/>
    <col min="8964" max="8964" width="42.140625" style="2131" customWidth="1"/>
    <col min="8965" max="8965" width="12.85546875" style="2131" customWidth="1"/>
    <col min="8966" max="8966" width="15.85546875" style="2131" customWidth="1"/>
    <col min="8967" max="8967" width="14.5703125" style="2131" customWidth="1"/>
    <col min="8968" max="8968" width="8.28515625" style="2131" customWidth="1"/>
    <col min="8969" max="8969" width="12.7109375" style="2131" bestFit="1" customWidth="1"/>
    <col min="8970" max="8970" width="20.7109375" style="2131" customWidth="1"/>
    <col min="8971" max="8971" width="20.140625" style="2131" customWidth="1"/>
    <col min="8972" max="8972" width="20.85546875" style="2131" customWidth="1"/>
    <col min="8973" max="9216" width="9.140625" style="2131"/>
    <col min="9217" max="9217" width="4.7109375" style="2131" customWidth="1"/>
    <col min="9218" max="9218" width="6.140625" style="2131" customWidth="1"/>
    <col min="9219" max="9219" width="8.7109375" style="2131" customWidth="1"/>
    <col min="9220" max="9220" width="42.140625" style="2131" customWidth="1"/>
    <col min="9221" max="9221" width="12.85546875" style="2131" customWidth="1"/>
    <col min="9222" max="9222" width="15.85546875" style="2131" customWidth="1"/>
    <col min="9223" max="9223" width="14.5703125" style="2131" customWidth="1"/>
    <col min="9224" max="9224" width="8.28515625" style="2131" customWidth="1"/>
    <col min="9225" max="9225" width="12.7109375" style="2131" bestFit="1" customWidth="1"/>
    <col min="9226" max="9226" width="20.7109375" style="2131" customWidth="1"/>
    <col min="9227" max="9227" width="20.140625" style="2131" customWidth="1"/>
    <col min="9228" max="9228" width="20.85546875" style="2131" customWidth="1"/>
    <col min="9229" max="9472" width="9.140625" style="2131"/>
    <col min="9473" max="9473" width="4.7109375" style="2131" customWidth="1"/>
    <col min="9474" max="9474" width="6.140625" style="2131" customWidth="1"/>
    <col min="9475" max="9475" width="8.7109375" style="2131" customWidth="1"/>
    <col min="9476" max="9476" width="42.140625" style="2131" customWidth="1"/>
    <col min="9477" max="9477" width="12.85546875" style="2131" customWidth="1"/>
    <col min="9478" max="9478" width="15.85546875" style="2131" customWidth="1"/>
    <col min="9479" max="9479" width="14.5703125" style="2131" customWidth="1"/>
    <col min="9480" max="9480" width="8.28515625" style="2131" customWidth="1"/>
    <col min="9481" max="9481" width="12.7109375" style="2131" bestFit="1" customWidth="1"/>
    <col min="9482" max="9482" width="20.7109375" style="2131" customWidth="1"/>
    <col min="9483" max="9483" width="20.140625" style="2131" customWidth="1"/>
    <col min="9484" max="9484" width="20.85546875" style="2131" customWidth="1"/>
    <col min="9485" max="9728" width="9.140625" style="2131"/>
    <col min="9729" max="9729" width="4.7109375" style="2131" customWidth="1"/>
    <col min="9730" max="9730" width="6.140625" style="2131" customWidth="1"/>
    <col min="9731" max="9731" width="8.7109375" style="2131" customWidth="1"/>
    <col min="9732" max="9732" width="42.140625" style="2131" customWidth="1"/>
    <col min="9733" max="9733" width="12.85546875" style="2131" customWidth="1"/>
    <col min="9734" max="9734" width="15.85546875" style="2131" customWidth="1"/>
    <col min="9735" max="9735" width="14.5703125" style="2131" customWidth="1"/>
    <col min="9736" max="9736" width="8.28515625" style="2131" customWidth="1"/>
    <col min="9737" max="9737" width="12.7109375" style="2131" bestFit="1" customWidth="1"/>
    <col min="9738" max="9738" width="20.7109375" style="2131" customWidth="1"/>
    <col min="9739" max="9739" width="20.140625" style="2131" customWidth="1"/>
    <col min="9740" max="9740" width="20.85546875" style="2131" customWidth="1"/>
    <col min="9741" max="9984" width="9.140625" style="2131"/>
    <col min="9985" max="9985" width="4.7109375" style="2131" customWidth="1"/>
    <col min="9986" max="9986" width="6.140625" style="2131" customWidth="1"/>
    <col min="9987" max="9987" width="8.7109375" style="2131" customWidth="1"/>
    <col min="9988" max="9988" width="42.140625" style="2131" customWidth="1"/>
    <col min="9989" max="9989" width="12.85546875" style="2131" customWidth="1"/>
    <col min="9990" max="9990" width="15.85546875" style="2131" customWidth="1"/>
    <col min="9991" max="9991" width="14.5703125" style="2131" customWidth="1"/>
    <col min="9992" max="9992" width="8.28515625" style="2131" customWidth="1"/>
    <col min="9993" max="9993" width="12.7109375" style="2131" bestFit="1" customWidth="1"/>
    <col min="9994" max="9994" width="20.7109375" style="2131" customWidth="1"/>
    <col min="9995" max="9995" width="20.140625" style="2131" customWidth="1"/>
    <col min="9996" max="9996" width="20.85546875" style="2131" customWidth="1"/>
    <col min="9997" max="10240" width="9.140625" style="2131"/>
    <col min="10241" max="10241" width="4.7109375" style="2131" customWidth="1"/>
    <col min="10242" max="10242" width="6.140625" style="2131" customWidth="1"/>
    <col min="10243" max="10243" width="8.7109375" style="2131" customWidth="1"/>
    <col min="10244" max="10244" width="42.140625" style="2131" customWidth="1"/>
    <col min="10245" max="10245" width="12.85546875" style="2131" customWidth="1"/>
    <col min="10246" max="10246" width="15.85546875" style="2131" customWidth="1"/>
    <col min="10247" max="10247" width="14.5703125" style="2131" customWidth="1"/>
    <col min="10248" max="10248" width="8.28515625" style="2131" customWidth="1"/>
    <col min="10249" max="10249" width="12.7109375" style="2131" bestFit="1" customWidth="1"/>
    <col min="10250" max="10250" width="20.7109375" style="2131" customWidth="1"/>
    <col min="10251" max="10251" width="20.140625" style="2131" customWidth="1"/>
    <col min="10252" max="10252" width="20.85546875" style="2131" customWidth="1"/>
    <col min="10253" max="10496" width="9.140625" style="2131"/>
    <col min="10497" max="10497" width="4.7109375" style="2131" customWidth="1"/>
    <col min="10498" max="10498" width="6.140625" style="2131" customWidth="1"/>
    <col min="10499" max="10499" width="8.7109375" style="2131" customWidth="1"/>
    <col min="10500" max="10500" width="42.140625" style="2131" customWidth="1"/>
    <col min="10501" max="10501" width="12.85546875" style="2131" customWidth="1"/>
    <col min="10502" max="10502" width="15.85546875" style="2131" customWidth="1"/>
    <col min="10503" max="10503" width="14.5703125" style="2131" customWidth="1"/>
    <col min="10504" max="10504" width="8.28515625" style="2131" customWidth="1"/>
    <col min="10505" max="10505" width="12.7109375" style="2131" bestFit="1" customWidth="1"/>
    <col min="10506" max="10506" width="20.7109375" style="2131" customWidth="1"/>
    <col min="10507" max="10507" width="20.140625" style="2131" customWidth="1"/>
    <col min="10508" max="10508" width="20.85546875" style="2131" customWidth="1"/>
    <col min="10509" max="10752" width="9.140625" style="2131"/>
    <col min="10753" max="10753" width="4.7109375" style="2131" customWidth="1"/>
    <col min="10754" max="10754" width="6.140625" style="2131" customWidth="1"/>
    <col min="10755" max="10755" width="8.7109375" style="2131" customWidth="1"/>
    <col min="10756" max="10756" width="42.140625" style="2131" customWidth="1"/>
    <col min="10757" max="10757" width="12.85546875" style="2131" customWidth="1"/>
    <col min="10758" max="10758" width="15.85546875" style="2131" customWidth="1"/>
    <col min="10759" max="10759" width="14.5703125" style="2131" customWidth="1"/>
    <col min="10760" max="10760" width="8.28515625" style="2131" customWidth="1"/>
    <col min="10761" max="10761" width="12.7109375" style="2131" bestFit="1" customWidth="1"/>
    <col min="10762" max="10762" width="20.7109375" style="2131" customWidth="1"/>
    <col min="10763" max="10763" width="20.140625" style="2131" customWidth="1"/>
    <col min="10764" max="10764" width="20.85546875" style="2131" customWidth="1"/>
    <col min="10765" max="11008" width="9.140625" style="2131"/>
    <col min="11009" max="11009" width="4.7109375" style="2131" customWidth="1"/>
    <col min="11010" max="11010" width="6.140625" style="2131" customWidth="1"/>
    <col min="11011" max="11011" width="8.7109375" style="2131" customWidth="1"/>
    <col min="11012" max="11012" width="42.140625" style="2131" customWidth="1"/>
    <col min="11013" max="11013" width="12.85546875" style="2131" customWidth="1"/>
    <col min="11014" max="11014" width="15.85546875" style="2131" customWidth="1"/>
    <col min="11015" max="11015" width="14.5703125" style="2131" customWidth="1"/>
    <col min="11016" max="11016" width="8.28515625" style="2131" customWidth="1"/>
    <col min="11017" max="11017" width="12.7109375" style="2131" bestFit="1" customWidth="1"/>
    <col min="11018" max="11018" width="20.7109375" style="2131" customWidth="1"/>
    <col min="11019" max="11019" width="20.140625" style="2131" customWidth="1"/>
    <col min="11020" max="11020" width="20.85546875" style="2131" customWidth="1"/>
    <col min="11021" max="11264" width="9.140625" style="2131"/>
    <col min="11265" max="11265" width="4.7109375" style="2131" customWidth="1"/>
    <col min="11266" max="11266" width="6.140625" style="2131" customWidth="1"/>
    <col min="11267" max="11267" width="8.7109375" style="2131" customWidth="1"/>
    <col min="11268" max="11268" width="42.140625" style="2131" customWidth="1"/>
    <col min="11269" max="11269" width="12.85546875" style="2131" customWidth="1"/>
    <col min="11270" max="11270" width="15.85546875" style="2131" customWidth="1"/>
    <col min="11271" max="11271" width="14.5703125" style="2131" customWidth="1"/>
    <col min="11272" max="11272" width="8.28515625" style="2131" customWidth="1"/>
    <col min="11273" max="11273" width="12.7109375" style="2131" bestFit="1" customWidth="1"/>
    <col min="11274" max="11274" width="20.7109375" style="2131" customWidth="1"/>
    <col min="11275" max="11275" width="20.140625" style="2131" customWidth="1"/>
    <col min="11276" max="11276" width="20.85546875" style="2131" customWidth="1"/>
    <col min="11277" max="11520" width="9.140625" style="2131"/>
    <col min="11521" max="11521" width="4.7109375" style="2131" customWidth="1"/>
    <col min="11522" max="11522" width="6.140625" style="2131" customWidth="1"/>
    <col min="11523" max="11523" width="8.7109375" style="2131" customWidth="1"/>
    <col min="11524" max="11524" width="42.140625" style="2131" customWidth="1"/>
    <col min="11525" max="11525" width="12.85546875" style="2131" customWidth="1"/>
    <col min="11526" max="11526" width="15.85546875" style="2131" customWidth="1"/>
    <col min="11527" max="11527" width="14.5703125" style="2131" customWidth="1"/>
    <col min="11528" max="11528" width="8.28515625" style="2131" customWidth="1"/>
    <col min="11529" max="11529" width="12.7109375" style="2131" bestFit="1" customWidth="1"/>
    <col min="11530" max="11530" width="20.7109375" style="2131" customWidth="1"/>
    <col min="11531" max="11531" width="20.140625" style="2131" customWidth="1"/>
    <col min="11532" max="11532" width="20.85546875" style="2131" customWidth="1"/>
    <col min="11533" max="11776" width="9.140625" style="2131"/>
    <col min="11777" max="11777" width="4.7109375" style="2131" customWidth="1"/>
    <col min="11778" max="11778" width="6.140625" style="2131" customWidth="1"/>
    <col min="11779" max="11779" width="8.7109375" style="2131" customWidth="1"/>
    <col min="11780" max="11780" width="42.140625" style="2131" customWidth="1"/>
    <col min="11781" max="11781" width="12.85546875" style="2131" customWidth="1"/>
    <col min="11782" max="11782" width="15.85546875" style="2131" customWidth="1"/>
    <col min="11783" max="11783" width="14.5703125" style="2131" customWidth="1"/>
    <col min="11784" max="11784" width="8.28515625" style="2131" customWidth="1"/>
    <col min="11785" max="11785" width="12.7109375" style="2131" bestFit="1" customWidth="1"/>
    <col min="11786" max="11786" width="20.7109375" style="2131" customWidth="1"/>
    <col min="11787" max="11787" width="20.140625" style="2131" customWidth="1"/>
    <col min="11788" max="11788" width="20.85546875" style="2131" customWidth="1"/>
    <col min="11789" max="12032" width="9.140625" style="2131"/>
    <col min="12033" max="12033" width="4.7109375" style="2131" customWidth="1"/>
    <col min="12034" max="12034" width="6.140625" style="2131" customWidth="1"/>
    <col min="12035" max="12035" width="8.7109375" style="2131" customWidth="1"/>
    <col min="12036" max="12036" width="42.140625" style="2131" customWidth="1"/>
    <col min="12037" max="12037" width="12.85546875" style="2131" customWidth="1"/>
    <col min="12038" max="12038" width="15.85546875" style="2131" customWidth="1"/>
    <col min="12039" max="12039" width="14.5703125" style="2131" customWidth="1"/>
    <col min="12040" max="12040" width="8.28515625" style="2131" customWidth="1"/>
    <col min="12041" max="12041" width="12.7109375" style="2131" bestFit="1" customWidth="1"/>
    <col min="12042" max="12042" width="20.7109375" style="2131" customWidth="1"/>
    <col min="12043" max="12043" width="20.140625" style="2131" customWidth="1"/>
    <col min="12044" max="12044" width="20.85546875" style="2131" customWidth="1"/>
    <col min="12045" max="12288" width="9.140625" style="2131"/>
    <col min="12289" max="12289" width="4.7109375" style="2131" customWidth="1"/>
    <col min="12290" max="12290" width="6.140625" style="2131" customWidth="1"/>
    <col min="12291" max="12291" width="8.7109375" style="2131" customWidth="1"/>
    <col min="12292" max="12292" width="42.140625" style="2131" customWidth="1"/>
    <col min="12293" max="12293" width="12.85546875" style="2131" customWidth="1"/>
    <col min="12294" max="12294" width="15.85546875" style="2131" customWidth="1"/>
    <col min="12295" max="12295" width="14.5703125" style="2131" customWidth="1"/>
    <col min="12296" max="12296" width="8.28515625" style="2131" customWidth="1"/>
    <col min="12297" max="12297" width="12.7109375" style="2131" bestFit="1" customWidth="1"/>
    <col min="12298" max="12298" width="20.7109375" style="2131" customWidth="1"/>
    <col min="12299" max="12299" width="20.140625" style="2131" customWidth="1"/>
    <col min="12300" max="12300" width="20.85546875" style="2131" customWidth="1"/>
    <col min="12301" max="12544" width="9.140625" style="2131"/>
    <col min="12545" max="12545" width="4.7109375" style="2131" customWidth="1"/>
    <col min="12546" max="12546" width="6.140625" style="2131" customWidth="1"/>
    <col min="12547" max="12547" width="8.7109375" style="2131" customWidth="1"/>
    <col min="12548" max="12548" width="42.140625" style="2131" customWidth="1"/>
    <col min="12549" max="12549" width="12.85546875" style="2131" customWidth="1"/>
    <col min="12550" max="12550" width="15.85546875" style="2131" customWidth="1"/>
    <col min="12551" max="12551" width="14.5703125" style="2131" customWidth="1"/>
    <col min="12552" max="12552" width="8.28515625" style="2131" customWidth="1"/>
    <col min="12553" max="12553" width="12.7109375" style="2131" bestFit="1" customWidth="1"/>
    <col min="12554" max="12554" width="20.7109375" style="2131" customWidth="1"/>
    <col min="12555" max="12555" width="20.140625" style="2131" customWidth="1"/>
    <col min="12556" max="12556" width="20.85546875" style="2131" customWidth="1"/>
    <col min="12557" max="12800" width="9.140625" style="2131"/>
    <col min="12801" max="12801" width="4.7109375" style="2131" customWidth="1"/>
    <col min="12802" max="12802" width="6.140625" style="2131" customWidth="1"/>
    <col min="12803" max="12803" width="8.7109375" style="2131" customWidth="1"/>
    <col min="12804" max="12804" width="42.140625" style="2131" customWidth="1"/>
    <col min="12805" max="12805" width="12.85546875" style="2131" customWidth="1"/>
    <col min="12806" max="12806" width="15.85546875" style="2131" customWidth="1"/>
    <col min="12807" max="12807" width="14.5703125" style="2131" customWidth="1"/>
    <col min="12808" max="12808" width="8.28515625" style="2131" customWidth="1"/>
    <col min="12809" max="12809" width="12.7109375" style="2131" bestFit="1" customWidth="1"/>
    <col min="12810" max="12810" width="20.7109375" style="2131" customWidth="1"/>
    <col min="12811" max="12811" width="20.140625" style="2131" customWidth="1"/>
    <col min="12812" max="12812" width="20.85546875" style="2131" customWidth="1"/>
    <col min="12813" max="13056" width="9.140625" style="2131"/>
    <col min="13057" max="13057" width="4.7109375" style="2131" customWidth="1"/>
    <col min="13058" max="13058" width="6.140625" style="2131" customWidth="1"/>
    <col min="13059" max="13059" width="8.7109375" style="2131" customWidth="1"/>
    <col min="13060" max="13060" width="42.140625" style="2131" customWidth="1"/>
    <col min="13061" max="13061" width="12.85546875" style="2131" customWidth="1"/>
    <col min="13062" max="13062" width="15.85546875" style="2131" customWidth="1"/>
    <col min="13063" max="13063" width="14.5703125" style="2131" customWidth="1"/>
    <col min="13064" max="13064" width="8.28515625" style="2131" customWidth="1"/>
    <col min="13065" max="13065" width="12.7109375" style="2131" bestFit="1" customWidth="1"/>
    <col min="13066" max="13066" width="20.7109375" style="2131" customWidth="1"/>
    <col min="13067" max="13067" width="20.140625" style="2131" customWidth="1"/>
    <col min="13068" max="13068" width="20.85546875" style="2131" customWidth="1"/>
    <col min="13069" max="13312" width="9.140625" style="2131"/>
    <col min="13313" max="13313" width="4.7109375" style="2131" customWidth="1"/>
    <col min="13314" max="13314" width="6.140625" style="2131" customWidth="1"/>
    <col min="13315" max="13315" width="8.7109375" style="2131" customWidth="1"/>
    <col min="13316" max="13316" width="42.140625" style="2131" customWidth="1"/>
    <col min="13317" max="13317" width="12.85546875" style="2131" customWidth="1"/>
    <col min="13318" max="13318" width="15.85546875" style="2131" customWidth="1"/>
    <col min="13319" max="13319" width="14.5703125" style="2131" customWidth="1"/>
    <col min="13320" max="13320" width="8.28515625" style="2131" customWidth="1"/>
    <col min="13321" max="13321" width="12.7109375" style="2131" bestFit="1" customWidth="1"/>
    <col min="13322" max="13322" width="20.7109375" style="2131" customWidth="1"/>
    <col min="13323" max="13323" width="20.140625" style="2131" customWidth="1"/>
    <col min="13324" max="13324" width="20.85546875" style="2131" customWidth="1"/>
    <col min="13325" max="13568" width="9.140625" style="2131"/>
    <col min="13569" max="13569" width="4.7109375" style="2131" customWidth="1"/>
    <col min="13570" max="13570" width="6.140625" style="2131" customWidth="1"/>
    <col min="13571" max="13571" width="8.7109375" style="2131" customWidth="1"/>
    <col min="13572" max="13572" width="42.140625" style="2131" customWidth="1"/>
    <col min="13573" max="13573" width="12.85546875" style="2131" customWidth="1"/>
    <col min="13574" max="13574" width="15.85546875" style="2131" customWidth="1"/>
    <col min="13575" max="13575" width="14.5703125" style="2131" customWidth="1"/>
    <col min="13576" max="13576" width="8.28515625" style="2131" customWidth="1"/>
    <col min="13577" max="13577" width="12.7109375" style="2131" bestFit="1" customWidth="1"/>
    <col min="13578" max="13578" width="20.7109375" style="2131" customWidth="1"/>
    <col min="13579" max="13579" width="20.140625" style="2131" customWidth="1"/>
    <col min="13580" max="13580" width="20.85546875" style="2131" customWidth="1"/>
    <col min="13581" max="13824" width="9.140625" style="2131"/>
    <col min="13825" max="13825" width="4.7109375" style="2131" customWidth="1"/>
    <col min="13826" max="13826" width="6.140625" style="2131" customWidth="1"/>
    <col min="13827" max="13827" width="8.7109375" style="2131" customWidth="1"/>
    <col min="13828" max="13828" width="42.140625" style="2131" customWidth="1"/>
    <col min="13829" max="13829" width="12.85546875" style="2131" customWidth="1"/>
    <col min="13830" max="13830" width="15.85546875" style="2131" customWidth="1"/>
    <col min="13831" max="13831" width="14.5703125" style="2131" customWidth="1"/>
    <col min="13832" max="13832" width="8.28515625" style="2131" customWidth="1"/>
    <col min="13833" max="13833" width="12.7109375" style="2131" bestFit="1" customWidth="1"/>
    <col min="13834" max="13834" width="20.7109375" style="2131" customWidth="1"/>
    <col min="13835" max="13835" width="20.140625" style="2131" customWidth="1"/>
    <col min="13836" max="13836" width="20.85546875" style="2131" customWidth="1"/>
    <col min="13837" max="14080" width="9.140625" style="2131"/>
    <col min="14081" max="14081" width="4.7109375" style="2131" customWidth="1"/>
    <col min="14082" max="14082" width="6.140625" style="2131" customWidth="1"/>
    <col min="14083" max="14083" width="8.7109375" style="2131" customWidth="1"/>
    <col min="14084" max="14084" width="42.140625" style="2131" customWidth="1"/>
    <col min="14085" max="14085" width="12.85546875" style="2131" customWidth="1"/>
    <col min="14086" max="14086" width="15.85546875" style="2131" customWidth="1"/>
    <col min="14087" max="14087" width="14.5703125" style="2131" customWidth="1"/>
    <col min="14088" max="14088" width="8.28515625" style="2131" customWidth="1"/>
    <col min="14089" max="14089" width="12.7109375" style="2131" bestFit="1" customWidth="1"/>
    <col min="14090" max="14090" width="20.7109375" style="2131" customWidth="1"/>
    <col min="14091" max="14091" width="20.140625" style="2131" customWidth="1"/>
    <col min="14092" max="14092" width="20.85546875" style="2131" customWidth="1"/>
    <col min="14093" max="14336" width="9.140625" style="2131"/>
    <col min="14337" max="14337" width="4.7109375" style="2131" customWidth="1"/>
    <col min="14338" max="14338" width="6.140625" style="2131" customWidth="1"/>
    <col min="14339" max="14339" width="8.7109375" style="2131" customWidth="1"/>
    <col min="14340" max="14340" width="42.140625" style="2131" customWidth="1"/>
    <col min="14341" max="14341" width="12.85546875" style="2131" customWidth="1"/>
    <col min="14342" max="14342" width="15.85546875" style="2131" customWidth="1"/>
    <col min="14343" max="14343" width="14.5703125" style="2131" customWidth="1"/>
    <col min="14344" max="14344" width="8.28515625" style="2131" customWidth="1"/>
    <col min="14345" max="14345" width="12.7109375" style="2131" bestFit="1" customWidth="1"/>
    <col min="14346" max="14346" width="20.7109375" style="2131" customWidth="1"/>
    <col min="14347" max="14347" width="20.140625" style="2131" customWidth="1"/>
    <col min="14348" max="14348" width="20.85546875" style="2131" customWidth="1"/>
    <col min="14349" max="14592" width="9.140625" style="2131"/>
    <col min="14593" max="14593" width="4.7109375" style="2131" customWidth="1"/>
    <col min="14594" max="14594" width="6.140625" style="2131" customWidth="1"/>
    <col min="14595" max="14595" width="8.7109375" style="2131" customWidth="1"/>
    <col min="14596" max="14596" width="42.140625" style="2131" customWidth="1"/>
    <col min="14597" max="14597" width="12.85546875" style="2131" customWidth="1"/>
    <col min="14598" max="14598" width="15.85546875" style="2131" customWidth="1"/>
    <col min="14599" max="14599" width="14.5703125" style="2131" customWidth="1"/>
    <col min="14600" max="14600" width="8.28515625" style="2131" customWidth="1"/>
    <col min="14601" max="14601" width="12.7109375" style="2131" bestFit="1" customWidth="1"/>
    <col min="14602" max="14602" width="20.7109375" style="2131" customWidth="1"/>
    <col min="14603" max="14603" width="20.140625" style="2131" customWidth="1"/>
    <col min="14604" max="14604" width="20.85546875" style="2131" customWidth="1"/>
    <col min="14605" max="14848" width="9.140625" style="2131"/>
    <col min="14849" max="14849" width="4.7109375" style="2131" customWidth="1"/>
    <col min="14850" max="14850" width="6.140625" style="2131" customWidth="1"/>
    <col min="14851" max="14851" width="8.7109375" style="2131" customWidth="1"/>
    <col min="14852" max="14852" width="42.140625" style="2131" customWidth="1"/>
    <col min="14853" max="14853" width="12.85546875" style="2131" customWidth="1"/>
    <col min="14854" max="14854" width="15.85546875" style="2131" customWidth="1"/>
    <col min="14855" max="14855" width="14.5703125" style="2131" customWidth="1"/>
    <col min="14856" max="14856" width="8.28515625" style="2131" customWidth="1"/>
    <col min="14857" max="14857" width="12.7109375" style="2131" bestFit="1" customWidth="1"/>
    <col min="14858" max="14858" width="20.7109375" style="2131" customWidth="1"/>
    <col min="14859" max="14859" width="20.140625" style="2131" customWidth="1"/>
    <col min="14860" max="14860" width="20.85546875" style="2131" customWidth="1"/>
    <col min="14861" max="15104" width="9.140625" style="2131"/>
    <col min="15105" max="15105" width="4.7109375" style="2131" customWidth="1"/>
    <col min="15106" max="15106" width="6.140625" style="2131" customWidth="1"/>
    <col min="15107" max="15107" width="8.7109375" style="2131" customWidth="1"/>
    <col min="15108" max="15108" width="42.140625" style="2131" customWidth="1"/>
    <col min="15109" max="15109" width="12.85546875" style="2131" customWidth="1"/>
    <col min="15110" max="15110" width="15.85546875" style="2131" customWidth="1"/>
    <col min="15111" max="15111" width="14.5703125" style="2131" customWidth="1"/>
    <col min="15112" max="15112" width="8.28515625" style="2131" customWidth="1"/>
    <col min="15113" max="15113" width="12.7109375" style="2131" bestFit="1" customWidth="1"/>
    <col min="15114" max="15114" width="20.7109375" style="2131" customWidth="1"/>
    <col min="15115" max="15115" width="20.140625" style="2131" customWidth="1"/>
    <col min="15116" max="15116" width="20.85546875" style="2131" customWidth="1"/>
    <col min="15117" max="15360" width="9.140625" style="2131"/>
    <col min="15361" max="15361" width="4.7109375" style="2131" customWidth="1"/>
    <col min="15362" max="15362" width="6.140625" style="2131" customWidth="1"/>
    <col min="15363" max="15363" width="8.7109375" style="2131" customWidth="1"/>
    <col min="15364" max="15364" width="42.140625" style="2131" customWidth="1"/>
    <col min="15365" max="15365" width="12.85546875" style="2131" customWidth="1"/>
    <col min="15366" max="15366" width="15.85546875" style="2131" customWidth="1"/>
    <col min="15367" max="15367" width="14.5703125" style="2131" customWidth="1"/>
    <col min="15368" max="15368" width="8.28515625" style="2131" customWidth="1"/>
    <col min="15369" max="15369" width="12.7109375" style="2131" bestFit="1" customWidth="1"/>
    <col min="15370" max="15370" width="20.7109375" style="2131" customWidth="1"/>
    <col min="15371" max="15371" width="20.140625" style="2131" customWidth="1"/>
    <col min="15372" max="15372" width="20.85546875" style="2131" customWidth="1"/>
    <col min="15373" max="15616" width="9.140625" style="2131"/>
    <col min="15617" max="15617" width="4.7109375" style="2131" customWidth="1"/>
    <col min="15618" max="15618" width="6.140625" style="2131" customWidth="1"/>
    <col min="15619" max="15619" width="8.7109375" style="2131" customWidth="1"/>
    <col min="15620" max="15620" width="42.140625" style="2131" customWidth="1"/>
    <col min="15621" max="15621" width="12.85546875" style="2131" customWidth="1"/>
    <col min="15622" max="15622" width="15.85546875" style="2131" customWidth="1"/>
    <col min="15623" max="15623" width="14.5703125" style="2131" customWidth="1"/>
    <col min="15624" max="15624" width="8.28515625" style="2131" customWidth="1"/>
    <col min="15625" max="15625" width="12.7109375" style="2131" bestFit="1" customWidth="1"/>
    <col min="15626" max="15626" width="20.7109375" style="2131" customWidth="1"/>
    <col min="15627" max="15627" width="20.140625" style="2131" customWidth="1"/>
    <col min="15628" max="15628" width="20.85546875" style="2131" customWidth="1"/>
    <col min="15629" max="15872" width="9.140625" style="2131"/>
    <col min="15873" max="15873" width="4.7109375" style="2131" customWidth="1"/>
    <col min="15874" max="15874" width="6.140625" style="2131" customWidth="1"/>
    <col min="15875" max="15875" width="8.7109375" style="2131" customWidth="1"/>
    <col min="15876" max="15876" width="42.140625" style="2131" customWidth="1"/>
    <col min="15877" max="15877" width="12.85546875" style="2131" customWidth="1"/>
    <col min="15878" max="15878" width="15.85546875" style="2131" customWidth="1"/>
    <col min="15879" max="15879" width="14.5703125" style="2131" customWidth="1"/>
    <col min="15880" max="15880" width="8.28515625" style="2131" customWidth="1"/>
    <col min="15881" max="15881" width="12.7109375" style="2131" bestFit="1" customWidth="1"/>
    <col min="15882" max="15882" width="20.7109375" style="2131" customWidth="1"/>
    <col min="15883" max="15883" width="20.140625" style="2131" customWidth="1"/>
    <col min="15884" max="15884" width="20.85546875" style="2131" customWidth="1"/>
    <col min="15885" max="16128" width="9.140625" style="2131"/>
    <col min="16129" max="16129" width="4.7109375" style="2131" customWidth="1"/>
    <col min="16130" max="16130" width="6.140625" style="2131" customWidth="1"/>
    <col min="16131" max="16131" width="8.7109375" style="2131" customWidth="1"/>
    <col min="16132" max="16132" width="42.140625" style="2131" customWidth="1"/>
    <col min="16133" max="16133" width="12.85546875" style="2131" customWidth="1"/>
    <col min="16134" max="16134" width="15.85546875" style="2131" customWidth="1"/>
    <col min="16135" max="16135" width="14.5703125" style="2131" customWidth="1"/>
    <col min="16136" max="16136" width="8.28515625" style="2131" customWidth="1"/>
    <col min="16137" max="16137" width="12.7109375" style="2131" bestFit="1" customWidth="1"/>
    <col min="16138" max="16138" width="20.7109375" style="2131" customWidth="1"/>
    <col min="16139" max="16139" width="20.140625" style="2131" customWidth="1"/>
    <col min="16140" max="16140" width="20.85546875" style="2131" customWidth="1"/>
    <col min="16141" max="16384" width="9.140625" style="2131"/>
  </cols>
  <sheetData>
    <row r="1" spans="1:9" ht="18.75" thickBot="1" x14ac:dyDescent="0.25">
      <c r="A1" s="2818" t="s">
        <v>1475</v>
      </c>
      <c r="B1" s="2818"/>
      <c r="C1" s="2818"/>
      <c r="D1" s="2818"/>
      <c r="E1" s="2818"/>
      <c r="F1" s="2818"/>
      <c r="G1" s="2818"/>
      <c r="H1" s="2818" t="s">
        <v>334</v>
      </c>
    </row>
    <row r="2" spans="1:9" ht="18" x14ac:dyDescent="0.25">
      <c r="A2" s="2249"/>
      <c r="H2" s="2222" t="s">
        <v>334</v>
      </c>
    </row>
    <row r="3" spans="1:9" ht="14.25" x14ac:dyDescent="0.2">
      <c r="A3" s="1939" t="s">
        <v>404</v>
      </c>
      <c r="C3" s="2129" t="s">
        <v>379</v>
      </c>
    </row>
    <row r="4" spans="1:9" ht="14.25" x14ac:dyDescent="0.2">
      <c r="A4" s="2249"/>
      <c r="C4" s="2129" t="s">
        <v>380</v>
      </c>
    </row>
    <row r="5" spans="1:9" ht="18" x14ac:dyDescent="0.25">
      <c r="A5" s="2134" t="s">
        <v>335</v>
      </c>
    </row>
    <row r="6" spans="1:9" ht="18" x14ac:dyDescent="0.25">
      <c r="A6" s="2134"/>
    </row>
    <row r="7" spans="1:9" ht="15.75" thickBot="1" x14ac:dyDescent="0.3">
      <c r="A7" s="2136" t="s">
        <v>273</v>
      </c>
      <c r="H7" s="2240" t="s">
        <v>179</v>
      </c>
    </row>
    <row r="8" spans="1:9" s="1849" customFormat="1" ht="25.5" thickTop="1" thickBot="1" x14ac:dyDescent="0.25">
      <c r="A8" s="2138" t="s">
        <v>180</v>
      </c>
      <c r="B8" s="2139" t="s">
        <v>847</v>
      </c>
      <c r="C8" s="2139" t="s">
        <v>414</v>
      </c>
      <c r="D8" s="2140" t="s">
        <v>182</v>
      </c>
      <c r="E8" s="2171" t="s">
        <v>700</v>
      </c>
      <c r="F8" s="2171" t="s">
        <v>701</v>
      </c>
      <c r="G8" s="2172" t="s">
        <v>986</v>
      </c>
      <c r="H8" s="2173" t="s">
        <v>987</v>
      </c>
    </row>
    <row r="9" spans="1:9" s="1849" customFormat="1" ht="13.5" thickTop="1" thickBot="1" x14ac:dyDescent="0.25">
      <c r="A9" s="1854">
        <v>1</v>
      </c>
      <c r="B9" s="1853">
        <v>2</v>
      </c>
      <c r="C9" s="1853">
        <v>3</v>
      </c>
      <c r="D9" s="1853">
        <v>4</v>
      </c>
      <c r="E9" s="1852">
        <v>5</v>
      </c>
      <c r="F9" s="1852">
        <v>6</v>
      </c>
      <c r="G9" s="2223">
        <v>7</v>
      </c>
      <c r="H9" s="2251" t="s">
        <v>61</v>
      </c>
    </row>
    <row r="10" spans="1:9" ht="15.75" hidden="1" thickTop="1" x14ac:dyDescent="0.2">
      <c r="A10" s="2246">
        <v>4351</v>
      </c>
      <c r="B10" s="2253">
        <v>5169</v>
      </c>
      <c r="C10" s="2258"/>
      <c r="D10" s="2201" t="s">
        <v>955</v>
      </c>
      <c r="E10" s="2170">
        <v>0</v>
      </c>
      <c r="F10" s="2170">
        <v>0</v>
      </c>
      <c r="G10" s="2170">
        <v>0</v>
      </c>
      <c r="H10" s="2153">
        <v>0</v>
      </c>
    </row>
    <row r="11" spans="1:9" ht="30" hidden="1" customHeight="1" thickTop="1" x14ac:dyDescent="0.2">
      <c r="A11" s="2246">
        <v>6409</v>
      </c>
      <c r="B11" s="2253">
        <v>5909</v>
      </c>
      <c r="C11" s="2258"/>
      <c r="D11" s="2261" t="s">
        <v>870</v>
      </c>
      <c r="E11" s="2184">
        <v>0</v>
      </c>
      <c r="F11" s="2184">
        <v>0</v>
      </c>
      <c r="G11" s="2184">
        <v>0</v>
      </c>
      <c r="H11" s="2156">
        <v>0</v>
      </c>
    </row>
    <row r="12" spans="1:9" ht="16.5" thickTop="1" thickBot="1" x14ac:dyDescent="0.25">
      <c r="A12" s="2246">
        <v>6330</v>
      </c>
      <c r="B12" s="2253">
        <v>5345</v>
      </c>
      <c r="C12" s="2258"/>
      <c r="D12" s="2174" t="s">
        <v>853</v>
      </c>
      <c r="E12" s="2184">
        <v>0</v>
      </c>
      <c r="F12" s="2184">
        <v>0</v>
      </c>
      <c r="G12" s="2184">
        <v>128284</v>
      </c>
      <c r="H12" s="2156">
        <v>0</v>
      </c>
    </row>
    <row r="13" spans="1:9" s="2164" customFormat="1" ht="16.5" thickTop="1" thickBot="1" x14ac:dyDescent="0.3">
      <c r="A13" s="2806" t="s">
        <v>849</v>
      </c>
      <c r="B13" s="2807"/>
      <c r="C13" s="2807"/>
      <c r="D13" s="2807"/>
      <c r="E13" s="2152">
        <f>SUM(E10:E12)</f>
        <v>0</v>
      </c>
      <c r="F13" s="2152">
        <f>SUM(F10:F12)</f>
        <v>0</v>
      </c>
      <c r="G13" s="2152">
        <f>SUM(G10:G12)</f>
        <v>128284</v>
      </c>
      <c r="H13" s="2157">
        <v>0</v>
      </c>
      <c r="I13" s="2262"/>
    </row>
    <row r="14" spans="1:9" ht="18.75" thickTop="1" x14ac:dyDescent="0.25">
      <c r="A14" s="2134"/>
    </row>
    <row r="15" spans="1:9" s="1849" customFormat="1" ht="15" hidden="1" x14ac:dyDescent="0.25">
      <c r="A15" s="2136" t="s">
        <v>215</v>
      </c>
      <c r="B15" s="2130"/>
      <c r="C15" s="2130"/>
      <c r="D15" s="2131"/>
      <c r="E15" s="2165"/>
      <c r="F15" s="2165"/>
      <c r="G15" s="2165"/>
      <c r="H15" s="2131"/>
    </row>
    <row r="16" spans="1:9" s="1849" customFormat="1" ht="15" hidden="1" x14ac:dyDescent="0.25">
      <c r="A16" s="2136" t="s">
        <v>1303</v>
      </c>
      <c r="B16" s="2130"/>
      <c r="C16" s="2130"/>
      <c r="D16" s="2131"/>
      <c r="E16" s="2165"/>
      <c r="F16" s="2165"/>
      <c r="G16" s="2165"/>
      <c r="H16" s="2240" t="s">
        <v>179</v>
      </c>
    </row>
    <row r="17" spans="1:8" s="1849" customFormat="1" ht="25.5" hidden="1" thickTop="1" thickBot="1" x14ac:dyDescent="0.25">
      <c r="A17" s="2138" t="s">
        <v>180</v>
      </c>
      <c r="B17" s="2139" t="s">
        <v>847</v>
      </c>
      <c r="C17" s="2139" t="s">
        <v>414</v>
      </c>
      <c r="D17" s="2140" t="s">
        <v>182</v>
      </c>
      <c r="E17" s="2171" t="s">
        <v>700</v>
      </c>
      <c r="F17" s="2171" t="s">
        <v>701</v>
      </c>
      <c r="G17" s="2172" t="s">
        <v>986</v>
      </c>
      <c r="H17" s="2173" t="s">
        <v>987</v>
      </c>
    </row>
    <row r="18" spans="1:8" s="1849" customFormat="1" ht="13.5" hidden="1" thickTop="1" thickBot="1" x14ac:dyDescent="0.25">
      <c r="A18" s="1854">
        <v>1</v>
      </c>
      <c r="B18" s="1853">
        <v>2</v>
      </c>
      <c r="C18" s="1853">
        <v>3</v>
      </c>
      <c r="D18" s="1853">
        <v>4</v>
      </c>
      <c r="E18" s="1852">
        <v>5</v>
      </c>
      <c r="F18" s="1852">
        <v>6</v>
      </c>
      <c r="G18" s="2223">
        <v>7</v>
      </c>
      <c r="H18" s="2251" t="s">
        <v>61</v>
      </c>
    </row>
    <row r="19" spans="1:8" s="1849" customFormat="1" ht="15" hidden="1" x14ac:dyDescent="0.2">
      <c r="A19" s="2147">
        <v>3533</v>
      </c>
      <c r="B19" s="2148">
        <v>5139</v>
      </c>
      <c r="C19" s="2148">
        <v>38100870</v>
      </c>
      <c r="D19" s="2174" t="s">
        <v>295</v>
      </c>
      <c r="E19" s="2184">
        <v>0</v>
      </c>
      <c r="F19" s="2184">
        <v>0</v>
      </c>
      <c r="G19" s="2184">
        <v>0</v>
      </c>
      <c r="H19" s="2156" t="e">
        <f>G19/F19*100</f>
        <v>#DIV/0!</v>
      </c>
    </row>
    <row r="20" spans="1:8" s="1849" customFormat="1" ht="15" hidden="1" x14ac:dyDescent="0.2">
      <c r="A20" s="2147">
        <v>3533</v>
      </c>
      <c r="B20" s="2148">
        <v>5139</v>
      </c>
      <c r="C20" s="2148">
        <v>38500871</v>
      </c>
      <c r="D20" s="2174" t="s">
        <v>295</v>
      </c>
      <c r="E20" s="2184">
        <v>0</v>
      </c>
      <c r="F20" s="2184">
        <v>0</v>
      </c>
      <c r="G20" s="2184">
        <v>0</v>
      </c>
      <c r="H20" s="2156" t="e">
        <f>G20/F20*100</f>
        <v>#DIV/0!</v>
      </c>
    </row>
    <row r="21" spans="1:8" s="1849" customFormat="1" ht="15" hidden="1" x14ac:dyDescent="0.2">
      <c r="A21" s="2147">
        <v>3533</v>
      </c>
      <c r="B21" s="2148">
        <v>5169</v>
      </c>
      <c r="C21" s="2148">
        <v>38100874</v>
      </c>
      <c r="D21" s="2174" t="s">
        <v>955</v>
      </c>
      <c r="E21" s="2184">
        <v>0</v>
      </c>
      <c r="F21" s="2184">
        <v>0</v>
      </c>
      <c r="G21" s="2184">
        <v>0</v>
      </c>
      <c r="H21" s="2156" t="e">
        <f>G21/F21*100</f>
        <v>#DIV/0!</v>
      </c>
    </row>
    <row r="22" spans="1:8" s="1849" customFormat="1" ht="16.5" hidden="1" thickTop="1" thickBot="1" x14ac:dyDescent="0.3">
      <c r="A22" s="2806" t="s">
        <v>849</v>
      </c>
      <c r="B22" s="2807"/>
      <c r="C22" s="2807"/>
      <c r="D22" s="2807"/>
      <c r="E22" s="2152">
        <f>SUM(E19:E21)</f>
        <v>0</v>
      </c>
      <c r="F22" s="2152">
        <f>SUM(F19:F21)</f>
        <v>0</v>
      </c>
      <c r="G22" s="2152">
        <f>SUM(G19:G21)</f>
        <v>0</v>
      </c>
      <c r="H22" s="2157" t="e">
        <f>G22/F22*100</f>
        <v>#DIV/0!</v>
      </c>
    </row>
    <row r="23" spans="1:8" s="1849" customFormat="1" ht="15" hidden="1" x14ac:dyDescent="0.25">
      <c r="A23" s="2158"/>
      <c r="B23" s="2158"/>
      <c r="C23" s="2158"/>
      <c r="D23" s="2158"/>
      <c r="E23" s="2315"/>
      <c r="F23" s="2315"/>
      <c r="G23" s="2315"/>
      <c r="H23" s="2190"/>
    </row>
    <row r="24" spans="1:8" s="1849" customFormat="1" ht="15" hidden="1" x14ac:dyDescent="0.25">
      <c r="A24" s="2136" t="s">
        <v>1304</v>
      </c>
      <c r="B24" s="2130"/>
      <c r="C24" s="2130"/>
      <c r="D24" s="2131"/>
      <c r="E24" s="2165"/>
      <c r="F24" s="2165"/>
      <c r="G24" s="2165"/>
      <c r="H24" s="2131"/>
    </row>
    <row r="25" spans="1:8" s="1849" customFormat="1" ht="15" hidden="1" x14ac:dyDescent="0.25">
      <c r="A25" s="2136" t="s">
        <v>1305</v>
      </c>
      <c r="B25" s="2130"/>
      <c r="C25" s="2130"/>
      <c r="D25" s="2131"/>
      <c r="E25" s="2165"/>
      <c r="F25" s="2165"/>
      <c r="G25" s="2165"/>
      <c r="H25" s="2240" t="s">
        <v>179</v>
      </c>
    </row>
    <row r="26" spans="1:8" s="1849" customFormat="1" ht="25.5" hidden="1" thickTop="1" thickBot="1" x14ac:dyDescent="0.25">
      <c r="A26" s="2138" t="s">
        <v>180</v>
      </c>
      <c r="B26" s="2139" t="s">
        <v>847</v>
      </c>
      <c r="C26" s="2139" t="s">
        <v>414</v>
      </c>
      <c r="D26" s="2140" t="s">
        <v>182</v>
      </c>
      <c r="E26" s="2171" t="s">
        <v>700</v>
      </c>
      <c r="F26" s="2171" t="s">
        <v>701</v>
      </c>
      <c r="G26" s="2172" t="s">
        <v>986</v>
      </c>
      <c r="H26" s="2173" t="s">
        <v>987</v>
      </c>
    </row>
    <row r="27" spans="1:8" s="1849" customFormat="1" ht="13.5" hidden="1" thickTop="1" thickBot="1" x14ac:dyDescent="0.25">
      <c r="A27" s="1854">
        <v>1</v>
      </c>
      <c r="B27" s="1853">
        <v>2</v>
      </c>
      <c r="C27" s="1853">
        <v>3</v>
      </c>
      <c r="D27" s="1853">
        <v>4</v>
      </c>
      <c r="E27" s="1852">
        <v>5</v>
      </c>
      <c r="F27" s="1852">
        <v>6</v>
      </c>
      <c r="G27" s="2223">
        <v>7</v>
      </c>
      <c r="H27" s="2251" t="s">
        <v>61</v>
      </c>
    </row>
    <row r="28" spans="1:8" s="1849" customFormat="1" ht="15" hidden="1" x14ac:dyDescent="0.2">
      <c r="A28" s="2147">
        <v>3533</v>
      </c>
      <c r="B28" s="2148">
        <v>5139</v>
      </c>
      <c r="C28" s="2148">
        <v>38100870</v>
      </c>
      <c r="D28" s="2174" t="s">
        <v>295</v>
      </c>
      <c r="E28" s="2184">
        <v>0</v>
      </c>
      <c r="F28" s="2184">
        <v>0</v>
      </c>
      <c r="G28" s="2184">
        <v>0</v>
      </c>
      <c r="H28" s="2156" t="e">
        <f>G28/F28*100</f>
        <v>#DIV/0!</v>
      </c>
    </row>
    <row r="29" spans="1:8" s="1849" customFormat="1" ht="15" hidden="1" x14ac:dyDescent="0.2">
      <c r="A29" s="2147">
        <v>3533</v>
      </c>
      <c r="B29" s="2148">
        <v>5139</v>
      </c>
      <c r="C29" s="2148">
        <v>38500871</v>
      </c>
      <c r="D29" s="2174" t="s">
        <v>295</v>
      </c>
      <c r="E29" s="2184">
        <v>0</v>
      </c>
      <c r="F29" s="2184">
        <v>0</v>
      </c>
      <c r="G29" s="2184">
        <v>0</v>
      </c>
      <c r="H29" s="2156" t="e">
        <f>G29/F29*100</f>
        <v>#DIV/0!</v>
      </c>
    </row>
    <row r="30" spans="1:8" s="1849" customFormat="1" ht="16.5" hidden="1" thickTop="1" thickBot="1" x14ac:dyDescent="0.3">
      <c r="A30" s="2806" t="s">
        <v>849</v>
      </c>
      <c r="B30" s="2807"/>
      <c r="C30" s="2807"/>
      <c r="D30" s="2807"/>
      <c r="E30" s="2152">
        <f>SUM(E28:E29)</f>
        <v>0</v>
      </c>
      <c r="F30" s="2152">
        <f>SUM(F28:F29)</f>
        <v>0</v>
      </c>
      <c r="G30" s="2152">
        <f>SUM(G28:G29)</f>
        <v>0</v>
      </c>
      <c r="H30" s="2157" t="e">
        <f>G30/F30*100</f>
        <v>#DIV/0!</v>
      </c>
    </row>
    <row r="31" spans="1:8" s="1849" customFormat="1" ht="15" hidden="1" x14ac:dyDescent="0.25">
      <c r="A31" s="2158"/>
      <c r="B31" s="2158"/>
      <c r="C31" s="2158"/>
      <c r="D31" s="2158"/>
      <c r="E31" s="2315"/>
      <c r="F31" s="2315"/>
      <c r="G31" s="2315"/>
      <c r="H31" s="2190"/>
    </row>
    <row r="32" spans="1:8" s="1849" customFormat="1" ht="15" hidden="1" x14ac:dyDescent="0.25">
      <c r="A32" s="2136" t="s">
        <v>1592</v>
      </c>
      <c r="B32" s="2130"/>
      <c r="C32" s="2130"/>
      <c r="D32" s="2131"/>
      <c r="E32" s="2165"/>
      <c r="F32" s="2165"/>
      <c r="G32" s="2165"/>
      <c r="H32" s="2131"/>
    </row>
    <row r="33" spans="1:8" s="1849" customFormat="1" ht="15" hidden="1" x14ac:dyDescent="0.25">
      <c r="A33" s="2136" t="s">
        <v>1591</v>
      </c>
      <c r="B33" s="2130"/>
      <c r="C33" s="2130"/>
      <c r="D33" s="2131"/>
      <c r="E33" s="2165"/>
      <c r="F33" s="2165"/>
      <c r="G33" s="2165"/>
      <c r="H33" s="2240" t="s">
        <v>179</v>
      </c>
    </row>
    <row r="34" spans="1:8" s="1849" customFormat="1" ht="25.5" hidden="1" thickTop="1" thickBot="1" x14ac:dyDescent="0.25">
      <c r="A34" s="2138" t="s">
        <v>180</v>
      </c>
      <c r="B34" s="2139" t="s">
        <v>847</v>
      </c>
      <c r="C34" s="2139" t="s">
        <v>414</v>
      </c>
      <c r="D34" s="2140" t="s">
        <v>182</v>
      </c>
      <c r="E34" s="2171" t="s">
        <v>700</v>
      </c>
      <c r="F34" s="2171" t="s">
        <v>701</v>
      </c>
      <c r="G34" s="2172" t="s">
        <v>986</v>
      </c>
      <c r="H34" s="2173" t="s">
        <v>987</v>
      </c>
    </row>
    <row r="35" spans="1:8" s="1849" customFormat="1" ht="13.5" hidden="1" thickTop="1" thickBot="1" x14ac:dyDescent="0.25">
      <c r="A35" s="1854">
        <v>1</v>
      </c>
      <c r="B35" s="1853">
        <v>2</v>
      </c>
      <c r="C35" s="1853">
        <v>3</v>
      </c>
      <c r="D35" s="1853">
        <v>4</v>
      </c>
      <c r="E35" s="1852">
        <v>5</v>
      </c>
      <c r="F35" s="1852">
        <v>6</v>
      </c>
      <c r="G35" s="2223">
        <v>7</v>
      </c>
      <c r="H35" s="2251" t="s">
        <v>61</v>
      </c>
    </row>
    <row r="36" spans="1:8" s="1849" customFormat="1" ht="60" hidden="1" x14ac:dyDescent="0.2">
      <c r="A36" s="2246">
        <v>6402</v>
      </c>
      <c r="B36" s="2253">
        <v>5368</v>
      </c>
      <c r="C36" s="2316" t="s">
        <v>638</v>
      </c>
      <c r="D36" s="2174" t="s">
        <v>610</v>
      </c>
      <c r="E36" s="2184">
        <v>0</v>
      </c>
      <c r="F36" s="2184">
        <v>0</v>
      </c>
      <c r="G36" s="2184">
        <v>0</v>
      </c>
      <c r="H36" s="2156" t="e">
        <f>G36/F36*100</f>
        <v>#DIV/0!</v>
      </c>
    </row>
    <row r="37" spans="1:8" s="1849" customFormat="1" ht="16.5" hidden="1" thickTop="1" thickBot="1" x14ac:dyDescent="0.3">
      <c r="A37" s="2806" t="s">
        <v>849</v>
      </c>
      <c r="B37" s="2807"/>
      <c r="C37" s="2807"/>
      <c r="D37" s="2807"/>
      <c r="E37" s="2152">
        <f>SUM(E36:E36)</f>
        <v>0</v>
      </c>
      <c r="F37" s="2152">
        <f>SUM(F36:F36)</f>
        <v>0</v>
      </c>
      <c r="G37" s="2152">
        <f>SUM(G36:G36)</f>
        <v>0</v>
      </c>
      <c r="H37" s="2157" t="e">
        <f>G37/F37*100</f>
        <v>#DIV/0!</v>
      </c>
    </row>
    <row r="38" spans="1:8" s="1849" customFormat="1" ht="15" hidden="1" x14ac:dyDescent="0.25">
      <c r="A38" s="2158"/>
      <c r="B38" s="2158"/>
      <c r="C38" s="2158"/>
      <c r="D38" s="2158"/>
      <c r="E38" s="2315"/>
      <c r="F38" s="2315"/>
      <c r="G38" s="2315"/>
      <c r="H38" s="2190"/>
    </row>
    <row r="39" spans="1:8" ht="15" hidden="1" x14ac:dyDescent="0.25">
      <c r="A39" s="2136" t="s">
        <v>213</v>
      </c>
    </row>
    <row r="40" spans="1:8" ht="15" hidden="1" x14ac:dyDescent="0.25">
      <c r="A40" s="2136" t="s">
        <v>214</v>
      </c>
      <c r="H40" s="2240" t="s">
        <v>179</v>
      </c>
    </row>
    <row r="41" spans="1:8" s="1849" customFormat="1" ht="25.5" hidden="1" thickTop="1" thickBot="1" x14ac:dyDescent="0.25">
      <c r="A41" s="2138" t="s">
        <v>180</v>
      </c>
      <c r="B41" s="2139" t="s">
        <v>847</v>
      </c>
      <c r="C41" s="2139" t="s">
        <v>414</v>
      </c>
      <c r="D41" s="2140" t="s">
        <v>182</v>
      </c>
      <c r="E41" s="2171" t="s">
        <v>700</v>
      </c>
      <c r="F41" s="2171" t="s">
        <v>701</v>
      </c>
      <c r="G41" s="2172" t="s">
        <v>986</v>
      </c>
      <c r="H41" s="2173" t="s">
        <v>987</v>
      </c>
    </row>
    <row r="42" spans="1:8" s="1849" customFormat="1" ht="13.5" hidden="1" thickTop="1" thickBot="1" x14ac:dyDescent="0.25">
      <c r="A42" s="1854">
        <v>1</v>
      </c>
      <c r="B42" s="1853">
        <v>2</v>
      </c>
      <c r="C42" s="1853">
        <v>3</v>
      </c>
      <c r="D42" s="1853">
        <v>4</v>
      </c>
      <c r="E42" s="1852">
        <v>5</v>
      </c>
      <c r="F42" s="1852">
        <v>6</v>
      </c>
      <c r="G42" s="2223">
        <v>7</v>
      </c>
      <c r="H42" s="2251" t="s">
        <v>61</v>
      </c>
    </row>
    <row r="43" spans="1:8" s="1849" customFormat="1" ht="60" hidden="1" x14ac:dyDescent="0.2">
      <c r="A43" s="2246">
        <v>6402</v>
      </c>
      <c r="B43" s="2253">
        <v>5368</v>
      </c>
      <c r="C43" s="2317" t="s">
        <v>638</v>
      </c>
      <c r="D43" s="2174" t="s">
        <v>610</v>
      </c>
      <c r="E43" s="2184">
        <v>0</v>
      </c>
      <c r="F43" s="2184">
        <v>0</v>
      </c>
      <c r="G43" s="2184">
        <v>0</v>
      </c>
      <c r="H43" s="2156" t="e">
        <f>G43/F43*100</f>
        <v>#DIV/0!</v>
      </c>
    </row>
    <row r="44" spans="1:8" s="1849" customFormat="1" ht="16.5" hidden="1" thickTop="1" thickBot="1" x14ac:dyDescent="0.3">
      <c r="A44" s="2806" t="s">
        <v>849</v>
      </c>
      <c r="B44" s="2807"/>
      <c r="C44" s="2807"/>
      <c r="D44" s="2807"/>
      <c r="E44" s="2152">
        <f>SUM(E43:E43)</f>
        <v>0</v>
      </c>
      <c r="F44" s="2152">
        <f>SUM(F43:F43)</f>
        <v>0</v>
      </c>
      <c r="G44" s="2152">
        <f>SUM(G43:G43)</f>
        <v>0</v>
      </c>
      <c r="H44" s="2157" t="e">
        <f>G44/F44*100</f>
        <v>#DIV/0!</v>
      </c>
    </row>
    <row r="45" spans="1:8" s="1849" customFormat="1" ht="14.25" hidden="1" customHeight="1" thickTop="1" x14ac:dyDescent="0.25">
      <c r="A45" s="2158"/>
      <c r="B45" s="2158"/>
      <c r="C45" s="2158"/>
      <c r="D45" s="2158"/>
      <c r="E45" s="2159"/>
      <c r="F45" s="2159"/>
      <c r="G45" s="2159"/>
      <c r="H45" s="2190"/>
    </row>
    <row r="46" spans="1:8" s="1849" customFormat="1" ht="15" x14ac:dyDescent="0.25">
      <c r="A46" s="2136" t="s">
        <v>1204</v>
      </c>
      <c r="B46" s="2130"/>
      <c r="C46" s="2130"/>
      <c r="D46" s="2131"/>
      <c r="E46" s="2165"/>
      <c r="F46" s="2165"/>
      <c r="G46" s="2165"/>
      <c r="H46" s="2131"/>
    </row>
    <row r="47" spans="1:8" s="1849" customFormat="1" ht="15.75" thickBot="1" x14ac:dyDescent="0.3">
      <c r="A47" s="2136" t="s">
        <v>1205</v>
      </c>
      <c r="B47" s="2130"/>
      <c r="C47" s="2130"/>
      <c r="D47" s="2131"/>
      <c r="E47" s="2165"/>
      <c r="F47" s="2165"/>
      <c r="G47" s="2165"/>
      <c r="H47" s="2240" t="s">
        <v>179</v>
      </c>
    </row>
    <row r="48" spans="1:8" s="1849" customFormat="1" ht="25.5" thickTop="1" thickBot="1" x14ac:dyDescent="0.25">
      <c r="A48" s="2138" t="s">
        <v>180</v>
      </c>
      <c r="B48" s="2139" t="s">
        <v>847</v>
      </c>
      <c r="C48" s="2139" t="s">
        <v>414</v>
      </c>
      <c r="D48" s="2140" t="s">
        <v>182</v>
      </c>
      <c r="E48" s="2171" t="s">
        <v>700</v>
      </c>
      <c r="F48" s="2171" t="s">
        <v>701</v>
      </c>
      <c r="G48" s="2172" t="s">
        <v>986</v>
      </c>
      <c r="H48" s="2173" t="s">
        <v>987</v>
      </c>
    </row>
    <row r="49" spans="1:8" s="1849" customFormat="1" ht="13.5" thickTop="1" thickBot="1" x14ac:dyDescent="0.25">
      <c r="A49" s="1854">
        <v>1</v>
      </c>
      <c r="B49" s="1853">
        <v>2</v>
      </c>
      <c r="C49" s="1853">
        <v>3</v>
      </c>
      <c r="D49" s="1853">
        <v>4</v>
      </c>
      <c r="E49" s="1852">
        <v>5</v>
      </c>
      <c r="F49" s="1852">
        <v>6</v>
      </c>
      <c r="G49" s="2223">
        <v>7</v>
      </c>
      <c r="H49" s="2251" t="s">
        <v>61</v>
      </c>
    </row>
    <row r="50" spans="1:8" ht="16.5" customHeight="1" thickTop="1" x14ac:dyDescent="0.2">
      <c r="A50" s="2246">
        <v>2143</v>
      </c>
      <c r="B50" s="2253">
        <v>5011</v>
      </c>
      <c r="C50" s="2258">
        <v>41100880</v>
      </c>
      <c r="D50" s="2174" t="s">
        <v>294</v>
      </c>
      <c r="E50" s="2184">
        <v>35</v>
      </c>
      <c r="F50" s="2184">
        <v>34</v>
      </c>
      <c r="G50" s="2184">
        <v>13</v>
      </c>
      <c r="H50" s="2156">
        <f t="shared" ref="H50:H62" si="0">G50/F50*100</f>
        <v>38.235294117647058</v>
      </c>
    </row>
    <row r="51" spans="1:8" ht="16.5" customHeight="1" x14ac:dyDescent="0.2">
      <c r="A51" s="2246">
        <v>2143</v>
      </c>
      <c r="B51" s="2253">
        <v>5011</v>
      </c>
      <c r="C51" s="2258">
        <v>41100882</v>
      </c>
      <c r="D51" s="2174" t="s">
        <v>294</v>
      </c>
      <c r="E51" s="2184">
        <v>18</v>
      </c>
      <c r="F51" s="2184">
        <v>18</v>
      </c>
      <c r="G51" s="2184">
        <v>6</v>
      </c>
      <c r="H51" s="2156">
        <f t="shared" si="0"/>
        <v>33.333333333333329</v>
      </c>
    </row>
    <row r="52" spans="1:8" s="1849" customFormat="1" ht="16.5" customHeight="1" x14ac:dyDescent="0.2">
      <c r="A52" s="2246">
        <v>2143</v>
      </c>
      <c r="B52" s="2253">
        <v>5011</v>
      </c>
      <c r="C52" s="2253">
        <v>41500881</v>
      </c>
      <c r="D52" s="2174" t="s">
        <v>294</v>
      </c>
      <c r="E52" s="2184">
        <v>298</v>
      </c>
      <c r="F52" s="2184">
        <v>289</v>
      </c>
      <c r="G52" s="2184">
        <v>111</v>
      </c>
      <c r="H52" s="2156">
        <f t="shared" si="0"/>
        <v>38.408304498269899</v>
      </c>
    </row>
    <row r="53" spans="1:8" s="1849" customFormat="1" ht="45" x14ac:dyDescent="0.2">
      <c r="A53" s="2246">
        <v>2143</v>
      </c>
      <c r="B53" s="2253">
        <v>5031</v>
      </c>
      <c r="C53" s="2253">
        <v>41100880</v>
      </c>
      <c r="D53" s="2174" t="s">
        <v>1459</v>
      </c>
      <c r="E53" s="2184">
        <v>9</v>
      </c>
      <c r="F53" s="2184">
        <v>9</v>
      </c>
      <c r="G53" s="2184">
        <v>3</v>
      </c>
      <c r="H53" s="2156">
        <f t="shared" si="0"/>
        <v>33.333333333333329</v>
      </c>
    </row>
    <row r="54" spans="1:8" s="1849" customFormat="1" ht="45" x14ac:dyDescent="0.2">
      <c r="A54" s="2246">
        <v>2143</v>
      </c>
      <c r="B54" s="2253">
        <v>5031</v>
      </c>
      <c r="C54" s="2253">
        <v>41100882</v>
      </c>
      <c r="D54" s="2174" t="s">
        <v>1459</v>
      </c>
      <c r="E54" s="2184">
        <v>5</v>
      </c>
      <c r="F54" s="2184">
        <v>5</v>
      </c>
      <c r="G54" s="2184">
        <v>2</v>
      </c>
      <c r="H54" s="2156">
        <f t="shared" si="0"/>
        <v>40</v>
      </c>
    </row>
    <row r="55" spans="1:8" s="1849" customFormat="1" ht="45" x14ac:dyDescent="0.2">
      <c r="A55" s="2246">
        <v>2143</v>
      </c>
      <c r="B55" s="2253">
        <v>5031</v>
      </c>
      <c r="C55" s="2253">
        <v>41500881</v>
      </c>
      <c r="D55" s="2174" t="s">
        <v>1459</v>
      </c>
      <c r="E55" s="2184">
        <v>77</v>
      </c>
      <c r="F55" s="2184">
        <v>75</v>
      </c>
      <c r="G55" s="2184">
        <v>28</v>
      </c>
      <c r="H55" s="2156">
        <f t="shared" si="0"/>
        <v>37.333333333333336</v>
      </c>
    </row>
    <row r="56" spans="1:8" s="1849" customFormat="1" ht="30" x14ac:dyDescent="0.2">
      <c r="A56" s="2318">
        <v>2143</v>
      </c>
      <c r="B56" s="2253">
        <v>5032</v>
      </c>
      <c r="C56" s="2253">
        <v>41100880</v>
      </c>
      <c r="D56" s="2174" t="s">
        <v>1322</v>
      </c>
      <c r="E56" s="2184">
        <v>4</v>
      </c>
      <c r="F56" s="2184">
        <v>4</v>
      </c>
      <c r="G56" s="2184">
        <v>1</v>
      </c>
      <c r="H56" s="2156">
        <f t="shared" si="0"/>
        <v>25</v>
      </c>
    </row>
    <row r="57" spans="1:8" s="1849" customFormat="1" ht="30" x14ac:dyDescent="0.2">
      <c r="A57" s="2318">
        <v>2143</v>
      </c>
      <c r="B57" s="2253">
        <v>5032</v>
      </c>
      <c r="C57" s="2253">
        <v>41100882</v>
      </c>
      <c r="D57" s="2174" t="s">
        <v>1322</v>
      </c>
      <c r="E57" s="2184">
        <v>2</v>
      </c>
      <c r="F57" s="2184">
        <v>2</v>
      </c>
      <c r="G57" s="2184">
        <v>1</v>
      </c>
      <c r="H57" s="2156">
        <f t="shared" si="0"/>
        <v>50</v>
      </c>
    </row>
    <row r="58" spans="1:8" s="1849" customFormat="1" ht="30" x14ac:dyDescent="0.2">
      <c r="A58" s="2318">
        <v>2143</v>
      </c>
      <c r="B58" s="2253">
        <v>5032</v>
      </c>
      <c r="C58" s="2253">
        <v>41500881</v>
      </c>
      <c r="D58" s="2174" t="s">
        <v>1322</v>
      </c>
      <c r="E58" s="2184">
        <v>30</v>
      </c>
      <c r="F58" s="2184">
        <v>29</v>
      </c>
      <c r="G58" s="2184">
        <v>10</v>
      </c>
      <c r="H58" s="2156">
        <f t="shared" si="0"/>
        <v>34.482758620689658</v>
      </c>
    </row>
    <row r="59" spans="1:8" s="1849" customFormat="1" ht="15" x14ac:dyDescent="0.2">
      <c r="A59" s="2147">
        <v>2143</v>
      </c>
      <c r="B59" s="2148">
        <v>5139</v>
      </c>
      <c r="C59" s="2253">
        <v>41100880</v>
      </c>
      <c r="D59" s="2174" t="s">
        <v>295</v>
      </c>
      <c r="E59" s="2184">
        <v>4</v>
      </c>
      <c r="F59" s="2184">
        <v>4</v>
      </c>
      <c r="G59" s="2184">
        <v>0</v>
      </c>
      <c r="H59" s="2156">
        <f t="shared" si="0"/>
        <v>0</v>
      </c>
    </row>
    <row r="60" spans="1:8" s="1849" customFormat="1" ht="15" x14ac:dyDescent="0.2">
      <c r="A60" s="2147">
        <v>2143</v>
      </c>
      <c r="B60" s="2148">
        <v>5139</v>
      </c>
      <c r="C60" s="2253">
        <v>41100882</v>
      </c>
      <c r="D60" s="2174" t="s">
        <v>295</v>
      </c>
      <c r="E60" s="2184">
        <v>2</v>
      </c>
      <c r="F60" s="2184">
        <v>2</v>
      </c>
      <c r="G60" s="2184">
        <v>0</v>
      </c>
      <c r="H60" s="2156">
        <f t="shared" si="0"/>
        <v>0</v>
      </c>
    </row>
    <row r="61" spans="1:8" s="1849" customFormat="1" ht="15" x14ac:dyDescent="0.2">
      <c r="A61" s="2147">
        <v>2143</v>
      </c>
      <c r="B61" s="2148">
        <v>5139</v>
      </c>
      <c r="C61" s="2253">
        <v>41500881</v>
      </c>
      <c r="D61" s="2174" t="s">
        <v>295</v>
      </c>
      <c r="E61" s="2184">
        <v>34</v>
      </c>
      <c r="F61" s="2184">
        <v>34</v>
      </c>
      <c r="G61" s="2184">
        <v>0</v>
      </c>
      <c r="H61" s="2156">
        <f t="shared" si="0"/>
        <v>0</v>
      </c>
    </row>
    <row r="62" spans="1:8" s="1849" customFormat="1" ht="15" x14ac:dyDescent="0.2">
      <c r="A62" s="2147">
        <v>2143</v>
      </c>
      <c r="B62" s="2148">
        <v>5163</v>
      </c>
      <c r="C62" s="2253">
        <v>41100880</v>
      </c>
      <c r="D62" s="2174" t="s">
        <v>997</v>
      </c>
      <c r="E62" s="2184">
        <v>2</v>
      </c>
      <c r="F62" s="2184">
        <v>2</v>
      </c>
      <c r="G62" s="2184">
        <v>0</v>
      </c>
      <c r="H62" s="2156">
        <f t="shared" si="0"/>
        <v>0</v>
      </c>
    </row>
    <row r="63" spans="1:8" s="1849" customFormat="1" ht="15" x14ac:dyDescent="0.2">
      <c r="A63" s="2147">
        <v>2143</v>
      </c>
      <c r="B63" s="2148">
        <v>5163</v>
      </c>
      <c r="C63" s="2253">
        <v>41100882</v>
      </c>
      <c r="D63" s="2174" t="s">
        <v>997</v>
      </c>
      <c r="E63" s="2184">
        <v>1</v>
      </c>
      <c r="F63" s="2184">
        <v>1</v>
      </c>
      <c r="G63" s="2184">
        <v>0</v>
      </c>
      <c r="H63" s="2156">
        <v>0</v>
      </c>
    </row>
    <row r="64" spans="1:8" s="1849" customFormat="1" ht="15" customHeight="1" x14ac:dyDescent="0.2">
      <c r="A64" s="2147">
        <v>2143</v>
      </c>
      <c r="B64" s="2148">
        <v>5163</v>
      </c>
      <c r="C64" s="2253">
        <v>41500881</v>
      </c>
      <c r="D64" s="2174" t="s">
        <v>997</v>
      </c>
      <c r="E64" s="2184">
        <v>17</v>
      </c>
      <c r="F64" s="2184">
        <v>17</v>
      </c>
      <c r="G64" s="2184">
        <v>0</v>
      </c>
      <c r="H64" s="2156">
        <f t="shared" ref="H64:H80" si="1">G64/F64*100</f>
        <v>0</v>
      </c>
    </row>
    <row r="65" spans="1:8" s="1849" customFormat="1" ht="15" customHeight="1" x14ac:dyDescent="0.2">
      <c r="A65" s="2147">
        <v>2143</v>
      </c>
      <c r="B65" s="2148">
        <v>5164</v>
      </c>
      <c r="C65" s="2253">
        <v>41100880</v>
      </c>
      <c r="D65" s="2174" t="s">
        <v>188</v>
      </c>
      <c r="E65" s="2184">
        <v>2</v>
      </c>
      <c r="F65" s="2184">
        <v>2</v>
      </c>
      <c r="G65" s="2184">
        <v>0</v>
      </c>
      <c r="H65" s="2156">
        <f t="shared" si="1"/>
        <v>0</v>
      </c>
    </row>
    <row r="66" spans="1:8" s="1849" customFormat="1" ht="15" customHeight="1" x14ac:dyDescent="0.2">
      <c r="A66" s="2147">
        <v>2143</v>
      </c>
      <c r="B66" s="2148">
        <v>5164</v>
      </c>
      <c r="C66" s="2253">
        <v>41100882</v>
      </c>
      <c r="D66" s="2174" t="s">
        <v>188</v>
      </c>
      <c r="E66" s="2184">
        <v>1</v>
      </c>
      <c r="F66" s="2184">
        <v>1</v>
      </c>
      <c r="G66" s="2184">
        <v>0</v>
      </c>
      <c r="H66" s="2156">
        <f t="shared" si="1"/>
        <v>0</v>
      </c>
    </row>
    <row r="67" spans="1:8" s="1849" customFormat="1" ht="15" customHeight="1" x14ac:dyDescent="0.2">
      <c r="A67" s="2147">
        <v>2143</v>
      </c>
      <c r="B67" s="2148">
        <v>5164</v>
      </c>
      <c r="C67" s="2253">
        <v>41500881</v>
      </c>
      <c r="D67" s="2174" t="s">
        <v>188</v>
      </c>
      <c r="E67" s="2184">
        <v>17</v>
      </c>
      <c r="F67" s="2184">
        <v>17</v>
      </c>
      <c r="G67" s="2184">
        <v>0</v>
      </c>
      <c r="H67" s="2156">
        <f t="shared" si="1"/>
        <v>0</v>
      </c>
    </row>
    <row r="68" spans="1:8" s="1849" customFormat="1" ht="15" customHeight="1" x14ac:dyDescent="0.2">
      <c r="A68" s="2246">
        <v>2143</v>
      </c>
      <c r="B68" s="2253">
        <v>5166</v>
      </c>
      <c r="C68" s="2316" t="s">
        <v>1590</v>
      </c>
      <c r="D68" s="2174" t="s">
        <v>677</v>
      </c>
      <c r="E68" s="2184">
        <v>40</v>
      </c>
      <c r="F68" s="2184">
        <v>40</v>
      </c>
      <c r="G68" s="2184">
        <v>0</v>
      </c>
      <c r="H68" s="2156">
        <f t="shared" si="1"/>
        <v>0</v>
      </c>
    </row>
    <row r="69" spans="1:8" s="1849" customFormat="1" ht="15" customHeight="1" x14ac:dyDescent="0.2">
      <c r="A69" s="2246">
        <v>2143</v>
      </c>
      <c r="B69" s="2253">
        <v>5166</v>
      </c>
      <c r="C69" s="2253">
        <v>41100882</v>
      </c>
      <c r="D69" s="2174" t="s">
        <v>677</v>
      </c>
      <c r="E69" s="2184">
        <v>20</v>
      </c>
      <c r="F69" s="2184">
        <v>20</v>
      </c>
      <c r="G69" s="2184">
        <v>0</v>
      </c>
      <c r="H69" s="2156">
        <f t="shared" si="1"/>
        <v>0</v>
      </c>
    </row>
    <row r="70" spans="1:8" s="1849" customFormat="1" ht="15" customHeight="1" x14ac:dyDescent="0.2">
      <c r="A70" s="2246">
        <v>2143</v>
      </c>
      <c r="B70" s="2253">
        <v>5166</v>
      </c>
      <c r="C70" s="2253">
        <v>41500881</v>
      </c>
      <c r="D70" s="2174" t="s">
        <v>677</v>
      </c>
      <c r="E70" s="2184">
        <v>340</v>
      </c>
      <c r="F70" s="2184">
        <v>340</v>
      </c>
      <c r="G70" s="2184">
        <v>0</v>
      </c>
      <c r="H70" s="2156">
        <f t="shared" si="1"/>
        <v>0</v>
      </c>
    </row>
    <row r="71" spans="1:8" s="1849" customFormat="1" ht="15" x14ac:dyDescent="0.2">
      <c r="A71" s="2246">
        <v>2143</v>
      </c>
      <c r="B71" s="2253">
        <v>5169</v>
      </c>
      <c r="C71" s="2253">
        <v>41100880</v>
      </c>
      <c r="D71" s="2174" t="s">
        <v>955</v>
      </c>
      <c r="E71" s="2184">
        <v>296</v>
      </c>
      <c r="F71" s="2184">
        <v>296</v>
      </c>
      <c r="G71" s="2184">
        <v>205</v>
      </c>
      <c r="H71" s="2156">
        <f t="shared" si="1"/>
        <v>69.256756756756758</v>
      </c>
    </row>
    <row r="72" spans="1:8" s="1849" customFormat="1" ht="15" x14ac:dyDescent="0.2">
      <c r="A72" s="2246">
        <v>2143</v>
      </c>
      <c r="B72" s="2253">
        <v>5169</v>
      </c>
      <c r="C72" s="2253">
        <v>41100882</v>
      </c>
      <c r="D72" s="2174" t="s">
        <v>955</v>
      </c>
      <c r="E72" s="2184">
        <v>148</v>
      </c>
      <c r="F72" s="2184">
        <v>148</v>
      </c>
      <c r="G72" s="2184">
        <v>103</v>
      </c>
      <c r="H72" s="2156">
        <f t="shared" si="1"/>
        <v>69.594594594594597</v>
      </c>
    </row>
    <row r="73" spans="1:8" s="1849" customFormat="1" ht="15" x14ac:dyDescent="0.2">
      <c r="A73" s="2246">
        <v>2143</v>
      </c>
      <c r="B73" s="2253">
        <v>5169</v>
      </c>
      <c r="C73" s="2253">
        <v>41500881</v>
      </c>
      <c r="D73" s="2174" t="s">
        <v>955</v>
      </c>
      <c r="E73" s="2184">
        <v>2516</v>
      </c>
      <c r="F73" s="2184">
        <v>2516</v>
      </c>
      <c r="G73" s="2184">
        <v>1744</v>
      </c>
      <c r="H73" s="2156">
        <f t="shared" si="1"/>
        <v>69.316375198728139</v>
      </c>
    </row>
    <row r="74" spans="1:8" s="1849" customFormat="1" ht="15" x14ac:dyDescent="0.2">
      <c r="A74" s="2246">
        <v>2143</v>
      </c>
      <c r="B74" s="2253">
        <v>5173</v>
      </c>
      <c r="C74" s="2253">
        <v>41100880</v>
      </c>
      <c r="D74" s="2174" t="s">
        <v>1296</v>
      </c>
      <c r="E74" s="2184">
        <v>5</v>
      </c>
      <c r="F74" s="2184">
        <v>5</v>
      </c>
      <c r="G74" s="2184">
        <v>1</v>
      </c>
      <c r="H74" s="2156">
        <f t="shared" si="1"/>
        <v>20</v>
      </c>
    </row>
    <row r="75" spans="1:8" s="1849" customFormat="1" ht="15" x14ac:dyDescent="0.2">
      <c r="A75" s="2246">
        <v>2143</v>
      </c>
      <c r="B75" s="2253">
        <v>5173</v>
      </c>
      <c r="C75" s="2253">
        <v>41100882</v>
      </c>
      <c r="D75" s="2174" t="s">
        <v>1296</v>
      </c>
      <c r="E75" s="2184">
        <v>3</v>
      </c>
      <c r="F75" s="2184">
        <v>3</v>
      </c>
      <c r="G75" s="2184">
        <v>0</v>
      </c>
      <c r="H75" s="2156">
        <f t="shared" si="1"/>
        <v>0</v>
      </c>
    </row>
    <row r="76" spans="1:8" s="1849" customFormat="1" ht="15" x14ac:dyDescent="0.2">
      <c r="A76" s="2246">
        <v>2143</v>
      </c>
      <c r="B76" s="2253">
        <v>5173</v>
      </c>
      <c r="C76" s="2253">
        <v>41500881</v>
      </c>
      <c r="D76" s="2174" t="s">
        <v>1296</v>
      </c>
      <c r="E76" s="2184">
        <v>43</v>
      </c>
      <c r="F76" s="2184">
        <v>43</v>
      </c>
      <c r="G76" s="2184">
        <v>6</v>
      </c>
      <c r="H76" s="2156">
        <f t="shared" si="1"/>
        <v>13.953488372093023</v>
      </c>
    </row>
    <row r="77" spans="1:8" s="1849" customFormat="1" ht="15" x14ac:dyDescent="0.2">
      <c r="A77" s="2246">
        <v>2143</v>
      </c>
      <c r="B77" s="2253">
        <v>5175</v>
      </c>
      <c r="C77" s="2253">
        <v>41100880</v>
      </c>
      <c r="D77" s="2174" t="s">
        <v>1703</v>
      </c>
      <c r="E77" s="2184">
        <v>3</v>
      </c>
      <c r="F77" s="2184">
        <v>3</v>
      </c>
      <c r="G77" s="2184">
        <v>0</v>
      </c>
      <c r="H77" s="2156">
        <f t="shared" si="1"/>
        <v>0</v>
      </c>
    </row>
    <row r="78" spans="1:8" s="1849" customFormat="1" ht="15" x14ac:dyDescent="0.2">
      <c r="A78" s="2246">
        <v>2143</v>
      </c>
      <c r="B78" s="2253">
        <v>5175</v>
      </c>
      <c r="C78" s="2253">
        <v>41100882</v>
      </c>
      <c r="D78" s="2174" t="s">
        <v>1703</v>
      </c>
      <c r="E78" s="2184">
        <v>2</v>
      </c>
      <c r="F78" s="2184">
        <v>2</v>
      </c>
      <c r="G78" s="2184">
        <v>0</v>
      </c>
      <c r="H78" s="2156">
        <f t="shared" si="1"/>
        <v>0</v>
      </c>
    </row>
    <row r="79" spans="1:8" s="1849" customFormat="1" ht="15.75" thickBot="1" x14ac:dyDescent="0.25">
      <c r="A79" s="2246">
        <v>2143</v>
      </c>
      <c r="B79" s="2253">
        <v>5175</v>
      </c>
      <c r="C79" s="2253">
        <v>41500881</v>
      </c>
      <c r="D79" s="2174" t="s">
        <v>1703</v>
      </c>
      <c r="E79" s="2184">
        <v>26</v>
      </c>
      <c r="F79" s="2184">
        <v>26</v>
      </c>
      <c r="G79" s="2184">
        <v>0</v>
      </c>
      <c r="H79" s="2156">
        <f t="shared" si="1"/>
        <v>0</v>
      </c>
    </row>
    <row r="80" spans="1:8" s="1849" customFormat="1" ht="16.5" thickTop="1" thickBot="1" x14ac:dyDescent="0.3">
      <c r="A80" s="2806" t="s">
        <v>849</v>
      </c>
      <c r="B80" s="2807"/>
      <c r="C80" s="2807"/>
      <c r="D80" s="2807"/>
      <c r="E80" s="2152">
        <f>SUM(E50:E79)</f>
        <v>4000</v>
      </c>
      <c r="F80" s="2152">
        <f>SUM(F50:F79)</f>
        <v>3987</v>
      </c>
      <c r="G80" s="2152">
        <f>SUM(G50:G79)</f>
        <v>2234</v>
      </c>
      <c r="H80" s="2157">
        <f t="shared" si="1"/>
        <v>56.032104339102084</v>
      </c>
    </row>
    <row r="81" spans="1:10" s="1849" customFormat="1" ht="14.25" customHeight="1" thickTop="1" x14ac:dyDescent="0.25">
      <c r="A81" s="2158"/>
      <c r="B81" s="2158"/>
      <c r="C81" s="2158"/>
      <c r="D81" s="2158"/>
      <c r="E81" s="2159"/>
      <c r="F81" s="2159"/>
      <c r="G81" s="2159"/>
      <c r="H81" s="2190"/>
    </row>
    <row r="82" spans="1:10" ht="15" hidden="1" x14ac:dyDescent="0.25">
      <c r="A82" s="2136" t="s">
        <v>603</v>
      </c>
    </row>
    <row r="83" spans="1:10" ht="15" hidden="1" x14ac:dyDescent="0.25">
      <c r="A83" s="2136" t="s">
        <v>604</v>
      </c>
      <c r="H83" s="2240" t="s">
        <v>179</v>
      </c>
    </row>
    <row r="84" spans="1:10" s="1849" customFormat="1" ht="25.5" hidden="1" thickTop="1" thickBot="1" x14ac:dyDescent="0.25">
      <c r="A84" s="2138" t="s">
        <v>180</v>
      </c>
      <c r="B84" s="2139" t="s">
        <v>847</v>
      </c>
      <c r="C84" s="2139" t="s">
        <v>414</v>
      </c>
      <c r="D84" s="2140" t="s">
        <v>182</v>
      </c>
      <c r="E84" s="2171" t="s">
        <v>700</v>
      </c>
      <c r="F84" s="2171" t="s">
        <v>701</v>
      </c>
      <c r="G84" s="2172" t="s">
        <v>986</v>
      </c>
      <c r="H84" s="2173" t="s">
        <v>987</v>
      </c>
    </row>
    <row r="85" spans="1:10" s="1849" customFormat="1" ht="13.5" hidden="1" thickTop="1" thickBot="1" x14ac:dyDescent="0.25">
      <c r="A85" s="1854">
        <v>1</v>
      </c>
      <c r="B85" s="1853">
        <v>2</v>
      </c>
      <c r="C85" s="1853">
        <v>3</v>
      </c>
      <c r="D85" s="1853">
        <v>4</v>
      </c>
      <c r="E85" s="1852">
        <v>5</v>
      </c>
      <c r="F85" s="1852">
        <v>6</v>
      </c>
      <c r="G85" s="2223">
        <v>7</v>
      </c>
      <c r="H85" s="2251" t="s">
        <v>61</v>
      </c>
    </row>
    <row r="86" spans="1:10" s="1849" customFormat="1" ht="15" hidden="1" x14ac:dyDescent="0.2">
      <c r="A86" s="2147">
        <v>2143</v>
      </c>
      <c r="B86" s="2148">
        <v>5137</v>
      </c>
      <c r="C86" s="2319" t="s">
        <v>1589</v>
      </c>
      <c r="D86" s="2174" t="s">
        <v>173</v>
      </c>
      <c r="E86" s="2184">
        <v>0</v>
      </c>
      <c r="F86" s="2184">
        <v>0</v>
      </c>
      <c r="G86" s="2184">
        <v>0</v>
      </c>
      <c r="H86" s="2156" t="e">
        <f t="shared" ref="H86:H94" si="2">G86/F86*100</f>
        <v>#DIV/0!</v>
      </c>
    </row>
    <row r="87" spans="1:10" s="1849" customFormat="1" ht="15" hidden="1" x14ac:dyDescent="0.2">
      <c r="A87" s="2147">
        <v>2143</v>
      </c>
      <c r="B87" s="2148">
        <v>5137</v>
      </c>
      <c r="C87" s="2319" t="s">
        <v>1588</v>
      </c>
      <c r="D87" s="2174" t="s">
        <v>173</v>
      </c>
      <c r="E87" s="2184">
        <v>0</v>
      </c>
      <c r="F87" s="2184">
        <v>0</v>
      </c>
      <c r="G87" s="2184">
        <v>0</v>
      </c>
      <c r="H87" s="2156" t="e">
        <f t="shared" si="2"/>
        <v>#DIV/0!</v>
      </c>
    </row>
    <row r="88" spans="1:10" s="1849" customFormat="1" ht="15" hidden="1" x14ac:dyDescent="0.2">
      <c r="A88" s="2147">
        <v>2143</v>
      </c>
      <c r="B88" s="2148">
        <v>5137</v>
      </c>
      <c r="C88" s="2319" t="s">
        <v>1587</v>
      </c>
      <c r="D88" s="2174" t="s">
        <v>173</v>
      </c>
      <c r="E88" s="2184">
        <v>0</v>
      </c>
      <c r="F88" s="2184">
        <v>0</v>
      </c>
      <c r="G88" s="2184">
        <v>0</v>
      </c>
      <c r="H88" s="2156" t="e">
        <f t="shared" si="2"/>
        <v>#DIV/0!</v>
      </c>
    </row>
    <row r="89" spans="1:10" s="1849" customFormat="1" ht="15" hidden="1" x14ac:dyDescent="0.2">
      <c r="A89" s="2147">
        <v>2143</v>
      </c>
      <c r="B89" s="2148">
        <v>5139</v>
      </c>
      <c r="C89" s="2319" t="s">
        <v>1589</v>
      </c>
      <c r="D89" s="2174" t="s">
        <v>295</v>
      </c>
      <c r="E89" s="2184">
        <v>0</v>
      </c>
      <c r="F89" s="2184">
        <v>0</v>
      </c>
      <c r="G89" s="2184">
        <v>0</v>
      </c>
      <c r="H89" s="2156" t="e">
        <f t="shared" si="2"/>
        <v>#DIV/0!</v>
      </c>
    </row>
    <row r="90" spans="1:10" s="1849" customFormat="1" ht="15" hidden="1" customHeight="1" x14ac:dyDescent="0.2">
      <c r="A90" s="2147">
        <v>2143</v>
      </c>
      <c r="B90" s="2148">
        <v>5139</v>
      </c>
      <c r="C90" s="2319" t="s">
        <v>1588</v>
      </c>
      <c r="D90" s="2174" t="s">
        <v>295</v>
      </c>
      <c r="E90" s="2184">
        <v>0</v>
      </c>
      <c r="F90" s="2184">
        <v>0</v>
      </c>
      <c r="G90" s="2184">
        <v>0</v>
      </c>
      <c r="H90" s="2156" t="e">
        <f t="shared" si="2"/>
        <v>#DIV/0!</v>
      </c>
      <c r="J90" s="1849">
        <v>0.16</v>
      </c>
    </row>
    <row r="91" spans="1:10" s="1849" customFormat="1" ht="15" hidden="1" x14ac:dyDescent="0.2">
      <c r="A91" s="2147">
        <v>2143</v>
      </c>
      <c r="B91" s="2148">
        <v>5139</v>
      </c>
      <c r="C91" s="2319" t="s">
        <v>1587</v>
      </c>
      <c r="D91" s="2174" t="s">
        <v>295</v>
      </c>
      <c r="E91" s="2184">
        <v>0</v>
      </c>
      <c r="F91" s="2184">
        <v>0</v>
      </c>
      <c r="G91" s="2184">
        <v>0</v>
      </c>
      <c r="H91" s="2156" t="e">
        <f t="shared" si="2"/>
        <v>#DIV/0!</v>
      </c>
    </row>
    <row r="92" spans="1:10" s="1849" customFormat="1" ht="15" hidden="1" x14ac:dyDescent="0.2">
      <c r="A92" s="2147">
        <v>2143</v>
      </c>
      <c r="B92" s="2148">
        <v>5169</v>
      </c>
      <c r="C92" s="2319" t="s">
        <v>1589</v>
      </c>
      <c r="D92" s="2174" t="s">
        <v>1586</v>
      </c>
      <c r="E92" s="2184">
        <v>0</v>
      </c>
      <c r="F92" s="2184">
        <v>0</v>
      </c>
      <c r="G92" s="2184">
        <v>0</v>
      </c>
      <c r="H92" s="2156" t="e">
        <f t="shared" si="2"/>
        <v>#DIV/0!</v>
      </c>
    </row>
    <row r="93" spans="1:10" s="1849" customFormat="1" ht="15" hidden="1" x14ac:dyDescent="0.2">
      <c r="A93" s="2147">
        <v>2143</v>
      </c>
      <c r="B93" s="2148">
        <v>5169</v>
      </c>
      <c r="C93" s="2319" t="s">
        <v>1588</v>
      </c>
      <c r="D93" s="2174" t="s">
        <v>1586</v>
      </c>
      <c r="E93" s="2184">
        <v>0</v>
      </c>
      <c r="F93" s="2184">
        <v>0</v>
      </c>
      <c r="G93" s="2184">
        <v>0</v>
      </c>
      <c r="H93" s="2156" t="e">
        <f t="shared" si="2"/>
        <v>#DIV/0!</v>
      </c>
    </row>
    <row r="94" spans="1:10" s="1849" customFormat="1" ht="15" hidden="1" x14ac:dyDescent="0.2">
      <c r="A94" s="2147">
        <v>2143</v>
      </c>
      <c r="B94" s="2148">
        <v>5169</v>
      </c>
      <c r="C94" s="2319" t="s">
        <v>1587</v>
      </c>
      <c r="D94" s="2174" t="s">
        <v>1586</v>
      </c>
      <c r="E94" s="2184">
        <v>0</v>
      </c>
      <c r="F94" s="2184">
        <v>0</v>
      </c>
      <c r="G94" s="2184">
        <v>0</v>
      </c>
      <c r="H94" s="2156" t="e">
        <f t="shared" si="2"/>
        <v>#DIV/0!</v>
      </c>
    </row>
    <row r="95" spans="1:10" s="1849" customFormat="1" ht="15" hidden="1" x14ac:dyDescent="0.2">
      <c r="A95" s="2147">
        <v>2143</v>
      </c>
      <c r="B95" s="2148">
        <v>6121</v>
      </c>
      <c r="C95" s="2319" t="s">
        <v>838</v>
      </c>
      <c r="D95" s="2174" t="s">
        <v>671</v>
      </c>
      <c r="E95" s="2184">
        <v>0</v>
      </c>
      <c r="F95" s="2184">
        <v>0</v>
      </c>
      <c r="G95" s="2184">
        <v>0</v>
      </c>
      <c r="H95" s="2156">
        <v>0</v>
      </c>
    </row>
    <row r="96" spans="1:10" s="1849" customFormat="1" ht="16.5" hidden="1" thickTop="1" thickBot="1" x14ac:dyDescent="0.3">
      <c r="A96" s="2806" t="s">
        <v>849</v>
      </c>
      <c r="B96" s="2807"/>
      <c r="C96" s="2807"/>
      <c r="D96" s="2807"/>
      <c r="E96" s="2152">
        <f>SUM(E86:E95)</f>
        <v>0</v>
      </c>
      <c r="F96" s="2152">
        <f>SUM(F86:F95)</f>
        <v>0</v>
      </c>
      <c r="G96" s="2152">
        <f>SUM(G86:G95)</f>
        <v>0</v>
      </c>
      <c r="H96" s="2153" t="e">
        <f>G96/F96*100</f>
        <v>#DIV/0!</v>
      </c>
    </row>
    <row r="97" spans="1:8" s="1849" customFormat="1" ht="14.25" hidden="1" customHeight="1" thickTop="1" x14ac:dyDescent="0.25">
      <c r="A97" s="2136"/>
      <c r="B97" s="2158"/>
      <c r="C97" s="2158"/>
      <c r="D97" s="2158"/>
      <c r="E97" s="2159"/>
      <c r="F97" s="2159"/>
      <c r="G97" s="2159"/>
      <c r="H97" s="2320"/>
    </row>
    <row r="98" spans="1:8" ht="15" x14ac:dyDescent="0.25">
      <c r="A98" s="2136" t="s">
        <v>1585</v>
      </c>
    </row>
    <row r="99" spans="1:8" ht="15.75" thickBot="1" x14ac:dyDescent="0.3">
      <c r="A99" s="2136" t="s">
        <v>543</v>
      </c>
      <c r="H99" s="2240" t="s">
        <v>179</v>
      </c>
    </row>
    <row r="100" spans="1:8" s="1849" customFormat="1" ht="25.5" thickTop="1" thickBot="1" x14ac:dyDescent="0.25">
      <c r="A100" s="2138" t="s">
        <v>180</v>
      </c>
      <c r="B100" s="2139" t="s">
        <v>847</v>
      </c>
      <c r="C100" s="2139" t="s">
        <v>414</v>
      </c>
      <c r="D100" s="2140" t="s">
        <v>182</v>
      </c>
      <c r="E100" s="2171" t="s">
        <v>700</v>
      </c>
      <c r="F100" s="2171" t="s">
        <v>701</v>
      </c>
      <c r="G100" s="2172" t="s">
        <v>986</v>
      </c>
      <c r="H100" s="2173" t="s">
        <v>987</v>
      </c>
    </row>
    <row r="101" spans="1:8" s="1849" customFormat="1" ht="13.5" thickTop="1" thickBot="1" x14ac:dyDescent="0.25">
      <c r="A101" s="1854">
        <v>1</v>
      </c>
      <c r="B101" s="1853">
        <v>2</v>
      </c>
      <c r="C101" s="1853">
        <v>3</v>
      </c>
      <c r="D101" s="1853">
        <v>4</v>
      </c>
      <c r="E101" s="1852">
        <v>5</v>
      </c>
      <c r="F101" s="1852">
        <v>6</v>
      </c>
      <c r="G101" s="2223">
        <v>7</v>
      </c>
      <c r="H101" s="2251" t="s">
        <v>61</v>
      </c>
    </row>
    <row r="102" spans="1:8" s="1849" customFormat="1" ht="15.75" thickTop="1" x14ac:dyDescent="0.2">
      <c r="A102" s="2147">
        <v>4357</v>
      </c>
      <c r="B102" s="2148">
        <v>5169</v>
      </c>
      <c r="C102" s="2148">
        <v>38100870</v>
      </c>
      <c r="D102" s="2174" t="s">
        <v>955</v>
      </c>
      <c r="E102" s="2184">
        <v>0</v>
      </c>
      <c r="F102" s="2184">
        <v>722</v>
      </c>
      <c r="G102" s="2184">
        <v>722</v>
      </c>
      <c r="H102" s="2156">
        <f t="shared" ref="H102:H108" si="3">G102/F102*100</f>
        <v>100</v>
      </c>
    </row>
    <row r="103" spans="1:8" s="1849" customFormat="1" ht="15" x14ac:dyDescent="0.2">
      <c r="A103" s="2147">
        <v>4357</v>
      </c>
      <c r="B103" s="2148">
        <v>5169</v>
      </c>
      <c r="C103" s="2148">
        <v>38500871</v>
      </c>
      <c r="D103" s="2174" t="s">
        <v>955</v>
      </c>
      <c r="E103" s="2184">
        <v>0</v>
      </c>
      <c r="F103" s="2184">
        <v>1082</v>
      </c>
      <c r="G103" s="2184">
        <v>1082</v>
      </c>
      <c r="H103" s="2156">
        <f t="shared" si="3"/>
        <v>100</v>
      </c>
    </row>
    <row r="104" spans="1:8" s="1849" customFormat="1" ht="15" x14ac:dyDescent="0.2">
      <c r="A104" s="2147">
        <v>4357</v>
      </c>
      <c r="B104" s="2148">
        <v>5171</v>
      </c>
      <c r="C104" s="2148">
        <v>38100870</v>
      </c>
      <c r="D104" s="2174" t="s">
        <v>1001</v>
      </c>
      <c r="E104" s="2184">
        <v>0</v>
      </c>
      <c r="F104" s="2184">
        <v>13</v>
      </c>
      <c r="G104" s="2184">
        <v>0</v>
      </c>
      <c r="H104" s="2156">
        <f t="shared" si="3"/>
        <v>0</v>
      </c>
    </row>
    <row r="105" spans="1:8" s="1849" customFormat="1" ht="15" x14ac:dyDescent="0.2">
      <c r="A105" s="2147">
        <v>4357</v>
      </c>
      <c r="B105" s="2148">
        <v>5171</v>
      </c>
      <c r="C105" s="2148">
        <v>38500871</v>
      </c>
      <c r="D105" s="2174" t="s">
        <v>1001</v>
      </c>
      <c r="E105" s="2184">
        <v>0</v>
      </c>
      <c r="F105" s="2184">
        <v>20</v>
      </c>
      <c r="G105" s="2184">
        <v>0</v>
      </c>
      <c r="H105" s="2156">
        <f t="shared" si="3"/>
        <v>0</v>
      </c>
    </row>
    <row r="106" spans="1:8" s="1849" customFormat="1" ht="15" x14ac:dyDescent="0.2">
      <c r="A106" s="2147">
        <v>4357</v>
      </c>
      <c r="B106" s="2148">
        <v>6121</v>
      </c>
      <c r="C106" s="2148">
        <v>38100870</v>
      </c>
      <c r="D106" s="2174" t="s">
        <v>671</v>
      </c>
      <c r="E106" s="2184">
        <v>0</v>
      </c>
      <c r="F106" s="2184">
        <v>480</v>
      </c>
      <c r="G106" s="2184">
        <v>362</v>
      </c>
      <c r="H106" s="2156">
        <f t="shared" si="3"/>
        <v>75.416666666666671</v>
      </c>
    </row>
    <row r="107" spans="1:8" s="1849" customFormat="1" ht="15.75" thickBot="1" x14ac:dyDescent="0.25">
      <c r="A107" s="2147">
        <v>4357</v>
      </c>
      <c r="B107" s="2148">
        <v>6121</v>
      </c>
      <c r="C107" s="2148">
        <v>38500871</v>
      </c>
      <c r="D107" s="2174" t="s">
        <v>671</v>
      </c>
      <c r="E107" s="2184">
        <v>0</v>
      </c>
      <c r="F107" s="2184">
        <v>720</v>
      </c>
      <c r="G107" s="2184">
        <v>543</v>
      </c>
      <c r="H107" s="2156">
        <f t="shared" si="3"/>
        <v>75.416666666666671</v>
      </c>
    </row>
    <row r="108" spans="1:8" s="1849" customFormat="1" ht="16.5" thickTop="1" thickBot="1" x14ac:dyDescent="0.3">
      <c r="A108" s="2806" t="s">
        <v>849</v>
      </c>
      <c r="B108" s="2807"/>
      <c r="C108" s="2807"/>
      <c r="D108" s="2807"/>
      <c r="E108" s="2152">
        <f>SUM(E102:E107)</f>
        <v>0</v>
      </c>
      <c r="F108" s="2152">
        <f>SUM(F102:F107)</f>
        <v>3037</v>
      </c>
      <c r="G108" s="2152">
        <f>SUM(G102:G107)</f>
        <v>2709</v>
      </c>
      <c r="H108" s="2157">
        <f t="shared" si="3"/>
        <v>89.199868291076726</v>
      </c>
    </row>
    <row r="109" spans="1:8" s="1849" customFormat="1" ht="14.25" customHeight="1" thickTop="1" x14ac:dyDescent="0.25">
      <c r="A109" s="2158"/>
      <c r="B109" s="2158"/>
      <c r="C109" s="2158"/>
      <c r="D109" s="2158"/>
      <c r="E109" s="2159"/>
      <c r="F109" s="2159"/>
      <c r="G109" s="2159"/>
      <c r="H109" s="2190"/>
    </row>
    <row r="110" spans="1:8" ht="15" x14ac:dyDescent="0.25">
      <c r="A110" s="2136" t="s">
        <v>1584</v>
      </c>
    </row>
    <row r="111" spans="1:8" ht="15.75" thickBot="1" x14ac:dyDescent="0.3">
      <c r="A111" s="2136" t="s">
        <v>257</v>
      </c>
      <c r="H111" s="2240" t="s">
        <v>179</v>
      </c>
    </row>
    <row r="112" spans="1:8" s="1849" customFormat="1" ht="25.5" thickTop="1" thickBot="1" x14ac:dyDescent="0.25">
      <c r="A112" s="2138" t="s">
        <v>180</v>
      </c>
      <c r="B112" s="2139" t="s">
        <v>847</v>
      </c>
      <c r="C112" s="2139" t="s">
        <v>414</v>
      </c>
      <c r="D112" s="2140" t="s">
        <v>182</v>
      </c>
      <c r="E112" s="2171" t="s">
        <v>700</v>
      </c>
      <c r="F112" s="2171" t="s">
        <v>701</v>
      </c>
      <c r="G112" s="2172" t="s">
        <v>986</v>
      </c>
      <c r="H112" s="2173" t="s">
        <v>987</v>
      </c>
    </row>
    <row r="113" spans="1:8" s="1849" customFormat="1" ht="13.5" thickTop="1" thickBot="1" x14ac:dyDescent="0.25">
      <c r="A113" s="1854">
        <v>1</v>
      </c>
      <c r="B113" s="1853">
        <v>2</v>
      </c>
      <c r="C113" s="1853">
        <v>3</v>
      </c>
      <c r="D113" s="1853">
        <v>4</v>
      </c>
      <c r="E113" s="1852">
        <v>5</v>
      </c>
      <c r="F113" s="1852">
        <v>6</v>
      </c>
      <c r="G113" s="2223">
        <v>7</v>
      </c>
      <c r="H113" s="2251" t="s">
        <v>61</v>
      </c>
    </row>
    <row r="114" spans="1:8" s="1849" customFormat="1" ht="15.75" thickTop="1" x14ac:dyDescent="0.2">
      <c r="A114" s="2147">
        <v>3122</v>
      </c>
      <c r="B114" s="2148">
        <v>6121</v>
      </c>
      <c r="C114" s="2148">
        <v>53100870</v>
      </c>
      <c r="D114" s="2174" t="s">
        <v>671</v>
      </c>
      <c r="E114" s="2184">
        <v>0</v>
      </c>
      <c r="F114" s="2184">
        <v>747</v>
      </c>
      <c r="G114" s="2184">
        <v>747</v>
      </c>
      <c r="H114" s="2156">
        <f>G114/F114*100</f>
        <v>100</v>
      </c>
    </row>
    <row r="115" spans="1:8" s="1849" customFormat="1" ht="15" x14ac:dyDescent="0.2">
      <c r="A115" s="2147">
        <v>3122</v>
      </c>
      <c r="B115" s="2148">
        <v>6121</v>
      </c>
      <c r="C115" s="2148">
        <v>53100874</v>
      </c>
      <c r="D115" s="2174" t="s">
        <v>671</v>
      </c>
      <c r="E115" s="2184">
        <v>0</v>
      </c>
      <c r="F115" s="2184">
        <v>2554</v>
      </c>
      <c r="G115" s="2184">
        <v>2554</v>
      </c>
      <c r="H115" s="2156">
        <f>G115/F115*100</f>
        <v>100</v>
      </c>
    </row>
    <row r="116" spans="1:8" s="1849" customFormat="1" ht="15" x14ac:dyDescent="0.2">
      <c r="A116" s="2147">
        <v>3122</v>
      </c>
      <c r="B116" s="2148">
        <v>6121</v>
      </c>
      <c r="C116" s="2148">
        <v>53190877</v>
      </c>
      <c r="D116" s="2174" t="s">
        <v>671</v>
      </c>
      <c r="E116" s="2184">
        <v>0</v>
      </c>
      <c r="F116" s="2184">
        <v>373</v>
      </c>
      <c r="G116" s="2184">
        <v>373</v>
      </c>
      <c r="H116" s="2156">
        <f>G116/F116*100</f>
        <v>100</v>
      </c>
    </row>
    <row r="117" spans="1:8" s="1849" customFormat="1" ht="15.75" thickBot="1" x14ac:dyDescent="0.25">
      <c r="A117" s="2147">
        <v>3122</v>
      </c>
      <c r="B117" s="2148">
        <v>6121</v>
      </c>
      <c r="C117" s="2148">
        <v>53515835</v>
      </c>
      <c r="D117" s="2174" t="s">
        <v>671</v>
      </c>
      <c r="E117" s="2184">
        <v>0</v>
      </c>
      <c r="F117" s="2184">
        <v>6345</v>
      </c>
      <c r="G117" s="2184">
        <v>6345</v>
      </c>
      <c r="H117" s="2156">
        <f>G117/F117*100</f>
        <v>100</v>
      </c>
    </row>
    <row r="118" spans="1:8" s="1849" customFormat="1" ht="16.5" thickTop="1" thickBot="1" x14ac:dyDescent="0.3">
      <c r="A118" s="2806" t="s">
        <v>849</v>
      </c>
      <c r="B118" s="2807"/>
      <c r="C118" s="2807"/>
      <c r="D118" s="2807"/>
      <c r="E118" s="2152">
        <f>SUM(E114:E117)</f>
        <v>0</v>
      </c>
      <c r="F118" s="2152">
        <f>SUM(F114:F117)</f>
        <v>10019</v>
      </c>
      <c r="G118" s="2152">
        <f>SUM(G114:G117)</f>
        <v>10019</v>
      </c>
      <c r="H118" s="2157">
        <f>G118/F118*100</f>
        <v>100</v>
      </c>
    </row>
    <row r="119" spans="1:8" s="1849" customFormat="1" ht="14.25" customHeight="1" thickTop="1" x14ac:dyDescent="0.25">
      <c r="A119" s="2158"/>
      <c r="B119" s="2158"/>
      <c r="C119" s="2158"/>
      <c r="D119" s="2158"/>
      <c r="E119" s="2159"/>
      <c r="F119" s="2159"/>
      <c r="G119" s="2159"/>
      <c r="H119" s="2190"/>
    </row>
    <row r="120" spans="1:8" ht="15" x14ac:dyDescent="0.25">
      <c r="A120" s="2136" t="s">
        <v>1583</v>
      </c>
    </row>
    <row r="121" spans="1:8" ht="15.75" thickBot="1" x14ac:dyDescent="0.3">
      <c r="A121" s="2136" t="s">
        <v>1582</v>
      </c>
      <c r="H121" s="2240" t="s">
        <v>179</v>
      </c>
    </row>
    <row r="122" spans="1:8" s="1849" customFormat="1" ht="25.5" thickTop="1" thickBot="1" x14ac:dyDescent="0.25">
      <c r="A122" s="2138" t="s">
        <v>180</v>
      </c>
      <c r="B122" s="2139" t="s">
        <v>847</v>
      </c>
      <c r="C122" s="2139" t="s">
        <v>414</v>
      </c>
      <c r="D122" s="2140" t="s">
        <v>182</v>
      </c>
      <c r="E122" s="2171" t="s">
        <v>700</v>
      </c>
      <c r="F122" s="2171" t="s">
        <v>701</v>
      </c>
      <c r="G122" s="2172" t="s">
        <v>986</v>
      </c>
      <c r="H122" s="2173" t="s">
        <v>987</v>
      </c>
    </row>
    <row r="123" spans="1:8" s="1849" customFormat="1" ht="13.5" thickTop="1" thickBot="1" x14ac:dyDescent="0.25">
      <c r="A123" s="1854">
        <v>1</v>
      </c>
      <c r="B123" s="1853">
        <v>2</v>
      </c>
      <c r="C123" s="1853">
        <v>3</v>
      </c>
      <c r="D123" s="1853">
        <v>4</v>
      </c>
      <c r="E123" s="1852">
        <v>5</v>
      </c>
      <c r="F123" s="1852">
        <v>6</v>
      </c>
      <c r="G123" s="2223">
        <v>7</v>
      </c>
      <c r="H123" s="2251" t="s">
        <v>61</v>
      </c>
    </row>
    <row r="124" spans="1:8" s="1849" customFormat="1" ht="15.75" thickTop="1" x14ac:dyDescent="0.2">
      <c r="A124" s="2147">
        <v>4357</v>
      </c>
      <c r="B124" s="2148">
        <v>6121</v>
      </c>
      <c r="C124" s="2148">
        <v>53100870</v>
      </c>
      <c r="D124" s="2174" t="s">
        <v>671</v>
      </c>
      <c r="E124" s="2184">
        <v>0</v>
      </c>
      <c r="F124" s="2184">
        <v>296</v>
      </c>
      <c r="G124" s="2184">
        <v>296</v>
      </c>
      <c r="H124" s="2156">
        <f>G124/F124*100</f>
        <v>100</v>
      </c>
    </row>
    <row r="125" spans="1:8" s="1849" customFormat="1" ht="15" x14ac:dyDescent="0.2">
      <c r="A125" s="2147">
        <v>4357</v>
      </c>
      <c r="B125" s="2148">
        <v>6121</v>
      </c>
      <c r="C125" s="2148">
        <v>53100874</v>
      </c>
      <c r="D125" s="2174" t="s">
        <v>671</v>
      </c>
      <c r="E125" s="2184">
        <v>0</v>
      </c>
      <c r="F125" s="2184">
        <v>1289</v>
      </c>
      <c r="G125" s="2184">
        <v>1289</v>
      </c>
      <c r="H125" s="2156">
        <f>G125/F125*100</f>
        <v>100</v>
      </c>
    </row>
    <row r="126" spans="1:8" s="1849" customFormat="1" ht="15" x14ac:dyDescent="0.2">
      <c r="A126" s="2147">
        <v>4357</v>
      </c>
      <c r="B126" s="2148">
        <v>6121</v>
      </c>
      <c r="C126" s="2148">
        <v>53190877</v>
      </c>
      <c r="D126" s="2174" t="s">
        <v>671</v>
      </c>
      <c r="E126" s="2184">
        <v>0</v>
      </c>
      <c r="F126" s="2184">
        <v>148</v>
      </c>
      <c r="G126" s="2184">
        <v>148</v>
      </c>
      <c r="H126" s="2156">
        <f>G126/F126*100</f>
        <v>100</v>
      </c>
    </row>
    <row r="127" spans="1:8" s="1849" customFormat="1" ht="15.75" thickBot="1" x14ac:dyDescent="0.25">
      <c r="A127" s="2147">
        <v>4357</v>
      </c>
      <c r="B127" s="2148">
        <v>6121</v>
      </c>
      <c r="C127" s="2148">
        <v>53515835</v>
      </c>
      <c r="D127" s="2174" t="s">
        <v>671</v>
      </c>
      <c r="E127" s="2184">
        <v>0</v>
      </c>
      <c r="F127" s="2184">
        <v>2514</v>
      </c>
      <c r="G127" s="2184">
        <v>2514</v>
      </c>
      <c r="H127" s="2156">
        <f>G127/F127*100</f>
        <v>100</v>
      </c>
    </row>
    <row r="128" spans="1:8" s="1849" customFormat="1" ht="16.5" thickTop="1" thickBot="1" x14ac:dyDescent="0.3">
      <c r="A128" s="2806" t="s">
        <v>849</v>
      </c>
      <c r="B128" s="2807"/>
      <c r="C128" s="2807"/>
      <c r="D128" s="2807"/>
      <c r="E128" s="2152">
        <f>SUM(E124:E127)</f>
        <v>0</v>
      </c>
      <c r="F128" s="2152">
        <f>SUM(F124:F127)</f>
        <v>4247</v>
      </c>
      <c r="G128" s="2152">
        <f>SUM(G124:G127)</f>
        <v>4247</v>
      </c>
      <c r="H128" s="2157">
        <f>G128/F128*100</f>
        <v>100</v>
      </c>
    </row>
    <row r="129" spans="1:8" s="1849" customFormat="1" ht="14.25" customHeight="1" thickTop="1" x14ac:dyDescent="0.25">
      <c r="A129" s="2158"/>
      <c r="B129" s="2158"/>
      <c r="C129" s="2158"/>
      <c r="D129" s="2158"/>
      <c r="E129" s="2159"/>
      <c r="F129" s="2159"/>
      <c r="G129" s="2159"/>
      <c r="H129" s="2190"/>
    </row>
    <row r="130" spans="1:8" s="1849" customFormat="1" ht="15" x14ac:dyDescent="0.25">
      <c r="A130" s="2136" t="s">
        <v>1206</v>
      </c>
      <c r="B130" s="2130"/>
      <c r="C130" s="2130"/>
      <c r="D130" s="2131"/>
      <c r="E130" s="2165"/>
      <c r="F130" s="2165"/>
      <c r="G130" s="2165"/>
      <c r="H130" s="2131"/>
    </row>
    <row r="131" spans="1:8" s="1849" customFormat="1" ht="15.75" thickBot="1" x14ac:dyDescent="0.3">
      <c r="A131" s="2136" t="s">
        <v>1207</v>
      </c>
      <c r="B131" s="2130"/>
      <c r="C131" s="2130"/>
      <c r="D131" s="2131"/>
      <c r="E131" s="2165"/>
      <c r="F131" s="2165"/>
      <c r="G131" s="2165"/>
      <c r="H131" s="2240" t="s">
        <v>179</v>
      </c>
    </row>
    <row r="132" spans="1:8" s="1849" customFormat="1" ht="25.5" thickTop="1" thickBot="1" x14ac:dyDescent="0.25">
      <c r="A132" s="2138" t="s">
        <v>180</v>
      </c>
      <c r="B132" s="2139" t="s">
        <v>847</v>
      </c>
      <c r="C132" s="2139" t="s">
        <v>414</v>
      </c>
      <c r="D132" s="2140" t="s">
        <v>182</v>
      </c>
      <c r="E132" s="2171" t="s">
        <v>700</v>
      </c>
      <c r="F132" s="2171" t="s">
        <v>701</v>
      </c>
      <c r="G132" s="2172" t="s">
        <v>986</v>
      </c>
      <c r="H132" s="2173" t="s">
        <v>987</v>
      </c>
    </row>
    <row r="133" spans="1:8" s="1849" customFormat="1" ht="13.5" thickTop="1" thickBot="1" x14ac:dyDescent="0.25">
      <c r="A133" s="1854">
        <v>1</v>
      </c>
      <c r="B133" s="1853">
        <v>2</v>
      </c>
      <c r="C133" s="1853">
        <v>3</v>
      </c>
      <c r="D133" s="1853">
        <v>4</v>
      </c>
      <c r="E133" s="1852">
        <v>5</v>
      </c>
      <c r="F133" s="1852">
        <v>6</v>
      </c>
      <c r="G133" s="2223">
        <v>7</v>
      </c>
      <c r="H133" s="2251" t="s">
        <v>61</v>
      </c>
    </row>
    <row r="134" spans="1:8" s="1849" customFormat="1" ht="15" customHeight="1" thickTop="1" x14ac:dyDescent="0.2">
      <c r="A134" s="2182">
        <v>5273</v>
      </c>
      <c r="B134" s="2183">
        <v>5011</v>
      </c>
      <c r="C134" s="2183">
        <v>41100880</v>
      </c>
      <c r="D134" s="2174" t="s">
        <v>294</v>
      </c>
      <c r="E134" s="2170">
        <v>0</v>
      </c>
      <c r="F134" s="2170">
        <v>1</v>
      </c>
      <c r="G134" s="2170">
        <v>1</v>
      </c>
      <c r="H134" s="2156">
        <f t="shared" ref="H134:H149" si="4">G134/F134*100</f>
        <v>100</v>
      </c>
    </row>
    <row r="135" spans="1:8" s="1849" customFormat="1" ht="15" customHeight="1" x14ac:dyDescent="0.2">
      <c r="A135" s="2246">
        <v>5273</v>
      </c>
      <c r="B135" s="2253">
        <v>5011</v>
      </c>
      <c r="C135" s="2253">
        <v>41100882</v>
      </c>
      <c r="D135" s="2174" t="s">
        <v>294</v>
      </c>
      <c r="E135" s="2184">
        <v>0</v>
      </c>
      <c r="F135" s="2184">
        <v>1</v>
      </c>
      <c r="G135" s="2184">
        <v>0</v>
      </c>
      <c r="H135" s="2156">
        <f t="shared" si="4"/>
        <v>0</v>
      </c>
    </row>
    <row r="136" spans="1:8" s="1849" customFormat="1" ht="15" customHeight="1" x14ac:dyDescent="0.2">
      <c r="A136" s="2246">
        <v>5273</v>
      </c>
      <c r="B136" s="2253">
        <v>5011</v>
      </c>
      <c r="C136" s="2253">
        <v>41500881</v>
      </c>
      <c r="D136" s="2174" t="s">
        <v>294</v>
      </c>
      <c r="E136" s="2184">
        <v>0</v>
      </c>
      <c r="F136" s="2184">
        <v>9</v>
      </c>
      <c r="G136" s="2184">
        <v>6</v>
      </c>
      <c r="H136" s="2156">
        <f t="shared" si="4"/>
        <v>66.666666666666657</v>
      </c>
    </row>
    <row r="137" spans="1:8" s="1849" customFormat="1" ht="45" x14ac:dyDescent="0.2">
      <c r="A137" s="2246">
        <v>5273</v>
      </c>
      <c r="B137" s="2253">
        <v>5031</v>
      </c>
      <c r="C137" s="2253">
        <v>41100880</v>
      </c>
      <c r="D137" s="2174" t="s">
        <v>1459</v>
      </c>
      <c r="E137" s="2184">
        <v>0</v>
      </c>
      <c r="F137" s="2184">
        <v>0</v>
      </c>
      <c r="G137" s="2184">
        <v>0</v>
      </c>
      <c r="H137" s="2156">
        <v>0</v>
      </c>
    </row>
    <row r="138" spans="1:8" s="1849" customFormat="1" ht="45" x14ac:dyDescent="0.2">
      <c r="A138" s="2246">
        <v>5273</v>
      </c>
      <c r="B138" s="2253">
        <v>5031</v>
      </c>
      <c r="C138" s="2253">
        <v>41100882</v>
      </c>
      <c r="D138" s="2174" t="s">
        <v>1459</v>
      </c>
      <c r="E138" s="2184">
        <v>0</v>
      </c>
      <c r="F138" s="2184">
        <v>0</v>
      </c>
      <c r="G138" s="2184">
        <v>0</v>
      </c>
      <c r="H138" s="2156">
        <v>0</v>
      </c>
    </row>
    <row r="139" spans="1:8" s="1849" customFormat="1" ht="45" x14ac:dyDescent="0.2">
      <c r="A139" s="2246">
        <v>5273</v>
      </c>
      <c r="B139" s="2253">
        <v>5031</v>
      </c>
      <c r="C139" s="2253">
        <v>41500881</v>
      </c>
      <c r="D139" s="2174" t="s">
        <v>1459</v>
      </c>
      <c r="E139" s="2184">
        <v>0</v>
      </c>
      <c r="F139" s="2184">
        <v>2</v>
      </c>
      <c r="G139" s="2184">
        <v>1</v>
      </c>
      <c r="H139" s="2156">
        <f t="shared" si="4"/>
        <v>50</v>
      </c>
    </row>
    <row r="140" spans="1:8" s="1849" customFormat="1" ht="30" x14ac:dyDescent="0.2">
      <c r="A140" s="2246">
        <v>5273</v>
      </c>
      <c r="B140" s="2253">
        <v>5032</v>
      </c>
      <c r="C140" s="2253">
        <v>41100880</v>
      </c>
      <c r="D140" s="2174" t="s">
        <v>1322</v>
      </c>
      <c r="E140" s="2184">
        <v>0</v>
      </c>
      <c r="F140" s="2184">
        <v>0</v>
      </c>
      <c r="G140" s="2184">
        <v>0</v>
      </c>
      <c r="H140" s="2156">
        <v>0</v>
      </c>
    </row>
    <row r="141" spans="1:8" s="1849" customFormat="1" ht="30" x14ac:dyDescent="0.2">
      <c r="A141" s="2246">
        <v>5273</v>
      </c>
      <c r="B141" s="2253">
        <v>5032</v>
      </c>
      <c r="C141" s="2253">
        <v>41100882</v>
      </c>
      <c r="D141" s="2174" t="s">
        <v>1322</v>
      </c>
      <c r="E141" s="2184">
        <v>0</v>
      </c>
      <c r="F141" s="2184">
        <v>0</v>
      </c>
      <c r="G141" s="2184">
        <v>0</v>
      </c>
      <c r="H141" s="2156">
        <v>0</v>
      </c>
    </row>
    <row r="142" spans="1:8" s="1849" customFormat="1" ht="30.75" thickBot="1" x14ac:dyDescent="0.25">
      <c r="A142" s="2246">
        <v>5273</v>
      </c>
      <c r="B142" s="2253">
        <v>5032</v>
      </c>
      <c r="C142" s="2253">
        <v>41500881</v>
      </c>
      <c r="D142" s="2174" t="s">
        <v>1322</v>
      </c>
      <c r="E142" s="2184">
        <v>0</v>
      </c>
      <c r="F142" s="2184">
        <v>0</v>
      </c>
      <c r="G142" s="2184">
        <v>1</v>
      </c>
      <c r="H142" s="2156">
        <v>0</v>
      </c>
    </row>
    <row r="143" spans="1:8" s="1849" customFormat="1" ht="15.75" hidden="1" thickBot="1" x14ac:dyDescent="0.25">
      <c r="A143" s="2246">
        <v>5273</v>
      </c>
      <c r="B143" s="2253">
        <v>5137</v>
      </c>
      <c r="C143" s="2253">
        <v>41100880</v>
      </c>
      <c r="D143" s="2174" t="s">
        <v>173</v>
      </c>
      <c r="E143" s="2184">
        <v>0</v>
      </c>
      <c r="F143" s="2184">
        <v>0</v>
      </c>
      <c r="G143" s="2184">
        <v>0</v>
      </c>
      <c r="H143" s="2156" t="e">
        <f t="shared" si="4"/>
        <v>#DIV/0!</v>
      </c>
    </row>
    <row r="144" spans="1:8" s="1849" customFormat="1" ht="15.75" hidden="1" thickBot="1" x14ac:dyDescent="0.25">
      <c r="A144" s="2246">
        <v>5273</v>
      </c>
      <c r="B144" s="2253">
        <v>5137</v>
      </c>
      <c r="C144" s="2253">
        <v>41100882</v>
      </c>
      <c r="D144" s="2174" t="s">
        <v>173</v>
      </c>
      <c r="E144" s="2184">
        <v>0</v>
      </c>
      <c r="F144" s="2184">
        <v>0</v>
      </c>
      <c r="G144" s="2184">
        <v>0</v>
      </c>
      <c r="H144" s="2156" t="e">
        <f t="shared" si="4"/>
        <v>#DIV/0!</v>
      </c>
    </row>
    <row r="145" spans="1:8" s="1849" customFormat="1" ht="15.75" hidden="1" thickBot="1" x14ac:dyDescent="0.25">
      <c r="A145" s="2246">
        <v>5273</v>
      </c>
      <c r="B145" s="2253">
        <v>5137</v>
      </c>
      <c r="C145" s="2253">
        <v>41500881</v>
      </c>
      <c r="D145" s="2174" t="s">
        <v>173</v>
      </c>
      <c r="E145" s="2184">
        <v>0</v>
      </c>
      <c r="F145" s="2184">
        <v>0</v>
      </c>
      <c r="G145" s="2184">
        <v>0</v>
      </c>
      <c r="H145" s="2156" t="e">
        <f t="shared" si="4"/>
        <v>#DIV/0!</v>
      </c>
    </row>
    <row r="146" spans="1:8" s="1849" customFormat="1" ht="15.75" hidden="1" thickBot="1" x14ac:dyDescent="0.25">
      <c r="A146" s="2246">
        <v>5273</v>
      </c>
      <c r="B146" s="2148">
        <v>5139</v>
      </c>
      <c r="C146" s="2253">
        <v>41100880</v>
      </c>
      <c r="D146" s="2174" t="s">
        <v>295</v>
      </c>
      <c r="E146" s="2184">
        <v>0</v>
      </c>
      <c r="F146" s="2184">
        <v>0</v>
      </c>
      <c r="G146" s="2184">
        <v>0</v>
      </c>
      <c r="H146" s="2156" t="e">
        <f t="shared" si="4"/>
        <v>#DIV/0!</v>
      </c>
    </row>
    <row r="147" spans="1:8" s="1849" customFormat="1" ht="15.75" hidden="1" thickBot="1" x14ac:dyDescent="0.25">
      <c r="A147" s="2246">
        <v>5273</v>
      </c>
      <c r="B147" s="2148">
        <v>5139</v>
      </c>
      <c r="C147" s="2253">
        <v>41100882</v>
      </c>
      <c r="D147" s="2174" t="s">
        <v>295</v>
      </c>
      <c r="E147" s="2184">
        <v>0</v>
      </c>
      <c r="F147" s="2184">
        <v>0</v>
      </c>
      <c r="G147" s="2184">
        <v>0</v>
      </c>
      <c r="H147" s="2156" t="e">
        <f t="shared" si="4"/>
        <v>#DIV/0!</v>
      </c>
    </row>
    <row r="148" spans="1:8" s="1849" customFormat="1" ht="15.75" hidden="1" thickBot="1" x14ac:dyDescent="0.25">
      <c r="A148" s="2246">
        <v>5273</v>
      </c>
      <c r="B148" s="2148">
        <v>5139</v>
      </c>
      <c r="C148" s="2253">
        <v>41500881</v>
      </c>
      <c r="D148" s="2174" t="s">
        <v>295</v>
      </c>
      <c r="E148" s="2184">
        <v>0</v>
      </c>
      <c r="F148" s="2184">
        <v>0</v>
      </c>
      <c r="G148" s="2184">
        <v>0</v>
      </c>
      <c r="H148" s="2156" t="e">
        <f t="shared" si="4"/>
        <v>#DIV/0!</v>
      </c>
    </row>
    <row r="149" spans="1:8" s="1849" customFormat="1" ht="15.75" hidden="1" thickBot="1" x14ac:dyDescent="0.25">
      <c r="A149" s="2246">
        <v>5273</v>
      </c>
      <c r="B149" s="2148">
        <v>5163</v>
      </c>
      <c r="C149" s="2253">
        <v>41100880</v>
      </c>
      <c r="D149" s="2174" t="s">
        <v>997</v>
      </c>
      <c r="E149" s="2184">
        <v>0</v>
      </c>
      <c r="F149" s="2184">
        <v>0</v>
      </c>
      <c r="G149" s="2184">
        <v>0</v>
      </c>
      <c r="H149" s="2156" t="e">
        <f t="shared" si="4"/>
        <v>#DIV/0!</v>
      </c>
    </row>
    <row r="150" spans="1:8" s="1849" customFormat="1" ht="15.75" hidden="1" thickBot="1" x14ac:dyDescent="0.25">
      <c r="A150" s="2246">
        <v>5273</v>
      </c>
      <c r="B150" s="2148">
        <v>5163</v>
      </c>
      <c r="C150" s="2253">
        <v>41100882</v>
      </c>
      <c r="D150" s="2174" t="s">
        <v>997</v>
      </c>
      <c r="E150" s="2184">
        <v>0</v>
      </c>
      <c r="F150" s="2184">
        <v>0</v>
      </c>
      <c r="G150" s="2184">
        <v>0</v>
      </c>
      <c r="H150" s="2156">
        <v>0</v>
      </c>
    </row>
    <row r="151" spans="1:8" s="1849" customFormat="1" ht="15.75" hidden="1" thickBot="1" x14ac:dyDescent="0.25">
      <c r="A151" s="2246">
        <v>5273</v>
      </c>
      <c r="B151" s="2148">
        <v>5163</v>
      </c>
      <c r="C151" s="2253">
        <v>41500881</v>
      </c>
      <c r="D151" s="2174" t="s">
        <v>997</v>
      </c>
      <c r="E151" s="2184">
        <v>0</v>
      </c>
      <c r="F151" s="2184">
        <v>0</v>
      </c>
      <c r="G151" s="2184">
        <v>0</v>
      </c>
      <c r="H151" s="2156">
        <v>0</v>
      </c>
    </row>
    <row r="152" spans="1:8" s="1849" customFormat="1" ht="15.75" hidden="1" thickBot="1" x14ac:dyDescent="0.25">
      <c r="A152" s="2246">
        <v>5273</v>
      </c>
      <c r="B152" s="2148">
        <v>5164</v>
      </c>
      <c r="C152" s="2253">
        <v>41100880</v>
      </c>
      <c r="D152" s="2174" t="s">
        <v>188</v>
      </c>
      <c r="E152" s="2184">
        <v>0</v>
      </c>
      <c r="F152" s="2184">
        <v>0</v>
      </c>
      <c r="G152" s="2184">
        <v>0</v>
      </c>
      <c r="H152" s="2156" t="e">
        <f>G152/F152*100</f>
        <v>#DIV/0!</v>
      </c>
    </row>
    <row r="153" spans="1:8" s="1849" customFormat="1" ht="15.75" hidden="1" thickBot="1" x14ac:dyDescent="0.25">
      <c r="A153" s="2246">
        <v>5273</v>
      </c>
      <c r="B153" s="2148">
        <v>5164</v>
      </c>
      <c r="C153" s="2253">
        <v>41100882</v>
      </c>
      <c r="D153" s="2174" t="s">
        <v>188</v>
      </c>
      <c r="E153" s="2184">
        <v>0</v>
      </c>
      <c r="F153" s="2184">
        <v>0</v>
      </c>
      <c r="G153" s="2184">
        <v>0</v>
      </c>
      <c r="H153" s="2156">
        <v>0</v>
      </c>
    </row>
    <row r="154" spans="1:8" s="1849" customFormat="1" ht="15.75" hidden="1" thickBot="1" x14ac:dyDescent="0.25">
      <c r="A154" s="2246">
        <v>5273</v>
      </c>
      <c r="B154" s="2253">
        <v>5164</v>
      </c>
      <c r="C154" s="2253">
        <v>41500881</v>
      </c>
      <c r="D154" s="2174" t="s">
        <v>188</v>
      </c>
      <c r="E154" s="2184">
        <v>0</v>
      </c>
      <c r="F154" s="2184">
        <v>0</v>
      </c>
      <c r="G154" s="2184">
        <v>0</v>
      </c>
      <c r="H154" s="2156" t="e">
        <f t="shared" ref="H154:H164" si="5">G154/F154*100</f>
        <v>#DIV/0!</v>
      </c>
    </row>
    <row r="155" spans="1:8" s="1849" customFormat="1" ht="15" hidden="1" customHeight="1" x14ac:dyDescent="0.2">
      <c r="A155" s="2246">
        <v>5273</v>
      </c>
      <c r="B155" s="2253">
        <v>5166</v>
      </c>
      <c r="C155" s="2253">
        <v>41100880</v>
      </c>
      <c r="D155" s="2174" t="s">
        <v>677</v>
      </c>
      <c r="E155" s="2184">
        <v>0</v>
      </c>
      <c r="F155" s="2184">
        <v>0</v>
      </c>
      <c r="G155" s="2184">
        <v>0</v>
      </c>
      <c r="H155" s="2156" t="e">
        <f t="shared" si="5"/>
        <v>#DIV/0!</v>
      </c>
    </row>
    <row r="156" spans="1:8" s="1849" customFormat="1" ht="15" hidden="1" customHeight="1" x14ac:dyDescent="0.2">
      <c r="A156" s="2246">
        <v>5273</v>
      </c>
      <c r="B156" s="2253">
        <v>5166</v>
      </c>
      <c r="C156" s="2253">
        <v>41100882</v>
      </c>
      <c r="D156" s="2174" t="s">
        <v>677</v>
      </c>
      <c r="E156" s="2184">
        <v>0</v>
      </c>
      <c r="F156" s="2184">
        <v>0</v>
      </c>
      <c r="G156" s="2184">
        <v>0</v>
      </c>
      <c r="H156" s="2156" t="e">
        <f t="shared" si="5"/>
        <v>#DIV/0!</v>
      </c>
    </row>
    <row r="157" spans="1:8" s="1849" customFormat="1" ht="15" hidden="1" customHeight="1" x14ac:dyDescent="0.2">
      <c r="A157" s="2246">
        <v>5273</v>
      </c>
      <c r="B157" s="2253">
        <v>5166</v>
      </c>
      <c r="C157" s="2253">
        <v>41500881</v>
      </c>
      <c r="D157" s="2174" t="s">
        <v>677</v>
      </c>
      <c r="E157" s="2184">
        <v>0</v>
      </c>
      <c r="F157" s="2184">
        <v>0</v>
      </c>
      <c r="G157" s="2184">
        <v>0</v>
      </c>
      <c r="H157" s="2156" t="e">
        <f t="shared" si="5"/>
        <v>#DIV/0!</v>
      </c>
    </row>
    <row r="158" spans="1:8" s="1849" customFormat="1" ht="15.75" hidden="1" thickBot="1" x14ac:dyDescent="0.25">
      <c r="A158" s="2246">
        <v>5273</v>
      </c>
      <c r="B158" s="2253">
        <v>5169</v>
      </c>
      <c r="C158" s="2253">
        <v>41100880</v>
      </c>
      <c r="D158" s="2174" t="s">
        <v>955</v>
      </c>
      <c r="E158" s="2184">
        <v>0</v>
      </c>
      <c r="F158" s="2184">
        <v>0</v>
      </c>
      <c r="G158" s="2184">
        <v>0</v>
      </c>
      <c r="H158" s="2156" t="e">
        <f t="shared" si="5"/>
        <v>#DIV/0!</v>
      </c>
    </row>
    <row r="159" spans="1:8" s="1849" customFormat="1" ht="15.75" hidden="1" thickBot="1" x14ac:dyDescent="0.25">
      <c r="A159" s="2246">
        <v>5273</v>
      </c>
      <c r="B159" s="2253">
        <v>5169</v>
      </c>
      <c r="C159" s="2253">
        <v>41100882</v>
      </c>
      <c r="D159" s="2174" t="s">
        <v>955</v>
      </c>
      <c r="E159" s="2184">
        <v>0</v>
      </c>
      <c r="F159" s="2184">
        <v>0</v>
      </c>
      <c r="G159" s="2184">
        <v>0</v>
      </c>
      <c r="H159" s="2156" t="e">
        <f t="shared" si="5"/>
        <v>#DIV/0!</v>
      </c>
    </row>
    <row r="160" spans="1:8" s="1849" customFormat="1" ht="15.75" hidden="1" thickBot="1" x14ac:dyDescent="0.25">
      <c r="A160" s="2246">
        <v>5273</v>
      </c>
      <c r="B160" s="2253">
        <v>5169</v>
      </c>
      <c r="C160" s="2253">
        <v>41500881</v>
      </c>
      <c r="D160" s="2174" t="s">
        <v>955</v>
      </c>
      <c r="E160" s="2184">
        <v>0</v>
      </c>
      <c r="F160" s="2184">
        <v>0</v>
      </c>
      <c r="G160" s="2184">
        <v>0</v>
      </c>
      <c r="H160" s="2156" t="e">
        <f t="shared" si="5"/>
        <v>#DIV/0!</v>
      </c>
    </row>
    <row r="161" spans="1:8" s="1849" customFormat="1" ht="15.75" hidden="1" thickBot="1" x14ac:dyDescent="0.25">
      <c r="A161" s="2246">
        <v>5273</v>
      </c>
      <c r="B161" s="2253">
        <v>5175</v>
      </c>
      <c r="C161" s="2253">
        <v>41100880</v>
      </c>
      <c r="D161" s="2174" t="s">
        <v>740</v>
      </c>
      <c r="E161" s="2184">
        <v>0</v>
      </c>
      <c r="F161" s="2184">
        <v>0</v>
      </c>
      <c r="G161" s="2184">
        <v>0</v>
      </c>
      <c r="H161" s="2156" t="e">
        <f t="shared" si="5"/>
        <v>#DIV/0!</v>
      </c>
    </row>
    <row r="162" spans="1:8" s="1849" customFormat="1" ht="15.75" hidden="1" thickBot="1" x14ac:dyDescent="0.25">
      <c r="A162" s="2246">
        <v>5273</v>
      </c>
      <c r="B162" s="2253">
        <v>5175</v>
      </c>
      <c r="C162" s="2253">
        <v>41100882</v>
      </c>
      <c r="D162" s="2174" t="s">
        <v>740</v>
      </c>
      <c r="E162" s="2184">
        <v>0</v>
      </c>
      <c r="F162" s="2184">
        <v>0</v>
      </c>
      <c r="G162" s="2184">
        <v>0</v>
      </c>
      <c r="H162" s="2156" t="e">
        <f t="shared" si="5"/>
        <v>#DIV/0!</v>
      </c>
    </row>
    <row r="163" spans="1:8" s="1849" customFormat="1" ht="15.75" hidden="1" thickBot="1" x14ac:dyDescent="0.25">
      <c r="A163" s="2246">
        <v>5273</v>
      </c>
      <c r="B163" s="2253">
        <v>5175</v>
      </c>
      <c r="C163" s="2253">
        <v>41500881</v>
      </c>
      <c r="D163" s="2174" t="s">
        <v>740</v>
      </c>
      <c r="E163" s="2184">
        <v>0</v>
      </c>
      <c r="F163" s="2184">
        <v>0</v>
      </c>
      <c r="G163" s="2184">
        <v>0</v>
      </c>
      <c r="H163" s="2156" t="e">
        <f t="shared" si="5"/>
        <v>#DIV/0!</v>
      </c>
    </row>
    <row r="164" spans="1:8" s="1849" customFormat="1" ht="16.5" thickTop="1" thickBot="1" x14ac:dyDescent="0.3">
      <c r="A164" s="2806" t="s">
        <v>849</v>
      </c>
      <c r="B164" s="2807"/>
      <c r="C164" s="2807"/>
      <c r="D164" s="2807"/>
      <c r="E164" s="2152">
        <f>SUM(E134:E163)</f>
        <v>0</v>
      </c>
      <c r="F164" s="2152">
        <f>SUM(F134:F163)</f>
        <v>13</v>
      </c>
      <c r="G164" s="2152">
        <f>SUM(G134:G163)</f>
        <v>9</v>
      </c>
      <c r="H164" s="2157">
        <f t="shared" si="5"/>
        <v>69.230769230769226</v>
      </c>
    </row>
    <row r="165" spans="1:8" s="1849" customFormat="1" ht="15.75" thickTop="1" x14ac:dyDescent="0.25">
      <c r="A165" s="2158"/>
      <c r="B165" s="2158"/>
      <c r="C165" s="2158"/>
      <c r="D165" s="2158"/>
      <c r="E165" s="2159"/>
      <c r="F165" s="2159"/>
      <c r="G165" s="2159"/>
      <c r="H165" s="2190"/>
    </row>
    <row r="166" spans="1:8" ht="15" customHeight="1" x14ac:dyDescent="0.25">
      <c r="A166" s="2136" t="s">
        <v>1581</v>
      </c>
    </row>
    <row r="167" spans="1:8" s="1791" customFormat="1" ht="15.75" thickBot="1" x14ac:dyDescent="0.3">
      <c r="A167" s="2136" t="s">
        <v>1580</v>
      </c>
      <c r="B167" s="1797"/>
      <c r="C167" s="1797"/>
      <c r="E167" s="2321"/>
      <c r="F167" s="2321"/>
      <c r="G167" s="2321"/>
      <c r="H167" s="2322" t="s">
        <v>179</v>
      </c>
    </row>
    <row r="168" spans="1:8" s="1849" customFormat="1" ht="25.5" thickTop="1" thickBot="1" x14ac:dyDescent="0.25">
      <c r="A168" s="2138" t="s">
        <v>180</v>
      </c>
      <c r="B168" s="2139" t="s">
        <v>847</v>
      </c>
      <c r="C168" s="2139" t="s">
        <v>414</v>
      </c>
      <c r="D168" s="2140" t="s">
        <v>182</v>
      </c>
      <c r="E168" s="2171" t="s">
        <v>700</v>
      </c>
      <c r="F168" s="2171" t="s">
        <v>701</v>
      </c>
      <c r="G168" s="2172" t="s">
        <v>986</v>
      </c>
      <c r="H168" s="2173" t="s">
        <v>987</v>
      </c>
    </row>
    <row r="169" spans="1:8" s="1849" customFormat="1" ht="13.5" thickTop="1" thickBot="1" x14ac:dyDescent="0.25">
      <c r="A169" s="1854">
        <v>1</v>
      </c>
      <c r="B169" s="1853">
        <v>2</v>
      </c>
      <c r="C169" s="1853">
        <v>3</v>
      </c>
      <c r="D169" s="1853">
        <v>4</v>
      </c>
      <c r="E169" s="1852">
        <v>5</v>
      </c>
      <c r="F169" s="1852">
        <v>6</v>
      </c>
      <c r="G169" s="2223">
        <v>7</v>
      </c>
      <c r="H169" s="2251" t="s">
        <v>61</v>
      </c>
    </row>
    <row r="170" spans="1:8" s="2324" customFormat="1" ht="16.5" customHeight="1" thickTop="1" x14ac:dyDescent="0.2">
      <c r="A170" s="2246">
        <v>4357</v>
      </c>
      <c r="B170" s="2253">
        <v>5166</v>
      </c>
      <c r="C170" s="2316" t="s">
        <v>839</v>
      </c>
      <c r="D170" s="2323" t="s">
        <v>677</v>
      </c>
      <c r="E170" s="2196">
        <v>0</v>
      </c>
      <c r="F170" s="2196">
        <v>12</v>
      </c>
      <c r="G170" s="2196">
        <v>12</v>
      </c>
      <c r="H170" s="2156">
        <f t="shared" ref="H170:H176" si="6">G170/F170*100</f>
        <v>100</v>
      </c>
    </row>
    <row r="171" spans="1:8" s="1849" customFormat="1" ht="15" x14ac:dyDescent="0.2">
      <c r="A171" s="2147">
        <v>4357</v>
      </c>
      <c r="B171" s="2148">
        <v>5169</v>
      </c>
      <c r="C171" s="2316">
        <v>53100880</v>
      </c>
      <c r="D171" s="2174" t="s">
        <v>955</v>
      </c>
      <c r="E171" s="2184">
        <v>0</v>
      </c>
      <c r="F171" s="2184">
        <v>1112</v>
      </c>
      <c r="G171" s="2184">
        <v>583</v>
      </c>
      <c r="H171" s="2156">
        <f t="shared" si="6"/>
        <v>52.428057553956833</v>
      </c>
    </row>
    <row r="172" spans="1:8" s="1849" customFormat="1" ht="15" x14ac:dyDescent="0.2">
      <c r="A172" s="2147">
        <v>4357</v>
      </c>
      <c r="B172" s="2148">
        <v>5169</v>
      </c>
      <c r="C172" s="2316">
        <v>53100884</v>
      </c>
      <c r="D172" s="2174" t="s">
        <v>955</v>
      </c>
      <c r="E172" s="2184">
        <v>0</v>
      </c>
      <c r="F172" s="2184">
        <v>542</v>
      </c>
      <c r="G172" s="2184">
        <v>468</v>
      </c>
      <c r="H172" s="2156">
        <f t="shared" si="6"/>
        <v>86.34686346863468</v>
      </c>
    </row>
    <row r="173" spans="1:8" s="1849" customFormat="1" ht="15" x14ac:dyDescent="0.2">
      <c r="A173" s="2147">
        <v>4357</v>
      </c>
      <c r="B173" s="2148">
        <v>5169</v>
      </c>
      <c r="C173" s="2316">
        <v>53190001</v>
      </c>
      <c r="D173" s="2174" t="s">
        <v>955</v>
      </c>
      <c r="E173" s="2184">
        <v>0</v>
      </c>
      <c r="F173" s="2184">
        <v>117</v>
      </c>
      <c r="G173" s="2184">
        <v>117</v>
      </c>
      <c r="H173" s="2156">
        <f t="shared" si="6"/>
        <v>100</v>
      </c>
    </row>
    <row r="174" spans="1:8" s="1849" customFormat="1" ht="15" x14ac:dyDescent="0.2">
      <c r="A174" s="2147">
        <v>4357</v>
      </c>
      <c r="B174" s="2148">
        <v>5169</v>
      </c>
      <c r="C174" s="2316">
        <v>53515319</v>
      </c>
      <c r="D174" s="2174" t="s">
        <v>955</v>
      </c>
      <c r="E174" s="2184">
        <v>0</v>
      </c>
      <c r="F174" s="2184">
        <v>1644</v>
      </c>
      <c r="G174" s="2184">
        <v>1634</v>
      </c>
      <c r="H174" s="2156">
        <f t="shared" si="6"/>
        <v>99.391727493917273</v>
      </c>
    </row>
    <row r="175" spans="1:8" s="1849" customFormat="1" ht="15" hidden="1" x14ac:dyDescent="0.2">
      <c r="A175" s="2147"/>
      <c r="B175" s="2148"/>
      <c r="C175" s="2202"/>
      <c r="D175" s="2202"/>
      <c r="E175" s="2184"/>
      <c r="F175" s="2184"/>
      <c r="G175" s="2184"/>
      <c r="H175" s="2156" t="e">
        <f t="shared" si="6"/>
        <v>#DIV/0!</v>
      </c>
    </row>
    <row r="176" spans="1:8" s="1849" customFormat="1" ht="15" hidden="1" x14ac:dyDescent="0.2">
      <c r="A176" s="2147"/>
      <c r="B176" s="2148"/>
      <c r="C176" s="2202"/>
      <c r="D176" s="2202"/>
      <c r="E176" s="2184"/>
      <c r="F176" s="2184"/>
      <c r="G176" s="2184"/>
      <c r="H176" s="2156" t="e">
        <f t="shared" si="6"/>
        <v>#DIV/0!</v>
      </c>
    </row>
    <row r="177" spans="1:8" s="1849" customFormat="1" ht="15" x14ac:dyDescent="0.2">
      <c r="A177" s="2147">
        <v>4357</v>
      </c>
      <c r="B177" s="2148">
        <v>5171</v>
      </c>
      <c r="C177" s="2316" t="s">
        <v>838</v>
      </c>
      <c r="D177" s="2174" t="s">
        <v>1001</v>
      </c>
      <c r="E177" s="2184">
        <v>1326</v>
      </c>
      <c r="F177" s="2184">
        <v>0</v>
      </c>
      <c r="G177" s="2184">
        <v>0</v>
      </c>
      <c r="H177" s="2156">
        <v>0</v>
      </c>
    </row>
    <row r="178" spans="1:8" s="1849" customFormat="1" ht="15.75" thickBot="1" x14ac:dyDescent="0.25">
      <c r="A178" s="2147">
        <v>4357</v>
      </c>
      <c r="B178" s="2148">
        <v>6121</v>
      </c>
      <c r="C178" s="2316" t="s">
        <v>839</v>
      </c>
      <c r="D178" s="2174" t="s">
        <v>671</v>
      </c>
      <c r="E178" s="2184">
        <v>1387</v>
      </c>
      <c r="F178" s="2184">
        <v>1831</v>
      </c>
      <c r="G178" s="2184">
        <v>1727</v>
      </c>
      <c r="H178" s="2156">
        <f>G178/F178*100</f>
        <v>94.320043691971605</v>
      </c>
    </row>
    <row r="179" spans="1:8" s="1849" customFormat="1" ht="16.5" thickTop="1" thickBot="1" x14ac:dyDescent="0.3">
      <c r="A179" s="2806" t="s">
        <v>849</v>
      </c>
      <c r="B179" s="2807"/>
      <c r="C179" s="2807"/>
      <c r="D179" s="2807"/>
      <c r="E179" s="2152">
        <f>SUM(E170:E178)</f>
        <v>2713</v>
      </c>
      <c r="F179" s="2152">
        <f>SUM(F170:F178)</f>
        <v>5258</v>
      </c>
      <c r="G179" s="2152">
        <f>SUM(G170:G178)</f>
        <v>4541</v>
      </c>
      <c r="H179" s="2157">
        <f>G179/F179*100</f>
        <v>86.36363636363636</v>
      </c>
    </row>
    <row r="180" spans="1:8" s="1849" customFormat="1" ht="15.75" thickTop="1" x14ac:dyDescent="0.25">
      <c r="A180" s="2158"/>
      <c r="B180" s="2158"/>
      <c r="C180" s="2158"/>
      <c r="D180" s="2158"/>
      <c r="E180" s="2159"/>
      <c r="F180" s="2159"/>
      <c r="G180" s="2159"/>
      <c r="H180" s="2190"/>
    </row>
    <row r="181" spans="1:8" ht="15" customHeight="1" x14ac:dyDescent="0.25">
      <c r="A181" s="2136" t="s">
        <v>544</v>
      </c>
    </row>
    <row r="182" spans="1:8" ht="15.75" thickBot="1" x14ac:dyDescent="0.3">
      <c r="A182" s="2136" t="s">
        <v>545</v>
      </c>
      <c r="H182" s="2240" t="s">
        <v>179</v>
      </c>
    </row>
    <row r="183" spans="1:8" s="1849" customFormat="1" ht="25.5" thickTop="1" thickBot="1" x14ac:dyDescent="0.25">
      <c r="A183" s="2138" t="s">
        <v>180</v>
      </c>
      <c r="B183" s="2139" t="s">
        <v>847</v>
      </c>
      <c r="C183" s="2139" t="s">
        <v>414</v>
      </c>
      <c r="D183" s="2140" t="s">
        <v>182</v>
      </c>
      <c r="E183" s="2171" t="s">
        <v>700</v>
      </c>
      <c r="F183" s="2171" t="s">
        <v>701</v>
      </c>
      <c r="G183" s="2172" t="s">
        <v>986</v>
      </c>
      <c r="H183" s="2173" t="s">
        <v>987</v>
      </c>
    </row>
    <row r="184" spans="1:8" s="1849" customFormat="1" ht="13.5" thickTop="1" thickBot="1" x14ac:dyDescent="0.25">
      <c r="A184" s="1854">
        <v>1</v>
      </c>
      <c r="B184" s="1853">
        <v>2</v>
      </c>
      <c r="C184" s="1853">
        <v>3</v>
      </c>
      <c r="D184" s="1853">
        <v>4</v>
      </c>
      <c r="E184" s="1852">
        <v>5</v>
      </c>
      <c r="F184" s="1852">
        <v>6</v>
      </c>
      <c r="G184" s="2223">
        <v>7</v>
      </c>
      <c r="H184" s="2251" t="s">
        <v>61</v>
      </c>
    </row>
    <row r="185" spans="1:8" s="1849" customFormat="1" ht="16.5" thickTop="1" thickBot="1" x14ac:dyDescent="0.25">
      <c r="A185" s="2147">
        <v>4357</v>
      </c>
      <c r="B185" s="2148">
        <v>5171</v>
      </c>
      <c r="C185" s="2325" t="s">
        <v>838</v>
      </c>
      <c r="D185" s="2174" t="s">
        <v>1001</v>
      </c>
      <c r="E185" s="2184">
        <v>5000</v>
      </c>
      <c r="F185" s="2184">
        <v>0</v>
      </c>
      <c r="G185" s="2184">
        <v>0</v>
      </c>
      <c r="H185" s="2156">
        <v>0</v>
      </c>
    </row>
    <row r="186" spans="1:8" s="1849" customFormat="1" ht="16.5" thickTop="1" thickBot="1" x14ac:dyDescent="0.3">
      <c r="A186" s="2806" t="s">
        <v>849</v>
      </c>
      <c r="B186" s="2807"/>
      <c r="C186" s="2807"/>
      <c r="D186" s="2807"/>
      <c r="E186" s="2152">
        <f>SUM(E185:E185)</f>
        <v>5000</v>
      </c>
      <c r="F186" s="2152">
        <f>SUM(F185:F185)</f>
        <v>0</v>
      </c>
      <c r="G186" s="2152">
        <f>SUM(G185:G185)</f>
        <v>0</v>
      </c>
      <c r="H186" s="2157">
        <v>0</v>
      </c>
    </row>
    <row r="187" spans="1:8" s="1849" customFormat="1" ht="15.75" thickTop="1" x14ac:dyDescent="0.25">
      <c r="A187" s="2158"/>
      <c r="B187" s="2158"/>
      <c r="C187" s="2158"/>
      <c r="D187" s="2158"/>
      <c r="E187" s="2159"/>
      <c r="F187" s="2159"/>
      <c r="G187" s="2159"/>
      <c r="H187" s="2190"/>
    </row>
    <row r="188" spans="1:8" ht="15" hidden="1" x14ac:dyDescent="0.25">
      <c r="A188" s="2136" t="s">
        <v>205</v>
      </c>
    </row>
    <row r="189" spans="1:8" ht="15" hidden="1" x14ac:dyDescent="0.25">
      <c r="A189" s="2136" t="s">
        <v>390</v>
      </c>
      <c r="H189" s="2240" t="s">
        <v>179</v>
      </c>
    </row>
    <row r="190" spans="1:8" s="1849" customFormat="1" ht="25.5" hidden="1" thickTop="1" thickBot="1" x14ac:dyDescent="0.25">
      <c r="A190" s="2138" t="s">
        <v>180</v>
      </c>
      <c r="B190" s="2139" t="s">
        <v>847</v>
      </c>
      <c r="C190" s="2139" t="s">
        <v>414</v>
      </c>
      <c r="D190" s="2140" t="s">
        <v>182</v>
      </c>
      <c r="E190" s="2171" t="s">
        <v>700</v>
      </c>
      <c r="F190" s="2171" t="s">
        <v>701</v>
      </c>
      <c r="G190" s="2172" t="s">
        <v>986</v>
      </c>
      <c r="H190" s="2173" t="s">
        <v>987</v>
      </c>
    </row>
    <row r="191" spans="1:8" s="1849" customFormat="1" ht="13.5" hidden="1" thickTop="1" thickBot="1" x14ac:dyDescent="0.25">
      <c r="A191" s="1854">
        <v>1</v>
      </c>
      <c r="B191" s="1853">
        <v>2</v>
      </c>
      <c r="C191" s="1853">
        <v>3</v>
      </c>
      <c r="D191" s="1853">
        <v>4</v>
      </c>
      <c r="E191" s="1852">
        <v>5</v>
      </c>
      <c r="F191" s="1852">
        <v>6</v>
      </c>
      <c r="G191" s="2223">
        <v>7</v>
      </c>
      <c r="H191" s="2251" t="s">
        <v>61</v>
      </c>
    </row>
    <row r="192" spans="1:8" s="1849" customFormat="1" ht="15" hidden="1" x14ac:dyDescent="0.2">
      <c r="A192" s="2147">
        <v>4357</v>
      </c>
      <c r="B192" s="2148">
        <v>6121</v>
      </c>
      <c r="C192" s="2148">
        <v>38100870</v>
      </c>
      <c r="D192" s="2174" t="s">
        <v>671</v>
      </c>
      <c r="E192" s="2184">
        <v>0</v>
      </c>
      <c r="F192" s="2184">
        <v>0</v>
      </c>
      <c r="G192" s="2184">
        <v>0</v>
      </c>
      <c r="H192" s="2156" t="e">
        <f>G192/F192*100</f>
        <v>#DIV/0!</v>
      </c>
    </row>
    <row r="193" spans="1:8" s="1849" customFormat="1" ht="15" hidden="1" x14ac:dyDescent="0.2">
      <c r="A193" s="2147">
        <v>4357</v>
      </c>
      <c r="B193" s="2148">
        <v>6121</v>
      </c>
      <c r="C193" s="2148">
        <v>38100872</v>
      </c>
      <c r="D193" s="2174" t="s">
        <v>671</v>
      </c>
      <c r="E193" s="2184">
        <v>0</v>
      </c>
      <c r="F193" s="2184">
        <v>0</v>
      </c>
      <c r="G193" s="2184">
        <v>0</v>
      </c>
      <c r="H193" s="2156" t="e">
        <f>G193/F193*100</f>
        <v>#DIV/0!</v>
      </c>
    </row>
    <row r="194" spans="1:8" s="1849" customFormat="1" ht="15" hidden="1" x14ac:dyDescent="0.2">
      <c r="A194" s="2147">
        <v>4357</v>
      </c>
      <c r="B194" s="2148">
        <v>6121</v>
      </c>
      <c r="C194" s="2148">
        <v>38100874</v>
      </c>
      <c r="D194" s="2174" t="s">
        <v>671</v>
      </c>
      <c r="E194" s="2184">
        <v>0</v>
      </c>
      <c r="F194" s="2184">
        <v>0</v>
      </c>
      <c r="G194" s="2184">
        <v>0</v>
      </c>
      <c r="H194" s="2156" t="e">
        <f>G194/F194*100</f>
        <v>#DIV/0!</v>
      </c>
    </row>
    <row r="195" spans="1:8" s="1849" customFormat="1" ht="15" hidden="1" x14ac:dyDescent="0.2">
      <c r="A195" s="2246">
        <v>4357</v>
      </c>
      <c r="B195" s="2253">
        <v>6121</v>
      </c>
      <c r="C195" s="2326">
        <v>38500871</v>
      </c>
      <c r="D195" s="2174" t="s">
        <v>671</v>
      </c>
      <c r="E195" s="2184">
        <v>0</v>
      </c>
      <c r="F195" s="2184">
        <v>0</v>
      </c>
      <c r="G195" s="2184">
        <v>0</v>
      </c>
      <c r="H195" s="2156" t="e">
        <f>G195/F195*100</f>
        <v>#DIV/0!</v>
      </c>
    </row>
    <row r="196" spans="1:8" s="1849" customFormat="1" ht="16.5" hidden="1" thickTop="1" thickBot="1" x14ac:dyDescent="0.3">
      <c r="A196" s="2806" t="s">
        <v>849</v>
      </c>
      <c r="B196" s="2807"/>
      <c r="C196" s="2807"/>
      <c r="D196" s="2807"/>
      <c r="E196" s="2152">
        <f>SUM(E192:E195)</f>
        <v>0</v>
      </c>
      <c r="F196" s="2152">
        <f>SUM(F192:F195)</f>
        <v>0</v>
      </c>
      <c r="G196" s="2152">
        <f>SUM(G192:G195)</f>
        <v>0</v>
      </c>
      <c r="H196" s="2157" t="e">
        <f>G196/F196*100</f>
        <v>#DIV/0!</v>
      </c>
    </row>
    <row r="197" spans="1:8" s="1849" customFormat="1" ht="15" hidden="1" x14ac:dyDescent="0.25">
      <c r="A197" s="2158"/>
      <c r="B197" s="2158"/>
      <c r="C197" s="2158"/>
      <c r="D197" s="2158"/>
      <c r="E197" s="2159"/>
      <c r="F197" s="2159"/>
      <c r="G197" s="2159"/>
      <c r="H197" s="2190"/>
    </row>
    <row r="198" spans="1:8" ht="15" customHeight="1" x14ac:dyDescent="0.25">
      <c r="A198" s="2136" t="s">
        <v>549</v>
      </c>
    </row>
    <row r="199" spans="1:8" ht="15.75" thickBot="1" x14ac:dyDescent="0.3">
      <c r="A199" s="2136" t="s">
        <v>550</v>
      </c>
      <c r="H199" s="2240" t="s">
        <v>179</v>
      </c>
    </row>
    <row r="200" spans="1:8" s="1849" customFormat="1" ht="25.5" thickTop="1" thickBot="1" x14ac:dyDescent="0.25">
      <c r="A200" s="2138" t="s">
        <v>180</v>
      </c>
      <c r="B200" s="2139" t="s">
        <v>847</v>
      </c>
      <c r="C200" s="2139" t="s">
        <v>414</v>
      </c>
      <c r="D200" s="2140" t="s">
        <v>182</v>
      </c>
      <c r="E200" s="2171" t="s">
        <v>700</v>
      </c>
      <c r="F200" s="2171" t="s">
        <v>701</v>
      </c>
      <c r="G200" s="2172" t="s">
        <v>986</v>
      </c>
      <c r="H200" s="2173" t="s">
        <v>987</v>
      </c>
    </row>
    <row r="201" spans="1:8" s="1849" customFormat="1" ht="13.5" thickTop="1" thickBot="1" x14ac:dyDescent="0.25">
      <c r="A201" s="1854">
        <v>1</v>
      </c>
      <c r="B201" s="1853">
        <v>2</v>
      </c>
      <c r="C201" s="1853">
        <v>3</v>
      </c>
      <c r="D201" s="1853">
        <v>4</v>
      </c>
      <c r="E201" s="1852">
        <v>5</v>
      </c>
      <c r="F201" s="1852">
        <v>6</v>
      </c>
      <c r="G201" s="2223">
        <v>7</v>
      </c>
      <c r="H201" s="2251" t="s">
        <v>61</v>
      </c>
    </row>
    <row r="202" spans="1:8" s="1849" customFormat="1" ht="16.5" thickTop="1" thickBot="1" x14ac:dyDescent="0.25">
      <c r="A202" s="2147">
        <v>4357</v>
      </c>
      <c r="B202" s="2148">
        <v>5171</v>
      </c>
      <c r="C202" s="2325" t="s">
        <v>838</v>
      </c>
      <c r="D202" s="2174" t="s">
        <v>1001</v>
      </c>
      <c r="E202" s="2184">
        <v>3049</v>
      </c>
      <c r="F202" s="2184">
        <v>0</v>
      </c>
      <c r="G202" s="2184">
        <v>0</v>
      </c>
      <c r="H202" s="2156">
        <v>0</v>
      </c>
    </row>
    <row r="203" spans="1:8" s="1849" customFormat="1" ht="16.5" thickTop="1" thickBot="1" x14ac:dyDescent="0.3">
      <c r="A203" s="2806" t="s">
        <v>849</v>
      </c>
      <c r="B203" s="2807"/>
      <c r="C203" s="2807"/>
      <c r="D203" s="2807"/>
      <c r="E203" s="2152">
        <f>SUM(E202:E202)</f>
        <v>3049</v>
      </c>
      <c r="F203" s="2152">
        <f>SUM(F202:F202)</f>
        <v>0</v>
      </c>
      <c r="G203" s="2152">
        <f>SUM(G202:G202)</f>
        <v>0</v>
      </c>
      <c r="H203" s="2157">
        <v>0</v>
      </c>
    </row>
    <row r="204" spans="1:8" s="1849" customFormat="1" ht="15.75" thickTop="1" x14ac:dyDescent="0.25">
      <c r="A204" s="2158"/>
      <c r="B204" s="2158"/>
      <c r="C204" s="2158"/>
      <c r="D204" s="2158"/>
      <c r="E204" s="2159"/>
      <c r="F204" s="2159"/>
      <c r="G204" s="2159"/>
      <c r="H204" s="2190"/>
    </row>
    <row r="205" spans="1:8" ht="15" hidden="1" x14ac:dyDescent="0.25">
      <c r="A205" s="2136" t="s">
        <v>296</v>
      </c>
    </row>
    <row r="206" spans="1:8" ht="15" hidden="1" x14ac:dyDescent="0.25">
      <c r="A206" s="2136" t="s">
        <v>258</v>
      </c>
      <c r="H206" s="2240" t="s">
        <v>179</v>
      </c>
    </row>
    <row r="207" spans="1:8" s="1849" customFormat="1" ht="25.5" hidden="1" thickTop="1" thickBot="1" x14ac:dyDescent="0.25">
      <c r="A207" s="2138" t="s">
        <v>180</v>
      </c>
      <c r="B207" s="2139" t="s">
        <v>847</v>
      </c>
      <c r="C207" s="2139" t="s">
        <v>414</v>
      </c>
      <c r="D207" s="2140" t="s">
        <v>182</v>
      </c>
      <c r="E207" s="2171" t="s">
        <v>700</v>
      </c>
      <c r="F207" s="2171" t="s">
        <v>701</v>
      </c>
      <c r="G207" s="2172" t="s">
        <v>986</v>
      </c>
      <c r="H207" s="2173" t="s">
        <v>987</v>
      </c>
    </row>
    <row r="208" spans="1:8" s="1849" customFormat="1" ht="13.5" hidden="1" thickTop="1" thickBot="1" x14ac:dyDescent="0.25">
      <c r="A208" s="1854">
        <v>1</v>
      </c>
      <c r="B208" s="1853">
        <v>2</v>
      </c>
      <c r="C208" s="1853">
        <v>3</v>
      </c>
      <c r="D208" s="1853">
        <v>4</v>
      </c>
      <c r="E208" s="1852">
        <v>5</v>
      </c>
      <c r="F208" s="1852">
        <v>6</v>
      </c>
      <c r="G208" s="2223">
        <v>7</v>
      </c>
      <c r="H208" s="2251" t="s">
        <v>61</v>
      </c>
    </row>
    <row r="209" spans="1:8" s="1849" customFormat="1" ht="15" hidden="1" x14ac:dyDescent="0.2">
      <c r="A209" s="2147">
        <v>3122</v>
      </c>
      <c r="B209" s="2148">
        <v>5137</v>
      </c>
      <c r="C209" s="2148">
        <v>38100874</v>
      </c>
      <c r="D209" s="2174" t="s">
        <v>173</v>
      </c>
      <c r="E209" s="2184">
        <v>0</v>
      </c>
      <c r="F209" s="2184">
        <v>0</v>
      </c>
      <c r="G209" s="2184">
        <v>0</v>
      </c>
      <c r="H209" s="2156" t="e">
        <f t="shared" ref="H209:H214" si="7">G209/F209*100</f>
        <v>#DIV/0!</v>
      </c>
    </row>
    <row r="210" spans="1:8" s="1849" customFormat="1" ht="15" hidden="1" x14ac:dyDescent="0.2">
      <c r="A210" s="2147">
        <v>3122</v>
      </c>
      <c r="B210" s="2148">
        <v>6121</v>
      </c>
      <c r="C210" s="2148">
        <v>38100870</v>
      </c>
      <c r="D210" s="2174" t="s">
        <v>671</v>
      </c>
      <c r="E210" s="2184">
        <v>0</v>
      </c>
      <c r="F210" s="2184">
        <v>0</v>
      </c>
      <c r="G210" s="2184">
        <v>0</v>
      </c>
      <c r="H210" s="2156" t="e">
        <f t="shared" si="7"/>
        <v>#DIV/0!</v>
      </c>
    </row>
    <row r="211" spans="1:8" s="1849" customFormat="1" ht="15" hidden="1" x14ac:dyDescent="0.2">
      <c r="A211" s="2147">
        <v>3122</v>
      </c>
      <c r="B211" s="2148">
        <v>6121</v>
      </c>
      <c r="C211" s="2148">
        <v>38100872</v>
      </c>
      <c r="D211" s="2174" t="s">
        <v>671</v>
      </c>
      <c r="E211" s="2184">
        <v>0</v>
      </c>
      <c r="F211" s="2184">
        <v>0</v>
      </c>
      <c r="G211" s="2184">
        <v>0</v>
      </c>
      <c r="H211" s="2156" t="e">
        <f t="shared" si="7"/>
        <v>#DIV/0!</v>
      </c>
    </row>
    <row r="212" spans="1:8" s="1849" customFormat="1" ht="15" hidden="1" x14ac:dyDescent="0.2">
      <c r="A212" s="2147">
        <v>3122</v>
      </c>
      <c r="B212" s="2148">
        <v>6121</v>
      </c>
      <c r="C212" s="2148">
        <v>38100874</v>
      </c>
      <c r="D212" s="2174" t="s">
        <v>671</v>
      </c>
      <c r="E212" s="2184">
        <v>0</v>
      </c>
      <c r="F212" s="2184">
        <v>0</v>
      </c>
      <c r="G212" s="2184">
        <v>0</v>
      </c>
      <c r="H212" s="2156" t="e">
        <f t="shared" si="7"/>
        <v>#DIV/0!</v>
      </c>
    </row>
    <row r="213" spans="1:8" s="1849" customFormat="1" ht="15" hidden="1" x14ac:dyDescent="0.2">
      <c r="A213" s="2147">
        <v>3122</v>
      </c>
      <c r="B213" s="2148">
        <v>6121</v>
      </c>
      <c r="C213" s="2148">
        <v>38500871</v>
      </c>
      <c r="D213" s="2174" t="s">
        <v>671</v>
      </c>
      <c r="E213" s="2184">
        <v>0</v>
      </c>
      <c r="F213" s="2184">
        <v>0</v>
      </c>
      <c r="G213" s="2184">
        <v>0</v>
      </c>
      <c r="H213" s="2156" t="e">
        <f t="shared" si="7"/>
        <v>#DIV/0!</v>
      </c>
    </row>
    <row r="214" spans="1:8" s="1849" customFormat="1" ht="16.5" hidden="1" thickTop="1" thickBot="1" x14ac:dyDescent="0.3">
      <c r="A214" s="2806" t="s">
        <v>849</v>
      </c>
      <c r="B214" s="2807"/>
      <c r="C214" s="2807"/>
      <c r="D214" s="2807"/>
      <c r="E214" s="2152">
        <f>SUM(E213:E213)</f>
        <v>0</v>
      </c>
      <c r="F214" s="2152">
        <f>SUM(F209:F213)</f>
        <v>0</v>
      </c>
      <c r="G214" s="2152">
        <f>SUM(G209:G213)</f>
        <v>0</v>
      </c>
      <c r="H214" s="2157" t="e">
        <f t="shared" si="7"/>
        <v>#DIV/0!</v>
      </c>
    </row>
    <row r="215" spans="1:8" s="1849" customFormat="1" ht="15" hidden="1" x14ac:dyDescent="0.25">
      <c r="A215" s="2158"/>
      <c r="B215" s="2158"/>
      <c r="C215" s="2158"/>
      <c r="D215" s="2158"/>
      <c r="E215" s="2159"/>
      <c r="F215" s="2159"/>
      <c r="G215" s="2159"/>
      <c r="H215" s="2190"/>
    </row>
    <row r="216" spans="1:8" ht="15" x14ac:dyDescent="0.25">
      <c r="A216" s="2136" t="s">
        <v>1816</v>
      </c>
    </row>
    <row r="217" spans="1:8" ht="15.75" thickBot="1" x14ac:dyDescent="0.3">
      <c r="A217" s="2136" t="s">
        <v>1817</v>
      </c>
      <c r="H217" s="2240" t="s">
        <v>179</v>
      </c>
    </row>
    <row r="218" spans="1:8" s="1849" customFormat="1" ht="25.5" thickTop="1" thickBot="1" x14ac:dyDescent="0.25">
      <c r="A218" s="2138" t="s">
        <v>180</v>
      </c>
      <c r="B218" s="2139" t="s">
        <v>847</v>
      </c>
      <c r="C218" s="2139" t="s">
        <v>414</v>
      </c>
      <c r="D218" s="2140" t="s">
        <v>182</v>
      </c>
      <c r="E218" s="2171" t="s">
        <v>700</v>
      </c>
      <c r="F218" s="2171" t="s">
        <v>701</v>
      </c>
      <c r="G218" s="2172" t="s">
        <v>986</v>
      </c>
      <c r="H218" s="2173" t="s">
        <v>987</v>
      </c>
    </row>
    <row r="219" spans="1:8" s="1849" customFormat="1" ht="13.5" thickTop="1" thickBot="1" x14ac:dyDescent="0.25">
      <c r="A219" s="1854">
        <v>1</v>
      </c>
      <c r="B219" s="1853">
        <v>2</v>
      </c>
      <c r="C219" s="1853">
        <v>3</v>
      </c>
      <c r="D219" s="1853">
        <v>4</v>
      </c>
      <c r="E219" s="1852">
        <v>5</v>
      </c>
      <c r="F219" s="1852">
        <v>6</v>
      </c>
      <c r="G219" s="2223">
        <v>7</v>
      </c>
      <c r="H219" s="2251" t="s">
        <v>61</v>
      </c>
    </row>
    <row r="220" spans="1:8" s="1849" customFormat="1" ht="15.75" thickTop="1" x14ac:dyDescent="0.2">
      <c r="A220" s="2147">
        <v>6172</v>
      </c>
      <c r="B220" s="2148">
        <v>5169</v>
      </c>
      <c r="C220" s="2148">
        <v>36100870</v>
      </c>
      <c r="D220" s="2174" t="s">
        <v>955</v>
      </c>
      <c r="E220" s="2184">
        <v>0</v>
      </c>
      <c r="F220" s="2184">
        <v>12</v>
      </c>
      <c r="G220" s="2184">
        <v>6</v>
      </c>
      <c r="H220" s="2156">
        <f t="shared" ref="H220:H227" si="8">G220/F220*100</f>
        <v>50</v>
      </c>
    </row>
    <row r="221" spans="1:8" s="1849" customFormat="1" ht="15" x14ac:dyDescent="0.2">
      <c r="A221" s="2147">
        <v>6172</v>
      </c>
      <c r="B221" s="2148">
        <v>5169</v>
      </c>
      <c r="C221" s="2148">
        <v>36500871</v>
      </c>
      <c r="D221" s="2174" t="s">
        <v>955</v>
      </c>
      <c r="E221" s="2184">
        <v>0</v>
      </c>
      <c r="F221" s="2184">
        <v>66</v>
      </c>
      <c r="G221" s="2184">
        <v>32</v>
      </c>
      <c r="H221" s="2156">
        <f t="shared" si="8"/>
        <v>48.484848484848484</v>
      </c>
    </row>
    <row r="222" spans="1:8" s="1849" customFormat="1" ht="15" x14ac:dyDescent="0.2">
      <c r="A222" s="2147">
        <v>6172</v>
      </c>
      <c r="B222" s="2148">
        <v>6111</v>
      </c>
      <c r="C222" s="2148">
        <v>36100870</v>
      </c>
      <c r="D222" s="2174" t="s">
        <v>1002</v>
      </c>
      <c r="E222" s="2184">
        <v>0</v>
      </c>
      <c r="F222" s="2184">
        <v>609</v>
      </c>
      <c r="G222" s="2184">
        <v>609</v>
      </c>
      <c r="H222" s="2156">
        <f t="shared" si="8"/>
        <v>100</v>
      </c>
    </row>
    <row r="223" spans="1:8" s="1849" customFormat="1" ht="15" x14ac:dyDescent="0.2">
      <c r="A223" s="2147">
        <v>6172</v>
      </c>
      <c r="B223" s="2148">
        <v>6111</v>
      </c>
      <c r="C223" s="2148">
        <v>36500871</v>
      </c>
      <c r="D223" s="2174" t="s">
        <v>1002</v>
      </c>
      <c r="E223" s="2184">
        <v>0</v>
      </c>
      <c r="F223" s="2184">
        <v>3449</v>
      </c>
      <c r="G223" s="2184">
        <v>3449</v>
      </c>
      <c r="H223" s="2156">
        <f t="shared" si="8"/>
        <v>100</v>
      </c>
    </row>
    <row r="224" spans="1:8" s="1849" customFormat="1" ht="15" x14ac:dyDescent="0.2">
      <c r="A224" s="2147">
        <v>6172</v>
      </c>
      <c r="B224" s="2148">
        <v>6121</v>
      </c>
      <c r="C224" s="2148">
        <v>36100871</v>
      </c>
      <c r="D224" s="2174" t="s">
        <v>671</v>
      </c>
      <c r="E224" s="2184">
        <v>0</v>
      </c>
      <c r="F224" s="2184">
        <v>143</v>
      </c>
      <c r="G224" s="2184">
        <v>143</v>
      </c>
      <c r="H224" s="2156">
        <f t="shared" si="8"/>
        <v>100</v>
      </c>
    </row>
    <row r="225" spans="1:8" s="1849" customFormat="1" ht="15.75" thickBot="1" x14ac:dyDescent="0.25">
      <c r="A225" s="2147">
        <v>6172</v>
      </c>
      <c r="B225" s="2148">
        <v>6121</v>
      </c>
      <c r="C225" s="2148">
        <v>36500871</v>
      </c>
      <c r="D225" s="2174" t="s">
        <v>671</v>
      </c>
      <c r="E225" s="2184">
        <v>0</v>
      </c>
      <c r="F225" s="2184">
        <v>812</v>
      </c>
      <c r="G225" s="2184">
        <v>812</v>
      </c>
      <c r="H225" s="2156">
        <f t="shared" si="8"/>
        <v>100</v>
      </c>
    </row>
    <row r="226" spans="1:8" s="1849" customFormat="1" ht="15.75" hidden="1" thickBot="1" x14ac:dyDescent="0.25">
      <c r="A226" s="2147">
        <v>6172</v>
      </c>
      <c r="B226" s="2253">
        <v>6122</v>
      </c>
      <c r="C226" s="2326">
        <v>38100874</v>
      </c>
      <c r="D226" s="2174" t="s">
        <v>672</v>
      </c>
      <c r="E226" s="2184">
        <v>0</v>
      </c>
      <c r="F226" s="2184">
        <v>0</v>
      </c>
      <c r="G226" s="2184">
        <v>0</v>
      </c>
      <c r="H226" s="2156" t="e">
        <f t="shared" si="8"/>
        <v>#DIV/0!</v>
      </c>
    </row>
    <row r="227" spans="1:8" s="1849" customFormat="1" ht="16.5" thickTop="1" thickBot="1" x14ac:dyDescent="0.3">
      <c r="A227" s="2806" t="s">
        <v>849</v>
      </c>
      <c r="B227" s="2807"/>
      <c r="C227" s="2807"/>
      <c r="D227" s="2807"/>
      <c r="E227" s="2152">
        <f>SUM(E223:E226)</f>
        <v>0</v>
      </c>
      <c r="F227" s="2152">
        <f>SUM(F220:F226)</f>
        <v>5091</v>
      </c>
      <c r="G227" s="2152">
        <f>SUM(G220:G226)</f>
        <v>5051</v>
      </c>
      <c r="H227" s="2157">
        <f t="shared" si="8"/>
        <v>99.21429974464742</v>
      </c>
    </row>
    <row r="228" spans="1:8" s="1849" customFormat="1" ht="15.75" thickTop="1" x14ac:dyDescent="0.25">
      <c r="A228" s="2158"/>
      <c r="B228" s="2158"/>
      <c r="C228" s="2158"/>
      <c r="D228" s="2158"/>
      <c r="E228" s="2159"/>
      <c r="F228" s="2159"/>
      <c r="G228" s="2159"/>
      <c r="H228" s="2190"/>
    </row>
    <row r="229" spans="1:8" ht="15" x14ac:dyDescent="0.25">
      <c r="A229" s="2136" t="s">
        <v>1826</v>
      </c>
    </row>
    <row r="230" spans="1:8" ht="15.75" thickBot="1" x14ac:dyDescent="0.3">
      <c r="A230" s="2136" t="s">
        <v>553</v>
      </c>
      <c r="H230" s="2240" t="s">
        <v>179</v>
      </c>
    </row>
    <row r="231" spans="1:8" s="1849" customFormat="1" ht="25.5" thickTop="1" thickBot="1" x14ac:dyDescent="0.25">
      <c r="A231" s="2138" t="s">
        <v>180</v>
      </c>
      <c r="B231" s="2139" t="s">
        <v>847</v>
      </c>
      <c r="C231" s="2139" t="s">
        <v>414</v>
      </c>
      <c r="D231" s="2140" t="s">
        <v>182</v>
      </c>
      <c r="E231" s="2171" t="s">
        <v>700</v>
      </c>
      <c r="F231" s="2171" t="s">
        <v>701</v>
      </c>
      <c r="G231" s="2172" t="s">
        <v>986</v>
      </c>
      <c r="H231" s="2173" t="s">
        <v>987</v>
      </c>
    </row>
    <row r="232" spans="1:8" s="1849" customFormat="1" ht="13.5" thickTop="1" thickBot="1" x14ac:dyDescent="0.25">
      <c r="A232" s="1854">
        <v>1</v>
      </c>
      <c r="B232" s="1853">
        <v>2</v>
      </c>
      <c r="C232" s="1853">
        <v>3</v>
      </c>
      <c r="D232" s="1853">
        <v>4</v>
      </c>
      <c r="E232" s="1852">
        <v>5</v>
      </c>
      <c r="F232" s="1852">
        <v>6</v>
      </c>
      <c r="G232" s="2223">
        <v>7</v>
      </c>
      <c r="H232" s="2251" t="s">
        <v>61</v>
      </c>
    </row>
    <row r="233" spans="1:8" s="1849" customFormat="1" ht="15.75" customHeight="1" thickTop="1" x14ac:dyDescent="0.2">
      <c r="A233" s="2147">
        <v>4357</v>
      </c>
      <c r="B233" s="2148">
        <v>6121</v>
      </c>
      <c r="C233" s="2326">
        <v>36100884</v>
      </c>
      <c r="D233" s="2174" t="s">
        <v>671</v>
      </c>
      <c r="E233" s="2184">
        <v>0</v>
      </c>
      <c r="F233" s="2184">
        <v>140</v>
      </c>
      <c r="G233" s="2184">
        <v>0</v>
      </c>
      <c r="H233" s="2156">
        <f>G233/F233*100</f>
        <v>0</v>
      </c>
    </row>
    <row r="234" spans="1:8" s="1849" customFormat="1" ht="15.75" customHeight="1" thickBot="1" x14ac:dyDescent="0.25">
      <c r="A234" s="2147">
        <v>4357</v>
      </c>
      <c r="B234" s="2148">
        <v>6130</v>
      </c>
      <c r="C234" s="2326">
        <v>36100884</v>
      </c>
      <c r="D234" s="2174" t="s">
        <v>959</v>
      </c>
      <c r="E234" s="2184">
        <v>0</v>
      </c>
      <c r="F234" s="2184">
        <v>2336</v>
      </c>
      <c r="G234" s="2184">
        <v>0</v>
      </c>
      <c r="H234" s="2156">
        <f>G234/F234*100</f>
        <v>0</v>
      </c>
    </row>
    <row r="235" spans="1:8" s="1849" customFormat="1" ht="16.5" thickTop="1" thickBot="1" x14ac:dyDescent="0.3">
      <c r="A235" s="2806" t="s">
        <v>849</v>
      </c>
      <c r="B235" s="2807"/>
      <c r="C235" s="2807"/>
      <c r="D235" s="2807"/>
      <c r="E235" s="2152">
        <f>SUM(E233:E234)</f>
        <v>0</v>
      </c>
      <c r="F235" s="2152">
        <f>SUM(F233:F234)</f>
        <v>2476</v>
      </c>
      <c r="G235" s="2152">
        <f>SUM(G233:G234)</f>
        <v>0</v>
      </c>
      <c r="H235" s="2157">
        <f>G235/F235*100</f>
        <v>0</v>
      </c>
    </row>
    <row r="236" spans="1:8" s="1849" customFormat="1" ht="14.25" customHeight="1" thickTop="1" x14ac:dyDescent="0.25">
      <c r="A236" s="2134"/>
      <c r="B236" s="2130"/>
      <c r="C236" s="2130"/>
      <c r="D236" s="2131"/>
      <c r="E236" s="2165"/>
      <c r="F236" s="2165"/>
      <c r="G236" s="2165"/>
      <c r="H236" s="2131"/>
    </row>
    <row r="237" spans="1:8" ht="15" x14ac:dyDescent="0.25">
      <c r="A237" s="2136" t="s">
        <v>88</v>
      </c>
    </row>
    <row r="238" spans="1:8" ht="15.75" thickBot="1" x14ac:dyDescent="0.3">
      <c r="A238" s="2136" t="s">
        <v>89</v>
      </c>
      <c r="H238" s="2240" t="s">
        <v>179</v>
      </c>
    </row>
    <row r="239" spans="1:8" s="1849" customFormat="1" ht="25.5" thickTop="1" thickBot="1" x14ac:dyDescent="0.25">
      <c r="A239" s="2138" t="s">
        <v>180</v>
      </c>
      <c r="B239" s="2139" t="s">
        <v>847</v>
      </c>
      <c r="C239" s="2139" t="s">
        <v>414</v>
      </c>
      <c r="D239" s="2140" t="s">
        <v>182</v>
      </c>
      <c r="E239" s="2171" t="s">
        <v>700</v>
      </c>
      <c r="F239" s="2171" t="s">
        <v>701</v>
      </c>
      <c r="G239" s="2172" t="s">
        <v>986</v>
      </c>
      <c r="H239" s="2173" t="s">
        <v>987</v>
      </c>
    </row>
    <row r="240" spans="1:8" s="1849" customFormat="1" ht="13.5" thickTop="1" thickBot="1" x14ac:dyDescent="0.25">
      <c r="A240" s="1854">
        <v>1</v>
      </c>
      <c r="B240" s="1853">
        <v>2</v>
      </c>
      <c r="C240" s="1853">
        <v>3</v>
      </c>
      <c r="D240" s="1853">
        <v>4</v>
      </c>
      <c r="E240" s="1852">
        <v>5</v>
      </c>
      <c r="F240" s="1852">
        <v>6</v>
      </c>
      <c r="G240" s="2223">
        <v>7</v>
      </c>
      <c r="H240" s="2251" t="s">
        <v>61</v>
      </c>
    </row>
    <row r="241" spans="1:8" s="1849" customFormat="1" ht="15.75" customHeight="1" thickTop="1" x14ac:dyDescent="0.2">
      <c r="A241" s="2147">
        <v>3122</v>
      </c>
      <c r="B241" s="2148">
        <v>6121</v>
      </c>
      <c r="C241" s="2148">
        <v>53100870</v>
      </c>
      <c r="D241" s="2174" t="s">
        <v>671</v>
      </c>
      <c r="E241" s="2184">
        <v>0</v>
      </c>
      <c r="F241" s="2184">
        <v>827</v>
      </c>
      <c r="G241" s="2184">
        <v>827</v>
      </c>
      <c r="H241" s="2156">
        <f>G241/F241*100</f>
        <v>100</v>
      </c>
    </row>
    <row r="242" spans="1:8" s="1849" customFormat="1" ht="15.75" customHeight="1" x14ac:dyDescent="0.2">
      <c r="A242" s="2147">
        <v>3122</v>
      </c>
      <c r="B242" s="2148">
        <v>6121</v>
      </c>
      <c r="C242" s="2148">
        <v>53100874</v>
      </c>
      <c r="D242" s="2174" t="s">
        <v>671</v>
      </c>
      <c r="E242" s="2184">
        <v>0</v>
      </c>
      <c r="F242" s="2184">
        <v>5955</v>
      </c>
      <c r="G242" s="2184">
        <v>5955</v>
      </c>
      <c r="H242" s="2156">
        <f>G242/F242*100</f>
        <v>100</v>
      </c>
    </row>
    <row r="243" spans="1:8" s="1849" customFormat="1" ht="15.75" customHeight="1" x14ac:dyDescent="0.2">
      <c r="A243" s="2147">
        <v>3122</v>
      </c>
      <c r="B243" s="2148">
        <v>6121</v>
      </c>
      <c r="C243" s="2148">
        <v>53190877</v>
      </c>
      <c r="D243" s="2174" t="s">
        <v>671</v>
      </c>
      <c r="E243" s="2184">
        <v>0</v>
      </c>
      <c r="F243" s="2184">
        <v>414</v>
      </c>
      <c r="G243" s="2184">
        <v>414</v>
      </c>
      <c r="H243" s="2156">
        <f>G243/F243*100</f>
        <v>100</v>
      </c>
    </row>
    <row r="244" spans="1:8" s="1849" customFormat="1" ht="15.75" customHeight="1" thickBot="1" x14ac:dyDescent="0.25">
      <c r="A244" s="2147">
        <v>3122</v>
      </c>
      <c r="B244" s="2148">
        <v>6121</v>
      </c>
      <c r="C244" s="2148">
        <v>83515835</v>
      </c>
      <c r="D244" s="2174" t="s">
        <v>671</v>
      </c>
      <c r="E244" s="2184">
        <v>0</v>
      </c>
      <c r="F244" s="2184">
        <v>7033</v>
      </c>
      <c r="G244" s="2184">
        <v>7033</v>
      </c>
      <c r="H244" s="2156">
        <f>G244/F244*100</f>
        <v>100</v>
      </c>
    </row>
    <row r="245" spans="1:8" s="1849" customFormat="1" ht="16.5" thickTop="1" thickBot="1" x14ac:dyDescent="0.3">
      <c r="A245" s="2806" t="s">
        <v>849</v>
      </c>
      <c r="B245" s="2807"/>
      <c r="C245" s="2807"/>
      <c r="D245" s="2807"/>
      <c r="E245" s="2152">
        <f>SUM(E241:E244)</f>
        <v>0</v>
      </c>
      <c r="F245" s="2152">
        <f>SUM(F241:F244)</f>
        <v>14229</v>
      </c>
      <c r="G245" s="2152">
        <f>SUM(G241:G244)</f>
        <v>14229</v>
      </c>
      <c r="H245" s="2157">
        <f>G245/F245*100</f>
        <v>100</v>
      </c>
    </row>
    <row r="246" spans="1:8" s="1849" customFormat="1" ht="14.25" customHeight="1" thickTop="1" x14ac:dyDescent="0.25">
      <c r="A246" s="2134"/>
      <c r="B246" s="2130"/>
      <c r="C246" s="2130"/>
      <c r="D246" s="2131"/>
      <c r="E246" s="2165"/>
      <c r="F246" s="2165"/>
      <c r="G246" s="2165"/>
      <c r="H246" s="2131"/>
    </row>
    <row r="247" spans="1:8" ht="15" x14ac:dyDescent="0.25">
      <c r="A247" s="2136" t="s">
        <v>923</v>
      </c>
    </row>
    <row r="248" spans="1:8" ht="15.75" thickBot="1" x14ac:dyDescent="0.3">
      <c r="A248" s="2136" t="s">
        <v>924</v>
      </c>
      <c r="H248" s="2240" t="s">
        <v>179</v>
      </c>
    </row>
    <row r="249" spans="1:8" s="1849" customFormat="1" ht="25.5" thickTop="1" thickBot="1" x14ac:dyDescent="0.25">
      <c r="A249" s="2138" t="s">
        <v>180</v>
      </c>
      <c r="B249" s="2139" t="s">
        <v>847</v>
      </c>
      <c r="C249" s="2139" t="s">
        <v>414</v>
      </c>
      <c r="D249" s="2140" t="s">
        <v>182</v>
      </c>
      <c r="E249" s="2171" t="s">
        <v>700</v>
      </c>
      <c r="F249" s="2171" t="s">
        <v>701</v>
      </c>
      <c r="G249" s="2172" t="s">
        <v>986</v>
      </c>
      <c r="H249" s="2173" t="s">
        <v>987</v>
      </c>
    </row>
    <row r="250" spans="1:8" s="1849" customFormat="1" ht="13.5" thickTop="1" thickBot="1" x14ac:dyDescent="0.25">
      <c r="A250" s="1854">
        <v>1</v>
      </c>
      <c r="B250" s="1853">
        <v>2</v>
      </c>
      <c r="C250" s="1853">
        <v>3</v>
      </c>
      <c r="D250" s="1853">
        <v>4</v>
      </c>
      <c r="E250" s="1852">
        <v>5</v>
      </c>
      <c r="F250" s="1852">
        <v>6</v>
      </c>
      <c r="G250" s="2223">
        <v>7</v>
      </c>
      <c r="H250" s="2251" t="s">
        <v>61</v>
      </c>
    </row>
    <row r="251" spans="1:8" s="1849" customFormat="1" ht="15.75" customHeight="1" thickTop="1" x14ac:dyDescent="0.2">
      <c r="A251" s="2147">
        <v>3114</v>
      </c>
      <c r="B251" s="2148">
        <v>6121</v>
      </c>
      <c r="C251" s="2148">
        <v>53100870</v>
      </c>
      <c r="D251" s="2174" t="s">
        <v>671</v>
      </c>
      <c r="E251" s="2184">
        <v>0</v>
      </c>
      <c r="F251" s="2184">
        <v>451</v>
      </c>
      <c r="G251" s="2184">
        <v>451</v>
      </c>
      <c r="H251" s="2156">
        <f>G251/F251*100</f>
        <v>100</v>
      </c>
    </row>
    <row r="252" spans="1:8" s="1849" customFormat="1" ht="15.75" customHeight="1" x14ac:dyDescent="0.2">
      <c r="A252" s="2147">
        <v>3114</v>
      </c>
      <c r="B252" s="2148">
        <v>6121</v>
      </c>
      <c r="C252" s="2148">
        <v>83100874</v>
      </c>
      <c r="D252" s="2174" t="s">
        <v>671</v>
      </c>
      <c r="E252" s="2184">
        <v>0</v>
      </c>
      <c r="F252" s="2184">
        <v>613</v>
      </c>
      <c r="G252" s="2184">
        <v>613</v>
      </c>
      <c r="H252" s="2156">
        <f>G252/F252*100</f>
        <v>100</v>
      </c>
    </row>
    <row r="253" spans="1:8" s="1849" customFormat="1" ht="15.75" customHeight="1" x14ac:dyDescent="0.2">
      <c r="A253" s="2147">
        <v>3114</v>
      </c>
      <c r="B253" s="2148">
        <v>6121</v>
      </c>
      <c r="C253" s="2148">
        <v>53190877</v>
      </c>
      <c r="D253" s="2174" t="s">
        <v>671</v>
      </c>
      <c r="E253" s="2184">
        <v>0</v>
      </c>
      <c r="F253" s="2184">
        <v>225</v>
      </c>
      <c r="G253" s="2184">
        <v>225</v>
      </c>
      <c r="H253" s="2156">
        <f>G253/F253*100</f>
        <v>100</v>
      </c>
    </row>
    <row r="254" spans="1:8" s="1849" customFormat="1" ht="15.75" customHeight="1" thickBot="1" x14ac:dyDescent="0.25">
      <c r="A254" s="2147">
        <v>3114</v>
      </c>
      <c r="B254" s="2253">
        <v>6121</v>
      </c>
      <c r="C254" s="2326">
        <v>53115835</v>
      </c>
      <c r="D254" s="2174" t="s">
        <v>671</v>
      </c>
      <c r="E254" s="2184">
        <v>0</v>
      </c>
      <c r="F254" s="2184">
        <v>3831</v>
      </c>
      <c r="G254" s="2184">
        <v>3831</v>
      </c>
      <c r="H254" s="2156">
        <f>G254/F254*100</f>
        <v>100</v>
      </c>
    </row>
    <row r="255" spans="1:8" s="1849" customFormat="1" ht="16.5" thickTop="1" thickBot="1" x14ac:dyDescent="0.3">
      <c r="A255" s="2806" t="s">
        <v>849</v>
      </c>
      <c r="B255" s="2807"/>
      <c r="C255" s="2807"/>
      <c r="D255" s="2807"/>
      <c r="E255" s="2152">
        <f>SUM(E251:E254)</f>
        <v>0</v>
      </c>
      <c r="F255" s="2152">
        <f>SUM(F251:F254)</f>
        <v>5120</v>
      </c>
      <c r="G255" s="2152">
        <f>SUM(G251:G254)</f>
        <v>5120</v>
      </c>
      <c r="H255" s="2157">
        <f>G255/F255*100</f>
        <v>100</v>
      </c>
    </row>
    <row r="256" spans="1:8" s="1849" customFormat="1" ht="14.25" customHeight="1" thickTop="1" x14ac:dyDescent="0.25">
      <c r="A256" s="2134"/>
      <c r="B256" s="2130"/>
      <c r="C256" s="2130"/>
      <c r="D256" s="2131"/>
      <c r="E256" s="2165"/>
      <c r="F256" s="2165"/>
      <c r="G256" s="2165"/>
      <c r="H256" s="2131"/>
    </row>
    <row r="257" spans="1:8" ht="15" x14ac:dyDescent="0.25">
      <c r="A257" s="2136" t="s">
        <v>606</v>
      </c>
    </row>
    <row r="258" spans="1:8" ht="15.75" thickBot="1" x14ac:dyDescent="0.3">
      <c r="A258" s="2136" t="s">
        <v>607</v>
      </c>
      <c r="H258" s="2240" t="s">
        <v>179</v>
      </c>
    </row>
    <row r="259" spans="1:8" s="1849" customFormat="1" ht="25.5" thickTop="1" thickBot="1" x14ac:dyDescent="0.25">
      <c r="A259" s="2138" t="s">
        <v>180</v>
      </c>
      <c r="B259" s="2139" t="s">
        <v>847</v>
      </c>
      <c r="C259" s="2139" t="s">
        <v>414</v>
      </c>
      <c r="D259" s="2140" t="s">
        <v>182</v>
      </c>
      <c r="E259" s="2171" t="s">
        <v>700</v>
      </c>
      <c r="F259" s="2171" t="s">
        <v>701</v>
      </c>
      <c r="G259" s="2172" t="s">
        <v>986</v>
      </c>
      <c r="H259" s="2173" t="s">
        <v>987</v>
      </c>
    </row>
    <row r="260" spans="1:8" s="1849" customFormat="1" ht="13.5" thickTop="1" thickBot="1" x14ac:dyDescent="0.25">
      <c r="A260" s="1854">
        <v>1</v>
      </c>
      <c r="B260" s="1853">
        <v>2</v>
      </c>
      <c r="C260" s="1853">
        <v>3</v>
      </c>
      <c r="D260" s="1853">
        <v>4</v>
      </c>
      <c r="E260" s="1852">
        <v>5</v>
      </c>
      <c r="F260" s="1852">
        <v>6</v>
      </c>
      <c r="G260" s="2223">
        <v>7</v>
      </c>
      <c r="H260" s="2251" t="s">
        <v>61</v>
      </c>
    </row>
    <row r="261" spans="1:8" s="1849" customFormat="1" ht="15.75" thickTop="1" x14ac:dyDescent="0.2">
      <c r="A261" s="2147">
        <v>5273</v>
      </c>
      <c r="B261" s="2148">
        <v>5169</v>
      </c>
      <c r="C261" s="2148">
        <v>38100874</v>
      </c>
      <c r="D261" s="2174" t="s">
        <v>955</v>
      </c>
      <c r="E261" s="2184">
        <v>0</v>
      </c>
      <c r="F261" s="2184">
        <v>3</v>
      </c>
      <c r="G261" s="2184">
        <v>3</v>
      </c>
      <c r="H261" s="2156">
        <f>G261/F261*100</f>
        <v>100</v>
      </c>
    </row>
    <row r="262" spans="1:8" s="1849" customFormat="1" ht="15.75" customHeight="1" x14ac:dyDescent="0.2">
      <c r="A262" s="2147">
        <v>5273</v>
      </c>
      <c r="B262" s="2148">
        <v>6121</v>
      </c>
      <c r="C262" s="2148">
        <v>38100870</v>
      </c>
      <c r="D262" s="2174" t="s">
        <v>671</v>
      </c>
      <c r="E262" s="2184">
        <v>0</v>
      </c>
      <c r="F262" s="2184">
        <v>772</v>
      </c>
      <c r="G262" s="2184">
        <v>772</v>
      </c>
      <c r="H262" s="2156">
        <f>G262/F262*100</f>
        <v>100</v>
      </c>
    </row>
    <row r="263" spans="1:8" s="1849" customFormat="1" ht="15.75" customHeight="1" x14ac:dyDescent="0.2">
      <c r="A263" s="2147">
        <v>5273</v>
      </c>
      <c r="B263" s="2148">
        <v>6121</v>
      </c>
      <c r="C263" s="2148">
        <v>38100874</v>
      </c>
      <c r="D263" s="2174" t="s">
        <v>671</v>
      </c>
      <c r="E263" s="2184">
        <v>0</v>
      </c>
      <c r="F263" s="2184">
        <v>20</v>
      </c>
      <c r="G263" s="2184">
        <v>0</v>
      </c>
      <c r="H263" s="2156">
        <f>G263/F263*100</f>
        <v>0</v>
      </c>
    </row>
    <row r="264" spans="1:8" s="1849" customFormat="1" ht="15.75" customHeight="1" thickBot="1" x14ac:dyDescent="0.25">
      <c r="A264" s="2147">
        <v>5273</v>
      </c>
      <c r="B264" s="2148">
        <v>6121</v>
      </c>
      <c r="C264" s="2148">
        <v>38500871</v>
      </c>
      <c r="D264" s="2174" t="s">
        <v>671</v>
      </c>
      <c r="E264" s="2184">
        <v>0</v>
      </c>
      <c r="F264" s="2184">
        <v>4374</v>
      </c>
      <c r="G264" s="2184">
        <v>4374</v>
      </c>
      <c r="H264" s="2156">
        <f>G264/F264*100</f>
        <v>100</v>
      </c>
    </row>
    <row r="265" spans="1:8" s="1849" customFormat="1" ht="16.5" thickTop="1" thickBot="1" x14ac:dyDescent="0.3">
      <c r="A265" s="2806" t="s">
        <v>849</v>
      </c>
      <c r="B265" s="2807"/>
      <c r="C265" s="2807"/>
      <c r="D265" s="2807"/>
      <c r="E265" s="2152">
        <f>SUM(E262:E264)</f>
        <v>0</v>
      </c>
      <c r="F265" s="2152">
        <f>SUM(F261:F264)</f>
        <v>5169</v>
      </c>
      <c r="G265" s="2152">
        <f>SUM(G261:G264)</f>
        <v>5149</v>
      </c>
      <c r="H265" s="2157">
        <f>G265/F265*100</f>
        <v>99.613077964790094</v>
      </c>
    </row>
    <row r="266" spans="1:8" s="1849" customFormat="1" ht="15.75" thickTop="1" x14ac:dyDescent="0.25">
      <c r="A266" s="2158"/>
      <c r="B266" s="2158"/>
      <c r="C266" s="2158"/>
      <c r="D266" s="2158"/>
      <c r="E266" s="2159"/>
      <c r="F266" s="2159"/>
      <c r="G266" s="2159"/>
      <c r="H266" s="2190"/>
    </row>
    <row r="267" spans="1:8" ht="15" customHeight="1" x14ac:dyDescent="0.25">
      <c r="A267" s="2136" t="s">
        <v>564</v>
      </c>
    </row>
    <row r="268" spans="1:8" ht="15.75" thickBot="1" x14ac:dyDescent="0.3">
      <c r="A268" s="2136" t="s">
        <v>565</v>
      </c>
      <c r="H268" s="2240" t="s">
        <v>179</v>
      </c>
    </row>
    <row r="269" spans="1:8" s="1849" customFormat="1" ht="25.5" thickTop="1" thickBot="1" x14ac:dyDescent="0.25">
      <c r="A269" s="2138" t="s">
        <v>180</v>
      </c>
      <c r="B269" s="2139" t="s">
        <v>847</v>
      </c>
      <c r="C269" s="2139" t="s">
        <v>414</v>
      </c>
      <c r="D269" s="2140" t="s">
        <v>182</v>
      </c>
      <c r="E269" s="2171" t="s">
        <v>700</v>
      </c>
      <c r="F269" s="2171" t="s">
        <v>701</v>
      </c>
      <c r="G269" s="2172" t="s">
        <v>986</v>
      </c>
      <c r="H269" s="2173" t="s">
        <v>987</v>
      </c>
    </row>
    <row r="270" spans="1:8" s="1849" customFormat="1" ht="13.5" thickTop="1" thickBot="1" x14ac:dyDescent="0.25">
      <c r="A270" s="1854">
        <v>1</v>
      </c>
      <c r="B270" s="1853">
        <v>2</v>
      </c>
      <c r="C270" s="1853">
        <v>3</v>
      </c>
      <c r="D270" s="1853">
        <v>4</v>
      </c>
      <c r="E270" s="1852">
        <v>5</v>
      </c>
      <c r="F270" s="1852">
        <v>6</v>
      </c>
      <c r="G270" s="2223">
        <v>7</v>
      </c>
      <c r="H270" s="2251" t="s">
        <v>61</v>
      </c>
    </row>
    <row r="271" spans="1:8" s="1849" customFormat="1" ht="16.5" thickTop="1" thickBot="1" x14ac:dyDescent="0.25">
      <c r="A271" s="2147">
        <v>4357</v>
      </c>
      <c r="B271" s="2148">
        <v>5171</v>
      </c>
      <c r="C271" s="2325" t="s">
        <v>838</v>
      </c>
      <c r="D271" s="2174" t="s">
        <v>1001</v>
      </c>
      <c r="E271" s="2184">
        <v>3731</v>
      </c>
      <c r="F271" s="2184">
        <v>0</v>
      </c>
      <c r="G271" s="2184">
        <v>0</v>
      </c>
      <c r="H271" s="2156">
        <v>0</v>
      </c>
    </row>
    <row r="272" spans="1:8" s="1849" customFormat="1" ht="16.5" thickTop="1" thickBot="1" x14ac:dyDescent="0.3">
      <c r="A272" s="2806" t="s">
        <v>849</v>
      </c>
      <c r="B272" s="2807"/>
      <c r="C272" s="2807"/>
      <c r="D272" s="2807"/>
      <c r="E272" s="2152">
        <f>SUM(E271:E271)</f>
        <v>3731</v>
      </c>
      <c r="F272" s="2152">
        <f>SUM(F271:F271)</f>
        <v>0</v>
      </c>
      <c r="G272" s="2152">
        <f>SUM(G271:G271)</f>
        <v>0</v>
      </c>
      <c r="H272" s="2157">
        <v>0</v>
      </c>
    </row>
    <row r="273" spans="1:8" s="1849" customFormat="1" ht="14.25" customHeight="1" thickTop="1" x14ac:dyDescent="0.25">
      <c r="A273" s="2134"/>
      <c r="B273" s="2130"/>
      <c r="C273" s="2130"/>
      <c r="D273" s="2131"/>
      <c r="E273" s="2165"/>
      <c r="F273" s="2165"/>
      <c r="G273" s="2165"/>
      <c r="H273" s="2131"/>
    </row>
    <row r="274" spans="1:8" ht="15" x14ac:dyDescent="0.25">
      <c r="A274" s="2136" t="s">
        <v>297</v>
      </c>
    </row>
    <row r="275" spans="1:8" ht="15.75" thickBot="1" x14ac:dyDescent="0.3">
      <c r="A275" s="2136" t="s">
        <v>605</v>
      </c>
      <c r="H275" s="2240" t="s">
        <v>179</v>
      </c>
    </row>
    <row r="276" spans="1:8" s="1849" customFormat="1" ht="25.5" thickTop="1" thickBot="1" x14ac:dyDescent="0.25">
      <c r="A276" s="2138" t="s">
        <v>180</v>
      </c>
      <c r="B276" s="2139" t="s">
        <v>847</v>
      </c>
      <c r="C276" s="2139" t="s">
        <v>414</v>
      </c>
      <c r="D276" s="2140" t="s">
        <v>182</v>
      </c>
      <c r="E276" s="2171" t="s">
        <v>700</v>
      </c>
      <c r="F276" s="2171" t="s">
        <v>701</v>
      </c>
      <c r="G276" s="2172" t="s">
        <v>986</v>
      </c>
      <c r="H276" s="2173" t="s">
        <v>987</v>
      </c>
    </row>
    <row r="277" spans="1:8" s="1849" customFormat="1" ht="13.5" thickTop="1" thickBot="1" x14ac:dyDescent="0.25">
      <c r="A277" s="1854">
        <v>1</v>
      </c>
      <c r="B277" s="1853">
        <v>2</v>
      </c>
      <c r="C277" s="1853">
        <v>3</v>
      </c>
      <c r="D277" s="1853">
        <v>4</v>
      </c>
      <c r="E277" s="1852">
        <v>5</v>
      </c>
      <c r="F277" s="1852">
        <v>6</v>
      </c>
      <c r="G277" s="2223">
        <v>7</v>
      </c>
      <c r="H277" s="2251" t="s">
        <v>61</v>
      </c>
    </row>
    <row r="278" spans="1:8" s="1849" customFormat="1" ht="15.75" customHeight="1" thickTop="1" x14ac:dyDescent="0.2">
      <c r="A278" s="2147">
        <v>2143</v>
      </c>
      <c r="B278" s="2148">
        <v>5139</v>
      </c>
      <c r="C278" s="2148">
        <v>35500881</v>
      </c>
      <c r="D278" s="2174" t="s">
        <v>295</v>
      </c>
      <c r="E278" s="2184">
        <v>255</v>
      </c>
      <c r="F278" s="2184">
        <v>0</v>
      </c>
      <c r="G278" s="2184">
        <v>0</v>
      </c>
      <c r="H278" s="2156">
        <v>0</v>
      </c>
    </row>
    <row r="279" spans="1:8" s="1849" customFormat="1" ht="15.75" customHeight="1" x14ac:dyDescent="0.2">
      <c r="A279" s="2147">
        <v>2143</v>
      </c>
      <c r="B279" s="2148">
        <v>5139</v>
      </c>
      <c r="C279" s="2148">
        <v>38100880</v>
      </c>
      <c r="D279" s="2174" t="s">
        <v>295</v>
      </c>
      <c r="E279" s="2184">
        <v>45</v>
      </c>
      <c r="F279" s="2184">
        <v>34</v>
      </c>
      <c r="G279" s="2184">
        <v>34</v>
      </c>
      <c r="H279" s="2156">
        <f>G279/F279*100</f>
        <v>100</v>
      </c>
    </row>
    <row r="280" spans="1:8" s="1849" customFormat="1" ht="15.75" customHeight="1" x14ac:dyDescent="0.2">
      <c r="A280" s="2147">
        <v>2143</v>
      </c>
      <c r="B280" s="2148">
        <v>5139</v>
      </c>
      <c r="C280" s="2148">
        <v>38500881</v>
      </c>
      <c r="D280" s="2174" t="s">
        <v>295</v>
      </c>
      <c r="E280" s="2184">
        <v>0</v>
      </c>
      <c r="F280" s="2184">
        <v>191</v>
      </c>
      <c r="G280" s="2184">
        <v>191</v>
      </c>
      <c r="H280" s="2156">
        <f>G280/F280*100</f>
        <v>100</v>
      </c>
    </row>
    <row r="281" spans="1:8" s="1849" customFormat="1" ht="15.75" customHeight="1" x14ac:dyDescent="0.2">
      <c r="A281" s="2147">
        <v>2143</v>
      </c>
      <c r="B281" s="2148">
        <v>5163</v>
      </c>
      <c r="C281" s="2148">
        <v>38100880</v>
      </c>
      <c r="D281" s="2174" t="s">
        <v>997</v>
      </c>
      <c r="E281" s="2184">
        <v>8</v>
      </c>
      <c r="F281" s="2184">
        <v>8</v>
      </c>
      <c r="G281" s="2184">
        <v>0</v>
      </c>
      <c r="H281" s="2156">
        <f>G281/F281*100</f>
        <v>0</v>
      </c>
    </row>
    <row r="282" spans="1:8" s="1849" customFormat="1" ht="15.75" customHeight="1" x14ac:dyDescent="0.2">
      <c r="A282" s="2147">
        <v>2143</v>
      </c>
      <c r="B282" s="2148">
        <v>5163</v>
      </c>
      <c r="C282" s="2148">
        <v>38500881</v>
      </c>
      <c r="D282" s="2174" t="s">
        <v>997</v>
      </c>
      <c r="E282" s="2184">
        <v>42</v>
      </c>
      <c r="F282" s="2184">
        <v>42</v>
      </c>
      <c r="G282" s="2184">
        <v>1</v>
      </c>
      <c r="H282" s="2156">
        <f>G282/F282*100</f>
        <v>2.3809523809523809</v>
      </c>
    </row>
    <row r="283" spans="1:8" s="1849" customFormat="1" ht="15.75" customHeight="1" x14ac:dyDescent="0.2">
      <c r="A283" s="2147">
        <v>2143</v>
      </c>
      <c r="B283" s="2148">
        <v>5166</v>
      </c>
      <c r="C283" s="2148">
        <v>38100880</v>
      </c>
      <c r="D283" s="2174" t="s">
        <v>677</v>
      </c>
      <c r="E283" s="2184">
        <v>60</v>
      </c>
      <c r="F283" s="2184">
        <v>0</v>
      </c>
      <c r="G283" s="2184">
        <v>0</v>
      </c>
      <c r="H283" s="2156">
        <v>0</v>
      </c>
    </row>
    <row r="284" spans="1:8" s="1849" customFormat="1" ht="15.75" customHeight="1" x14ac:dyDescent="0.2">
      <c r="A284" s="2147">
        <v>2143</v>
      </c>
      <c r="B284" s="2148">
        <v>5166</v>
      </c>
      <c r="C284" s="2148">
        <v>38500881</v>
      </c>
      <c r="D284" s="2174" t="s">
        <v>677</v>
      </c>
      <c r="E284" s="2184">
        <v>340</v>
      </c>
      <c r="F284" s="2184">
        <v>0</v>
      </c>
      <c r="G284" s="2184">
        <v>0</v>
      </c>
      <c r="H284" s="2156">
        <v>0</v>
      </c>
    </row>
    <row r="285" spans="1:8" s="1849" customFormat="1" ht="15.75" customHeight="1" x14ac:dyDescent="0.2">
      <c r="A285" s="2147">
        <v>2143</v>
      </c>
      <c r="B285" s="2148">
        <v>5169</v>
      </c>
      <c r="C285" s="2148">
        <v>38100880</v>
      </c>
      <c r="D285" s="2174" t="s">
        <v>955</v>
      </c>
      <c r="E285" s="2184">
        <v>892</v>
      </c>
      <c r="F285" s="2184">
        <v>972</v>
      </c>
      <c r="G285" s="2184">
        <v>965</v>
      </c>
      <c r="H285" s="2156">
        <v>0</v>
      </c>
    </row>
    <row r="286" spans="1:8" s="1849" customFormat="1" ht="15.75" customHeight="1" x14ac:dyDescent="0.2">
      <c r="A286" s="2147">
        <v>2143</v>
      </c>
      <c r="B286" s="2148">
        <v>5169</v>
      </c>
      <c r="C286" s="2148">
        <v>38500881</v>
      </c>
      <c r="D286" s="2174" t="s">
        <v>955</v>
      </c>
      <c r="E286" s="2184">
        <v>5058</v>
      </c>
      <c r="F286" s="2184">
        <v>5488</v>
      </c>
      <c r="G286" s="2184">
        <v>5468</v>
      </c>
      <c r="H286" s="2156">
        <f>G286/F286*100</f>
        <v>99.635568513119537</v>
      </c>
    </row>
    <row r="287" spans="1:8" s="1849" customFormat="1" ht="15.75" customHeight="1" x14ac:dyDescent="0.2">
      <c r="A287" s="2147">
        <v>2143</v>
      </c>
      <c r="B287" s="2148">
        <v>5173</v>
      </c>
      <c r="C287" s="2148">
        <v>38100880</v>
      </c>
      <c r="D287" s="2174" t="s">
        <v>1296</v>
      </c>
      <c r="E287" s="2184">
        <v>45</v>
      </c>
      <c r="F287" s="2184">
        <v>36</v>
      </c>
      <c r="G287" s="2184">
        <v>27</v>
      </c>
      <c r="H287" s="2156">
        <f>G287/F287*100</f>
        <v>75</v>
      </c>
    </row>
    <row r="288" spans="1:8" s="1849" customFormat="1" ht="15.75" customHeight="1" thickBot="1" x14ac:dyDescent="0.25">
      <c r="A288" s="2147">
        <v>2143</v>
      </c>
      <c r="B288" s="2148">
        <v>5173</v>
      </c>
      <c r="C288" s="2148">
        <v>38500881</v>
      </c>
      <c r="D288" s="2174" t="s">
        <v>1296</v>
      </c>
      <c r="E288" s="2184">
        <v>255</v>
      </c>
      <c r="F288" s="2184">
        <v>229</v>
      </c>
      <c r="G288" s="2184">
        <v>156</v>
      </c>
      <c r="H288" s="2156">
        <f>G288/F288*100</f>
        <v>68.122270742358083</v>
      </c>
    </row>
    <row r="289" spans="1:8" s="1849" customFormat="1" ht="16.5" thickTop="1" thickBot="1" x14ac:dyDescent="0.3">
      <c r="A289" s="2806" t="s">
        <v>849</v>
      </c>
      <c r="B289" s="2807"/>
      <c r="C289" s="2807"/>
      <c r="D289" s="2807"/>
      <c r="E289" s="2152">
        <f>SUM(E278:E288)</f>
        <v>7000</v>
      </c>
      <c r="F289" s="2152">
        <f>SUM(F278:F288)</f>
        <v>7000</v>
      </c>
      <c r="G289" s="2152">
        <f>SUM(G278:G288)</f>
        <v>6842</v>
      </c>
      <c r="H289" s="2157">
        <f>G289/F289*100</f>
        <v>97.742857142857147</v>
      </c>
    </row>
    <row r="290" spans="1:8" s="1849" customFormat="1" ht="14.25" customHeight="1" thickTop="1" x14ac:dyDescent="0.25">
      <c r="A290" s="2134"/>
      <c r="B290" s="2130"/>
      <c r="C290" s="2130"/>
      <c r="D290" s="2131"/>
      <c r="E290" s="2165"/>
      <c r="F290" s="2165"/>
      <c r="G290" s="2165"/>
      <c r="H290" s="2131"/>
    </row>
    <row r="291" spans="1:8" ht="15" customHeight="1" x14ac:dyDescent="0.25">
      <c r="A291" s="2136" t="s">
        <v>1448</v>
      </c>
    </row>
    <row r="292" spans="1:8" ht="15.75" thickBot="1" x14ac:dyDescent="0.3">
      <c r="A292" s="2136" t="s">
        <v>1449</v>
      </c>
      <c r="H292" s="2240" t="s">
        <v>179</v>
      </c>
    </row>
    <row r="293" spans="1:8" s="1849" customFormat="1" ht="25.5" thickTop="1" thickBot="1" x14ac:dyDescent="0.25">
      <c r="A293" s="2138" t="s">
        <v>180</v>
      </c>
      <c r="B293" s="2139" t="s">
        <v>847</v>
      </c>
      <c r="C293" s="2139" t="s">
        <v>414</v>
      </c>
      <c r="D293" s="2140" t="s">
        <v>182</v>
      </c>
      <c r="E293" s="2171" t="s">
        <v>700</v>
      </c>
      <c r="F293" s="2171" t="s">
        <v>701</v>
      </c>
      <c r="G293" s="2172" t="s">
        <v>986</v>
      </c>
      <c r="H293" s="2173" t="s">
        <v>987</v>
      </c>
    </row>
    <row r="294" spans="1:8" s="1849" customFormat="1" ht="13.5" thickTop="1" thickBot="1" x14ac:dyDescent="0.25">
      <c r="A294" s="1854">
        <v>1</v>
      </c>
      <c r="B294" s="1853">
        <v>2</v>
      </c>
      <c r="C294" s="1853">
        <v>3</v>
      </c>
      <c r="D294" s="1853">
        <v>4</v>
      </c>
      <c r="E294" s="1852">
        <v>5</v>
      </c>
      <c r="F294" s="1852">
        <v>6</v>
      </c>
      <c r="G294" s="2223">
        <v>7</v>
      </c>
      <c r="H294" s="2251" t="s">
        <v>61</v>
      </c>
    </row>
    <row r="295" spans="1:8" s="1849" customFormat="1" ht="16.5" thickTop="1" thickBot="1" x14ac:dyDescent="0.25">
      <c r="A295" s="2147">
        <v>3315</v>
      </c>
      <c r="B295" s="2148">
        <v>5171</v>
      </c>
      <c r="C295" s="2325" t="s">
        <v>838</v>
      </c>
      <c r="D295" s="2174" t="s">
        <v>1001</v>
      </c>
      <c r="E295" s="2184">
        <v>871</v>
      </c>
      <c r="F295" s="2184">
        <v>0</v>
      </c>
      <c r="G295" s="2184">
        <v>0</v>
      </c>
      <c r="H295" s="2156">
        <v>0</v>
      </c>
    </row>
    <row r="296" spans="1:8" s="1849" customFormat="1" ht="16.5" thickTop="1" thickBot="1" x14ac:dyDescent="0.3">
      <c r="A296" s="2806" t="s">
        <v>849</v>
      </c>
      <c r="B296" s="2807"/>
      <c r="C296" s="2807"/>
      <c r="D296" s="2807"/>
      <c r="E296" s="2152">
        <f>SUM(E295:E295)</f>
        <v>871</v>
      </c>
      <c r="F296" s="2152">
        <f>SUM(F295:F295)</f>
        <v>0</v>
      </c>
      <c r="G296" s="2152">
        <f>SUM(G295:G295)</f>
        <v>0</v>
      </c>
      <c r="H296" s="2157">
        <v>0</v>
      </c>
    </row>
    <row r="297" spans="1:8" s="1849" customFormat="1" ht="15.75" thickTop="1" x14ac:dyDescent="0.25">
      <c r="A297" s="2158"/>
      <c r="B297" s="2158"/>
      <c r="C297" s="2158"/>
      <c r="D297" s="2158"/>
      <c r="E297" s="2159"/>
      <c r="F297" s="2159"/>
      <c r="G297" s="2159"/>
      <c r="H297" s="2190"/>
    </row>
    <row r="298" spans="1:8" ht="15" x14ac:dyDescent="0.25">
      <c r="A298" s="2136" t="s">
        <v>1827</v>
      </c>
    </row>
    <row r="299" spans="1:8" ht="15.75" thickBot="1" x14ac:dyDescent="0.3">
      <c r="A299" s="2136" t="s">
        <v>602</v>
      </c>
      <c r="H299" s="2240" t="s">
        <v>179</v>
      </c>
    </row>
    <row r="300" spans="1:8" s="1849" customFormat="1" ht="25.5" thickTop="1" thickBot="1" x14ac:dyDescent="0.25">
      <c r="A300" s="2138" t="s">
        <v>180</v>
      </c>
      <c r="B300" s="2139" t="s">
        <v>847</v>
      </c>
      <c r="C300" s="2139" t="s">
        <v>414</v>
      </c>
      <c r="D300" s="2140" t="s">
        <v>182</v>
      </c>
      <c r="E300" s="2171" t="s">
        <v>700</v>
      </c>
      <c r="F300" s="2171" t="s">
        <v>701</v>
      </c>
      <c r="G300" s="2172" t="s">
        <v>986</v>
      </c>
      <c r="H300" s="2173" t="s">
        <v>987</v>
      </c>
    </row>
    <row r="301" spans="1:8" s="1849" customFormat="1" ht="13.5" thickTop="1" thickBot="1" x14ac:dyDescent="0.25">
      <c r="A301" s="1854">
        <v>1</v>
      </c>
      <c r="B301" s="1853">
        <v>2</v>
      </c>
      <c r="C301" s="1853">
        <v>3</v>
      </c>
      <c r="D301" s="1853">
        <v>4</v>
      </c>
      <c r="E301" s="1852">
        <v>5</v>
      </c>
      <c r="F301" s="1852">
        <v>6</v>
      </c>
      <c r="G301" s="2223">
        <v>7</v>
      </c>
      <c r="H301" s="2251" t="s">
        <v>61</v>
      </c>
    </row>
    <row r="302" spans="1:8" s="1849" customFormat="1" ht="15.75" customHeight="1" thickTop="1" x14ac:dyDescent="0.2">
      <c r="A302" s="2147">
        <v>3522</v>
      </c>
      <c r="B302" s="2148">
        <v>6121</v>
      </c>
      <c r="C302" s="2325" t="s">
        <v>1828</v>
      </c>
      <c r="D302" s="2174" t="s">
        <v>671</v>
      </c>
      <c r="E302" s="2184">
        <v>0</v>
      </c>
      <c r="F302" s="2184">
        <v>57</v>
      </c>
      <c r="G302" s="2184">
        <v>54</v>
      </c>
      <c r="H302" s="2156">
        <f>G302/F302*100</f>
        <v>94.73684210526315</v>
      </c>
    </row>
    <row r="303" spans="1:8" s="1849" customFormat="1" ht="15.75" customHeight="1" x14ac:dyDescent="0.2">
      <c r="A303" s="2147">
        <v>3522</v>
      </c>
      <c r="B303" s="2148">
        <v>6121</v>
      </c>
      <c r="C303" s="2148">
        <v>38100870</v>
      </c>
      <c r="D303" s="2174" t="s">
        <v>671</v>
      </c>
      <c r="E303" s="2184">
        <v>0</v>
      </c>
      <c r="F303" s="2184">
        <v>9165</v>
      </c>
      <c r="G303" s="2184">
        <v>9164</v>
      </c>
      <c r="H303" s="2156">
        <f>G303/F303*100</f>
        <v>99.989088925259139</v>
      </c>
    </row>
    <row r="304" spans="1:8" s="1849" customFormat="1" ht="15.75" customHeight="1" x14ac:dyDescent="0.2">
      <c r="A304" s="2147">
        <v>3522</v>
      </c>
      <c r="B304" s="2148">
        <v>6121</v>
      </c>
      <c r="C304" s="2148">
        <v>38100874</v>
      </c>
      <c r="D304" s="2174" t="s">
        <v>671</v>
      </c>
      <c r="E304" s="2184">
        <v>0</v>
      </c>
      <c r="F304" s="2184">
        <v>1749</v>
      </c>
      <c r="G304" s="2184">
        <v>1582</v>
      </c>
      <c r="H304" s="2156">
        <f>G304/F304*100</f>
        <v>90.451686678101765</v>
      </c>
    </row>
    <row r="305" spans="1:8" s="1849" customFormat="1" ht="15.75" customHeight="1" thickBot="1" x14ac:dyDescent="0.25">
      <c r="A305" s="2147">
        <v>3522</v>
      </c>
      <c r="B305" s="2253">
        <v>6121</v>
      </c>
      <c r="C305" s="2326">
        <v>38500871</v>
      </c>
      <c r="D305" s="2174" t="s">
        <v>671</v>
      </c>
      <c r="E305" s="2184">
        <v>0</v>
      </c>
      <c r="F305" s="2184">
        <v>27496</v>
      </c>
      <c r="G305" s="2184">
        <v>27494</v>
      </c>
      <c r="H305" s="2156">
        <f>G305/F305*100</f>
        <v>99.99272621472214</v>
      </c>
    </row>
    <row r="306" spans="1:8" s="1849" customFormat="1" ht="16.5" thickTop="1" thickBot="1" x14ac:dyDescent="0.3">
      <c r="A306" s="2806" t="s">
        <v>849</v>
      </c>
      <c r="B306" s="2807"/>
      <c r="C306" s="2807"/>
      <c r="D306" s="2807"/>
      <c r="E306" s="2152">
        <f>SUM(E302:E305)</f>
        <v>0</v>
      </c>
      <c r="F306" s="2152">
        <f>SUM(F302:F305)</f>
        <v>38467</v>
      </c>
      <c r="G306" s="2152">
        <f>SUM(G302:G305)</f>
        <v>38294</v>
      </c>
      <c r="H306" s="2157">
        <f>G306/F306*100</f>
        <v>99.550263862531523</v>
      </c>
    </row>
    <row r="307" spans="1:8" s="1849" customFormat="1" ht="15.75" thickTop="1" x14ac:dyDescent="0.25">
      <c r="A307" s="2158"/>
      <c r="B307" s="2158"/>
      <c r="C307" s="2158"/>
      <c r="D307" s="2158"/>
      <c r="E307" s="2159"/>
      <c r="F307" s="2159"/>
      <c r="G307" s="2159"/>
      <c r="H307" s="2190"/>
    </row>
    <row r="308" spans="1:8" ht="15" x14ac:dyDescent="0.25">
      <c r="A308" s="2136" t="s">
        <v>1550</v>
      </c>
    </row>
    <row r="309" spans="1:8" ht="15.75" thickBot="1" x14ac:dyDescent="0.3">
      <c r="A309" s="2136" t="s">
        <v>1549</v>
      </c>
      <c r="H309" s="2240" t="s">
        <v>179</v>
      </c>
    </row>
    <row r="310" spans="1:8" s="1849" customFormat="1" ht="25.5" thickTop="1" thickBot="1" x14ac:dyDescent="0.25">
      <c r="A310" s="2138" t="s">
        <v>180</v>
      </c>
      <c r="B310" s="2139" t="s">
        <v>847</v>
      </c>
      <c r="C310" s="2139" t="s">
        <v>414</v>
      </c>
      <c r="D310" s="2140" t="s">
        <v>182</v>
      </c>
      <c r="E310" s="2171" t="s">
        <v>700</v>
      </c>
      <c r="F310" s="2171" t="s">
        <v>701</v>
      </c>
      <c r="G310" s="2172" t="s">
        <v>986</v>
      </c>
      <c r="H310" s="2173" t="s">
        <v>987</v>
      </c>
    </row>
    <row r="311" spans="1:8" s="1849" customFormat="1" ht="13.5" thickTop="1" thickBot="1" x14ac:dyDescent="0.25">
      <c r="A311" s="1854">
        <v>1</v>
      </c>
      <c r="B311" s="1853">
        <v>2</v>
      </c>
      <c r="C311" s="1853">
        <v>3</v>
      </c>
      <c r="D311" s="1853">
        <v>4</v>
      </c>
      <c r="E311" s="1852">
        <v>5</v>
      </c>
      <c r="F311" s="1852">
        <v>6</v>
      </c>
      <c r="G311" s="2223">
        <v>7</v>
      </c>
      <c r="H311" s="2251" t="s">
        <v>61</v>
      </c>
    </row>
    <row r="312" spans="1:8" s="1849" customFormat="1" ht="15.75" customHeight="1" thickTop="1" x14ac:dyDescent="0.2">
      <c r="A312" s="2147">
        <v>3522</v>
      </c>
      <c r="B312" s="2148">
        <v>6121</v>
      </c>
      <c r="C312" s="2325" t="s">
        <v>1828</v>
      </c>
      <c r="D312" s="2174" t="s">
        <v>671</v>
      </c>
      <c r="E312" s="2184">
        <v>0</v>
      </c>
      <c r="F312" s="2184">
        <v>100</v>
      </c>
      <c r="G312" s="2184">
        <v>8</v>
      </c>
      <c r="H312" s="2156">
        <f>G312/F312*100</f>
        <v>8</v>
      </c>
    </row>
    <row r="313" spans="1:8" s="1849" customFormat="1" ht="15.75" customHeight="1" x14ac:dyDescent="0.2">
      <c r="A313" s="2147">
        <v>3522</v>
      </c>
      <c r="B313" s="2148">
        <v>6121</v>
      </c>
      <c r="C313" s="2148">
        <v>38100870</v>
      </c>
      <c r="D313" s="2174" t="s">
        <v>671</v>
      </c>
      <c r="E313" s="2184">
        <v>0</v>
      </c>
      <c r="F313" s="2184">
        <v>2500</v>
      </c>
      <c r="G313" s="2184">
        <v>194</v>
      </c>
      <c r="H313" s="2156">
        <f>G313/F313*100</f>
        <v>7.76</v>
      </c>
    </row>
    <row r="314" spans="1:8" s="1849" customFormat="1" ht="15.75" customHeight="1" x14ac:dyDescent="0.2">
      <c r="A314" s="2147">
        <v>3522</v>
      </c>
      <c r="B314" s="2148">
        <v>6121</v>
      </c>
      <c r="C314" s="2148">
        <v>38100874</v>
      </c>
      <c r="D314" s="2174" t="s">
        <v>671</v>
      </c>
      <c r="E314" s="2184">
        <v>0</v>
      </c>
      <c r="F314" s="2184">
        <v>1000</v>
      </c>
      <c r="G314" s="2184">
        <v>39</v>
      </c>
      <c r="H314" s="2156">
        <f>G314/F314*100</f>
        <v>3.9</v>
      </c>
    </row>
    <row r="315" spans="1:8" s="1849" customFormat="1" ht="15.75" customHeight="1" thickBot="1" x14ac:dyDescent="0.25">
      <c r="A315" s="2147">
        <v>3522</v>
      </c>
      <c r="B315" s="2253">
        <v>6121</v>
      </c>
      <c r="C315" s="2326">
        <v>38500871</v>
      </c>
      <c r="D315" s="2174" t="s">
        <v>671</v>
      </c>
      <c r="E315" s="2184">
        <v>0</v>
      </c>
      <c r="F315" s="2184">
        <v>7500</v>
      </c>
      <c r="G315" s="2184">
        <v>582</v>
      </c>
      <c r="H315" s="2156">
        <f>G315/F315*100</f>
        <v>7.76</v>
      </c>
    </row>
    <row r="316" spans="1:8" s="1849" customFormat="1" ht="16.5" thickTop="1" thickBot="1" x14ac:dyDescent="0.3">
      <c r="A316" s="2806" t="s">
        <v>849</v>
      </c>
      <c r="B316" s="2807"/>
      <c r="C316" s="2807"/>
      <c r="D316" s="2807"/>
      <c r="E316" s="2152">
        <f>SUM(E312:E315)</f>
        <v>0</v>
      </c>
      <c r="F316" s="2152">
        <f>SUM(F312:F315)</f>
        <v>11100</v>
      </c>
      <c r="G316" s="2152">
        <f>SUM(G312:G315)</f>
        <v>823</v>
      </c>
      <c r="H316" s="2157">
        <f>G316/F316*100</f>
        <v>7.4144144144144146</v>
      </c>
    </row>
    <row r="317" spans="1:8" s="1849" customFormat="1" ht="15.75" thickTop="1" x14ac:dyDescent="0.25">
      <c r="A317" s="2158"/>
      <c r="B317" s="2158"/>
      <c r="C317" s="2158"/>
      <c r="D317" s="2158"/>
      <c r="E317" s="2159"/>
      <c r="F317" s="2159"/>
      <c r="G317" s="2159"/>
      <c r="H317" s="2190"/>
    </row>
    <row r="318" spans="1:8" ht="15" x14ac:dyDescent="0.25">
      <c r="A318" s="2136" t="s">
        <v>1786</v>
      </c>
    </row>
    <row r="319" spans="1:8" ht="15.75" thickBot="1" x14ac:dyDescent="0.3">
      <c r="A319" s="2136" t="s">
        <v>1787</v>
      </c>
      <c r="H319" s="2240" t="s">
        <v>179</v>
      </c>
    </row>
    <row r="320" spans="1:8" s="1849" customFormat="1" ht="25.5" thickTop="1" thickBot="1" x14ac:dyDescent="0.25">
      <c r="A320" s="2138" t="s">
        <v>180</v>
      </c>
      <c r="B320" s="2139" t="s">
        <v>847</v>
      </c>
      <c r="C320" s="2139" t="s">
        <v>414</v>
      </c>
      <c r="D320" s="2140" t="s">
        <v>182</v>
      </c>
      <c r="E320" s="2171" t="s">
        <v>700</v>
      </c>
      <c r="F320" s="2171" t="s">
        <v>701</v>
      </c>
      <c r="G320" s="2172" t="s">
        <v>986</v>
      </c>
      <c r="H320" s="2173" t="s">
        <v>987</v>
      </c>
    </row>
    <row r="321" spans="1:8" s="1849" customFormat="1" ht="13.5" thickTop="1" thickBot="1" x14ac:dyDescent="0.25">
      <c r="A321" s="1854">
        <v>1</v>
      </c>
      <c r="B321" s="1853">
        <v>2</v>
      </c>
      <c r="C321" s="1853">
        <v>3</v>
      </c>
      <c r="D321" s="1853">
        <v>4</v>
      </c>
      <c r="E321" s="1852">
        <v>5</v>
      </c>
      <c r="F321" s="1852">
        <v>6</v>
      </c>
      <c r="G321" s="2223">
        <v>7</v>
      </c>
      <c r="H321" s="2251" t="s">
        <v>61</v>
      </c>
    </row>
    <row r="322" spans="1:8" s="1849" customFormat="1" ht="15.75" thickTop="1" x14ac:dyDescent="0.2">
      <c r="A322" s="2147">
        <v>3122</v>
      </c>
      <c r="B322" s="2148">
        <v>6122</v>
      </c>
      <c r="C322" s="2148">
        <v>38100870</v>
      </c>
      <c r="D322" s="2174" t="s">
        <v>672</v>
      </c>
      <c r="E322" s="2184">
        <v>0</v>
      </c>
      <c r="F322" s="2184">
        <v>1202</v>
      </c>
      <c r="G322" s="2184">
        <v>0</v>
      </c>
      <c r="H322" s="2156">
        <f>G322/F322*100</f>
        <v>0</v>
      </c>
    </row>
    <row r="323" spans="1:8" s="1849" customFormat="1" ht="15.75" thickBot="1" x14ac:dyDescent="0.25">
      <c r="A323" s="2147">
        <v>3122</v>
      </c>
      <c r="B323" s="2148">
        <v>6122</v>
      </c>
      <c r="C323" s="2148">
        <v>38500871</v>
      </c>
      <c r="D323" s="2174" t="s">
        <v>672</v>
      </c>
      <c r="E323" s="2184">
        <v>0</v>
      </c>
      <c r="F323" s="2184">
        <v>6810</v>
      </c>
      <c r="G323" s="2184">
        <v>0</v>
      </c>
      <c r="H323" s="2156">
        <f>G323/F323*100</f>
        <v>0</v>
      </c>
    </row>
    <row r="324" spans="1:8" s="1849" customFormat="1" ht="16.5" thickTop="1" thickBot="1" x14ac:dyDescent="0.3">
      <c r="A324" s="2806" t="s">
        <v>849</v>
      </c>
      <c r="B324" s="2807"/>
      <c r="C324" s="2807"/>
      <c r="D324" s="2807"/>
      <c r="E324" s="2152">
        <f>SUM(E322:E323)</f>
        <v>0</v>
      </c>
      <c r="F324" s="2152">
        <f>SUM(F322:F323)</f>
        <v>8012</v>
      </c>
      <c r="G324" s="2152">
        <f>SUM(G322:G323)</f>
        <v>0</v>
      </c>
      <c r="H324" s="2157">
        <f>G324/F324*100</f>
        <v>0</v>
      </c>
    </row>
    <row r="325" spans="1:8" s="1849" customFormat="1" ht="14.25" customHeight="1" thickTop="1" x14ac:dyDescent="0.25">
      <c r="A325" s="2134"/>
      <c r="B325" s="2130"/>
      <c r="C325" s="2130"/>
      <c r="D325" s="2131"/>
      <c r="E325" s="2165"/>
      <c r="F325" s="2165"/>
      <c r="G325" s="2165"/>
      <c r="H325" s="2131"/>
    </row>
    <row r="326" spans="1:8" ht="15" x14ac:dyDescent="0.25">
      <c r="A326" s="2136" t="s">
        <v>1829</v>
      </c>
    </row>
    <row r="327" spans="1:8" ht="15.75" thickBot="1" x14ac:dyDescent="0.3">
      <c r="A327" s="2136" t="s">
        <v>1830</v>
      </c>
      <c r="H327" s="2240" t="s">
        <v>179</v>
      </c>
    </row>
    <row r="328" spans="1:8" s="1849" customFormat="1" ht="25.5" thickTop="1" thickBot="1" x14ac:dyDescent="0.25">
      <c r="A328" s="2138" t="s">
        <v>180</v>
      </c>
      <c r="B328" s="2139" t="s">
        <v>847</v>
      </c>
      <c r="C328" s="2139" t="s">
        <v>414</v>
      </c>
      <c r="D328" s="2140" t="s">
        <v>182</v>
      </c>
      <c r="E328" s="2171" t="s">
        <v>700</v>
      </c>
      <c r="F328" s="2171" t="s">
        <v>701</v>
      </c>
      <c r="G328" s="2172" t="s">
        <v>986</v>
      </c>
      <c r="H328" s="2173" t="s">
        <v>987</v>
      </c>
    </row>
    <row r="329" spans="1:8" s="1849" customFormat="1" ht="13.5" thickTop="1" thickBot="1" x14ac:dyDescent="0.25">
      <c r="A329" s="1854">
        <v>1</v>
      </c>
      <c r="B329" s="1853">
        <v>2</v>
      </c>
      <c r="C329" s="1853">
        <v>3</v>
      </c>
      <c r="D329" s="1853">
        <v>4</v>
      </c>
      <c r="E329" s="1852">
        <v>5</v>
      </c>
      <c r="F329" s="1852">
        <v>6</v>
      </c>
      <c r="G329" s="2223">
        <v>7</v>
      </c>
      <c r="H329" s="2251" t="s">
        <v>61</v>
      </c>
    </row>
    <row r="330" spans="1:8" s="1849" customFormat="1" ht="15.75" thickTop="1" x14ac:dyDescent="0.2">
      <c r="A330" s="2147">
        <v>4357</v>
      </c>
      <c r="B330" s="2148">
        <v>6121</v>
      </c>
      <c r="C330" s="2148">
        <v>36100884</v>
      </c>
      <c r="D330" s="2174" t="s">
        <v>671</v>
      </c>
      <c r="E330" s="2184">
        <v>0</v>
      </c>
      <c r="F330" s="2184">
        <v>420</v>
      </c>
      <c r="G330" s="2184">
        <v>0</v>
      </c>
      <c r="H330" s="2156">
        <f>G330/F330*100</f>
        <v>0</v>
      </c>
    </row>
    <row r="331" spans="1:8" s="1849" customFormat="1" ht="15" x14ac:dyDescent="0.2">
      <c r="A331" s="2147">
        <v>4357</v>
      </c>
      <c r="B331" s="2148">
        <v>6121</v>
      </c>
      <c r="C331" s="2148">
        <v>36113899</v>
      </c>
      <c r="D331" s="2174" t="s">
        <v>671</v>
      </c>
      <c r="E331" s="2184">
        <v>0</v>
      </c>
      <c r="F331" s="2184">
        <v>408</v>
      </c>
      <c r="G331" s="2184">
        <v>0</v>
      </c>
      <c r="H331" s="2156">
        <f>G331/F331*100</f>
        <v>0</v>
      </c>
    </row>
    <row r="332" spans="1:8" s="1849" customFormat="1" ht="15.75" thickBot="1" x14ac:dyDescent="0.25">
      <c r="A332" s="2147">
        <v>4357</v>
      </c>
      <c r="B332" s="2148">
        <v>6121</v>
      </c>
      <c r="C332" s="2148">
        <v>36513899</v>
      </c>
      <c r="D332" s="2174" t="s">
        <v>671</v>
      </c>
      <c r="E332" s="2184">
        <v>0</v>
      </c>
      <c r="F332" s="2184">
        <v>2311</v>
      </c>
      <c r="G332" s="2184">
        <v>0</v>
      </c>
      <c r="H332" s="2156">
        <f>G332/F332*100</f>
        <v>0</v>
      </c>
    </row>
    <row r="333" spans="1:8" s="1849" customFormat="1" ht="16.5" thickTop="1" thickBot="1" x14ac:dyDescent="0.3">
      <c r="A333" s="2806" t="s">
        <v>849</v>
      </c>
      <c r="B333" s="2807"/>
      <c r="C333" s="2807"/>
      <c r="D333" s="2807"/>
      <c r="E333" s="2152">
        <f>SUM(E330:E332)</f>
        <v>0</v>
      </c>
      <c r="F333" s="2152">
        <f>SUM(F330:F332)</f>
        <v>3139</v>
      </c>
      <c r="G333" s="2152">
        <f>SUM(G330:G332)</f>
        <v>0</v>
      </c>
      <c r="H333" s="2157">
        <f>G333/F333*100</f>
        <v>0</v>
      </c>
    </row>
    <row r="334" spans="1:8" s="1849" customFormat="1" ht="14.25" customHeight="1" thickTop="1" x14ac:dyDescent="0.25">
      <c r="A334" s="2134"/>
      <c r="B334" s="2130"/>
      <c r="C334" s="2130"/>
      <c r="D334" s="2131"/>
      <c r="E334" s="2165"/>
      <c r="F334" s="2165"/>
      <c r="G334" s="2165"/>
      <c r="H334" s="2131"/>
    </row>
    <row r="335" spans="1:8" s="1849" customFormat="1" ht="14.25" customHeight="1" x14ac:dyDescent="0.25">
      <c r="A335" s="2134"/>
      <c r="B335" s="2130"/>
      <c r="C335" s="2130"/>
      <c r="D335" s="2131"/>
      <c r="E335" s="2165"/>
      <c r="F335" s="2165"/>
      <c r="G335" s="2165"/>
      <c r="H335" s="2131"/>
    </row>
    <row r="336" spans="1:8" s="1849" customFormat="1" ht="13.5" customHeight="1" x14ac:dyDescent="0.25">
      <c r="A336" s="2134"/>
      <c r="B336" s="2130"/>
      <c r="C336" s="2130"/>
      <c r="D336" s="2131"/>
      <c r="E336" s="2165"/>
      <c r="F336" s="2165"/>
      <c r="G336" s="2165"/>
      <c r="H336" s="2131"/>
    </row>
    <row r="337" spans="1:13" s="1849" customFormat="1" ht="13.5" customHeight="1" x14ac:dyDescent="0.25">
      <c r="A337" s="2134"/>
      <c r="B337" s="2130"/>
      <c r="C337" s="2130"/>
      <c r="D337" s="2131"/>
      <c r="E337" s="2165"/>
      <c r="F337" s="2165"/>
      <c r="G337" s="2165"/>
      <c r="H337" s="2131"/>
    </row>
    <row r="339" spans="1:13" ht="16.5" x14ac:dyDescent="0.25">
      <c r="A339" s="2206" t="s">
        <v>508</v>
      </c>
      <c r="B339" s="2207"/>
      <c r="C339" s="2208"/>
      <c r="D339" s="2209"/>
      <c r="E339" s="2210">
        <f>SUM(E340:E342)</f>
        <v>26364</v>
      </c>
      <c r="F339" s="2210">
        <f>F340+F341+F342+F343</f>
        <v>126364</v>
      </c>
      <c r="G339" s="2210">
        <f>G340+G341+G342+G343</f>
        <v>227551</v>
      </c>
      <c r="H339" s="2232">
        <f>G339/F339*100</f>
        <v>180.07581273147414</v>
      </c>
      <c r="J339" s="2212">
        <f>J340+J341+J342</f>
        <v>26364000</v>
      </c>
      <c r="K339" s="2212">
        <f>K340+K341+K342</f>
        <v>126364252.36</v>
      </c>
      <c r="L339" s="2212">
        <f>L340+L341+L342</f>
        <v>227551204.94</v>
      </c>
    </row>
    <row r="340" spans="1:13" ht="15" x14ac:dyDescent="0.2">
      <c r="A340" s="1810" t="s">
        <v>288</v>
      </c>
      <c r="B340" s="1813"/>
      <c r="C340" s="1808"/>
      <c r="D340" s="2213"/>
      <c r="E340" s="1811">
        <f>E10+E11+E50+E51+E52+E53+E54+E55+E56+E57+E58+E60+E59+E61+E62+E63+E64+E65+E66+E67+E68+E69+E70+E71+E72+E73+E74+E75+E76+E77+E78+E79+E102+E103+E104+E105+E134+E135+E136+E137+E138+E139+E140+E141+E142+E170+E171+E172+E173+E174++E177+E185+E202+E220+E221+E261+E271+E278+E279+E280+E281+E282+E283+E284+E285+E286+E287+E288+E295</f>
        <v>24977</v>
      </c>
      <c r="F340" s="1811">
        <f>F10+F11+F50+F51+F52+F53+F54+F55+F56+F57+F58+F60+F59+F61+F62+F63+F64+F65+F66+F67+F68+F69+F70+F71+F72+F73+F74+F75+F76+F77+F78+F79+F102+F103+F104+F105+F134+F135+F136+F137+F138+F139+F140+F141+F142+F170+F171+F172+F173+F174++F177+F185+F202+F220+F221+F261+F271+F278+F279+F280+F281+F282+F283+F284+F285+F286+F287+F288+F295</f>
        <v>16345</v>
      </c>
      <c r="G340" s="1811">
        <f>G10+G11+G50+G51+G52+G53+G54+G55+G56+G57+G58+G60+G59+G61+G62+G63+G64+G65+G66+G67+G68+G69+G70+G71+G72+G73+G74+G75+G76+G77+G78+G79+G102+G103+G104+G105+G134+G135+G136+G137+G138+G139+G140+G141+G142+G170+G171+G172+G173+G174++G177+G185+G202+G220+G221+G261+G271+G278+G279+G280+G281+G282+G283+G284+G285+G286+G287+G288+G295</f>
        <v>13744</v>
      </c>
      <c r="H340" s="2231">
        <f>G340/F340*100</f>
        <v>84.086876720709697</v>
      </c>
      <c r="J340" s="2214">
        <v>24977000</v>
      </c>
      <c r="K340" s="2214">
        <v>16346186.5</v>
      </c>
      <c r="L340" s="2214">
        <v>13744453.560000001</v>
      </c>
      <c r="M340" s="2132"/>
    </row>
    <row r="341" spans="1:13" ht="15" x14ac:dyDescent="0.2">
      <c r="A341" s="1810" t="s">
        <v>289</v>
      </c>
      <c r="B341" s="1809"/>
      <c r="C341" s="1808"/>
      <c r="D341" s="2215"/>
      <c r="E341" s="1811">
        <f>E106+E107+E114+E115+E116+E117+E124+E125+E126+E127+E178+E222+E223+E224+E225+E233+E234+E241+E242+E243+E244+E251+E252+E253+E254+E262+E263+E264+E302+E303+E304+E305+E312+E313+E314+E315+E322+E323+E330+E331+E332</f>
        <v>1387</v>
      </c>
      <c r="F341" s="1811">
        <f>F106+F107+F114+F115+F116+F117+F124+F125+F126+F127+F178+F222+F223+F224+F225+F233+F234+F241+F242+F243+F244+F251+F252+F253+F254+F262+F263+F264+F302+F303+F304+F305+F312+F313+F314+F315+F322+F323+F330+F331+F332</f>
        <v>110019</v>
      </c>
      <c r="G341" s="1811">
        <f>G106+G107+G114+G115+G116+G117+G124+G125+G126+G127+G178+G222+G223+G224+G225+G233+G234+G241+G242+G243+G244+G251+G252+G253+G254+G262+G263+G264+G302+G303+G304+G305+G312+G313+G314+G315+G322+G323+G330+G331+G332</f>
        <v>85523</v>
      </c>
      <c r="H341" s="2231">
        <f>G341/F341*100</f>
        <v>77.734754905970789</v>
      </c>
      <c r="J341" s="2214">
        <v>1387000</v>
      </c>
      <c r="K341" s="2214">
        <v>110018065.86</v>
      </c>
      <c r="L341" s="2214">
        <v>85522789.329999998</v>
      </c>
      <c r="M341" s="2132"/>
    </row>
    <row r="342" spans="1:13" ht="15" x14ac:dyDescent="0.2">
      <c r="A342" s="1810" t="s">
        <v>509</v>
      </c>
      <c r="B342" s="1809"/>
      <c r="C342" s="1808"/>
      <c r="D342" s="2215"/>
      <c r="E342" s="1811">
        <f>E12</f>
        <v>0</v>
      </c>
      <c r="F342" s="1811">
        <f>F12</f>
        <v>0</v>
      </c>
      <c r="G342" s="1811">
        <f>G12</f>
        <v>128284</v>
      </c>
      <c r="H342" s="2231">
        <v>0</v>
      </c>
      <c r="J342" s="2214">
        <v>0</v>
      </c>
      <c r="K342" s="2214">
        <v>0</v>
      </c>
      <c r="L342" s="2214">
        <v>128283962.05</v>
      </c>
    </row>
    <row r="343" spans="1:13" ht="15" x14ac:dyDescent="0.2">
      <c r="A343" s="1810"/>
      <c r="B343" s="1809"/>
      <c r="C343" s="1808"/>
      <c r="D343" s="2215"/>
      <c r="E343" s="1811"/>
      <c r="F343" s="1811"/>
      <c r="G343" s="1811"/>
      <c r="H343" s="1807"/>
    </row>
    <row r="344" spans="1:13" ht="24" customHeight="1" thickBot="1" x14ac:dyDescent="0.4">
      <c r="A344" s="2800" t="s">
        <v>336</v>
      </c>
      <c r="B344" s="2800"/>
      <c r="C344" s="2800"/>
      <c r="D344" s="2800"/>
      <c r="E344" s="1801">
        <f>SUM(E339)</f>
        <v>26364</v>
      </c>
      <c r="F344" s="1801">
        <f>SUM(F339)</f>
        <v>126364</v>
      </c>
      <c r="G344" s="1801">
        <f>SUM(G339)</f>
        <v>227551</v>
      </c>
      <c r="H344" s="1800">
        <f>(G344/F344)*100</f>
        <v>180.07581273147414</v>
      </c>
    </row>
    <row r="345" spans="1:13" ht="13.5" thickTop="1" x14ac:dyDescent="0.2"/>
  </sheetData>
  <mergeCells count="30">
    <mergeCell ref="A44:D44"/>
    <mergeCell ref="A1:H1"/>
    <mergeCell ref="A13:D13"/>
    <mergeCell ref="A22:D22"/>
    <mergeCell ref="A30:D30"/>
    <mergeCell ref="A37:D37"/>
    <mergeCell ref="A227:D227"/>
    <mergeCell ref="A80:D80"/>
    <mergeCell ref="A96:D96"/>
    <mergeCell ref="A108:D108"/>
    <mergeCell ref="A118:D118"/>
    <mergeCell ref="A128:D128"/>
    <mergeCell ref="A164:D164"/>
    <mergeCell ref="A179:D179"/>
    <mergeCell ref="A186:D186"/>
    <mergeCell ref="A196:D196"/>
    <mergeCell ref="A203:D203"/>
    <mergeCell ref="A214:D214"/>
    <mergeCell ref="A344:D344"/>
    <mergeCell ref="A235:D235"/>
    <mergeCell ref="A245:D245"/>
    <mergeCell ref="A255:D255"/>
    <mergeCell ref="A265:D265"/>
    <mergeCell ref="A272:D272"/>
    <mergeCell ref="A289:D289"/>
    <mergeCell ref="A296:D296"/>
    <mergeCell ref="A306:D306"/>
    <mergeCell ref="A316:D316"/>
    <mergeCell ref="A324:D324"/>
    <mergeCell ref="A333:D333"/>
  </mergeCells>
  <pageMargins left="0.98425196850393704" right="0.98425196850393704" top="0.98425196850393704" bottom="0.98425196850393704" header="0.51181102362204722" footer="0.51181102362204722"/>
  <pageSetup paperSize="9" scale="70" firstPageNumber="152" orientation="portrait" useFirstPageNumber="1" r:id="rId1"/>
  <headerFooter alignWithMargins="0">
    <oddFooter xml:space="preserve">&amp;L&amp;"Arial,Kurzíva"Zastupitelstvo Olomouckého kraje 28. 6. 2013
6.- Závěrečný  účet Olomuckého kraje za rok 2012
Příloha č. 3: Plnění rozpočtu výdajů Olomouckého kraje k 31.12.2012&amp;R&amp;"Arial,Kurzíva"Strana &amp;P (Celkem 484)
</oddFooter>
  </headerFooter>
  <rowBreaks count="4" manualBreakCount="4">
    <brk id="97" max="7" man="1"/>
    <brk id="164" max="7" man="1"/>
    <brk id="246" max="7" man="1"/>
    <brk id="306" max="7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234"/>
  <sheetViews>
    <sheetView showGridLines="0" view="pageBreakPreview" topLeftCell="A111" zoomScaleNormal="100" zoomScaleSheetLayoutView="100" workbookViewId="0">
      <selection activeCell="G112" sqref="G112"/>
    </sheetView>
  </sheetViews>
  <sheetFormatPr defaultRowHeight="12.75" x14ac:dyDescent="0.2"/>
  <cols>
    <col min="1" max="1" width="4.7109375" style="2130" customWidth="1"/>
    <col min="2" max="2" width="6.140625" style="2130" customWidth="1"/>
    <col min="3" max="3" width="8.7109375" style="2130" customWidth="1"/>
    <col min="4" max="4" width="42" style="2131" customWidth="1"/>
    <col min="5" max="5" width="10.42578125" style="2165" customWidth="1"/>
    <col min="6" max="6" width="15.85546875" style="2165" customWidth="1"/>
    <col min="7" max="7" width="14.42578125" style="2165" customWidth="1"/>
    <col min="8" max="8" width="8.140625" style="2131" customWidth="1"/>
    <col min="9" max="9" width="14.28515625" style="2131" bestFit="1" customWidth="1"/>
    <col min="10" max="10" width="9.140625" style="2131"/>
    <col min="11" max="12" width="17.28515625" style="2131" bestFit="1" customWidth="1"/>
    <col min="13" max="256" width="9.140625" style="2131"/>
    <col min="257" max="257" width="4.7109375" style="2131" customWidth="1"/>
    <col min="258" max="258" width="6.140625" style="2131" customWidth="1"/>
    <col min="259" max="259" width="8.7109375" style="2131" customWidth="1"/>
    <col min="260" max="260" width="42" style="2131" customWidth="1"/>
    <col min="261" max="261" width="10.42578125" style="2131" customWidth="1"/>
    <col min="262" max="262" width="15.85546875" style="2131" customWidth="1"/>
    <col min="263" max="263" width="14.42578125" style="2131" customWidth="1"/>
    <col min="264" max="264" width="6.42578125" style="2131" customWidth="1"/>
    <col min="265" max="265" width="14.28515625" style="2131" bestFit="1" customWidth="1"/>
    <col min="266" max="266" width="9.140625" style="2131"/>
    <col min="267" max="268" width="17.28515625" style="2131" bestFit="1" customWidth="1"/>
    <col min="269" max="512" width="9.140625" style="2131"/>
    <col min="513" max="513" width="4.7109375" style="2131" customWidth="1"/>
    <col min="514" max="514" width="6.140625" style="2131" customWidth="1"/>
    <col min="515" max="515" width="8.7109375" style="2131" customWidth="1"/>
    <col min="516" max="516" width="42" style="2131" customWidth="1"/>
    <col min="517" max="517" width="10.42578125" style="2131" customWidth="1"/>
    <col min="518" max="518" width="15.85546875" style="2131" customWidth="1"/>
    <col min="519" max="519" width="14.42578125" style="2131" customWidth="1"/>
    <col min="520" max="520" width="6.42578125" style="2131" customWidth="1"/>
    <col min="521" max="521" width="14.28515625" style="2131" bestFit="1" customWidth="1"/>
    <col min="522" max="522" width="9.140625" style="2131"/>
    <col min="523" max="524" width="17.28515625" style="2131" bestFit="1" customWidth="1"/>
    <col min="525" max="768" width="9.140625" style="2131"/>
    <col min="769" max="769" width="4.7109375" style="2131" customWidth="1"/>
    <col min="770" max="770" width="6.140625" style="2131" customWidth="1"/>
    <col min="771" max="771" width="8.7109375" style="2131" customWidth="1"/>
    <col min="772" max="772" width="42" style="2131" customWidth="1"/>
    <col min="773" max="773" width="10.42578125" style="2131" customWidth="1"/>
    <col min="774" max="774" width="15.85546875" style="2131" customWidth="1"/>
    <col min="775" max="775" width="14.42578125" style="2131" customWidth="1"/>
    <col min="776" max="776" width="6.42578125" style="2131" customWidth="1"/>
    <col min="777" max="777" width="14.28515625" style="2131" bestFit="1" customWidth="1"/>
    <col min="778" max="778" width="9.140625" style="2131"/>
    <col min="779" max="780" width="17.28515625" style="2131" bestFit="1" customWidth="1"/>
    <col min="781" max="1024" width="9.140625" style="2131"/>
    <col min="1025" max="1025" width="4.7109375" style="2131" customWidth="1"/>
    <col min="1026" max="1026" width="6.140625" style="2131" customWidth="1"/>
    <col min="1027" max="1027" width="8.7109375" style="2131" customWidth="1"/>
    <col min="1028" max="1028" width="42" style="2131" customWidth="1"/>
    <col min="1029" max="1029" width="10.42578125" style="2131" customWidth="1"/>
    <col min="1030" max="1030" width="15.85546875" style="2131" customWidth="1"/>
    <col min="1031" max="1031" width="14.42578125" style="2131" customWidth="1"/>
    <col min="1032" max="1032" width="6.42578125" style="2131" customWidth="1"/>
    <col min="1033" max="1033" width="14.28515625" style="2131" bestFit="1" customWidth="1"/>
    <col min="1034" max="1034" width="9.140625" style="2131"/>
    <col min="1035" max="1036" width="17.28515625" style="2131" bestFit="1" customWidth="1"/>
    <col min="1037" max="1280" width="9.140625" style="2131"/>
    <col min="1281" max="1281" width="4.7109375" style="2131" customWidth="1"/>
    <col min="1282" max="1282" width="6.140625" style="2131" customWidth="1"/>
    <col min="1283" max="1283" width="8.7109375" style="2131" customWidth="1"/>
    <col min="1284" max="1284" width="42" style="2131" customWidth="1"/>
    <col min="1285" max="1285" width="10.42578125" style="2131" customWidth="1"/>
    <col min="1286" max="1286" width="15.85546875" style="2131" customWidth="1"/>
    <col min="1287" max="1287" width="14.42578125" style="2131" customWidth="1"/>
    <col min="1288" max="1288" width="6.42578125" style="2131" customWidth="1"/>
    <col min="1289" max="1289" width="14.28515625" style="2131" bestFit="1" customWidth="1"/>
    <col min="1290" max="1290" width="9.140625" style="2131"/>
    <col min="1291" max="1292" width="17.28515625" style="2131" bestFit="1" customWidth="1"/>
    <col min="1293" max="1536" width="9.140625" style="2131"/>
    <col min="1537" max="1537" width="4.7109375" style="2131" customWidth="1"/>
    <col min="1538" max="1538" width="6.140625" style="2131" customWidth="1"/>
    <col min="1539" max="1539" width="8.7109375" style="2131" customWidth="1"/>
    <col min="1540" max="1540" width="42" style="2131" customWidth="1"/>
    <col min="1541" max="1541" width="10.42578125" style="2131" customWidth="1"/>
    <col min="1542" max="1542" width="15.85546875" style="2131" customWidth="1"/>
    <col min="1543" max="1543" width="14.42578125" style="2131" customWidth="1"/>
    <col min="1544" max="1544" width="6.42578125" style="2131" customWidth="1"/>
    <col min="1545" max="1545" width="14.28515625" style="2131" bestFit="1" customWidth="1"/>
    <col min="1546" max="1546" width="9.140625" style="2131"/>
    <col min="1547" max="1548" width="17.28515625" style="2131" bestFit="1" customWidth="1"/>
    <col min="1549" max="1792" width="9.140625" style="2131"/>
    <col min="1793" max="1793" width="4.7109375" style="2131" customWidth="1"/>
    <col min="1794" max="1794" width="6.140625" style="2131" customWidth="1"/>
    <col min="1795" max="1795" width="8.7109375" style="2131" customWidth="1"/>
    <col min="1796" max="1796" width="42" style="2131" customWidth="1"/>
    <col min="1797" max="1797" width="10.42578125" style="2131" customWidth="1"/>
    <col min="1798" max="1798" width="15.85546875" style="2131" customWidth="1"/>
    <col min="1799" max="1799" width="14.42578125" style="2131" customWidth="1"/>
    <col min="1800" max="1800" width="6.42578125" style="2131" customWidth="1"/>
    <col min="1801" max="1801" width="14.28515625" style="2131" bestFit="1" customWidth="1"/>
    <col min="1802" max="1802" width="9.140625" style="2131"/>
    <col min="1803" max="1804" width="17.28515625" style="2131" bestFit="1" customWidth="1"/>
    <col min="1805" max="2048" width="9.140625" style="2131"/>
    <col min="2049" max="2049" width="4.7109375" style="2131" customWidth="1"/>
    <col min="2050" max="2050" width="6.140625" style="2131" customWidth="1"/>
    <col min="2051" max="2051" width="8.7109375" style="2131" customWidth="1"/>
    <col min="2052" max="2052" width="42" style="2131" customWidth="1"/>
    <col min="2053" max="2053" width="10.42578125" style="2131" customWidth="1"/>
    <col min="2054" max="2054" width="15.85546875" style="2131" customWidth="1"/>
    <col min="2055" max="2055" width="14.42578125" style="2131" customWidth="1"/>
    <col min="2056" max="2056" width="6.42578125" style="2131" customWidth="1"/>
    <col min="2057" max="2057" width="14.28515625" style="2131" bestFit="1" customWidth="1"/>
    <col min="2058" max="2058" width="9.140625" style="2131"/>
    <col min="2059" max="2060" width="17.28515625" style="2131" bestFit="1" customWidth="1"/>
    <col min="2061" max="2304" width="9.140625" style="2131"/>
    <col min="2305" max="2305" width="4.7109375" style="2131" customWidth="1"/>
    <col min="2306" max="2306" width="6.140625" style="2131" customWidth="1"/>
    <col min="2307" max="2307" width="8.7109375" style="2131" customWidth="1"/>
    <col min="2308" max="2308" width="42" style="2131" customWidth="1"/>
    <col min="2309" max="2309" width="10.42578125" style="2131" customWidth="1"/>
    <col min="2310" max="2310" width="15.85546875" style="2131" customWidth="1"/>
    <col min="2311" max="2311" width="14.42578125" style="2131" customWidth="1"/>
    <col min="2312" max="2312" width="6.42578125" style="2131" customWidth="1"/>
    <col min="2313" max="2313" width="14.28515625" style="2131" bestFit="1" customWidth="1"/>
    <col min="2314" max="2314" width="9.140625" style="2131"/>
    <col min="2315" max="2316" width="17.28515625" style="2131" bestFit="1" customWidth="1"/>
    <col min="2317" max="2560" width="9.140625" style="2131"/>
    <col min="2561" max="2561" width="4.7109375" style="2131" customWidth="1"/>
    <col min="2562" max="2562" width="6.140625" style="2131" customWidth="1"/>
    <col min="2563" max="2563" width="8.7109375" style="2131" customWidth="1"/>
    <col min="2564" max="2564" width="42" style="2131" customWidth="1"/>
    <col min="2565" max="2565" width="10.42578125" style="2131" customWidth="1"/>
    <col min="2566" max="2566" width="15.85546875" style="2131" customWidth="1"/>
    <col min="2567" max="2567" width="14.42578125" style="2131" customWidth="1"/>
    <col min="2568" max="2568" width="6.42578125" style="2131" customWidth="1"/>
    <col min="2569" max="2569" width="14.28515625" style="2131" bestFit="1" customWidth="1"/>
    <col min="2570" max="2570" width="9.140625" style="2131"/>
    <col min="2571" max="2572" width="17.28515625" style="2131" bestFit="1" customWidth="1"/>
    <col min="2573" max="2816" width="9.140625" style="2131"/>
    <col min="2817" max="2817" width="4.7109375" style="2131" customWidth="1"/>
    <col min="2818" max="2818" width="6.140625" style="2131" customWidth="1"/>
    <col min="2819" max="2819" width="8.7109375" style="2131" customWidth="1"/>
    <col min="2820" max="2820" width="42" style="2131" customWidth="1"/>
    <col min="2821" max="2821" width="10.42578125" style="2131" customWidth="1"/>
    <col min="2822" max="2822" width="15.85546875" style="2131" customWidth="1"/>
    <col min="2823" max="2823" width="14.42578125" style="2131" customWidth="1"/>
    <col min="2824" max="2824" width="6.42578125" style="2131" customWidth="1"/>
    <col min="2825" max="2825" width="14.28515625" style="2131" bestFit="1" customWidth="1"/>
    <col min="2826" max="2826" width="9.140625" style="2131"/>
    <col min="2827" max="2828" width="17.28515625" style="2131" bestFit="1" customWidth="1"/>
    <col min="2829" max="3072" width="9.140625" style="2131"/>
    <col min="3073" max="3073" width="4.7109375" style="2131" customWidth="1"/>
    <col min="3074" max="3074" width="6.140625" style="2131" customWidth="1"/>
    <col min="3075" max="3075" width="8.7109375" style="2131" customWidth="1"/>
    <col min="3076" max="3076" width="42" style="2131" customWidth="1"/>
    <col min="3077" max="3077" width="10.42578125" style="2131" customWidth="1"/>
    <col min="3078" max="3078" width="15.85546875" style="2131" customWidth="1"/>
    <col min="3079" max="3079" width="14.42578125" style="2131" customWidth="1"/>
    <col min="3080" max="3080" width="6.42578125" style="2131" customWidth="1"/>
    <col min="3081" max="3081" width="14.28515625" style="2131" bestFit="1" customWidth="1"/>
    <col min="3082" max="3082" width="9.140625" style="2131"/>
    <col min="3083" max="3084" width="17.28515625" style="2131" bestFit="1" customWidth="1"/>
    <col min="3085" max="3328" width="9.140625" style="2131"/>
    <col min="3329" max="3329" width="4.7109375" style="2131" customWidth="1"/>
    <col min="3330" max="3330" width="6.140625" style="2131" customWidth="1"/>
    <col min="3331" max="3331" width="8.7109375" style="2131" customWidth="1"/>
    <col min="3332" max="3332" width="42" style="2131" customWidth="1"/>
    <col min="3333" max="3333" width="10.42578125" style="2131" customWidth="1"/>
    <col min="3334" max="3334" width="15.85546875" style="2131" customWidth="1"/>
    <col min="3335" max="3335" width="14.42578125" style="2131" customWidth="1"/>
    <col min="3336" max="3336" width="6.42578125" style="2131" customWidth="1"/>
    <col min="3337" max="3337" width="14.28515625" style="2131" bestFit="1" customWidth="1"/>
    <col min="3338" max="3338" width="9.140625" style="2131"/>
    <col min="3339" max="3340" width="17.28515625" style="2131" bestFit="1" customWidth="1"/>
    <col min="3341" max="3584" width="9.140625" style="2131"/>
    <col min="3585" max="3585" width="4.7109375" style="2131" customWidth="1"/>
    <col min="3586" max="3586" width="6.140625" style="2131" customWidth="1"/>
    <col min="3587" max="3587" width="8.7109375" style="2131" customWidth="1"/>
    <col min="3588" max="3588" width="42" style="2131" customWidth="1"/>
    <col min="3589" max="3589" width="10.42578125" style="2131" customWidth="1"/>
    <col min="3590" max="3590" width="15.85546875" style="2131" customWidth="1"/>
    <col min="3591" max="3591" width="14.42578125" style="2131" customWidth="1"/>
    <col min="3592" max="3592" width="6.42578125" style="2131" customWidth="1"/>
    <col min="3593" max="3593" width="14.28515625" style="2131" bestFit="1" customWidth="1"/>
    <col min="3594" max="3594" width="9.140625" style="2131"/>
    <col min="3595" max="3596" width="17.28515625" style="2131" bestFit="1" customWidth="1"/>
    <col min="3597" max="3840" width="9.140625" style="2131"/>
    <col min="3841" max="3841" width="4.7109375" style="2131" customWidth="1"/>
    <col min="3842" max="3842" width="6.140625" style="2131" customWidth="1"/>
    <col min="3843" max="3843" width="8.7109375" style="2131" customWidth="1"/>
    <col min="3844" max="3844" width="42" style="2131" customWidth="1"/>
    <col min="3845" max="3845" width="10.42578125" style="2131" customWidth="1"/>
    <col min="3846" max="3846" width="15.85546875" style="2131" customWidth="1"/>
    <col min="3847" max="3847" width="14.42578125" style="2131" customWidth="1"/>
    <col min="3848" max="3848" width="6.42578125" style="2131" customWidth="1"/>
    <col min="3849" max="3849" width="14.28515625" style="2131" bestFit="1" customWidth="1"/>
    <col min="3850" max="3850" width="9.140625" style="2131"/>
    <col min="3851" max="3852" width="17.28515625" style="2131" bestFit="1" customWidth="1"/>
    <col min="3853" max="4096" width="9.140625" style="2131"/>
    <col min="4097" max="4097" width="4.7109375" style="2131" customWidth="1"/>
    <col min="4098" max="4098" width="6.140625" style="2131" customWidth="1"/>
    <col min="4099" max="4099" width="8.7109375" style="2131" customWidth="1"/>
    <col min="4100" max="4100" width="42" style="2131" customWidth="1"/>
    <col min="4101" max="4101" width="10.42578125" style="2131" customWidth="1"/>
    <col min="4102" max="4102" width="15.85546875" style="2131" customWidth="1"/>
    <col min="4103" max="4103" width="14.42578125" style="2131" customWidth="1"/>
    <col min="4104" max="4104" width="6.42578125" style="2131" customWidth="1"/>
    <col min="4105" max="4105" width="14.28515625" style="2131" bestFit="1" customWidth="1"/>
    <col min="4106" max="4106" width="9.140625" style="2131"/>
    <col min="4107" max="4108" width="17.28515625" style="2131" bestFit="1" customWidth="1"/>
    <col min="4109" max="4352" width="9.140625" style="2131"/>
    <col min="4353" max="4353" width="4.7109375" style="2131" customWidth="1"/>
    <col min="4354" max="4354" width="6.140625" style="2131" customWidth="1"/>
    <col min="4355" max="4355" width="8.7109375" style="2131" customWidth="1"/>
    <col min="4356" max="4356" width="42" style="2131" customWidth="1"/>
    <col min="4357" max="4357" width="10.42578125" style="2131" customWidth="1"/>
    <col min="4358" max="4358" width="15.85546875" style="2131" customWidth="1"/>
    <col min="4359" max="4359" width="14.42578125" style="2131" customWidth="1"/>
    <col min="4360" max="4360" width="6.42578125" style="2131" customWidth="1"/>
    <col min="4361" max="4361" width="14.28515625" style="2131" bestFit="1" customWidth="1"/>
    <col min="4362" max="4362" width="9.140625" style="2131"/>
    <col min="4363" max="4364" width="17.28515625" style="2131" bestFit="1" customWidth="1"/>
    <col min="4365" max="4608" width="9.140625" style="2131"/>
    <col min="4609" max="4609" width="4.7109375" style="2131" customWidth="1"/>
    <col min="4610" max="4610" width="6.140625" style="2131" customWidth="1"/>
    <col min="4611" max="4611" width="8.7109375" style="2131" customWidth="1"/>
    <col min="4612" max="4612" width="42" style="2131" customWidth="1"/>
    <col min="4613" max="4613" width="10.42578125" style="2131" customWidth="1"/>
    <col min="4614" max="4614" width="15.85546875" style="2131" customWidth="1"/>
    <col min="4615" max="4615" width="14.42578125" style="2131" customWidth="1"/>
    <col min="4616" max="4616" width="6.42578125" style="2131" customWidth="1"/>
    <col min="4617" max="4617" width="14.28515625" style="2131" bestFit="1" customWidth="1"/>
    <col min="4618" max="4618" width="9.140625" style="2131"/>
    <col min="4619" max="4620" width="17.28515625" style="2131" bestFit="1" customWidth="1"/>
    <col min="4621" max="4864" width="9.140625" style="2131"/>
    <col min="4865" max="4865" width="4.7109375" style="2131" customWidth="1"/>
    <col min="4866" max="4866" width="6.140625" style="2131" customWidth="1"/>
    <col min="4867" max="4867" width="8.7109375" style="2131" customWidth="1"/>
    <col min="4868" max="4868" width="42" style="2131" customWidth="1"/>
    <col min="4869" max="4869" width="10.42578125" style="2131" customWidth="1"/>
    <col min="4870" max="4870" width="15.85546875" style="2131" customWidth="1"/>
    <col min="4871" max="4871" width="14.42578125" style="2131" customWidth="1"/>
    <col min="4872" max="4872" width="6.42578125" style="2131" customWidth="1"/>
    <col min="4873" max="4873" width="14.28515625" style="2131" bestFit="1" customWidth="1"/>
    <col min="4874" max="4874" width="9.140625" style="2131"/>
    <col min="4875" max="4876" width="17.28515625" style="2131" bestFit="1" customWidth="1"/>
    <col min="4877" max="5120" width="9.140625" style="2131"/>
    <col min="5121" max="5121" width="4.7109375" style="2131" customWidth="1"/>
    <col min="5122" max="5122" width="6.140625" style="2131" customWidth="1"/>
    <col min="5123" max="5123" width="8.7109375" style="2131" customWidth="1"/>
    <col min="5124" max="5124" width="42" style="2131" customWidth="1"/>
    <col min="5125" max="5125" width="10.42578125" style="2131" customWidth="1"/>
    <col min="5126" max="5126" width="15.85546875" style="2131" customWidth="1"/>
    <col min="5127" max="5127" width="14.42578125" style="2131" customWidth="1"/>
    <col min="5128" max="5128" width="6.42578125" style="2131" customWidth="1"/>
    <col min="5129" max="5129" width="14.28515625" style="2131" bestFit="1" customWidth="1"/>
    <col min="5130" max="5130" width="9.140625" style="2131"/>
    <col min="5131" max="5132" width="17.28515625" style="2131" bestFit="1" customWidth="1"/>
    <col min="5133" max="5376" width="9.140625" style="2131"/>
    <col min="5377" max="5377" width="4.7109375" style="2131" customWidth="1"/>
    <col min="5378" max="5378" width="6.140625" style="2131" customWidth="1"/>
    <col min="5379" max="5379" width="8.7109375" style="2131" customWidth="1"/>
    <col min="5380" max="5380" width="42" style="2131" customWidth="1"/>
    <col min="5381" max="5381" width="10.42578125" style="2131" customWidth="1"/>
    <col min="5382" max="5382" width="15.85546875" style="2131" customWidth="1"/>
    <col min="5383" max="5383" width="14.42578125" style="2131" customWidth="1"/>
    <col min="5384" max="5384" width="6.42578125" style="2131" customWidth="1"/>
    <col min="5385" max="5385" width="14.28515625" style="2131" bestFit="1" customWidth="1"/>
    <col min="5386" max="5386" width="9.140625" style="2131"/>
    <col min="5387" max="5388" width="17.28515625" style="2131" bestFit="1" customWidth="1"/>
    <col min="5389" max="5632" width="9.140625" style="2131"/>
    <col min="5633" max="5633" width="4.7109375" style="2131" customWidth="1"/>
    <col min="5634" max="5634" width="6.140625" style="2131" customWidth="1"/>
    <col min="5635" max="5635" width="8.7109375" style="2131" customWidth="1"/>
    <col min="5636" max="5636" width="42" style="2131" customWidth="1"/>
    <col min="5637" max="5637" width="10.42578125" style="2131" customWidth="1"/>
    <col min="5638" max="5638" width="15.85546875" style="2131" customWidth="1"/>
    <col min="5639" max="5639" width="14.42578125" style="2131" customWidth="1"/>
    <col min="5640" max="5640" width="6.42578125" style="2131" customWidth="1"/>
    <col min="5641" max="5641" width="14.28515625" style="2131" bestFit="1" customWidth="1"/>
    <col min="5642" max="5642" width="9.140625" style="2131"/>
    <col min="5643" max="5644" width="17.28515625" style="2131" bestFit="1" customWidth="1"/>
    <col min="5645" max="5888" width="9.140625" style="2131"/>
    <col min="5889" max="5889" width="4.7109375" style="2131" customWidth="1"/>
    <col min="5890" max="5890" width="6.140625" style="2131" customWidth="1"/>
    <col min="5891" max="5891" width="8.7109375" style="2131" customWidth="1"/>
    <col min="5892" max="5892" width="42" style="2131" customWidth="1"/>
    <col min="5893" max="5893" width="10.42578125" style="2131" customWidth="1"/>
    <col min="5894" max="5894" width="15.85546875" style="2131" customWidth="1"/>
    <col min="5895" max="5895" width="14.42578125" style="2131" customWidth="1"/>
    <col min="5896" max="5896" width="6.42578125" style="2131" customWidth="1"/>
    <col min="5897" max="5897" width="14.28515625" style="2131" bestFit="1" customWidth="1"/>
    <col min="5898" max="5898" width="9.140625" style="2131"/>
    <col min="5899" max="5900" width="17.28515625" style="2131" bestFit="1" customWidth="1"/>
    <col min="5901" max="6144" width="9.140625" style="2131"/>
    <col min="6145" max="6145" width="4.7109375" style="2131" customWidth="1"/>
    <col min="6146" max="6146" width="6.140625" style="2131" customWidth="1"/>
    <col min="6147" max="6147" width="8.7109375" style="2131" customWidth="1"/>
    <col min="6148" max="6148" width="42" style="2131" customWidth="1"/>
    <col min="6149" max="6149" width="10.42578125" style="2131" customWidth="1"/>
    <col min="6150" max="6150" width="15.85546875" style="2131" customWidth="1"/>
    <col min="6151" max="6151" width="14.42578125" style="2131" customWidth="1"/>
    <col min="6152" max="6152" width="6.42578125" style="2131" customWidth="1"/>
    <col min="6153" max="6153" width="14.28515625" style="2131" bestFit="1" customWidth="1"/>
    <col min="6154" max="6154" width="9.140625" style="2131"/>
    <col min="6155" max="6156" width="17.28515625" style="2131" bestFit="1" customWidth="1"/>
    <col min="6157" max="6400" width="9.140625" style="2131"/>
    <col min="6401" max="6401" width="4.7109375" style="2131" customWidth="1"/>
    <col min="6402" max="6402" width="6.140625" style="2131" customWidth="1"/>
    <col min="6403" max="6403" width="8.7109375" style="2131" customWidth="1"/>
    <col min="6404" max="6404" width="42" style="2131" customWidth="1"/>
    <col min="6405" max="6405" width="10.42578125" style="2131" customWidth="1"/>
    <col min="6406" max="6406" width="15.85546875" style="2131" customWidth="1"/>
    <col min="6407" max="6407" width="14.42578125" style="2131" customWidth="1"/>
    <col min="6408" max="6408" width="6.42578125" style="2131" customWidth="1"/>
    <col min="6409" max="6409" width="14.28515625" style="2131" bestFit="1" customWidth="1"/>
    <col min="6410" max="6410" width="9.140625" style="2131"/>
    <col min="6411" max="6412" width="17.28515625" style="2131" bestFit="1" customWidth="1"/>
    <col min="6413" max="6656" width="9.140625" style="2131"/>
    <col min="6657" max="6657" width="4.7109375" style="2131" customWidth="1"/>
    <col min="6658" max="6658" width="6.140625" style="2131" customWidth="1"/>
    <col min="6659" max="6659" width="8.7109375" style="2131" customWidth="1"/>
    <col min="6660" max="6660" width="42" style="2131" customWidth="1"/>
    <col min="6661" max="6661" width="10.42578125" style="2131" customWidth="1"/>
    <col min="6662" max="6662" width="15.85546875" style="2131" customWidth="1"/>
    <col min="6663" max="6663" width="14.42578125" style="2131" customWidth="1"/>
    <col min="6664" max="6664" width="6.42578125" style="2131" customWidth="1"/>
    <col min="6665" max="6665" width="14.28515625" style="2131" bestFit="1" customWidth="1"/>
    <col min="6666" max="6666" width="9.140625" style="2131"/>
    <col min="6667" max="6668" width="17.28515625" style="2131" bestFit="1" customWidth="1"/>
    <col min="6669" max="6912" width="9.140625" style="2131"/>
    <col min="6913" max="6913" width="4.7109375" style="2131" customWidth="1"/>
    <col min="6914" max="6914" width="6.140625" style="2131" customWidth="1"/>
    <col min="6915" max="6915" width="8.7109375" style="2131" customWidth="1"/>
    <col min="6916" max="6916" width="42" style="2131" customWidth="1"/>
    <col min="6917" max="6917" width="10.42578125" style="2131" customWidth="1"/>
    <col min="6918" max="6918" width="15.85546875" style="2131" customWidth="1"/>
    <col min="6919" max="6919" width="14.42578125" style="2131" customWidth="1"/>
    <col min="6920" max="6920" width="6.42578125" style="2131" customWidth="1"/>
    <col min="6921" max="6921" width="14.28515625" style="2131" bestFit="1" customWidth="1"/>
    <col min="6922" max="6922" width="9.140625" style="2131"/>
    <col min="6923" max="6924" width="17.28515625" style="2131" bestFit="1" customWidth="1"/>
    <col min="6925" max="7168" width="9.140625" style="2131"/>
    <col min="7169" max="7169" width="4.7109375" style="2131" customWidth="1"/>
    <col min="7170" max="7170" width="6.140625" style="2131" customWidth="1"/>
    <col min="7171" max="7171" width="8.7109375" style="2131" customWidth="1"/>
    <col min="7172" max="7172" width="42" style="2131" customWidth="1"/>
    <col min="7173" max="7173" width="10.42578125" style="2131" customWidth="1"/>
    <col min="7174" max="7174" width="15.85546875" style="2131" customWidth="1"/>
    <col min="7175" max="7175" width="14.42578125" style="2131" customWidth="1"/>
    <col min="7176" max="7176" width="6.42578125" style="2131" customWidth="1"/>
    <col min="7177" max="7177" width="14.28515625" style="2131" bestFit="1" customWidth="1"/>
    <col min="7178" max="7178" width="9.140625" style="2131"/>
    <col min="7179" max="7180" width="17.28515625" style="2131" bestFit="1" customWidth="1"/>
    <col min="7181" max="7424" width="9.140625" style="2131"/>
    <col min="7425" max="7425" width="4.7109375" style="2131" customWidth="1"/>
    <col min="7426" max="7426" width="6.140625" style="2131" customWidth="1"/>
    <col min="7427" max="7427" width="8.7109375" style="2131" customWidth="1"/>
    <col min="7428" max="7428" width="42" style="2131" customWidth="1"/>
    <col min="7429" max="7429" width="10.42578125" style="2131" customWidth="1"/>
    <col min="7430" max="7430" width="15.85546875" style="2131" customWidth="1"/>
    <col min="7431" max="7431" width="14.42578125" style="2131" customWidth="1"/>
    <col min="7432" max="7432" width="6.42578125" style="2131" customWidth="1"/>
    <col min="7433" max="7433" width="14.28515625" style="2131" bestFit="1" customWidth="1"/>
    <col min="7434" max="7434" width="9.140625" style="2131"/>
    <col min="7435" max="7436" width="17.28515625" style="2131" bestFit="1" customWidth="1"/>
    <col min="7437" max="7680" width="9.140625" style="2131"/>
    <col min="7681" max="7681" width="4.7109375" style="2131" customWidth="1"/>
    <col min="7682" max="7682" width="6.140625" style="2131" customWidth="1"/>
    <col min="7683" max="7683" width="8.7109375" style="2131" customWidth="1"/>
    <col min="7684" max="7684" width="42" style="2131" customWidth="1"/>
    <col min="7685" max="7685" width="10.42578125" style="2131" customWidth="1"/>
    <col min="7686" max="7686" width="15.85546875" style="2131" customWidth="1"/>
    <col min="7687" max="7687" width="14.42578125" style="2131" customWidth="1"/>
    <col min="7688" max="7688" width="6.42578125" style="2131" customWidth="1"/>
    <col min="7689" max="7689" width="14.28515625" style="2131" bestFit="1" customWidth="1"/>
    <col min="7690" max="7690" width="9.140625" style="2131"/>
    <col min="7691" max="7692" width="17.28515625" style="2131" bestFit="1" customWidth="1"/>
    <col min="7693" max="7936" width="9.140625" style="2131"/>
    <col min="7937" max="7937" width="4.7109375" style="2131" customWidth="1"/>
    <col min="7938" max="7938" width="6.140625" style="2131" customWidth="1"/>
    <col min="7939" max="7939" width="8.7109375" style="2131" customWidth="1"/>
    <col min="7940" max="7940" width="42" style="2131" customWidth="1"/>
    <col min="7941" max="7941" width="10.42578125" style="2131" customWidth="1"/>
    <col min="7942" max="7942" width="15.85546875" style="2131" customWidth="1"/>
    <col min="7943" max="7943" width="14.42578125" style="2131" customWidth="1"/>
    <col min="7944" max="7944" width="6.42578125" style="2131" customWidth="1"/>
    <col min="7945" max="7945" width="14.28515625" style="2131" bestFit="1" customWidth="1"/>
    <col min="7946" max="7946" width="9.140625" style="2131"/>
    <col min="7947" max="7948" width="17.28515625" style="2131" bestFit="1" customWidth="1"/>
    <col min="7949" max="8192" width="9.140625" style="2131"/>
    <col min="8193" max="8193" width="4.7109375" style="2131" customWidth="1"/>
    <col min="8194" max="8194" width="6.140625" style="2131" customWidth="1"/>
    <col min="8195" max="8195" width="8.7109375" style="2131" customWidth="1"/>
    <col min="8196" max="8196" width="42" style="2131" customWidth="1"/>
    <col min="8197" max="8197" width="10.42578125" style="2131" customWidth="1"/>
    <col min="8198" max="8198" width="15.85546875" style="2131" customWidth="1"/>
    <col min="8199" max="8199" width="14.42578125" style="2131" customWidth="1"/>
    <col min="8200" max="8200" width="6.42578125" style="2131" customWidth="1"/>
    <col min="8201" max="8201" width="14.28515625" style="2131" bestFit="1" customWidth="1"/>
    <col min="8202" max="8202" width="9.140625" style="2131"/>
    <col min="8203" max="8204" width="17.28515625" style="2131" bestFit="1" customWidth="1"/>
    <col min="8205" max="8448" width="9.140625" style="2131"/>
    <col min="8449" max="8449" width="4.7109375" style="2131" customWidth="1"/>
    <col min="8450" max="8450" width="6.140625" style="2131" customWidth="1"/>
    <col min="8451" max="8451" width="8.7109375" style="2131" customWidth="1"/>
    <col min="8452" max="8452" width="42" style="2131" customWidth="1"/>
    <col min="8453" max="8453" width="10.42578125" style="2131" customWidth="1"/>
    <col min="8454" max="8454" width="15.85546875" style="2131" customWidth="1"/>
    <col min="8455" max="8455" width="14.42578125" style="2131" customWidth="1"/>
    <col min="8456" max="8456" width="6.42578125" style="2131" customWidth="1"/>
    <col min="8457" max="8457" width="14.28515625" style="2131" bestFit="1" customWidth="1"/>
    <col min="8458" max="8458" width="9.140625" style="2131"/>
    <col min="8459" max="8460" width="17.28515625" style="2131" bestFit="1" customWidth="1"/>
    <col min="8461" max="8704" width="9.140625" style="2131"/>
    <col min="8705" max="8705" width="4.7109375" style="2131" customWidth="1"/>
    <col min="8706" max="8706" width="6.140625" style="2131" customWidth="1"/>
    <col min="8707" max="8707" width="8.7109375" style="2131" customWidth="1"/>
    <col min="8708" max="8708" width="42" style="2131" customWidth="1"/>
    <col min="8709" max="8709" width="10.42578125" style="2131" customWidth="1"/>
    <col min="8710" max="8710" width="15.85546875" style="2131" customWidth="1"/>
    <col min="8711" max="8711" width="14.42578125" style="2131" customWidth="1"/>
    <col min="8712" max="8712" width="6.42578125" style="2131" customWidth="1"/>
    <col min="8713" max="8713" width="14.28515625" style="2131" bestFit="1" customWidth="1"/>
    <col min="8714" max="8714" width="9.140625" style="2131"/>
    <col min="8715" max="8716" width="17.28515625" style="2131" bestFit="1" customWidth="1"/>
    <col min="8717" max="8960" width="9.140625" style="2131"/>
    <col min="8961" max="8961" width="4.7109375" style="2131" customWidth="1"/>
    <col min="8962" max="8962" width="6.140625" style="2131" customWidth="1"/>
    <col min="8963" max="8963" width="8.7109375" style="2131" customWidth="1"/>
    <col min="8964" max="8964" width="42" style="2131" customWidth="1"/>
    <col min="8965" max="8965" width="10.42578125" style="2131" customWidth="1"/>
    <col min="8966" max="8966" width="15.85546875" style="2131" customWidth="1"/>
    <col min="8967" max="8967" width="14.42578125" style="2131" customWidth="1"/>
    <col min="8968" max="8968" width="6.42578125" style="2131" customWidth="1"/>
    <col min="8969" max="8969" width="14.28515625" style="2131" bestFit="1" customWidth="1"/>
    <col min="8970" max="8970" width="9.140625" style="2131"/>
    <col min="8971" max="8972" width="17.28515625" style="2131" bestFit="1" customWidth="1"/>
    <col min="8973" max="9216" width="9.140625" style="2131"/>
    <col min="9217" max="9217" width="4.7109375" style="2131" customWidth="1"/>
    <col min="9218" max="9218" width="6.140625" style="2131" customWidth="1"/>
    <col min="9219" max="9219" width="8.7109375" style="2131" customWidth="1"/>
    <col min="9220" max="9220" width="42" style="2131" customWidth="1"/>
    <col min="9221" max="9221" width="10.42578125" style="2131" customWidth="1"/>
    <col min="9222" max="9222" width="15.85546875" style="2131" customWidth="1"/>
    <col min="9223" max="9223" width="14.42578125" style="2131" customWidth="1"/>
    <col min="9224" max="9224" width="6.42578125" style="2131" customWidth="1"/>
    <col min="9225" max="9225" width="14.28515625" style="2131" bestFit="1" customWidth="1"/>
    <col min="9226" max="9226" width="9.140625" style="2131"/>
    <col min="9227" max="9228" width="17.28515625" style="2131" bestFit="1" customWidth="1"/>
    <col min="9229" max="9472" width="9.140625" style="2131"/>
    <col min="9473" max="9473" width="4.7109375" style="2131" customWidth="1"/>
    <col min="9474" max="9474" width="6.140625" style="2131" customWidth="1"/>
    <col min="9475" max="9475" width="8.7109375" style="2131" customWidth="1"/>
    <col min="9476" max="9476" width="42" style="2131" customWidth="1"/>
    <col min="9477" max="9477" width="10.42578125" style="2131" customWidth="1"/>
    <col min="9478" max="9478" width="15.85546875" style="2131" customWidth="1"/>
    <col min="9479" max="9479" width="14.42578125" style="2131" customWidth="1"/>
    <col min="9480" max="9480" width="6.42578125" style="2131" customWidth="1"/>
    <col min="9481" max="9481" width="14.28515625" style="2131" bestFit="1" customWidth="1"/>
    <col min="9482" max="9482" width="9.140625" style="2131"/>
    <col min="9483" max="9484" width="17.28515625" style="2131" bestFit="1" customWidth="1"/>
    <col min="9485" max="9728" width="9.140625" style="2131"/>
    <col min="9729" max="9729" width="4.7109375" style="2131" customWidth="1"/>
    <col min="9730" max="9730" width="6.140625" style="2131" customWidth="1"/>
    <col min="9731" max="9731" width="8.7109375" style="2131" customWidth="1"/>
    <col min="9732" max="9732" width="42" style="2131" customWidth="1"/>
    <col min="9733" max="9733" width="10.42578125" style="2131" customWidth="1"/>
    <col min="9734" max="9734" width="15.85546875" style="2131" customWidth="1"/>
    <col min="9735" max="9735" width="14.42578125" style="2131" customWidth="1"/>
    <col min="9736" max="9736" width="6.42578125" style="2131" customWidth="1"/>
    <col min="9737" max="9737" width="14.28515625" style="2131" bestFit="1" customWidth="1"/>
    <col min="9738" max="9738" width="9.140625" style="2131"/>
    <col min="9739" max="9740" width="17.28515625" style="2131" bestFit="1" customWidth="1"/>
    <col min="9741" max="9984" width="9.140625" style="2131"/>
    <col min="9985" max="9985" width="4.7109375" style="2131" customWidth="1"/>
    <col min="9986" max="9986" width="6.140625" style="2131" customWidth="1"/>
    <col min="9987" max="9987" width="8.7109375" style="2131" customWidth="1"/>
    <col min="9988" max="9988" width="42" style="2131" customWidth="1"/>
    <col min="9989" max="9989" width="10.42578125" style="2131" customWidth="1"/>
    <col min="9990" max="9990" width="15.85546875" style="2131" customWidth="1"/>
    <col min="9991" max="9991" width="14.42578125" style="2131" customWidth="1"/>
    <col min="9992" max="9992" width="6.42578125" style="2131" customWidth="1"/>
    <col min="9993" max="9993" width="14.28515625" style="2131" bestFit="1" customWidth="1"/>
    <col min="9994" max="9994" width="9.140625" style="2131"/>
    <col min="9995" max="9996" width="17.28515625" style="2131" bestFit="1" customWidth="1"/>
    <col min="9997" max="10240" width="9.140625" style="2131"/>
    <col min="10241" max="10241" width="4.7109375" style="2131" customWidth="1"/>
    <col min="10242" max="10242" width="6.140625" style="2131" customWidth="1"/>
    <col min="10243" max="10243" width="8.7109375" style="2131" customWidth="1"/>
    <col min="10244" max="10244" width="42" style="2131" customWidth="1"/>
    <col min="10245" max="10245" width="10.42578125" style="2131" customWidth="1"/>
    <col min="10246" max="10246" width="15.85546875" style="2131" customWidth="1"/>
    <col min="10247" max="10247" width="14.42578125" style="2131" customWidth="1"/>
    <col min="10248" max="10248" width="6.42578125" style="2131" customWidth="1"/>
    <col min="10249" max="10249" width="14.28515625" style="2131" bestFit="1" customWidth="1"/>
    <col min="10250" max="10250" width="9.140625" style="2131"/>
    <col min="10251" max="10252" width="17.28515625" style="2131" bestFit="1" customWidth="1"/>
    <col min="10253" max="10496" width="9.140625" style="2131"/>
    <col min="10497" max="10497" width="4.7109375" style="2131" customWidth="1"/>
    <col min="10498" max="10498" width="6.140625" style="2131" customWidth="1"/>
    <col min="10499" max="10499" width="8.7109375" style="2131" customWidth="1"/>
    <col min="10500" max="10500" width="42" style="2131" customWidth="1"/>
    <col min="10501" max="10501" width="10.42578125" style="2131" customWidth="1"/>
    <col min="10502" max="10502" width="15.85546875" style="2131" customWidth="1"/>
    <col min="10503" max="10503" width="14.42578125" style="2131" customWidth="1"/>
    <col min="10504" max="10504" width="6.42578125" style="2131" customWidth="1"/>
    <col min="10505" max="10505" width="14.28515625" style="2131" bestFit="1" customWidth="1"/>
    <col min="10506" max="10506" width="9.140625" style="2131"/>
    <col min="10507" max="10508" width="17.28515625" style="2131" bestFit="1" customWidth="1"/>
    <col min="10509" max="10752" width="9.140625" style="2131"/>
    <col min="10753" max="10753" width="4.7109375" style="2131" customWidth="1"/>
    <col min="10754" max="10754" width="6.140625" style="2131" customWidth="1"/>
    <col min="10755" max="10755" width="8.7109375" style="2131" customWidth="1"/>
    <col min="10756" max="10756" width="42" style="2131" customWidth="1"/>
    <col min="10757" max="10757" width="10.42578125" style="2131" customWidth="1"/>
    <col min="10758" max="10758" width="15.85546875" style="2131" customWidth="1"/>
    <col min="10759" max="10759" width="14.42578125" style="2131" customWidth="1"/>
    <col min="10760" max="10760" width="6.42578125" style="2131" customWidth="1"/>
    <col min="10761" max="10761" width="14.28515625" style="2131" bestFit="1" customWidth="1"/>
    <col min="10762" max="10762" width="9.140625" style="2131"/>
    <col min="10763" max="10764" width="17.28515625" style="2131" bestFit="1" customWidth="1"/>
    <col min="10765" max="11008" width="9.140625" style="2131"/>
    <col min="11009" max="11009" width="4.7109375" style="2131" customWidth="1"/>
    <col min="11010" max="11010" width="6.140625" style="2131" customWidth="1"/>
    <col min="11011" max="11011" width="8.7109375" style="2131" customWidth="1"/>
    <col min="11012" max="11012" width="42" style="2131" customWidth="1"/>
    <col min="11013" max="11013" width="10.42578125" style="2131" customWidth="1"/>
    <col min="11014" max="11014" width="15.85546875" style="2131" customWidth="1"/>
    <col min="11015" max="11015" width="14.42578125" style="2131" customWidth="1"/>
    <col min="11016" max="11016" width="6.42578125" style="2131" customWidth="1"/>
    <col min="11017" max="11017" width="14.28515625" style="2131" bestFit="1" customWidth="1"/>
    <col min="11018" max="11018" width="9.140625" style="2131"/>
    <col min="11019" max="11020" width="17.28515625" style="2131" bestFit="1" customWidth="1"/>
    <col min="11021" max="11264" width="9.140625" style="2131"/>
    <col min="11265" max="11265" width="4.7109375" style="2131" customWidth="1"/>
    <col min="11266" max="11266" width="6.140625" style="2131" customWidth="1"/>
    <col min="11267" max="11267" width="8.7109375" style="2131" customWidth="1"/>
    <col min="11268" max="11268" width="42" style="2131" customWidth="1"/>
    <col min="11269" max="11269" width="10.42578125" style="2131" customWidth="1"/>
    <col min="11270" max="11270" width="15.85546875" style="2131" customWidth="1"/>
    <col min="11271" max="11271" width="14.42578125" style="2131" customWidth="1"/>
    <col min="11272" max="11272" width="6.42578125" style="2131" customWidth="1"/>
    <col min="11273" max="11273" width="14.28515625" style="2131" bestFit="1" customWidth="1"/>
    <col min="11274" max="11274" width="9.140625" style="2131"/>
    <col min="11275" max="11276" width="17.28515625" style="2131" bestFit="1" customWidth="1"/>
    <col min="11277" max="11520" width="9.140625" style="2131"/>
    <col min="11521" max="11521" width="4.7109375" style="2131" customWidth="1"/>
    <col min="11522" max="11522" width="6.140625" style="2131" customWidth="1"/>
    <col min="11523" max="11523" width="8.7109375" style="2131" customWidth="1"/>
    <col min="11524" max="11524" width="42" style="2131" customWidth="1"/>
    <col min="11525" max="11525" width="10.42578125" style="2131" customWidth="1"/>
    <col min="11526" max="11526" width="15.85546875" style="2131" customWidth="1"/>
    <col min="11527" max="11527" width="14.42578125" style="2131" customWidth="1"/>
    <col min="11528" max="11528" width="6.42578125" style="2131" customWidth="1"/>
    <col min="11529" max="11529" width="14.28515625" style="2131" bestFit="1" customWidth="1"/>
    <col min="11530" max="11530" width="9.140625" style="2131"/>
    <col min="11531" max="11532" width="17.28515625" style="2131" bestFit="1" customWidth="1"/>
    <col min="11533" max="11776" width="9.140625" style="2131"/>
    <col min="11777" max="11777" width="4.7109375" style="2131" customWidth="1"/>
    <col min="11778" max="11778" width="6.140625" style="2131" customWidth="1"/>
    <col min="11779" max="11779" width="8.7109375" style="2131" customWidth="1"/>
    <col min="11780" max="11780" width="42" style="2131" customWidth="1"/>
    <col min="11781" max="11781" width="10.42578125" style="2131" customWidth="1"/>
    <col min="11782" max="11782" width="15.85546875" style="2131" customWidth="1"/>
    <col min="11783" max="11783" width="14.42578125" style="2131" customWidth="1"/>
    <col min="11784" max="11784" width="6.42578125" style="2131" customWidth="1"/>
    <col min="11785" max="11785" width="14.28515625" style="2131" bestFit="1" customWidth="1"/>
    <col min="11786" max="11786" width="9.140625" style="2131"/>
    <col min="11787" max="11788" width="17.28515625" style="2131" bestFit="1" customWidth="1"/>
    <col min="11789" max="12032" width="9.140625" style="2131"/>
    <col min="12033" max="12033" width="4.7109375" style="2131" customWidth="1"/>
    <col min="12034" max="12034" width="6.140625" style="2131" customWidth="1"/>
    <col min="12035" max="12035" width="8.7109375" style="2131" customWidth="1"/>
    <col min="12036" max="12036" width="42" style="2131" customWidth="1"/>
    <col min="12037" max="12037" width="10.42578125" style="2131" customWidth="1"/>
    <col min="12038" max="12038" width="15.85546875" style="2131" customWidth="1"/>
    <col min="12039" max="12039" width="14.42578125" style="2131" customWidth="1"/>
    <col min="12040" max="12040" width="6.42578125" style="2131" customWidth="1"/>
    <col min="12041" max="12041" width="14.28515625" style="2131" bestFit="1" customWidth="1"/>
    <col min="12042" max="12042" width="9.140625" style="2131"/>
    <col min="12043" max="12044" width="17.28515625" style="2131" bestFit="1" customWidth="1"/>
    <col min="12045" max="12288" width="9.140625" style="2131"/>
    <col min="12289" max="12289" width="4.7109375" style="2131" customWidth="1"/>
    <col min="12290" max="12290" width="6.140625" style="2131" customWidth="1"/>
    <col min="12291" max="12291" width="8.7109375" style="2131" customWidth="1"/>
    <col min="12292" max="12292" width="42" style="2131" customWidth="1"/>
    <col min="12293" max="12293" width="10.42578125" style="2131" customWidth="1"/>
    <col min="12294" max="12294" width="15.85546875" style="2131" customWidth="1"/>
    <col min="12295" max="12295" width="14.42578125" style="2131" customWidth="1"/>
    <col min="12296" max="12296" width="6.42578125" style="2131" customWidth="1"/>
    <col min="12297" max="12297" width="14.28515625" style="2131" bestFit="1" customWidth="1"/>
    <col min="12298" max="12298" width="9.140625" style="2131"/>
    <col min="12299" max="12300" width="17.28515625" style="2131" bestFit="1" customWidth="1"/>
    <col min="12301" max="12544" width="9.140625" style="2131"/>
    <col min="12545" max="12545" width="4.7109375" style="2131" customWidth="1"/>
    <col min="12546" max="12546" width="6.140625" style="2131" customWidth="1"/>
    <col min="12547" max="12547" width="8.7109375" style="2131" customWidth="1"/>
    <col min="12548" max="12548" width="42" style="2131" customWidth="1"/>
    <col min="12549" max="12549" width="10.42578125" style="2131" customWidth="1"/>
    <col min="12550" max="12550" width="15.85546875" style="2131" customWidth="1"/>
    <col min="12551" max="12551" width="14.42578125" style="2131" customWidth="1"/>
    <col min="12552" max="12552" width="6.42578125" style="2131" customWidth="1"/>
    <col min="12553" max="12553" width="14.28515625" style="2131" bestFit="1" customWidth="1"/>
    <col min="12554" max="12554" width="9.140625" style="2131"/>
    <col min="12555" max="12556" width="17.28515625" style="2131" bestFit="1" customWidth="1"/>
    <col min="12557" max="12800" width="9.140625" style="2131"/>
    <col min="12801" max="12801" width="4.7109375" style="2131" customWidth="1"/>
    <col min="12802" max="12802" width="6.140625" style="2131" customWidth="1"/>
    <col min="12803" max="12803" width="8.7109375" style="2131" customWidth="1"/>
    <col min="12804" max="12804" width="42" style="2131" customWidth="1"/>
    <col min="12805" max="12805" width="10.42578125" style="2131" customWidth="1"/>
    <col min="12806" max="12806" width="15.85546875" style="2131" customWidth="1"/>
    <col min="12807" max="12807" width="14.42578125" style="2131" customWidth="1"/>
    <col min="12808" max="12808" width="6.42578125" style="2131" customWidth="1"/>
    <col min="12809" max="12809" width="14.28515625" style="2131" bestFit="1" customWidth="1"/>
    <col min="12810" max="12810" width="9.140625" style="2131"/>
    <col min="12811" max="12812" width="17.28515625" style="2131" bestFit="1" customWidth="1"/>
    <col min="12813" max="13056" width="9.140625" style="2131"/>
    <col min="13057" max="13057" width="4.7109375" style="2131" customWidth="1"/>
    <col min="13058" max="13058" width="6.140625" style="2131" customWidth="1"/>
    <col min="13059" max="13059" width="8.7109375" style="2131" customWidth="1"/>
    <col min="13060" max="13060" width="42" style="2131" customWidth="1"/>
    <col min="13061" max="13061" width="10.42578125" style="2131" customWidth="1"/>
    <col min="13062" max="13062" width="15.85546875" style="2131" customWidth="1"/>
    <col min="13063" max="13063" width="14.42578125" style="2131" customWidth="1"/>
    <col min="13064" max="13064" width="6.42578125" style="2131" customWidth="1"/>
    <col min="13065" max="13065" width="14.28515625" style="2131" bestFit="1" customWidth="1"/>
    <col min="13066" max="13066" width="9.140625" style="2131"/>
    <col min="13067" max="13068" width="17.28515625" style="2131" bestFit="1" customWidth="1"/>
    <col min="13069" max="13312" width="9.140625" style="2131"/>
    <col min="13313" max="13313" width="4.7109375" style="2131" customWidth="1"/>
    <col min="13314" max="13314" width="6.140625" style="2131" customWidth="1"/>
    <col min="13315" max="13315" width="8.7109375" style="2131" customWidth="1"/>
    <col min="13316" max="13316" width="42" style="2131" customWidth="1"/>
    <col min="13317" max="13317" width="10.42578125" style="2131" customWidth="1"/>
    <col min="13318" max="13318" width="15.85546875" style="2131" customWidth="1"/>
    <col min="13319" max="13319" width="14.42578125" style="2131" customWidth="1"/>
    <col min="13320" max="13320" width="6.42578125" style="2131" customWidth="1"/>
    <col min="13321" max="13321" width="14.28515625" style="2131" bestFit="1" customWidth="1"/>
    <col min="13322" max="13322" width="9.140625" style="2131"/>
    <col min="13323" max="13324" width="17.28515625" style="2131" bestFit="1" customWidth="1"/>
    <col min="13325" max="13568" width="9.140625" style="2131"/>
    <col min="13569" max="13569" width="4.7109375" style="2131" customWidth="1"/>
    <col min="13570" max="13570" width="6.140625" style="2131" customWidth="1"/>
    <col min="13571" max="13571" width="8.7109375" style="2131" customWidth="1"/>
    <col min="13572" max="13572" width="42" style="2131" customWidth="1"/>
    <col min="13573" max="13573" width="10.42578125" style="2131" customWidth="1"/>
    <col min="13574" max="13574" width="15.85546875" style="2131" customWidth="1"/>
    <col min="13575" max="13575" width="14.42578125" style="2131" customWidth="1"/>
    <col min="13576" max="13576" width="6.42578125" style="2131" customWidth="1"/>
    <col min="13577" max="13577" width="14.28515625" style="2131" bestFit="1" customWidth="1"/>
    <col min="13578" max="13578" width="9.140625" style="2131"/>
    <col min="13579" max="13580" width="17.28515625" style="2131" bestFit="1" customWidth="1"/>
    <col min="13581" max="13824" width="9.140625" style="2131"/>
    <col min="13825" max="13825" width="4.7109375" style="2131" customWidth="1"/>
    <col min="13826" max="13826" width="6.140625" style="2131" customWidth="1"/>
    <col min="13827" max="13827" width="8.7109375" style="2131" customWidth="1"/>
    <col min="13828" max="13828" width="42" style="2131" customWidth="1"/>
    <col min="13829" max="13829" width="10.42578125" style="2131" customWidth="1"/>
    <col min="13830" max="13830" width="15.85546875" style="2131" customWidth="1"/>
    <col min="13831" max="13831" width="14.42578125" style="2131" customWidth="1"/>
    <col min="13832" max="13832" width="6.42578125" style="2131" customWidth="1"/>
    <col min="13833" max="13833" width="14.28515625" style="2131" bestFit="1" customWidth="1"/>
    <col min="13834" max="13834" width="9.140625" style="2131"/>
    <col min="13835" max="13836" width="17.28515625" style="2131" bestFit="1" customWidth="1"/>
    <col min="13837" max="14080" width="9.140625" style="2131"/>
    <col min="14081" max="14081" width="4.7109375" style="2131" customWidth="1"/>
    <col min="14082" max="14082" width="6.140625" style="2131" customWidth="1"/>
    <col min="14083" max="14083" width="8.7109375" style="2131" customWidth="1"/>
    <col min="14084" max="14084" width="42" style="2131" customWidth="1"/>
    <col min="14085" max="14085" width="10.42578125" style="2131" customWidth="1"/>
    <col min="14086" max="14086" width="15.85546875" style="2131" customWidth="1"/>
    <col min="14087" max="14087" width="14.42578125" style="2131" customWidth="1"/>
    <col min="14088" max="14088" width="6.42578125" style="2131" customWidth="1"/>
    <col min="14089" max="14089" width="14.28515625" style="2131" bestFit="1" customWidth="1"/>
    <col min="14090" max="14090" width="9.140625" style="2131"/>
    <col min="14091" max="14092" width="17.28515625" style="2131" bestFit="1" customWidth="1"/>
    <col min="14093" max="14336" width="9.140625" style="2131"/>
    <col min="14337" max="14337" width="4.7109375" style="2131" customWidth="1"/>
    <col min="14338" max="14338" width="6.140625" style="2131" customWidth="1"/>
    <col min="14339" max="14339" width="8.7109375" style="2131" customWidth="1"/>
    <col min="14340" max="14340" width="42" style="2131" customWidth="1"/>
    <col min="14341" max="14341" width="10.42578125" style="2131" customWidth="1"/>
    <col min="14342" max="14342" width="15.85546875" style="2131" customWidth="1"/>
    <col min="14343" max="14343" width="14.42578125" style="2131" customWidth="1"/>
    <col min="14344" max="14344" width="6.42578125" style="2131" customWidth="1"/>
    <col min="14345" max="14345" width="14.28515625" style="2131" bestFit="1" customWidth="1"/>
    <col min="14346" max="14346" width="9.140625" style="2131"/>
    <col min="14347" max="14348" width="17.28515625" style="2131" bestFit="1" customWidth="1"/>
    <col min="14349" max="14592" width="9.140625" style="2131"/>
    <col min="14593" max="14593" width="4.7109375" style="2131" customWidth="1"/>
    <col min="14594" max="14594" width="6.140625" style="2131" customWidth="1"/>
    <col min="14595" max="14595" width="8.7109375" style="2131" customWidth="1"/>
    <col min="14596" max="14596" width="42" style="2131" customWidth="1"/>
    <col min="14597" max="14597" width="10.42578125" style="2131" customWidth="1"/>
    <col min="14598" max="14598" width="15.85546875" style="2131" customWidth="1"/>
    <col min="14599" max="14599" width="14.42578125" style="2131" customWidth="1"/>
    <col min="14600" max="14600" width="6.42578125" style="2131" customWidth="1"/>
    <col min="14601" max="14601" width="14.28515625" style="2131" bestFit="1" customWidth="1"/>
    <col min="14602" max="14602" width="9.140625" style="2131"/>
    <col min="14603" max="14604" width="17.28515625" style="2131" bestFit="1" customWidth="1"/>
    <col min="14605" max="14848" width="9.140625" style="2131"/>
    <col min="14849" max="14849" width="4.7109375" style="2131" customWidth="1"/>
    <col min="14850" max="14850" width="6.140625" style="2131" customWidth="1"/>
    <col min="14851" max="14851" width="8.7109375" style="2131" customWidth="1"/>
    <col min="14852" max="14852" width="42" style="2131" customWidth="1"/>
    <col min="14853" max="14853" width="10.42578125" style="2131" customWidth="1"/>
    <col min="14854" max="14854" width="15.85546875" style="2131" customWidth="1"/>
    <col min="14855" max="14855" width="14.42578125" style="2131" customWidth="1"/>
    <col min="14856" max="14856" width="6.42578125" style="2131" customWidth="1"/>
    <col min="14857" max="14857" width="14.28515625" style="2131" bestFit="1" customWidth="1"/>
    <col min="14858" max="14858" width="9.140625" style="2131"/>
    <col min="14859" max="14860" width="17.28515625" style="2131" bestFit="1" customWidth="1"/>
    <col min="14861" max="15104" width="9.140625" style="2131"/>
    <col min="15105" max="15105" width="4.7109375" style="2131" customWidth="1"/>
    <col min="15106" max="15106" width="6.140625" style="2131" customWidth="1"/>
    <col min="15107" max="15107" width="8.7109375" style="2131" customWidth="1"/>
    <col min="15108" max="15108" width="42" style="2131" customWidth="1"/>
    <col min="15109" max="15109" width="10.42578125" style="2131" customWidth="1"/>
    <col min="15110" max="15110" width="15.85546875" style="2131" customWidth="1"/>
    <col min="15111" max="15111" width="14.42578125" style="2131" customWidth="1"/>
    <col min="15112" max="15112" width="6.42578125" style="2131" customWidth="1"/>
    <col min="15113" max="15113" width="14.28515625" style="2131" bestFit="1" customWidth="1"/>
    <col min="15114" max="15114" width="9.140625" style="2131"/>
    <col min="15115" max="15116" width="17.28515625" style="2131" bestFit="1" customWidth="1"/>
    <col min="15117" max="15360" width="9.140625" style="2131"/>
    <col min="15361" max="15361" width="4.7109375" style="2131" customWidth="1"/>
    <col min="15362" max="15362" width="6.140625" style="2131" customWidth="1"/>
    <col min="15363" max="15363" width="8.7109375" style="2131" customWidth="1"/>
    <col min="15364" max="15364" width="42" style="2131" customWidth="1"/>
    <col min="15365" max="15365" width="10.42578125" style="2131" customWidth="1"/>
    <col min="15366" max="15366" width="15.85546875" style="2131" customWidth="1"/>
    <col min="15367" max="15367" width="14.42578125" style="2131" customWidth="1"/>
    <col min="15368" max="15368" width="6.42578125" style="2131" customWidth="1"/>
    <col min="15369" max="15369" width="14.28515625" style="2131" bestFit="1" customWidth="1"/>
    <col min="15370" max="15370" width="9.140625" style="2131"/>
    <col min="15371" max="15372" width="17.28515625" style="2131" bestFit="1" customWidth="1"/>
    <col min="15373" max="15616" width="9.140625" style="2131"/>
    <col min="15617" max="15617" width="4.7109375" style="2131" customWidth="1"/>
    <col min="15618" max="15618" width="6.140625" style="2131" customWidth="1"/>
    <col min="15619" max="15619" width="8.7109375" style="2131" customWidth="1"/>
    <col min="15620" max="15620" width="42" style="2131" customWidth="1"/>
    <col min="15621" max="15621" width="10.42578125" style="2131" customWidth="1"/>
    <col min="15622" max="15622" width="15.85546875" style="2131" customWidth="1"/>
    <col min="15623" max="15623" width="14.42578125" style="2131" customWidth="1"/>
    <col min="15624" max="15624" width="6.42578125" style="2131" customWidth="1"/>
    <col min="15625" max="15625" width="14.28515625" style="2131" bestFit="1" customWidth="1"/>
    <col min="15626" max="15626" width="9.140625" style="2131"/>
    <col min="15627" max="15628" width="17.28515625" style="2131" bestFit="1" customWidth="1"/>
    <col min="15629" max="15872" width="9.140625" style="2131"/>
    <col min="15873" max="15873" width="4.7109375" style="2131" customWidth="1"/>
    <col min="15874" max="15874" width="6.140625" style="2131" customWidth="1"/>
    <col min="15875" max="15875" width="8.7109375" style="2131" customWidth="1"/>
    <col min="15876" max="15876" width="42" style="2131" customWidth="1"/>
    <col min="15877" max="15877" width="10.42578125" style="2131" customWidth="1"/>
    <col min="15878" max="15878" width="15.85546875" style="2131" customWidth="1"/>
    <col min="15879" max="15879" width="14.42578125" style="2131" customWidth="1"/>
    <col min="15880" max="15880" width="6.42578125" style="2131" customWidth="1"/>
    <col min="15881" max="15881" width="14.28515625" style="2131" bestFit="1" customWidth="1"/>
    <col min="15882" max="15882" width="9.140625" style="2131"/>
    <col min="15883" max="15884" width="17.28515625" style="2131" bestFit="1" customWidth="1"/>
    <col min="15885" max="16128" width="9.140625" style="2131"/>
    <col min="16129" max="16129" width="4.7109375" style="2131" customWidth="1"/>
    <col min="16130" max="16130" width="6.140625" style="2131" customWidth="1"/>
    <col min="16131" max="16131" width="8.7109375" style="2131" customWidth="1"/>
    <col min="16132" max="16132" width="42" style="2131" customWidth="1"/>
    <col min="16133" max="16133" width="10.42578125" style="2131" customWidth="1"/>
    <col min="16134" max="16134" width="15.85546875" style="2131" customWidth="1"/>
    <col min="16135" max="16135" width="14.42578125" style="2131" customWidth="1"/>
    <col min="16136" max="16136" width="6.42578125" style="2131" customWidth="1"/>
    <col min="16137" max="16137" width="14.28515625" style="2131" bestFit="1" customWidth="1"/>
    <col min="16138" max="16138" width="9.140625" style="2131"/>
    <col min="16139" max="16140" width="17.28515625" style="2131" bestFit="1" customWidth="1"/>
    <col min="16141" max="16384" width="9.140625" style="2131"/>
  </cols>
  <sheetData>
    <row r="1" spans="1:8" ht="19.5" customHeight="1" thickBot="1" x14ac:dyDescent="0.25">
      <c r="A1" s="2818" t="s">
        <v>337</v>
      </c>
      <c r="B1" s="2818"/>
      <c r="C1" s="2818"/>
      <c r="D1" s="2818"/>
      <c r="E1" s="2818"/>
      <c r="F1" s="2818"/>
      <c r="G1" s="2818"/>
      <c r="H1" s="2818"/>
    </row>
    <row r="2" spans="1:8" ht="19.5" customHeight="1" x14ac:dyDescent="0.25">
      <c r="A2" s="2327"/>
      <c r="B2" s="2328"/>
      <c r="C2" s="2328"/>
      <c r="D2" s="2328"/>
      <c r="E2" s="2328"/>
      <c r="F2" s="2328"/>
      <c r="G2" s="2328"/>
      <c r="H2" s="2222" t="s">
        <v>338</v>
      </c>
    </row>
    <row r="3" spans="1:8" ht="19.5" customHeight="1" x14ac:dyDescent="0.2">
      <c r="A3" s="1939" t="s">
        <v>404</v>
      </c>
      <c r="B3" s="2328"/>
      <c r="C3" s="2129" t="s">
        <v>379</v>
      </c>
      <c r="D3" s="2328"/>
      <c r="E3" s="2328"/>
      <c r="F3" s="2328"/>
      <c r="G3" s="2328"/>
      <c r="H3" s="2328"/>
    </row>
    <row r="4" spans="1:8" ht="19.5" customHeight="1" x14ac:dyDescent="0.25">
      <c r="A4" s="2327"/>
      <c r="B4" s="2328"/>
      <c r="C4" s="2129" t="s">
        <v>380</v>
      </c>
      <c r="D4" s="2328"/>
      <c r="E4" s="2328"/>
      <c r="F4" s="2328"/>
      <c r="G4" s="2328"/>
      <c r="H4" s="2328"/>
    </row>
    <row r="5" spans="1:8" ht="19.5" hidden="1" customHeight="1" x14ac:dyDescent="0.25">
      <c r="A5" s="2327"/>
      <c r="B5" s="2328"/>
      <c r="C5" s="2129"/>
      <c r="D5" s="2328"/>
      <c r="E5" s="2328"/>
      <c r="F5" s="2328"/>
      <c r="G5" s="2328"/>
      <c r="H5" s="2328"/>
    </row>
    <row r="6" spans="1:8" ht="18" x14ac:dyDescent="0.25">
      <c r="A6" s="2134" t="s">
        <v>339</v>
      </c>
      <c r="B6" s="2168"/>
      <c r="C6" s="2168"/>
      <c r="D6" s="2168"/>
      <c r="E6" s="2168"/>
      <c r="F6" s="2168"/>
      <c r="G6" s="2168"/>
      <c r="H6" s="2222"/>
    </row>
    <row r="7" spans="1:8" ht="18" x14ac:dyDescent="0.25">
      <c r="A7" s="2134"/>
      <c r="B7" s="2168"/>
      <c r="C7" s="2168"/>
      <c r="D7" s="2168"/>
      <c r="E7" s="2168"/>
      <c r="F7" s="2168"/>
      <c r="G7" s="2168"/>
      <c r="H7" s="2222"/>
    </row>
    <row r="8" spans="1:8" ht="18" x14ac:dyDescent="0.25">
      <c r="A8" s="2136" t="s">
        <v>1831</v>
      </c>
      <c r="B8" s="2168"/>
      <c r="C8" s="2168"/>
      <c r="D8" s="2168"/>
      <c r="E8" s="2168"/>
      <c r="F8" s="2168"/>
      <c r="G8" s="2168"/>
      <c r="H8" s="2222"/>
    </row>
    <row r="9" spans="1:8" ht="15.75" thickBot="1" x14ac:dyDescent="0.3">
      <c r="A9" s="2136" t="s">
        <v>1832</v>
      </c>
      <c r="H9" s="2240" t="s">
        <v>179</v>
      </c>
    </row>
    <row r="10" spans="1:8" s="1849" customFormat="1" ht="25.5" thickTop="1" thickBot="1" x14ac:dyDescent="0.25">
      <c r="A10" s="2138" t="s">
        <v>180</v>
      </c>
      <c r="B10" s="2139" t="s">
        <v>847</v>
      </c>
      <c r="C10" s="2139" t="s">
        <v>414</v>
      </c>
      <c r="D10" s="2140" t="s">
        <v>182</v>
      </c>
      <c r="E10" s="2171" t="s">
        <v>700</v>
      </c>
      <c r="F10" s="2171" t="s">
        <v>701</v>
      </c>
      <c r="G10" s="2172" t="s">
        <v>986</v>
      </c>
      <c r="H10" s="2173" t="s">
        <v>987</v>
      </c>
    </row>
    <row r="11" spans="1:8" s="1849" customFormat="1" ht="13.5" thickTop="1" thickBot="1" x14ac:dyDescent="0.25">
      <c r="A11" s="1854">
        <v>1</v>
      </c>
      <c r="B11" s="1853">
        <v>2</v>
      </c>
      <c r="C11" s="1853">
        <v>3</v>
      </c>
      <c r="D11" s="1853">
        <v>4</v>
      </c>
      <c r="E11" s="1852">
        <v>5</v>
      </c>
      <c r="F11" s="1852">
        <v>6</v>
      </c>
      <c r="G11" s="2223">
        <v>7</v>
      </c>
      <c r="H11" s="2251" t="s">
        <v>61</v>
      </c>
    </row>
    <row r="12" spans="1:8" ht="15.75" customHeight="1" thickTop="1" x14ac:dyDescent="0.2">
      <c r="A12" s="2166">
        <v>4344</v>
      </c>
      <c r="B12" s="2149">
        <v>5169</v>
      </c>
      <c r="C12" s="2252">
        <v>33113233</v>
      </c>
      <c r="D12" s="2174" t="s">
        <v>955</v>
      </c>
      <c r="E12" s="2170">
        <v>0</v>
      </c>
      <c r="F12" s="2170">
        <v>1144</v>
      </c>
      <c r="G12" s="2170">
        <v>1144</v>
      </c>
      <c r="H12" s="2153">
        <f t="shared" ref="H12:H29" si="0">G12/F12*100</f>
        <v>100</v>
      </c>
    </row>
    <row r="13" spans="1:8" ht="15.75" customHeight="1" x14ac:dyDescent="0.2">
      <c r="A13" s="2147">
        <v>4344</v>
      </c>
      <c r="B13" s="2148">
        <v>5169</v>
      </c>
      <c r="C13" s="2329">
        <v>33513233</v>
      </c>
      <c r="D13" s="2174" t="s">
        <v>955</v>
      </c>
      <c r="E13" s="2184">
        <v>0</v>
      </c>
      <c r="F13" s="2184">
        <v>6483</v>
      </c>
      <c r="G13" s="2184">
        <v>6483</v>
      </c>
      <c r="H13" s="2156">
        <f t="shared" si="0"/>
        <v>100</v>
      </c>
    </row>
    <row r="14" spans="1:8" ht="15.75" customHeight="1" x14ac:dyDescent="0.2">
      <c r="A14" s="2147">
        <v>4351</v>
      </c>
      <c r="B14" s="2148">
        <v>5169</v>
      </c>
      <c r="C14" s="2329">
        <v>33113233</v>
      </c>
      <c r="D14" s="2174" t="s">
        <v>955</v>
      </c>
      <c r="E14" s="2184">
        <v>0</v>
      </c>
      <c r="F14" s="2184">
        <v>225</v>
      </c>
      <c r="G14" s="2184">
        <v>225</v>
      </c>
      <c r="H14" s="2156">
        <f t="shared" si="0"/>
        <v>100</v>
      </c>
    </row>
    <row r="15" spans="1:8" ht="15.75" customHeight="1" x14ac:dyDescent="0.2">
      <c r="A15" s="2147">
        <v>4351</v>
      </c>
      <c r="B15" s="2148">
        <v>5169</v>
      </c>
      <c r="C15" s="2329">
        <v>33513233</v>
      </c>
      <c r="D15" s="2174" t="s">
        <v>955</v>
      </c>
      <c r="E15" s="2184">
        <v>0</v>
      </c>
      <c r="F15" s="2184">
        <v>1278</v>
      </c>
      <c r="G15" s="2184">
        <v>1278</v>
      </c>
      <c r="H15" s="2156">
        <f t="shared" si="0"/>
        <v>100</v>
      </c>
    </row>
    <row r="16" spans="1:8" ht="15.75" customHeight="1" x14ac:dyDescent="0.2">
      <c r="A16" s="2147">
        <v>4371</v>
      </c>
      <c r="B16" s="2148">
        <v>5169</v>
      </c>
      <c r="C16" s="2329">
        <v>33113233</v>
      </c>
      <c r="D16" s="2174" t="s">
        <v>955</v>
      </c>
      <c r="E16" s="2184">
        <v>0</v>
      </c>
      <c r="F16" s="2184">
        <v>2847</v>
      </c>
      <c r="G16" s="2184">
        <v>2847</v>
      </c>
      <c r="H16" s="2156">
        <f t="shared" si="0"/>
        <v>100</v>
      </c>
    </row>
    <row r="17" spans="1:8" ht="15.75" customHeight="1" x14ac:dyDescent="0.2">
      <c r="A17" s="2147">
        <v>4371</v>
      </c>
      <c r="B17" s="2148">
        <v>5169</v>
      </c>
      <c r="C17" s="2329">
        <v>33513233</v>
      </c>
      <c r="D17" s="2174" t="s">
        <v>955</v>
      </c>
      <c r="E17" s="2184">
        <v>0</v>
      </c>
      <c r="F17" s="2184">
        <v>16135</v>
      </c>
      <c r="G17" s="2184">
        <v>16135</v>
      </c>
      <c r="H17" s="2156">
        <f t="shared" si="0"/>
        <v>100</v>
      </c>
    </row>
    <row r="18" spans="1:8" ht="15.75" customHeight="1" x14ac:dyDescent="0.2">
      <c r="A18" s="2147">
        <v>4372</v>
      </c>
      <c r="B18" s="2148">
        <v>5169</v>
      </c>
      <c r="C18" s="2329">
        <v>33113233</v>
      </c>
      <c r="D18" s="2174" t="s">
        <v>955</v>
      </c>
      <c r="E18" s="2184">
        <v>0</v>
      </c>
      <c r="F18" s="2184">
        <v>258</v>
      </c>
      <c r="G18" s="2184">
        <v>258</v>
      </c>
      <c r="H18" s="2156">
        <f t="shared" si="0"/>
        <v>100</v>
      </c>
    </row>
    <row r="19" spans="1:8" ht="15.75" customHeight="1" x14ac:dyDescent="0.2">
      <c r="A19" s="2147">
        <v>4372</v>
      </c>
      <c r="B19" s="2148">
        <v>5169</v>
      </c>
      <c r="C19" s="2329">
        <v>33513233</v>
      </c>
      <c r="D19" s="2174" t="s">
        <v>955</v>
      </c>
      <c r="E19" s="2184">
        <v>0</v>
      </c>
      <c r="F19" s="2184">
        <v>1460</v>
      </c>
      <c r="G19" s="2184">
        <v>1460</v>
      </c>
      <c r="H19" s="2156">
        <f t="shared" si="0"/>
        <v>100</v>
      </c>
    </row>
    <row r="20" spans="1:8" ht="15.75" customHeight="1" x14ac:dyDescent="0.2">
      <c r="A20" s="2147">
        <v>4373</v>
      </c>
      <c r="B20" s="2148">
        <v>5169</v>
      </c>
      <c r="C20" s="2329">
        <v>33113233</v>
      </c>
      <c r="D20" s="2174" t="s">
        <v>955</v>
      </c>
      <c r="E20" s="2184">
        <v>0</v>
      </c>
      <c r="F20" s="2184">
        <v>290</v>
      </c>
      <c r="G20" s="2184">
        <v>211</v>
      </c>
      <c r="H20" s="2156">
        <f t="shared" si="0"/>
        <v>72.758620689655174</v>
      </c>
    </row>
    <row r="21" spans="1:8" ht="15.75" customHeight="1" x14ac:dyDescent="0.2">
      <c r="A21" s="2147">
        <v>4373</v>
      </c>
      <c r="B21" s="2148">
        <v>5169</v>
      </c>
      <c r="C21" s="2329">
        <v>33513233</v>
      </c>
      <c r="D21" s="2174" t="s">
        <v>955</v>
      </c>
      <c r="E21" s="2184">
        <v>0</v>
      </c>
      <c r="F21" s="2184">
        <v>1644</v>
      </c>
      <c r="G21" s="2184">
        <v>1198</v>
      </c>
      <c r="H21" s="2156">
        <f t="shared" si="0"/>
        <v>72.871046228710469</v>
      </c>
    </row>
    <row r="22" spans="1:8" ht="15.75" customHeight="1" x14ac:dyDescent="0.2">
      <c r="A22" s="2147">
        <v>4374</v>
      </c>
      <c r="B22" s="2148">
        <v>5169</v>
      </c>
      <c r="C22" s="2329">
        <v>33113233</v>
      </c>
      <c r="D22" s="2174" t="s">
        <v>955</v>
      </c>
      <c r="E22" s="2184">
        <v>0</v>
      </c>
      <c r="F22" s="2184">
        <v>5338</v>
      </c>
      <c r="G22" s="2184">
        <v>5323</v>
      </c>
      <c r="H22" s="2156">
        <f t="shared" si="0"/>
        <v>99.718995878606222</v>
      </c>
    </row>
    <row r="23" spans="1:8" ht="15.75" customHeight="1" x14ac:dyDescent="0.2">
      <c r="A23" s="2147">
        <v>4374</v>
      </c>
      <c r="B23" s="2148">
        <v>5169</v>
      </c>
      <c r="C23" s="2329">
        <v>33513233</v>
      </c>
      <c r="D23" s="2174" t="s">
        <v>955</v>
      </c>
      <c r="E23" s="2184">
        <v>0</v>
      </c>
      <c r="F23" s="2184">
        <v>30251</v>
      </c>
      <c r="G23" s="2184">
        <v>30166</v>
      </c>
      <c r="H23" s="2156">
        <f t="shared" si="0"/>
        <v>99.719017553138741</v>
      </c>
    </row>
    <row r="24" spans="1:8" ht="15.75" customHeight="1" x14ac:dyDescent="0.2">
      <c r="A24" s="2147">
        <v>4375</v>
      </c>
      <c r="B24" s="2148">
        <v>5169</v>
      </c>
      <c r="C24" s="2329">
        <v>33113233</v>
      </c>
      <c r="D24" s="2174" t="s">
        <v>955</v>
      </c>
      <c r="E24" s="2184">
        <v>0</v>
      </c>
      <c r="F24" s="2184">
        <v>962</v>
      </c>
      <c r="G24" s="2184">
        <v>957</v>
      </c>
      <c r="H24" s="2156">
        <f t="shared" si="0"/>
        <v>99.480249480249483</v>
      </c>
    </row>
    <row r="25" spans="1:8" ht="15.75" customHeight="1" x14ac:dyDescent="0.2">
      <c r="A25" s="2147">
        <v>4375</v>
      </c>
      <c r="B25" s="2148">
        <v>5169</v>
      </c>
      <c r="C25" s="2329">
        <v>33513233</v>
      </c>
      <c r="D25" s="2174" t="s">
        <v>955</v>
      </c>
      <c r="E25" s="2184">
        <v>0</v>
      </c>
      <c r="F25" s="2184">
        <v>5454</v>
      </c>
      <c r="G25" s="2184">
        <v>5425</v>
      </c>
      <c r="H25" s="2156">
        <f t="shared" si="0"/>
        <v>99.468280161349469</v>
      </c>
    </row>
    <row r="26" spans="1:8" ht="15.75" customHeight="1" x14ac:dyDescent="0.2">
      <c r="A26" s="2147">
        <v>4377</v>
      </c>
      <c r="B26" s="2148">
        <v>5169</v>
      </c>
      <c r="C26" s="2329">
        <v>33113233</v>
      </c>
      <c r="D26" s="2174" t="s">
        <v>955</v>
      </c>
      <c r="E26" s="2184">
        <v>0</v>
      </c>
      <c r="F26" s="2184">
        <v>471</v>
      </c>
      <c r="G26" s="2184">
        <v>471</v>
      </c>
      <c r="H26" s="2156">
        <f t="shared" si="0"/>
        <v>100</v>
      </c>
    </row>
    <row r="27" spans="1:8" ht="15.75" customHeight="1" x14ac:dyDescent="0.2">
      <c r="A27" s="2147">
        <v>4377</v>
      </c>
      <c r="B27" s="2148">
        <v>5169</v>
      </c>
      <c r="C27" s="2329">
        <v>33513233</v>
      </c>
      <c r="D27" s="2174" t="s">
        <v>955</v>
      </c>
      <c r="E27" s="2184">
        <v>0</v>
      </c>
      <c r="F27" s="2184">
        <v>2670</v>
      </c>
      <c r="G27" s="2184">
        <v>2670</v>
      </c>
      <c r="H27" s="2156">
        <f t="shared" si="0"/>
        <v>100</v>
      </c>
    </row>
    <row r="28" spans="1:8" ht="15.75" customHeight="1" x14ac:dyDescent="0.2">
      <c r="A28" s="2147">
        <v>4378</v>
      </c>
      <c r="B28" s="2148">
        <v>5169</v>
      </c>
      <c r="C28" s="2329">
        <v>33113233</v>
      </c>
      <c r="D28" s="2174" t="s">
        <v>955</v>
      </c>
      <c r="E28" s="2184">
        <v>0</v>
      </c>
      <c r="F28" s="2184">
        <v>358</v>
      </c>
      <c r="G28" s="2184">
        <v>358</v>
      </c>
      <c r="H28" s="2156">
        <f t="shared" si="0"/>
        <v>100</v>
      </c>
    </row>
    <row r="29" spans="1:8" ht="15.75" customHeight="1" x14ac:dyDescent="0.2">
      <c r="A29" s="2147">
        <v>4378</v>
      </c>
      <c r="B29" s="2148">
        <v>5169</v>
      </c>
      <c r="C29" s="2329">
        <v>33513233</v>
      </c>
      <c r="D29" s="2174" t="s">
        <v>955</v>
      </c>
      <c r="E29" s="2184">
        <v>0</v>
      </c>
      <c r="F29" s="2184">
        <v>2026</v>
      </c>
      <c r="G29" s="2184">
        <v>2026</v>
      </c>
      <c r="H29" s="2156">
        <f t="shared" si="0"/>
        <v>100</v>
      </c>
    </row>
    <row r="30" spans="1:8" ht="15.75" hidden="1" customHeight="1" x14ac:dyDescent="0.2">
      <c r="A30" s="2147">
        <v>4379</v>
      </c>
      <c r="B30" s="2148">
        <v>5137</v>
      </c>
      <c r="C30" s="2329">
        <v>33113233</v>
      </c>
      <c r="D30" s="2174" t="s">
        <v>173</v>
      </c>
      <c r="E30" s="2184">
        <v>0</v>
      </c>
      <c r="F30" s="2184">
        <v>0</v>
      </c>
      <c r="G30" s="2184">
        <v>0</v>
      </c>
      <c r="H30" s="2156">
        <v>0</v>
      </c>
    </row>
    <row r="31" spans="1:8" ht="15.75" hidden="1" customHeight="1" x14ac:dyDescent="0.2">
      <c r="A31" s="2147">
        <v>4379</v>
      </c>
      <c r="B31" s="2148">
        <v>5137</v>
      </c>
      <c r="C31" s="2329">
        <v>33513233</v>
      </c>
      <c r="D31" s="2174" t="s">
        <v>173</v>
      </c>
      <c r="E31" s="2184">
        <v>0</v>
      </c>
      <c r="F31" s="2184">
        <v>0</v>
      </c>
      <c r="G31" s="2184">
        <v>0</v>
      </c>
      <c r="H31" s="2156">
        <v>0</v>
      </c>
    </row>
    <row r="32" spans="1:8" ht="15.75" hidden="1" customHeight="1" x14ac:dyDescent="0.2">
      <c r="A32" s="2147">
        <v>4379</v>
      </c>
      <c r="B32" s="2148">
        <v>5139</v>
      </c>
      <c r="C32" s="2329">
        <v>33113233</v>
      </c>
      <c r="D32" s="2174" t="s">
        <v>851</v>
      </c>
      <c r="E32" s="2184">
        <v>0</v>
      </c>
      <c r="F32" s="2184">
        <v>0</v>
      </c>
      <c r="G32" s="2184">
        <v>0</v>
      </c>
      <c r="H32" s="2156">
        <v>0</v>
      </c>
    </row>
    <row r="33" spans="1:8" ht="15.75" hidden="1" customHeight="1" x14ac:dyDescent="0.2">
      <c r="A33" s="2147">
        <v>4379</v>
      </c>
      <c r="B33" s="2148">
        <v>5139</v>
      </c>
      <c r="C33" s="2329">
        <v>33513233</v>
      </c>
      <c r="D33" s="2174" t="s">
        <v>851</v>
      </c>
      <c r="E33" s="2184">
        <v>0</v>
      </c>
      <c r="F33" s="2184">
        <v>0</v>
      </c>
      <c r="G33" s="2184">
        <v>0</v>
      </c>
      <c r="H33" s="2156" t="e">
        <f>G33/F33*100</f>
        <v>#DIV/0!</v>
      </c>
    </row>
    <row r="34" spans="1:8" ht="15.75" customHeight="1" x14ac:dyDescent="0.2">
      <c r="A34" s="2147">
        <v>4379</v>
      </c>
      <c r="B34" s="2148">
        <v>5163</v>
      </c>
      <c r="C34" s="2329">
        <v>33113233</v>
      </c>
      <c r="D34" s="2174" t="s">
        <v>997</v>
      </c>
      <c r="E34" s="2184">
        <v>0</v>
      </c>
      <c r="F34" s="2184">
        <v>1</v>
      </c>
      <c r="G34" s="2184">
        <v>0</v>
      </c>
      <c r="H34" s="2156">
        <v>0</v>
      </c>
    </row>
    <row r="35" spans="1:8" ht="15.75" customHeight="1" x14ac:dyDescent="0.2">
      <c r="A35" s="2147">
        <v>4379</v>
      </c>
      <c r="B35" s="2148">
        <v>5163</v>
      </c>
      <c r="C35" s="2329">
        <v>33513233</v>
      </c>
      <c r="D35" s="2174" t="s">
        <v>997</v>
      </c>
      <c r="E35" s="2184">
        <v>0</v>
      </c>
      <c r="F35" s="2184">
        <v>8</v>
      </c>
      <c r="G35" s="2184">
        <v>0</v>
      </c>
      <c r="H35" s="2156">
        <f t="shared" ref="H35:H53" si="1">G35/F35*100</f>
        <v>0</v>
      </c>
    </row>
    <row r="36" spans="1:8" ht="15.75" customHeight="1" x14ac:dyDescent="0.2">
      <c r="A36" s="2147">
        <v>4379</v>
      </c>
      <c r="B36" s="2148">
        <v>5164</v>
      </c>
      <c r="C36" s="2329">
        <v>33113233</v>
      </c>
      <c r="D36" s="2174" t="s">
        <v>188</v>
      </c>
      <c r="E36" s="2184">
        <v>0</v>
      </c>
      <c r="F36" s="2184">
        <v>7</v>
      </c>
      <c r="G36" s="2184">
        <v>4</v>
      </c>
      <c r="H36" s="2156">
        <f t="shared" si="1"/>
        <v>57.142857142857139</v>
      </c>
    </row>
    <row r="37" spans="1:8" ht="15.75" customHeight="1" x14ac:dyDescent="0.2">
      <c r="A37" s="2147">
        <v>4379</v>
      </c>
      <c r="B37" s="2148">
        <v>5164</v>
      </c>
      <c r="C37" s="2329">
        <v>33513233</v>
      </c>
      <c r="D37" s="2174" t="s">
        <v>188</v>
      </c>
      <c r="E37" s="2184">
        <v>0</v>
      </c>
      <c r="F37" s="2184">
        <v>43</v>
      </c>
      <c r="G37" s="2184">
        <v>21</v>
      </c>
      <c r="H37" s="2156">
        <f t="shared" si="1"/>
        <v>48.837209302325576</v>
      </c>
    </row>
    <row r="38" spans="1:8" s="2185" customFormat="1" ht="15.75" customHeight="1" x14ac:dyDescent="0.2">
      <c r="A38" s="2246">
        <v>4379</v>
      </c>
      <c r="B38" s="2253">
        <v>5166</v>
      </c>
      <c r="C38" s="2254">
        <v>33113233</v>
      </c>
      <c r="D38" s="2174" t="s">
        <v>677</v>
      </c>
      <c r="E38" s="2184">
        <v>0</v>
      </c>
      <c r="F38" s="2184">
        <v>30</v>
      </c>
      <c r="G38" s="2184">
        <v>12</v>
      </c>
      <c r="H38" s="2156">
        <f t="shared" si="1"/>
        <v>40</v>
      </c>
    </row>
    <row r="39" spans="1:8" s="2185" customFormat="1" ht="15.75" customHeight="1" x14ac:dyDescent="0.2">
      <c r="A39" s="2246">
        <v>4379</v>
      </c>
      <c r="B39" s="2253">
        <v>5166</v>
      </c>
      <c r="C39" s="2254">
        <v>33513233</v>
      </c>
      <c r="D39" s="2174" t="s">
        <v>677</v>
      </c>
      <c r="E39" s="2184">
        <v>0</v>
      </c>
      <c r="F39" s="2184">
        <v>170</v>
      </c>
      <c r="G39" s="2184">
        <v>67</v>
      </c>
      <c r="H39" s="2156">
        <f t="shared" si="1"/>
        <v>39.411764705882355</v>
      </c>
    </row>
    <row r="40" spans="1:8" ht="15.75" customHeight="1" x14ac:dyDescent="0.2">
      <c r="A40" s="2147">
        <v>4379</v>
      </c>
      <c r="B40" s="2148">
        <v>5169</v>
      </c>
      <c r="C40" s="2329">
        <v>33113233</v>
      </c>
      <c r="D40" s="2174" t="s">
        <v>955</v>
      </c>
      <c r="E40" s="2184">
        <v>0</v>
      </c>
      <c r="F40" s="2184">
        <v>20</v>
      </c>
      <c r="G40" s="2184">
        <v>7</v>
      </c>
      <c r="H40" s="2156">
        <f t="shared" si="1"/>
        <v>35</v>
      </c>
    </row>
    <row r="41" spans="1:8" ht="15.75" customHeight="1" x14ac:dyDescent="0.2">
      <c r="A41" s="2147">
        <v>4379</v>
      </c>
      <c r="B41" s="2148">
        <v>5169</v>
      </c>
      <c r="C41" s="2329">
        <v>33513233</v>
      </c>
      <c r="D41" s="2174" t="s">
        <v>955</v>
      </c>
      <c r="E41" s="2184">
        <v>0</v>
      </c>
      <c r="F41" s="2184">
        <v>115</v>
      </c>
      <c r="G41" s="2184">
        <v>37</v>
      </c>
      <c r="H41" s="2156">
        <f t="shared" si="1"/>
        <v>32.173913043478258</v>
      </c>
    </row>
    <row r="42" spans="1:8" ht="15.75" customHeight="1" x14ac:dyDescent="0.2">
      <c r="A42" s="2147">
        <v>4379</v>
      </c>
      <c r="B42" s="2148">
        <v>5175</v>
      </c>
      <c r="C42" s="2329">
        <v>33113233</v>
      </c>
      <c r="D42" s="2174" t="s">
        <v>740</v>
      </c>
      <c r="E42" s="2184">
        <v>0</v>
      </c>
      <c r="F42" s="2184">
        <v>9</v>
      </c>
      <c r="G42" s="2184">
        <v>4</v>
      </c>
      <c r="H42" s="2156">
        <f t="shared" si="1"/>
        <v>44.444444444444443</v>
      </c>
    </row>
    <row r="43" spans="1:8" ht="15.75" customHeight="1" x14ac:dyDescent="0.2">
      <c r="A43" s="2147">
        <v>4379</v>
      </c>
      <c r="B43" s="2148">
        <v>5175</v>
      </c>
      <c r="C43" s="2329">
        <v>33513233</v>
      </c>
      <c r="D43" s="2174" t="s">
        <v>740</v>
      </c>
      <c r="E43" s="2184">
        <v>0</v>
      </c>
      <c r="F43" s="2184">
        <v>51</v>
      </c>
      <c r="G43" s="2184">
        <v>24</v>
      </c>
      <c r="H43" s="2156">
        <f t="shared" si="1"/>
        <v>47.058823529411761</v>
      </c>
    </row>
    <row r="44" spans="1:8" ht="15.75" customHeight="1" x14ac:dyDescent="0.2">
      <c r="A44" s="2147">
        <v>4379</v>
      </c>
      <c r="B44" s="2148">
        <v>5901</v>
      </c>
      <c r="C44" s="2329">
        <v>0</v>
      </c>
      <c r="D44" s="2174" t="s">
        <v>670</v>
      </c>
      <c r="E44" s="2184">
        <v>0</v>
      </c>
      <c r="F44" s="2184">
        <v>157</v>
      </c>
      <c r="G44" s="2184">
        <v>0</v>
      </c>
      <c r="H44" s="2156">
        <f t="shared" si="1"/>
        <v>0</v>
      </c>
    </row>
    <row r="45" spans="1:8" ht="15.75" hidden="1" customHeight="1" x14ac:dyDescent="0.2">
      <c r="A45" s="2147">
        <v>4379</v>
      </c>
      <c r="B45" s="2148">
        <v>5901</v>
      </c>
      <c r="C45" s="2329">
        <v>33513233</v>
      </c>
      <c r="D45" s="2174" t="s">
        <v>1593</v>
      </c>
      <c r="E45" s="2184">
        <v>0</v>
      </c>
      <c r="F45" s="2184">
        <v>0</v>
      </c>
      <c r="G45" s="2184">
        <v>0</v>
      </c>
      <c r="H45" s="2156" t="e">
        <f t="shared" si="1"/>
        <v>#DIV/0!</v>
      </c>
    </row>
    <row r="46" spans="1:8" ht="15.75" customHeight="1" x14ac:dyDescent="0.2">
      <c r="A46" s="2246">
        <v>6172</v>
      </c>
      <c r="B46" s="2253">
        <v>5011</v>
      </c>
      <c r="C46" s="2254">
        <v>33113233</v>
      </c>
      <c r="D46" s="2174" t="s">
        <v>225</v>
      </c>
      <c r="E46" s="2184">
        <v>0</v>
      </c>
      <c r="F46" s="2184">
        <v>186</v>
      </c>
      <c r="G46" s="2184">
        <v>169</v>
      </c>
      <c r="H46" s="2156">
        <f t="shared" si="1"/>
        <v>90.86021505376344</v>
      </c>
    </row>
    <row r="47" spans="1:8" ht="15.75" customHeight="1" x14ac:dyDescent="0.2">
      <c r="A47" s="2246">
        <v>6172</v>
      </c>
      <c r="B47" s="2253">
        <v>5011</v>
      </c>
      <c r="C47" s="2254">
        <v>33513233</v>
      </c>
      <c r="D47" s="2174" t="s">
        <v>225</v>
      </c>
      <c r="E47" s="2184">
        <v>0</v>
      </c>
      <c r="F47" s="2184">
        <v>1054</v>
      </c>
      <c r="G47" s="2184">
        <v>961</v>
      </c>
      <c r="H47" s="2156">
        <f t="shared" si="1"/>
        <v>91.17647058823529</v>
      </c>
    </row>
    <row r="48" spans="1:8" ht="15.75" customHeight="1" x14ac:dyDescent="0.2">
      <c r="A48" s="2147">
        <v>6172</v>
      </c>
      <c r="B48" s="2148">
        <v>5021</v>
      </c>
      <c r="C48" s="2329">
        <v>33113233</v>
      </c>
      <c r="D48" s="2174" t="s">
        <v>427</v>
      </c>
      <c r="E48" s="2184">
        <v>0</v>
      </c>
      <c r="F48" s="2184">
        <v>20</v>
      </c>
      <c r="G48" s="2184">
        <v>18</v>
      </c>
      <c r="H48" s="2156">
        <f t="shared" si="1"/>
        <v>90</v>
      </c>
    </row>
    <row r="49" spans="1:8" ht="15.75" customHeight="1" x14ac:dyDescent="0.2">
      <c r="A49" s="2147">
        <v>6172</v>
      </c>
      <c r="B49" s="2148">
        <v>5021</v>
      </c>
      <c r="C49" s="2329">
        <v>33513233</v>
      </c>
      <c r="D49" s="2174" t="s">
        <v>427</v>
      </c>
      <c r="E49" s="2184">
        <v>0</v>
      </c>
      <c r="F49" s="2184">
        <v>112</v>
      </c>
      <c r="G49" s="2184">
        <v>102</v>
      </c>
      <c r="H49" s="2156">
        <f t="shared" si="1"/>
        <v>91.071428571428569</v>
      </c>
    </row>
    <row r="50" spans="1:8" s="2185" customFormat="1" ht="45" x14ac:dyDescent="0.2">
      <c r="A50" s="2246">
        <v>6172</v>
      </c>
      <c r="B50" s="2253">
        <v>5031</v>
      </c>
      <c r="C50" s="2254">
        <v>33113233</v>
      </c>
      <c r="D50" s="2174" t="s">
        <v>1459</v>
      </c>
      <c r="E50" s="2184">
        <v>0</v>
      </c>
      <c r="F50" s="2184">
        <v>52</v>
      </c>
      <c r="G50" s="2184">
        <v>47</v>
      </c>
      <c r="H50" s="2156">
        <f t="shared" si="1"/>
        <v>90.384615384615387</v>
      </c>
    </row>
    <row r="51" spans="1:8" s="2185" customFormat="1" ht="45" x14ac:dyDescent="0.2">
      <c r="A51" s="2246">
        <v>6172</v>
      </c>
      <c r="B51" s="2253">
        <v>5031</v>
      </c>
      <c r="C51" s="2254">
        <v>33513233</v>
      </c>
      <c r="D51" s="2174" t="s">
        <v>1459</v>
      </c>
      <c r="E51" s="2184">
        <v>0</v>
      </c>
      <c r="F51" s="2184">
        <v>294</v>
      </c>
      <c r="G51" s="2184">
        <v>265</v>
      </c>
      <c r="H51" s="2156">
        <f t="shared" si="1"/>
        <v>90.136054421768705</v>
      </c>
    </row>
    <row r="52" spans="1:8" s="2185" customFormat="1" ht="30" x14ac:dyDescent="0.2">
      <c r="A52" s="2246">
        <v>6172</v>
      </c>
      <c r="B52" s="2253">
        <v>5032</v>
      </c>
      <c r="C52" s="2254">
        <v>33113233</v>
      </c>
      <c r="D52" s="2174" t="s">
        <v>1460</v>
      </c>
      <c r="E52" s="2184">
        <v>0</v>
      </c>
      <c r="F52" s="2184">
        <v>19</v>
      </c>
      <c r="G52" s="2184">
        <v>17</v>
      </c>
      <c r="H52" s="2156">
        <f t="shared" si="1"/>
        <v>89.473684210526315</v>
      </c>
    </row>
    <row r="53" spans="1:8" s="2185" customFormat="1" ht="30.75" thickBot="1" x14ac:dyDescent="0.25">
      <c r="A53" s="2270">
        <v>6172</v>
      </c>
      <c r="B53" s="2271">
        <v>5032</v>
      </c>
      <c r="C53" s="2330">
        <v>33513233</v>
      </c>
      <c r="D53" s="2180" t="s">
        <v>1460</v>
      </c>
      <c r="E53" s="2181">
        <v>0</v>
      </c>
      <c r="F53" s="2181">
        <v>105</v>
      </c>
      <c r="G53" s="2181">
        <v>95</v>
      </c>
      <c r="H53" s="2163">
        <f t="shared" si="1"/>
        <v>90.476190476190482</v>
      </c>
    </row>
    <row r="54" spans="1:8" ht="16.5" thickTop="1" thickBot="1" x14ac:dyDescent="0.3">
      <c r="A54" s="2331"/>
      <c r="H54" s="2240" t="s">
        <v>179</v>
      </c>
    </row>
    <row r="55" spans="1:8" s="1849" customFormat="1" ht="25.5" thickTop="1" thickBot="1" x14ac:dyDescent="0.25">
      <c r="A55" s="2138" t="s">
        <v>180</v>
      </c>
      <c r="B55" s="2139" t="s">
        <v>847</v>
      </c>
      <c r="C55" s="2139" t="s">
        <v>414</v>
      </c>
      <c r="D55" s="2140" t="s">
        <v>182</v>
      </c>
      <c r="E55" s="2171" t="s">
        <v>700</v>
      </c>
      <c r="F55" s="2171" t="s">
        <v>701</v>
      </c>
      <c r="G55" s="2172" t="s">
        <v>986</v>
      </c>
      <c r="H55" s="2173" t="s">
        <v>987</v>
      </c>
    </row>
    <row r="56" spans="1:8" s="1849" customFormat="1" ht="13.5" thickTop="1" thickBot="1" x14ac:dyDescent="0.25">
      <c r="A56" s="1854">
        <v>1</v>
      </c>
      <c r="B56" s="1853">
        <v>2</v>
      </c>
      <c r="C56" s="1853">
        <v>3</v>
      </c>
      <c r="D56" s="1853">
        <v>4</v>
      </c>
      <c r="E56" s="1852">
        <v>5</v>
      </c>
      <c r="F56" s="1852">
        <v>6</v>
      </c>
      <c r="G56" s="2223">
        <v>7</v>
      </c>
      <c r="H56" s="2251" t="s">
        <v>61</v>
      </c>
    </row>
    <row r="57" spans="1:8" s="2259" customFormat="1" ht="15.75" hidden="1" thickTop="1" x14ac:dyDescent="0.2">
      <c r="A57" s="2246">
        <v>6172</v>
      </c>
      <c r="B57" s="2253">
        <v>5137</v>
      </c>
      <c r="C57" s="2254">
        <v>33113233</v>
      </c>
      <c r="D57" s="2174" t="s">
        <v>173</v>
      </c>
      <c r="E57" s="2184">
        <v>0</v>
      </c>
      <c r="F57" s="2184">
        <v>0</v>
      </c>
      <c r="G57" s="2184">
        <v>0</v>
      </c>
      <c r="H57" s="2156" t="e">
        <f t="shared" ref="H57:H68" si="2">G57/F57*100</f>
        <v>#DIV/0!</v>
      </c>
    </row>
    <row r="58" spans="1:8" s="2259" customFormat="1" ht="15.75" hidden="1" thickTop="1" x14ac:dyDescent="0.2">
      <c r="A58" s="2246">
        <v>6172</v>
      </c>
      <c r="B58" s="2253">
        <v>5137</v>
      </c>
      <c r="C58" s="2254">
        <v>33513233</v>
      </c>
      <c r="D58" s="2174" t="s">
        <v>173</v>
      </c>
      <c r="E58" s="2184">
        <v>0</v>
      </c>
      <c r="F58" s="2184">
        <v>0</v>
      </c>
      <c r="G58" s="2184">
        <v>0</v>
      </c>
      <c r="H58" s="2156" t="e">
        <f t="shared" si="2"/>
        <v>#DIV/0!</v>
      </c>
    </row>
    <row r="59" spans="1:8" s="2185" customFormat="1" ht="15.75" customHeight="1" thickTop="1" x14ac:dyDescent="0.2">
      <c r="A59" s="2246">
        <v>6172</v>
      </c>
      <c r="B59" s="2257">
        <v>5139</v>
      </c>
      <c r="C59" s="2254">
        <v>33113233</v>
      </c>
      <c r="D59" s="2174" t="s">
        <v>851</v>
      </c>
      <c r="E59" s="2184">
        <v>0</v>
      </c>
      <c r="F59" s="2184">
        <v>7</v>
      </c>
      <c r="G59" s="2184">
        <v>0</v>
      </c>
      <c r="H59" s="2156">
        <f t="shared" si="2"/>
        <v>0</v>
      </c>
    </row>
    <row r="60" spans="1:8" s="2185" customFormat="1" ht="15.75" customHeight="1" x14ac:dyDescent="0.2">
      <c r="A60" s="2246">
        <v>6172</v>
      </c>
      <c r="B60" s="2257">
        <v>5139</v>
      </c>
      <c r="C60" s="2329">
        <v>33513233</v>
      </c>
      <c r="D60" s="2174" t="s">
        <v>851</v>
      </c>
      <c r="E60" s="2184">
        <v>0</v>
      </c>
      <c r="F60" s="2184">
        <v>43</v>
      </c>
      <c r="G60" s="2184">
        <v>0</v>
      </c>
      <c r="H60" s="2156">
        <f t="shared" si="2"/>
        <v>0</v>
      </c>
    </row>
    <row r="61" spans="1:8" ht="15.75" customHeight="1" x14ac:dyDescent="0.2">
      <c r="A61" s="2246">
        <v>6172</v>
      </c>
      <c r="B61" s="2257">
        <v>5156</v>
      </c>
      <c r="C61" s="2254">
        <v>33113233</v>
      </c>
      <c r="D61" s="2174" t="s">
        <v>323</v>
      </c>
      <c r="E61" s="2184">
        <v>0</v>
      </c>
      <c r="F61" s="2184">
        <v>1</v>
      </c>
      <c r="G61" s="2184">
        <v>0</v>
      </c>
      <c r="H61" s="2156">
        <f t="shared" si="2"/>
        <v>0</v>
      </c>
    </row>
    <row r="62" spans="1:8" ht="15.75" customHeight="1" x14ac:dyDescent="0.2">
      <c r="A62" s="2246">
        <v>6172</v>
      </c>
      <c r="B62" s="2257">
        <v>5156</v>
      </c>
      <c r="C62" s="2254">
        <v>33513233</v>
      </c>
      <c r="D62" s="2174" t="s">
        <v>323</v>
      </c>
      <c r="E62" s="2184">
        <v>0</v>
      </c>
      <c r="F62" s="2184">
        <v>8</v>
      </c>
      <c r="G62" s="2184">
        <v>1</v>
      </c>
      <c r="H62" s="2156">
        <f t="shared" si="2"/>
        <v>12.5</v>
      </c>
    </row>
    <row r="63" spans="1:8" ht="15.75" customHeight="1" x14ac:dyDescent="0.2">
      <c r="A63" s="2246">
        <v>6172</v>
      </c>
      <c r="B63" s="2253">
        <v>5162</v>
      </c>
      <c r="C63" s="2254">
        <v>33113233</v>
      </c>
      <c r="D63" s="2174" t="s">
        <v>967</v>
      </c>
      <c r="E63" s="2184">
        <v>0</v>
      </c>
      <c r="F63" s="2184">
        <v>0</v>
      </c>
      <c r="G63" s="2184">
        <v>0</v>
      </c>
      <c r="H63" s="2156">
        <v>0</v>
      </c>
    </row>
    <row r="64" spans="1:8" ht="15.75" customHeight="1" x14ac:dyDescent="0.2">
      <c r="A64" s="2246">
        <v>6172</v>
      </c>
      <c r="B64" s="2253">
        <v>5162</v>
      </c>
      <c r="C64" s="2254">
        <v>33513233</v>
      </c>
      <c r="D64" s="2174" t="s">
        <v>967</v>
      </c>
      <c r="E64" s="2184">
        <v>0</v>
      </c>
      <c r="F64" s="2184">
        <v>3</v>
      </c>
      <c r="G64" s="2184">
        <v>1</v>
      </c>
      <c r="H64" s="2156">
        <f t="shared" si="2"/>
        <v>33.333333333333329</v>
      </c>
    </row>
    <row r="65" spans="1:9" ht="15.75" customHeight="1" x14ac:dyDescent="0.2">
      <c r="A65" s="2147">
        <v>6172</v>
      </c>
      <c r="B65" s="2148">
        <v>5173</v>
      </c>
      <c r="C65" s="2329">
        <v>33113233</v>
      </c>
      <c r="D65" s="2174" t="s">
        <v>1296</v>
      </c>
      <c r="E65" s="2184">
        <v>0</v>
      </c>
      <c r="F65" s="2184">
        <v>1</v>
      </c>
      <c r="G65" s="2184">
        <v>0</v>
      </c>
      <c r="H65" s="2156">
        <f t="shared" si="2"/>
        <v>0</v>
      </c>
    </row>
    <row r="66" spans="1:9" ht="15.75" customHeight="1" x14ac:dyDescent="0.2">
      <c r="A66" s="2147">
        <v>6172</v>
      </c>
      <c r="B66" s="2148">
        <v>5173</v>
      </c>
      <c r="C66" s="2329">
        <v>33513233</v>
      </c>
      <c r="D66" s="2174" t="s">
        <v>1296</v>
      </c>
      <c r="E66" s="2184">
        <v>0</v>
      </c>
      <c r="F66" s="2184">
        <v>9</v>
      </c>
      <c r="G66" s="2184">
        <v>1</v>
      </c>
      <c r="H66" s="2156">
        <f t="shared" si="2"/>
        <v>11.111111111111111</v>
      </c>
    </row>
    <row r="67" spans="1:9" s="2185" customFormat="1" ht="15.75" customHeight="1" x14ac:dyDescent="0.2">
      <c r="A67" s="2246">
        <v>6172</v>
      </c>
      <c r="B67" s="2253">
        <v>5424</v>
      </c>
      <c r="C67" s="2254">
        <v>33113233</v>
      </c>
      <c r="D67" s="2174" t="s">
        <v>720</v>
      </c>
      <c r="E67" s="2184">
        <v>0</v>
      </c>
      <c r="F67" s="2184">
        <v>7</v>
      </c>
      <c r="G67" s="2184">
        <v>1</v>
      </c>
      <c r="H67" s="2156">
        <f t="shared" si="2"/>
        <v>14.285714285714285</v>
      </c>
    </row>
    <row r="68" spans="1:9" s="2185" customFormat="1" ht="15.75" customHeight="1" thickBot="1" x14ac:dyDescent="0.25">
      <c r="A68" s="2246">
        <v>6172</v>
      </c>
      <c r="B68" s="2253">
        <v>5424</v>
      </c>
      <c r="C68" s="2254">
        <v>33513233</v>
      </c>
      <c r="D68" s="2174" t="s">
        <v>720</v>
      </c>
      <c r="E68" s="2184">
        <v>0</v>
      </c>
      <c r="F68" s="2184">
        <v>43</v>
      </c>
      <c r="G68" s="2184">
        <v>4</v>
      </c>
      <c r="H68" s="2156">
        <f t="shared" si="2"/>
        <v>9.3023255813953494</v>
      </c>
    </row>
    <row r="69" spans="1:9" s="2185" customFormat="1" ht="15.75" hidden="1" customHeight="1" thickBot="1" x14ac:dyDescent="0.25">
      <c r="A69" s="2246">
        <v>6330</v>
      </c>
      <c r="B69" s="2253">
        <v>5345</v>
      </c>
      <c r="C69" s="2254"/>
      <c r="D69" s="2174" t="s">
        <v>853</v>
      </c>
      <c r="E69" s="2184">
        <v>0</v>
      </c>
      <c r="F69" s="2184">
        <v>0</v>
      </c>
      <c r="G69" s="2184">
        <v>0</v>
      </c>
      <c r="H69" s="2163">
        <v>0</v>
      </c>
    </row>
    <row r="70" spans="1:9" s="2164" customFormat="1" ht="16.5" thickTop="1" thickBot="1" x14ac:dyDescent="0.3">
      <c r="A70" s="2806" t="s">
        <v>849</v>
      </c>
      <c r="B70" s="2807"/>
      <c r="C70" s="2807"/>
      <c r="D70" s="2807"/>
      <c r="E70" s="2152">
        <f>SUM(E57:E68,E12:E53)</f>
        <v>0</v>
      </c>
      <c r="F70" s="2152">
        <f>SUM(F57:F69,F12:F53)</f>
        <v>81869</v>
      </c>
      <c r="G70" s="2152">
        <f>SUM(G57:G69,G12:G53)</f>
        <v>80493</v>
      </c>
      <c r="H70" s="2157">
        <f>G70/F70*100</f>
        <v>98.319266144694566</v>
      </c>
      <c r="I70" s="2262"/>
    </row>
    <row r="71" spans="1:9" ht="13.5" thickTop="1" x14ac:dyDescent="0.2">
      <c r="I71" s="2165"/>
    </row>
    <row r="72" spans="1:9" x14ac:dyDescent="0.2">
      <c r="I72" s="2165"/>
    </row>
    <row r="73" spans="1:9" ht="15" x14ac:dyDescent="0.25">
      <c r="A73" s="2136" t="s">
        <v>1802</v>
      </c>
      <c r="I73" s="2165"/>
    </row>
    <row r="74" spans="1:9" ht="15.75" thickBot="1" x14ac:dyDescent="0.3">
      <c r="A74" s="2136" t="s">
        <v>1833</v>
      </c>
      <c r="H74" s="2240" t="s">
        <v>179</v>
      </c>
      <c r="I74" s="2165"/>
    </row>
    <row r="75" spans="1:9" s="1849" customFormat="1" ht="25.5" thickTop="1" thickBot="1" x14ac:dyDescent="0.25">
      <c r="A75" s="2138" t="s">
        <v>180</v>
      </c>
      <c r="B75" s="2139" t="s">
        <v>847</v>
      </c>
      <c r="C75" s="2139" t="s">
        <v>414</v>
      </c>
      <c r="D75" s="2140" t="s">
        <v>182</v>
      </c>
      <c r="E75" s="2171" t="s">
        <v>700</v>
      </c>
      <c r="F75" s="2171" t="s">
        <v>701</v>
      </c>
      <c r="G75" s="2172" t="s">
        <v>986</v>
      </c>
      <c r="H75" s="2173" t="s">
        <v>987</v>
      </c>
    </row>
    <row r="76" spans="1:9" s="1849" customFormat="1" ht="13.5" thickTop="1" thickBot="1" x14ac:dyDescent="0.25">
      <c r="A76" s="1854">
        <v>1</v>
      </c>
      <c r="B76" s="1853">
        <v>2</v>
      </c>
      <c r="C76" s="1853">
        <v>3</v>
      </c>
      <c r="D76" s="1853">
        <v>4</v>
      </c>
      <c r="E76" s="1852">
        <v>5</v>
      </c>
      <c r="F76" s="1852">
        <v>6</v>
      </c>
      <c r="G76" s="2223">
        <v>7</v>
      </c>
      <c r="H76" s="2251" t="s">
        <v>61</v>
      </c>
    </row>
    <row r="77" spans="1:9" ht="15.75" customHeight="1" thickTop="1" x14ac:dyDescent="0.2">
      <c r="A77" s="2166">
        <v>4379</v>
      </c>
      <c r="B77" s="2149">
        <v>5137</v>
      </c>
      <c r="C77" s="2252">
        <v>33113233</v>
      </c>
      <c r="D77" s="2174" t="s">
        <v>173</v>
      </c>
      <c r="E77" s="2170">
        <v>0</v>
      </c>
      <c r="F77" s="2170">
        <v>1</v>
      </c>
      <c r="G77" s="2170">
        <v>0</v>
      </c>
      <c r="H77" s="2153">
        <f t="shared" ref="H77:H103" si="3">G77/F77*100</f>
        <v>0</v>
      </c>
    </row>
    <row r="78" spans="1:9" ht="15.75" customHeight="1" x14ac:dyDescent="0.2">
      <c r="A78" s="2147">
        <v>4379</v>
      </c>
      <c r="B78" s="2148">
        <v>5137</v>
      </c>
      <c r="C78" s="2329">
        <v>33513233</v>
      </c>
      <c r="D78" s="2174" t="s">
        <v>173</v>
      </c>
      <c r="E78" s="2184">
        <v>0</v>
      </c>
      <c r="F78" s="2184">
        <v>8</v>
      </c>
      <c r="G78" s="2184">
        <v>0</v>
      </c>
      <c r="H78" s="2156">
        <f t="shared" si="3"/>
        <v>0</v>
      </c>
    </row>
    <row r="79" spans="1:9" ht="15.75" customHeight="1" x14ac:dyDescent="0.2">
      <c r="A79" s="2147">
        <v>4379</v>
      </c>
      <c r="B79" s="2148">
        <v>5139</v>
      </c>
      <c r="C79" s="2329">
        <v>33113233</v>
      </c>
      <c r="D79" s="2174" t="s">
        <v>187</v>
      </c>
      <c r="E79" s="2184">
        <v>0</v>
      </c>
      <c r="F79" s="2184">
        <v>7</v>
      </c>
      <c r="G79" s="2184">
        <v>0</v>
      </c>
      <c r="H79" s="2156">
        <f t="shared" si="3"/>
        <v>0</v>
      </c>
    </row>
    <row r="80" spans="1:9" ht="15.75" customHeight="1" x14ac:dyDescent="0.2">
      <c r="A80" s="2147">
        <v>4379</v>
      </c>
      <c r="B80" s="2148">
        <v>5139</v>
      </c>
      <c r="C80" s="2329">
        <v>33513233</v>
      </c>
      <c r="D80" s="2174" t="s">
        <v>187</v>
      </c>
      <c r="E80" s="2184">
        <v>0</v>
      </c>
      <c r="F80" s="2184">
        <v>43</v>
      </c>
      <c r="G80" s="2184">
        <v>0</v>
      </c>
      <c r="H80" s="2156">
        <f t="shared" si="3"/>
        <v>0</v>
      </c>
    </row>
    <row r="81" spans="1:8" ht="15.75" customHeight="1" x14ac:dyDescent="0.2">
      <c r="A81" s="2147">
        <v>4379</v>
      </c>
      <c r="B81" s="2148">
        <v>5166</v>
      </c>
      <c r="C81" s="2329">
        <v>33113233</v>
      </c>
      <c r="D81" s="2174" t="s">
        <v>677</v>
      </c>
      <c r="E81" s="2184">
        <v>0</v>
      </c>
      <c r="F81" s="2184">
        <v>48</v>
      </c>
      <c r="G81" s="2184">
        <v>32</v>
      </c>
      <c r="H81" s="2156">
        <f t="shared" si="3"/>
        <v>66.666666666666657</v>
      </c>
    </row>
    <row r="82" spans="1:8" ht="15.75" customHeight="1" x14ac:dyDescent="0.2">
      <c r="A82" s="2147">
        <v>4379</v>
      </c>
      <c r="B82" s="2148">
        <v>5166</v>
      </c>
      <c r="C82" s="2329">
        <v>33513233</v>
      </c>
      <c r="D82" s="2174" t="s">
        <v>677</v>
      </c>
      <c r="E82" s="2184">
        <v>0</v>
      </c>
      <c r="F82" s="2184">
        <v>272</v>
      </c>
      <c r="G82" s="2184">
        <v>184</v>
      </c>
      <c r="H82" s="2156">
        <f t="shared" si="3"/>
        <v>67.64705882352942</v>
      </c>
    </row>
    <row r="83" spans="1:8" ht="15.75" customHeight="1" x14ac:dyDescent="0.2">
      <c r="A83" s="2147">
        <v>4379</v>
      </c>
      <c r="B83" s="2148">
        <v>5169</v>
      </c>
      <c r="C83" s="2329">
        <v>33113233</v>
      </c>
      <c r="D83" s="2174" t="s">
        <v>955</v>
      </c>
      <c r="E83" s="2184">
        <v>0</v>
      </c>
      <c r="F83" s="2184">
        <v>9</v>
      </c>
      <c r="G83" s="2184">
        <v>0</v>
      </c>
      <c r="H83" s="2156">
        <f t="shared" si="3"/>
        <v>0</v>
      </c>
    </row>
    <row r="84" spans="1:8" ht="15.75" customHeight="1" x14ac:dyDescent="0.2">
      <c r="A84" s="2147">
        <v>4379</v>
      </c>
      <c r="B84" s="2148">
        <v>5169</v>
      </c>
      <c r="C84" s="2329">
        <v>33513233</v>
      </c>
      <c r="D84" s="2174" t="s">
        <v>955</v>
      </c>
      <c r="E84" s="2184">
        <v>0</v>
      </c>
      <c r="F84" s="2184">
        <v>51</v>
      </c>
      <c r="G84" s="2184">
        <v>0</v>
      </c>
      <c r="H84" s="2156">
        <f t="shared" si="3"/>
        <v>0</v>
      </c>
    </row>
    <row r="85" spans="1:8" ht="15.75" customHeight="1" x14ac:dyDescent="0.2">
      <c r="A85" s="2147">
        <v>4379</v>
      </c>
      <c r="B85" s="2148">
        <v>5175</v>
      </c>
      <c r="C85" s="2329">
        <v>33113233</v>
      </c>
      <c r="D85" s="2174" t="s">
        <v>740</v>
      </c>
      <c r="E85" s="2184">
        <v>0</v>
      </c>
      <c r="F85" s="2184">
        <v>4</v>
      </c>
      <c r="G85" s="2184">
        <v>0</v>
      </c>
      <c r="H85" s="2156">
        <f t="shared" si="3"/>
        <v>0</v>
      </c>
    </row>
    <row r="86" spans="1:8" ht="15.75" customHeight="1" x14ac:dyDescent="0.2">
      <c r="A86" s="2147">
        <v>4379</v>
      </c>
      <c r="B86" s="2148">
        <v>5175</v>
      </c>
      <c r="C86" s="2329">
        <v>33513233</v>
      </c>
      <c r="D86" s="2174" t="s">
        <v>740</v>
      </c>
      <c r="E86" s="2184">
        <v>0</v>
      </c>
      <c r="F86" s="2184">
        <v>21</v>
      </c>
      <c r="G86" s="2184">
        <v>0</v>
      </c>
      <c r="H86" s="2156">
        <f t="shared" si="3"/>
        <v>0</v>
      </c>
    </row>
    <row r="87" spans="1:8" ht="15.75" customHeight="1" x14ac:dyDescent="0.2">
      <c r="A87" s="2147">
        <v>4379</v>
      </c>
      <c r="B87" s="2148">
        <v>5901</v>
      </c>
      <c r="C87" s="2329">
        <v>33113233</v>
      </c>
      <c r="D87" s="2174" t="s">
        <v>670</v>
      </c>
      <c r="E87" s="2184">
        <v>0</v>
      </c>
      <c r="F87" s="2184">
        <v>2321</v>
      </c>
      <c r="G87" s="2184">
        <v>0</v>
      </c>
      <c r="H87" s="2156">
        <f t="shared" si="3"/>
        <v>0</v>
      </c>
    </row>
    <row r="88" spans="1:8" ht="15.75" customHeight="1" x14ac:dyDescent="0.2">
      <c r="A88" s="2147">
        <v>4379</v>
      </c>
      <c r="B88" s="2148">
        <v>5901</v>
      </c>
      <c r="C88" s="2329">
        <v>33513233</v>
      </c>
      <c r="D88" s="2174" t="s">
        <v>670</v>
      </c>
      <c r="E88" s="2184">
        <v>0</v>
      </c>
      <c r="F88" s="2184">
        <v>13151</v>
      </c>
      <c r="G88" s="2184">
        <v>0</v>
      </c>
      <c r="H88" s="2156">
        <f t="shared" si="3"/>
        <v>0</v>
      </c>
    </row>
    <row r="89" spans="1:8" ht="15.75" hidden="1" customHeight="1" x14ac:dyDescent="0.2">
      <c r="A89" s="2147">
        <v>4379</v>
      </c>
      <c r="B89" s="2148">
        <v>5901</v>
      </c>
      <c r="C89" s="2329">
        <v>33513233</v>
      </c>
      <c r="D89" s="2174" t="s">
        <v>1593</v>
      </c>
      <c r="E89" s="2184">
        <v>0</v>
      </c>
      <c r="F89" s="2184">
        <v>0</v>
      </c>
      <c r="G89" s="2184">
        <v>0</v>
      </c>
      <c r="H89" s="2156" t="e">
        <f t="shared" si="3"/>
        <v>#DIV/0!</v>
      </c>
    </row>
    <row r="90" spans="1:8" ht="15.75" customHeight="1" x14ac:dyDescent="0.2">
      <c r="A90" s="2246">
        <v>6172</v>
      </c>
      <c r="B90" s="2253">
        <v>5011</v>
      </c>
      <c r="C90" s="2254">
        <v>33113233</v>
      </c>
      <c r="D90" s="2174" t="s">
        <v>225</v>
      </c>
      <c r="E90" s="2184">
        <v>0</v>
      </c>
      <c r="F90" s="2184">
        <v>18</v>
      </c>
      <c r="G90" s="2184">
        <v>15</v>
      </c>
      <c r="H90" s="2156">
        <f t="shared" si="3"/>
        <v>83.333333333333343</v>
      </c>
    </row>
    <row r="91" spans="1:8" ht="15.75" customHeight="1" x14ac:dyDescent="0.2">
      <c r="A91" s="2246">
        <v>6172</v>
      </c>
      <c r="B91" s="2253">
        <v>5011</v>
      </c>
      <c r="C91" s="2254">
        <v>33513233</v>
      </c>
      <c r="D91" s="2174" t="s">
        <v>225</v>
      </c>
      <c r="E91" s="2184">
        <v>0</v>
      </c>
      <c r="F91" s="2184">
        <v>103</v>
      </c>
      <c r="G91" s="2184">
        <v>87</v>
      </c>
      <c r="H91" s="2156">
        <f t="shared" si="3"/>
        <v>84.466019417475721</v>
      </c>
    </row>
    <row r="92" spans="1:8" ht="15.75" customHeight="1" x14ac:dyDescent="0.2">
      <c r="A92" s="2147">
        <v>6172</v>
      </c>
      <c r="B92" s="2148">
        <v>5021</v>
      </c>
      <c r="C92" s="2329">
        <v>33113233</v>
      </c>
      <c r="D92" s="2174" t="s">
        <v>427</v>
      </c>
      <c r="E92" s="2184">
        <v>0</v>
      </c>
      <c r="F92" s="2184">
        <v>5</v>
      </c>
      <c r="G92" s="2184">
        <v>4</v>
      </c>
      <c r="H92" s="2156">
        <f t="shared" si="3"/>
        <v>80</v>
      </c>
    </row>
    <row r="93" spans="1:8" ht="15.75" customHeight="1" x14ac:dyDescent="0.2">
      <c r="A93" s="2147">
        <v>6172</v>
      </c>
      <c r="B93" s="2148">
        <v>5021</v>
      </c>
      <c r="C93" s="2329">
        <v>33513233</v>
      </c>
      <c r="D93" s="2174" t="s">
        <v>427</v>
      </c>
      <c r="E93" s="2184">
        <v>0</v>
      </c>
      <c r="F93" s="2184">
        <v>28</v>
      </c>
      <c r="G93" s="2184">
        <v>25</v>
      </c>
      <c r="H93" s="2156">
        <f t="shared" si="3"/>
        <v>89.285714285714292</v>
      </c>
    </row>
    <row r="94" spans="1:8" s="2185" customFormat="1" ht="45" x14ac:dyDescent="0.2">
      <c r="A94" s="2246">
        <v>6172</v>
      </c>
      <c r="B94" s="2253">
        <v>5031</v>
      </c>
      <c r="C94" s="2254">
        <v>33113233</v>
      </c>
      <c r="D94" s="2174" t="s">
        <v>1459</v>
      </c>
      <c r="E94" s="2184">
        <v>0</v>
      </c>
      <c r="F94" s="2184">
        <v>6</v>
      </c>
      <c r="G94" s="2184">
        <v>5</v>
      </c>
      <c r="H94" s="2156">
        <f t="shared" si="3"/>
        <v>83.333333333333343</v>
      </c>
    </row>
    <row r="95" spans="1:8" s="2185" customFormat="1" ht="45" x14ac:dyDescent="0.2">
      <c r="A95" s="2246">
        <v>6172</v>
      </c>
      <c r="B95" s="2253">
        <v>5031</v>
      </c>
      <c r="C95" s="2254">
        <v>33513233</v>
      </c>
      <c r="D95" s="2174" t="s">
        <v>1459</v>
      </c>
      <c r="E95" s="2184">
        <v>0</v>
      </c>
      <c r="F95" s="2184">
        <v>33</v>
      </c>
      <c r="G95" s="2184">
        <v>28</v>
      </c>
      <c r="H95" s="2156">
        <f t="shared" si="3"/>
        <v>84.848484848484844</v>
      </c>
    </row>
    <row r="96" spans="1:8" s="2185" customFormat="1" ht="30" x14ac:dyDescent="0.2">
      <c r="A96" s="2246">
        <v>6172</v>
      </c>
      <c r="B96" s="2253">
        <v>5032</v>
      </c>
      <c r="C96" s="2254">
        <v>33113233</v>
      </c>
      <c r="D96" s="2174" t="s">
        <v>1460</v>
      </c>
      <c r="E96" s="2184">
        <v>0</v>
      </c>
      <c r="F96" s="2184">
        <v>2</v>
      </c>
      <c r="G96" s="2184">
        <v>2</v>
      </c>
      <c r="H96" s="2156">
        <f t="shared" si="3"/>
        <v>100</v>
      </c>
    </row>
    <row r="97" spans="1:12" s="2185" customFormat="1" ht="30" x14ac:dyDescent="0.2">
      <c r="A97" s="2246">
        <v>6172</v>
      </c>
      <c r="B97" s="2253">
        <v>5032</v>
      </c>
      <c r="C97" s="2254">
        <v>33513233</v>
      </c>
      <c r="D97" s="2174" t="s">
        <v>1460</v>
      </c>
      <c r="E97" s="2184">
        <v>0</v>
      </c>
      <c r="F97" s="2184">
        <v>12</v>
      </c>
      <c r="G97" s="2184">
        <v>10</v>
      </c>
      <c r="H97" s="2156">
        <f t="shared" si="3"/>
        <v>83.333333333333343</v>
      </c>
    </row>
    <row r="98" spans="1:12" ht="15.75" hidden="1" customHeight="1" x14ac:dyDescent="0.2">
      <c r="A98" s="2246">
        <v>6172</v>
      </c>
      <c r="B98" s="2253">
        <v>5162</v>
      </c>
      <c r="C98" s="2254">
        <v>33113233</v>
      </c>
      <c r="D98" s="2174" t="s">
        <v>967</v>
      </c>
      <c r="E98" s="2184">
        <v>0</v>
      </c>
      <c r="F98" s="2184">
        <v>0</v>
      </c>
      <c r="G98" s="2184">
        <v>0</v>
      </c>
      <c r="H98" s="2156">
        <v>0</v>
      </c>
    </row>
    <row r="99" spans="1:12" ht="15.75" customHeight="1" x14ac:dyDescent="0.2">
      <c r="A99" s="2246">
        <v>6172</v>
      </c>
      <c r="B99" s="2253">
        <v>5162</v>
      </c>
      <c r="C99" s="2254">
        <v>33513233</v>
      </c>
      <c r="D99" s="2174" t="s">
        <v>967</v>
      </c>
      <c r="E99" s="2184">
        <v>0</v>
      </c>
      <c r="F99" s="2184">
        <v>1</v>
      </c>
      <c r="G99" s="2184">
        <v>0</v>
      </c>
      <c r="H99" s="2156">
        <f t="shared" si="3"/>
        <v>0</v>
      </c>
    </row>
    <row r="100" spans="1:12" s="2185" customFormat="1" ht="15" x14ac:dyDescent="0.2">
      <c r="A100" s="2246">
        <v>6172</v>
      </c>
      <c r="B100" s="2253">
        <v>5173</v>
      </c>
      <c r="C100" s="2254">
        <v>33113233</v>
      </c>
      <c r="D100" s="2174" t="s">
        <v>1296</v>
      </c>
      <c r="E100" s="2184">
        <v>0</v>
      </c>
      <c r="F100" s="2184">
        <v>1</v>
      </c>
      <c r="G100" s="2184">
        <v>0</v>
      </c>
      <c r="H100" s="2156">
        <f t="shared" si="3"/>
        <v>0</v>
      </c>
    </row>
    <row r="101" spans="1:12" s="2185" customFormat="1" ht="15" x14ac:dyDescent="0.2">
      <c r="A101" s="2246">
        <v>6172</v>
      </c>
      <c r="B101" s="2253">
        <v>5173</v>
      </c>
      <c r="C101" s="2254">
        <v>33513233</v>
      </c>
      <c r="D101" s="2174" t="s">
        <v>1296</v>
      </c>
      <c r="E101" s="2184">
        <v>0</v>
      </c>
      <c r="F101" s="2184">
        <v>4</v>
      </c>
      <c r="G101" s="2184">
        <v>0</v>
      </c>
      <c r="H101" s="2156">
        <f t="shared" si="3"/>
        <v>0</v>
      </c>
    </row>
    <row r="102" spans="1:12" s="2185" customFormat="1" ht="15" x14ac:dyDescent="0.2">
      <c r="A102" s="2246">
        <v>6172</v>
      </c>
      <c r="B102" s="2253">
        <v>5424</v>
      </c>
      <c r="C102" s="2254">
        <v>33113233</v>
      </c>
      <c r="D102" s="2174" t="s">
        <v>720</v>
      </c>
      <c r="E102" s="2184">
        <v>0</v>
      </c>
      <c r="F102" s="2184">
        <v>4</v>
      </c>
      <c r="G102" s="2184">
        <v>0</v>
      </c>
      <c r="H102" s="2156">
        <f t="shared" si="3"/>
        <v>0</v>
      </c>
    </row>
    <row r="103" spans="1:12" s="2185" customFormat="1" ht="15.75" thickBot="1" x14ac:dyDescent="0.25">
      <c r="A103" s="2246">
        <v>6172</v>
      </c>
      <c r="B103" s="2271">
        <v>5424</v>
      </c>
      <c r="C103" s="2330">
        <v>33513233</v>
      </c>
      <c r="D103" s="2174" t="s">
        <v>720</v>
      </c>
      <c r="E103" s="2181">
        <v>0</v>
      </c>
      <c r="F103" s="2181">
        <v>26</v>
      </c>
      <c r="G103" s="2181">
        <v>0</v>
      </c>
      <c r="H103" s="2163">
        <f t="shared" si="3"/>
        <v>0</v>
      </c>
    </row>
    <row r="104" spans="1:12" ht="16.5" thickTop="1" thickBot="1" x14ac:dyDescent="0.3">
      <c r="A104" s="2806" t="s">
        <v>849</v>
      </c>
      <c r="B104" s="2807"/>
      <c r="C104" s="2807"/>
      <c r="D104" s="2807"/>
      <c r="E104" s="2152">
        <f>SUM(E77:E103)</f>
        <v>0</v>
      </c>
      <c r="F104" s="2152">
        <f>SUM(F77:F103)</f>
        <v>16179</v>
      </c>
      <c r="G104" s="2152">
        <f>SUM(G77:G103)</f>
        <v>392</v>
      </c>
      <c r="H104" s="2157">
        <f>G104/F104*100</f>
        <v>2.4228938747759439</v>
      </c>
      <c r="I104" s="2165"/>
    </row>
    <row r="105" spans="1:12" ht="13.5" thickTop="1" x14ac:dyDescent="0.2"/>
    <row r="106" spans="1:12" ht="16.5" x14ac:dyDescent="0.25">
      <c r="A106" s="2206" t="s">
        <v>508</v>
      </c>
      <c r="B106" s="2207"/>
      <c r="C106" s="2208"/>
      <c r="D106" s="2209"/>
      <c r="E106" s="2210">
        <f>SUM(E107:E109)</f>
        <v>0</v>
      </c>
      <c r="F106" s="2210">
        <f>F107+F108+F109+F110</f>
        <v>98048</v>
      </c>
      <c r="G106" s="2210">
        <f>G107+G108+G109+G110</f>
        <v>80885</v>
      </c>
      <c r="H106" s="2232">
        <f>G106/F106*100</f>
        <v>82.495308420365532</v>
      </c>
      <c r="J106" s="2212">
        <f>J107+J108+J109</f>
        <v>0</v>
      </c>
      <c r="K106" s="2212">
        <f>K107+K108+K109</f>
        <v>98047943.290000007</v>
      </c>
      <c r="L106" s="2212">
        <f>L107+L108+L109</f>
        <v>80884688.099999994</v>
      </c>
    </row>
    <row r="107" spans="1:12" ht="15" x14ac:dyDescent="0.2">
      <c r="A107" s="1810" t="s">
        <v>288</v>
      </c>
      <c r="B107" s="1813"/>
      <c r="C107" s="1808"/>
      <c r="D107" s="2213"/>
      <c r="E107" s="1811">
        <f>E12+E13+E14+E15+E16+E17+E18+E19+E20+E21+E22+E23+E24+E25+E26+E27+E28+E29+E32+E33+E34+E35+E36+E37+E38+E39+E40+E41+E42+E43+E44+E45+E46+E47+E48+E49+E50+E51+E53+E52+E59+E60+E61+E62+E63+E64+E65+E66+E67+E68</f>
        <v>0</v>
      </c>
      <c r="F107" s="1811">
        <f>F12+F13+F14+F15+F16+F17+F18+F19+F20+F21+F22+F23+F24+F25+F26+F27+F28+F29+F32+F33+F34+F35+F36+F37+F38+F39+F40+F41+F42+F43+F44+F45+F46+F47+F48+F49+F50+F51+F53+F52+F59+F60+F61+F62+F63+F64+F65+F66+F67+F68+F77+F78+F79+F80+F81+F82+F83+F84+F85+F86+F87+F88+F90+F91+F92+F93+F94+F95+F96+F97+F99+F100+F101+F102+F103</f>
        <v>98048</v>
      </c>
      <c r="G107" s="1811">
        <f>G12+G13+G14+G15+G16+G17+G18+G19+G20+G21+G22+G23+G24+G25+G26+G27+G28+G29+G32+G33+G34+G35+G36+G37+G38+G39+G40+G41+G42+G43+G44+G45+G46+G47+G48+G49+G50+G51+G53+G52+G59+G60+G61+G62+G63+G64+G65+G66+G67+G68+G77+G78+G79+G80+G81+G82+G83+G84+G85+G86+G87+G88+G90+G91+G92+G93+G94+G95+G96+G97+G99+G100+G101+G102+G103</f>
        <v>80885</v>
      </c>
      <c r="H107" s="2231">
        <f>G107/F107*100</f>
        <v>82.495308420365532</v>
      </c>
      <c r="J107" s="2214">
        <v>0</v>
      </c>
      <c r="K107" s="2214">
        <v>98047943.290000007</v>
      </c>
      <c r="L107" s="2214">
        <v>80884688.099999994</v>
      </c>
    </row>
    <row r="108" spans="1:12" ht="15" x14ac:dyDescent="0.2">
      <c r="A108" s="1810" t="s">
        <v>289</v>
      </c>
      <c r="B108" s="1809"/>
      <c r="C108" s="1808"/>
      <c r="D108" s="2215"/>
      <c r="E108" s="1811">
        <v>0</v>
      </c>
      <c r="F108" s="1811">
        <v>0</v>
      </c>
      <c r="G108" s="1811">
        <v>0</v>
      </c>
      <c r="H108" s="2231">
        <v>0</v>
      </c>
      <c r="J108" s="2214">
        <v>0</v>
      </c>
      <c r="K108" s="2214">
        <v>0</v>
      </c>
      <c r="L108" s="2214">
        <v>0</v>
      </c>
    </row>
    <row r="109" spans="1:12" ht="15" x14ac:dyDescent="0.2">
      <c r="A109" s="1810" t="s">
        <v>509</v>
      </c>
      <c r="B109" s="1809"/>
      <c r="C109" s="1808"/>
      <c r="D109" s="2215"/>
      <c r="E109" s="1811">
        <v>0</v>
      </c>
      <c r="F109" s="1811">
        <v>0</v>
      </c>
      <c r="G109" s="1811">
        <f>G69</f>
        <v>0</v>
      </c>
      <c r="H109" s="2231">
        <v>0</v>
      </c>
      <c r="J109" s="2214">
        <v>0</v>
      </c>
      <c r="K109" s="2214">
        <v>0</v>
      </c>
      <c r="L109" s="2214">
        <v>0</v>
      </c>
    </row>
    <row r="110" spans="1:12" ht="15" x14ac:dyDescent="0.2">
      <c r="A110" s="1810"/>
      <c r="B110" s="1809"/>
      <c r="C110" s="1808"/>
      <c r="D110" s="2215"/>
      <c r="E110" s="1811"/>
      <c r="F110" s="1811"/>
      <c r="G110" s="1811"/>
      <c r="H110" s="1807"/>
    </row>
    <row r="111" spans="1:12" ht="75" customHeight="1" thickBot="1" x14ac:dyDescent="0.4">
      <c r="A111" s="2800" t="s">
        <v>910</v>
      </c>
      <c r="B111" s="2821"/>
      <c r="C111" s="2821"/>
      <c r="D111" s="2821"/>
      <c r="E111" s="1801">
        <f>SUM(E106)</f>
        <v>0</v>
      </c>
      <c r="F111" s="1801">
        <f>SUM(F106)</f>
        <v>98048</v>
      </c>
      <c r="G111" s="1801">
        <f>SUM(G106)</f>
        <v>80885</v>
      </c>
      <c r="H111" s="1800">
        <f>(G111/F111)*100</f>
        <v>82.495308420365532</v>
      </c>
    </row>
    <row r="112" spans="1:12" ht="13.5" thickTop="1" x14ac:dyDescent="0.2"/>
    <row r="224" spans="1:3" ht="13.5" thickBot="1" x14ac:dyDescent="0.25">
      <c r="A224" s="2179"/>
      <c r="B224" s="2179"/>
      <c r="C224" s="2179"/>
    </row>
    <row r="225" spans="1:5" ht="13.5" thickTop="1" x14ac:dyDescent="0.2">
      <c r="A225" s="2204"/>
      <c r="B225" s="2204"/>
      <c r="C225" s="2204"/>
    </row>
    <row r="232" spans="1:5" ht="13.5" thickBot="1" x14ac:dyDescent="0.25">
      <c r="D232" s="2264"/>
      <c r="E232" s="2265"/>
    </row>
    <row r="233" spans="1:5" ht="13.5" thickTop="1" x14ac:dyDescent="0.2">
      <c r="D233" s="2193"/>
      <c r="E233" s="2266"/>
    </row>
    <row r="234" spans="1:5" x14ac:dyDescent="0.2">
      <c r="D234" s="2131" t="e">
        <f>#REF!+#REF!</f>
        <v>#REF!</v>
      </c>
    </row>
  </sheetData>
  <mergeCells count="4">
    <mergeCell ref="A1:H1"/>
    <mergeCell ref="A70:D70"/>
    <mergeCell ref="A104:D104"/>
    <mergeCell ref="A111:D111"/>
  </mergeCells>
  <pageMargins left="0.98425196850393704" right="0.98425196850393704" top="0.98425196850393704" bottom="0.98425196850393704" header="0.51181102362204722" footer="0.51181102362204722"/>
  <pageSetup paperSize="9" scale="70" firstPageNumber="157" orientation="portrait" useFirstPageNumber="1" r:id="rId1"/>
  <headerFooter alignWithMargins="0">
    <oddFooter xml:space="preserve">&amp;L&amp;"Arial,Kurzíva"Zastupitelstvo Olomouckého kraje 28. 6. 2013
6.- Závěrečný  účet Olomuckého kraje za rok 2012
Příloha č. 3: Plnění rozpočtu výdajů Olomouckého kraje k 31.12.2012&amp;R&amp;"Arial,Kurzíva"Strana &amp;P (Celkem 484)
</oddFooter>
  </headerFooter>
  <rowBreaks count="1" manualBreakCount="1">
    <brk id="53" max="7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166"/>
  <sheetViews>
    <sheetView showGridLines="0" view="pageBreakPreview" topLeftCell="A66" zoomScaleNormal="100" zoomScaleSheetLayoutView="100" workbookViewId="0">
      <selection activeCell="J12" sqref="J12"/>
    </sheetView>
  </sheetViews>
  <sheetFormatPr defaultRowHeight="12.75" x14ac:dyDescent="0.2"/>
  <cols>
    <col min="1" max="1" width="4.7109375" style="2130" customWidth="1"/>
    <col min="2" max="2" width="6.140625" style="2130" customWidth="1"/>
    <col min="3" max="3" width="8.7109375" style="2130" customWidth="1"/>
    <col min="4" max="4" width="40.42578125" style="2131" customWidth="1"/>
    <col min="5" max="5" width="10.42578125" style="2165" customWidth="1"/>
    <col min="6" max="6" width="15.85546875" style="2165" customWidth="1"/>
    <col min="7" max="7" width="13.85546875" style="2165" customWidth="1"/>
    <col min="8" max="8" width="10.5703125" style="2131" customWidth="1"/>
    <col min="9" max="9" width="14.28515625" style="2131" bestFit="1" customWidth="1"/>
    <col min="10" max="10" width="11.42578125" style="2131" bestFit="1" customWidth="1"/>
    <col min="11" max="12" width="14.7109375" style="2131" bestFit="1" customWidth="1"/>
    <col min="13" max="256" width="9.140625" style="2131"/>
    <col min="257" max="257" width="4.7109375" style="2131" customWidth="1"/>
    <col min="258" max="258" width="6.140625" style="2131" customWidth="1"/>
    <col min="259" max="259" width="8.7109375" style="2131" customWidth="1"/>
    <col min="260" max="260" width="40.42578125" style="2131" customWidth="1"/>
    <col min="261" max="261" width="10.42578125" style="2131" customWidth="1"/>
    <col min="262" max="262" width="15.85546875" style="2131" customWidth="1"/>
    <col min="263" max="263" width="13.85546875" style="2131" customWidth="1"/>
    <col min="264" max="264" width="9.42578125" style="2131" customWidth="1"/>
    <col min="265" max="265" width="14.28515625" style="2131" bestFit="1" customWidth="1"/>
    <col min="266" max="266" width="11.42578125" style="2131" bestFit="1" customWidth="1"/>
    <col min="267" max="268" width="14.7109375" style="2131" bestFit="1" customWidth="1"/>
    <col min="269" max="512" width="9.140625" style="2131"/>
    <col min="513" max="513" width="4.7109375" style="2131" customWidth="1"/>
    <col min="514" max="514" width="6.140625" style="2131" customWidth="1"/>
    <col min="515" max="515" width="8.7109375" style="2131" customWidth="1"/>
    <col min="516" max="516" width="40.42578125" style="2131" customWidth="1"/>
    <col min="517" max="517" width="10.42578125" style="2131" customWidth="1"/>
    <col min="518" max="518" width="15.85546875" style="2131" customWidth="1"/>
    <col min="519" max="519" width="13.85546875" style="2131" customWidth="1"/>
    <col min="520" max="520" width="9.42578125" style="2131" customWidth="1"/>
    <col min="521" max="521" width="14.28515625" style="2131" bestFit="1" customWidth="1"/>
    <col min="522" max="522" width="11.42578125" style="2131" bestFit="1" customWidth="1"/>
    <col min="523" max="524" width="14.7109375" style="2131" bestFit="1" customWidth="1"/>
    <col min="525" max="768" width="9.140625" style="2131"/>
    <col min="769" max="769" width="4.7109375" style="2131" customWidth="1"/>
    <col min="770" max="770" width="6.140625" style="2131" customWidth="1"/>
    <col min="771" max="771" width="8.7109375" style="2131" customWidth="1"/>
    <col min="772" max="772" width="40.42578125" style="2131" customWidth="1"/>
    <col min="773" max="773" width="10.42578125" style="2131" customWidth="1"/>
    <col min="774" max="774" width="15.85546875" style="2131" customWidth="1"/>
    <col min="775" max="775" width="13.85546875" style="2131" customWidth="1"/>
    <col min="776" max="776" width="9.42578125" style="2131" customWidth="1"/>
    <col min="777" max="777" width="14.28515625" style="2131" bestFit="1" customWidth="1"/>
    <col min="778" max="778" width="11.42578125" style="2131" bestFit="1" customWidth="1"/>
    <col min="779" max="780" width="14.7109375" style="2131" bestFit="1" customWidth="1"/>
    <col min="781" max="1024" width="9.140625" style="2131"/>
    <col min="1025" max="1025" width="4.7109375" style="2131" customWidth="1"/>
    <col min="1026" max="1026" width="6.140625" style="2131" customWidth="1"/>
    <col min="1027" max="1027" width="8.7109375" style="2131" customWidth="1"/>
    <col min="1028" max="1028" width="40.42578125" style="2131" customWidth="1"/>
    <col min="1029" max="1029" width="10.42578125" style="2131" customWidth="1"/>
    <col min="1030" max="1030" width="15.85546875" style="2131" customWidth="1"/>
    <col min="1031" max="1031" width="13.85546875" style="2131" customWidth="1"/>
    <col min="1032" max="1032" width="9.42578125" style="2131" customWidth="1"/>
    <col min="1033" max="1033" width="14.28515625" style="2131" bestFit="1" customWidth="1"/>
    <col min="1034" max="1034" width="11.42578125" style="2131" bestFit="1" customWidth="1"/>
    <col min="1035" max="1036" width="14.7109375" style="2131" bestFit="1" customWidth="1"/>
    <col min="1037" max="1280" width="9.140625" style="2131"/>
    <col min="1281" max="1281" width="4.7109375" style="2131" customWidth="1"/>
    <col min="1282" max="1282" width="6.140625" style="2131" customWidth="1"/>
    <col min="1283" max="1283" width="8.7109375" style="2131" customWidth="1"/>
    <col min="1284" max="1284" width="40.42578125" style="2131" customWidth="1"/>
    <col min="1285" max="1285" width="10.42578125" style="2131" customWidth="1"/>
    <col min="1286" max="1286" width="15.85546875" style="2131" customWidth="1"/>
    <col min="1287" max="1287" width="13.85546875" style="2131" customWidth="1"/>
    <col min="1288" max="1288" width="9.42578125" style="2131" customWidth="1"/>
    <col min="1289" max="1289" width="14.28515625" style="2131" bestFit="1" customWidth="1"/>
    <col min="1290" max="1290" width="11.42578125" style="2131" bestFit="1" customWidth="1"/>
    <col min="1291" max="1292" width="14.7109375" style="2131" bestFit="1" customWidth="1"/>
    <col min="1293" max="1536" width="9.140625" style="2131"/>
    <col min="1537" max="1537" width="4.7109375" style="2131" customWidth="1"/>
    <col min="1538" max="1538" width="6.140625" style="2131" customWidth="1"/>
    <col min="1539" max="1539" width="8.7109375" style="2131" customWidth="1"/>
    <col min="1540" max="1540" width="40.42578125" style="2131" customWidth="1"/>
    <col min="1541" max="1541" width="10.42578125" style="2131" customWidth="1"/>
    <col min="1542" max="1542" width="15.85546875" style="2131" customWidth="1"/>
    <col min="1543" max="1543" width="13.85546875" style="2131" customWidth="1"/>
    <col min="1544" max="1544" width="9.42578125" style="2131" customWidth="1"/>
    <col min="1545" max="1545" width="14.28515625" style="2131" bestFit="1" customWidth="1"/>
    <col min="1546" max="1546" width="11.42578125" style="2131" bestFit="1" customWidth="1"/>
    <col min="1547" max="1548" width="14.7109375" style="2131" bestFit="1" customWidth="1"/>
    <col min="1549" max="1792" width="9.140625" style="2131"/>
    <col min="1793" max="1793" width="4.7109375" style="2131" customWidth="1"/>
    <col min="1794" max="1794" width="6.140625" style="2131" customWidth="1"/>
    <col min="1795" max="1795" width="8.7109375" style="2131" customWidth="1"/>
    <col min="1796" max="1796" width="40.42578125" style="2131" customWidth="1"/>
    <col min="1797" max="1797" width="10.42578125" style="2131" customWidth="1"/>
    <col min="1798" max="1798" width="15.85546875" style="2131" customWidth="1"/>
    <col min="1799" max="1799" width="13.85546875" style="2131" customWidth="1"/>
    <col min="1800" max="1800" width="9.42578125" style="2131" customWidth="1"/>
    <col min="1801" max="1801" width="14.28515625" style="2131" bestFit="1" customWidth="1"/>
    <col min="1802" max="1802" width="11.42578125" style="2131" bestFit="1" customWidth="1"/>
    <col min="1803" max="1804" width="14.7109375" style="2131" bestFit="1" customWidth="1"/>
    <col min="1805" max="2048" width="9.140625" style="2131"/>
    <col min="2049" max="2049" width="4.7109375" style="2131" customWidth="1"/>
    <col min="2050" max="2050" width="6.140625" style="2131" customWidth="1"/>
    <col min="2051" max="2051" width="8.7109375" style="2131" customWidth="1"/>
    <col min="2052" max="2052" width="40.42578125" style="2131" customWidth="1"/>
    <col min="2053" max="2053" width="10.42578125" style="2131" customWidth="1"/>
    <col min="2054" max="2054" width="15.85546875" style="2131" customWidth="1"/>
    <col min="2055" max="2055" width="13.85546875" style="2131" customWidth="1"/>
    <col min="2056" max="2056" width="9.42578125" style="2131" customWidth="1"/>
    <col min="2057" max="2057" width="14.28515625" style="2131" bestFit="1" customWidth="1"/>
    <col min="2058" max="2058" width="11.42578125" style="2131" bestFit="1" customWidth="1"/>
    <col min="2059" max="2060" width="14.7109375" style="2131" bestFit="1" customWidth="1"/>
    <col min="2061" max="2304" width="9.140625" style="2131"/>
    <col min="2305" max="2305" width="4.7109375" style="2131" customWidth="1"/>
    <col min="2306" max="2306" width="6.140625" style="2131" customWidth="1"/>
    <col min="2307" max="2307" width="8.7109375" style="2131" customWidth="1"/>
    <col min="2308" max="2308" width="40.42578125" style="2131" customWidth="1"/>
    <col min="2309" max="2309" width="10.42578125" style="2131" customWidth="1"/>
    <col min="2310" max="2310" width="15.85546875" style="2131" customWidth="1"/>
    <col min="2311" max="2311" width="13.85546875" style="2131" customWidth="1"/>
    <col min="2312" max="2312" width="9.42578125" style="2131" customWidth="1"/>
    <col min="2313" max="2313" width="14.28515625" style="2131" bestFit="1" customWidth="1"/>
    <col min="2314" max="2314" width="11.42578125" style="2131" bestFit="1" customWidth="1"/>
    <col min="2315" max="2316" width="14.7109375" style="2131" bestFit="1" customWidth="1"/>
    <col min="2317" max="2560" width="9.140625" style="2131"/>
    <col min="2561" max="2561" width="4.7109375" style="2131" customWidth="1"/>
    <col min="2562" max="2562" width="6.140625" style="2131" customWidth="1"/>
    <col min="2563" max="2563" width="8.7109375" style="2131" customWidth="1"/>
    <col min="2564" max="2564" width="40.42578125" style="2131" customWidth="1"/>
    <col min="2565" max="2565" width="10.42578125" style="2131" customWidth="1"/>
    <col min="2566" max="2566" width="15.85546875" style="2131" customWidth="1"/>
    <col min="2567" max="2567" width="13.85546875" style="2131" customWidth="1"/>
    <col min="2568" max="2568" width="9.42578125" style="2131" customWidth="1"/>
    <col min="2569" max="2569" width="14.28515625" style="2131" bestFit="1" customWidth="1"/>
    <col min="2570" max="2570" width="11.42578125" style="2131" bestFit="1" customWidth="1"/>
    <col min="2571" max="2572" width="14.7109375" style="2131" bestFit="1" customWidth="1"/>
    <col min="2573" max="2816" width="9.140625" style="2131"/>
    <col min="2817" max="2817" width="4.7109375" style="2131" customWidth="1"/>
    <col min="2818" max="2818" width="6.140625" style="2131" customWidth="1"/>
    <col min="2819" max="2819" width="8.7109375" style="2131" customWidth="1"/>
    <col min="2820" max="2820" width="40.42578125" style="2131" customWidth="1"/>
    <col min="2821" max="2821" width="10.42578125" style="2131" customWidth="1"/>
    <col min="2822" max="2822" width="15.85546875" style="2131" customWidth="1"/>
    <col min="2823" max="2823" width="13.85546875" style="2131" customWidth="1"/>
    <col min="2824" max="2824" width="9.42578125" style="2131" customWidth="1"/>
    <col min="2825" max="2825" width="14.28515625" style="2131" bestFit="1" customWidth="1"/>
    <col min="2826" max="2826" width="11.42578125" style="2131" bestFit="1" customWidth="1"/>
    <col min="2827" max="2828" width="14.7109375" style="2131" bestFit="1" customWidth="1"/>
    <col min="2829" max="3072" width="9.140625" style="2131"/>
    <col min="3073" max="3073" width="4.7109375" style="2131" customWidth="1"/>
    <col min="3074" max="3074" width="6.140625" style="2131" customWidth="1"/>
    <col min="3075" max="3075" width="8.7109375" style="2131" customWidth="1"/>
    <col min="3076" max="3076" width="40.42578125" style="2131" customWidth="1"/>
    <col min="3077" max="3077" width="10.42578125" style="2131" customWidth="1"/>
    <col min="3078" max="3078" width="15.85546875" style="2131" customWidth="1"/>
    <col min="3079" max="3079" width="13.85546875" style="2131" customWidth="1"/>
    <col min="3080" max="3080" width="9.42578125" style="2131" customWidth="1"/>
    <col min="3081" max="3081" width="14.28515625" style="2131" bestFit="1" customWidth="1"/>
    <col min="3082" max="3082" width="11.42578125" style="2131" bestFit="1" customWidth="1"/>
    <col min="3083" max="3084" width="14.7109375" style="2131" bestFit="1" customWidth="1"/>
    <col min="3085" max="3328" width="9.140625" style="2131"/>
    <col min="3329" max="3329" width="4.7109375" style="2131" customWidth="1"/>
    <col min="3330" max="3330" width="6.140625" style="2131" customWidth="1"/>
    <col min="3331" max="3331" width="8.7109375" style="2131" customWidth="1"/>
    <col min="3332" max="3332" width="40.42578125" style="2131" customWidth="1"/>
    <col min="3333" max="3333" width="10.42578125" style="2131" customWidth="1"/>
    <col min="3334" max="3334" width="15.85546875" style="2131" customWidth="1"/>
    <col min="3335" max="3335" width="13.85546875" style="2131" customWidth="1"/>
    <col min="3336" max="3336" width="9.42578125" style="2131" customWidth="1"/>
    <col min="3337" max="3337" width="14.28515625" style="2131" bestFit="1" customWidth="1"/>
    <col min="3338" max="3338" width="11.42578125" style="2131" bestFit="1" customWidth="1"/>
    <col min="3339" max="3340" width="14.7109375" style="2131" bestFit="1" customWidth="1"/>
    <col min="3341" max="3584" width="9.140625" style="2131"/>
    <col min="3585" max="3585" width="4.7109375" style="2131" customWidth="1"/>
    <col min="3586" max="3586" width="6.140625" style="2131" customWidth="1"/>
    <col min="3587" max="3587" width="8.7109375" style="2131" customWidth="1"/>
    <col min="3588" max="3588" width="40.42578125" style="2131" customWidth="1"/>
    <col min="3589" max="3589" width="10.42578125" style="2131" customWidth="1"/>
    <col min="3590" max="3590" width="15.85546875" style="2131" customWidth="1"/>
    <col min="3591" max="3591" width="13.85546875" style="2131" customWidth="1"/>
    <col min="3592" max="3592" width="9.42578125" style="2131" customWidth="1"/>
    <col min="3593" max="3593" width="14.28515625" style="2131" bestFit="1" customWidth="1"/>
    <col min="3594" max="3594" width="11.42578125" style="2131" bestFit="1" customWidth="1"/>
    <col min="3595" max="3596" width="14.7109375" style="2131" bestFit="1" customWidth="1"/>
    <col min="3597" max="3840" width="9.140625" style="2131"/>
    <col min="3841" max="3841" width="4.7109375" style="2131" customWidth="1"/>
    <col min="3842" max="3842" width="6.140625" style="2131" customWidth="1"/>
    <col min="3843" max="3843" width="8.7109375" style="2131" customWidth="1"/>
    <col min="3844" max="3844" width="40.42578125" style="2131" customWidth="1"/>
    <col min="3845" max="3845" width="10.42578125" style="2131" customWidth="1"/>
    <col min="3846" max="3846" width="15.85546875" style="2131" customWidth="1"/>
    <col min="3847" max="3847" width="13.85546875" style="2131" customWidth="1"/>
    <col min="3848" max="3848" width="9.42578125" style="2131" customWidth="1"/>
    <col min="3849" max="3849" width="14.28515625" style="2131" bestFit="1" customWidth="1"/>
    <col min="3850" max="3850" width="11.42578125" style="2131" bestFit="1" customWidth="1"/>
    <col min="3851" max="3852" width="14.7109375" style="2131" bestFit="1" customWidth="1"/>
    <col min="3853" max="4096" width="9.140625" style="2131"/>
    <col min="4097" max="4097" width="4.7109375" style="2131" customWidth="1"/>
    <col min="4098" max="4098" width="6.140625" style="2131" customWidth="1"/>
    <col min="4099" max="4099" width="8.7109375" style="2131" customWidth="1"/>
    <col min="4100" max="4100" width="40.42578125" style="2131" customWidth="1"/>
    <col min="4101" max="4101" width="10.42578125" style="2131" customWidth="1"/>
    <col min="4102" max="4102" width="15.85546875" style="2131" customWidth="1"/>
    <col min="4103" max="4103" width="13.85546875" style="2131" customWidth="1"/>
    <col min="4104" max="4104" width="9.42578125" style="2131" customWidth="1"/>
    <col min="4105" max="4105" width="14.28515625" style="2131" bestFit="1" customWidth="1"/>
    <col min="4106" max="4106" width="11.42578125" style="2131" bestFit="1" customWidth="1"/>
    <col min="4107" max="4108" width="14.7109375" style="2131" bestFit="1" customWidth="1"/>
    <col min="4109" max="4352" width="9.140625" style="2131"/>
    <col min="4353" max="4353" width="4.7109375" style="2131" customWidth="1"/>
    <col min="4354" max="4354" width="6.140625" style="2131" customWidth="1"/>
    <col min="4355" max="4355" width="8.7109375" style="2131" customWidth="1"/>
    <col min="4356" max="4356" width="40.42578125" style="2131" customWidth="1"/>
    <col min="4357" max="4357" width="10.42578125" style="2131" customWidth="1"/>
    <col min="4358" max="4358" width="15.85546875" style="2131" customWidth="1"/>
    <col min="4359" max="4359" width="13.85546875" style="2131" customWidth="1"/>
    <col min="4360" max="4360" width="9.42578125" style="2131" customWidth="1"/>
    <col min="4361" max="4361" width="14.28515625" style="2131" bestFit="1" customWidth="1"/>
    <col min="4362" max="4362" width="11.42578125" style="2131" bestFit="1" customWidth="1"/>
    <col min="4363" max="4364" width="14.7109375" style="2131" bestFit="1" customWidth="1"/>
    <col min="4365" max="4608" width="9.140625" style="2131"/>
    <col min="4609" max="4609" width="4.7109375" style="2131" customWidth="1"/>
    <col min="4610" max="4610" width="6.140625" style="2131" customWidth="1"/>
    <col min="4611" max="4611" width="8.7109375" style="2131" customWidth="1"/>
    <col min="4612" max="4612" width="40.42578125" style="2131" customWidth="1"/>
    <col min="4613" max="4613" width="10.42578125" style="2131" customWidth="1"/>
    <col min="4614" max="4614" width="15.85546875" style="2131" customWidth="1"/>
    <col min="4615" max="4615" width="13.85546875" style="2131" customWidth="1"/>
    <col min="4616" max="4616" width="9.42578125" style="2131" customWidth="1"/>
    <col min="4617" max="4617" width="14.28515625" style="2131" bestFit="1" customWidth="1"/>
    <col min="4618" max="4618" width="11.42578125" style="2131" bestFit="1" customWidth="1"/>
    <col min="4619" max="4620" width="14.7109375" style="2131" bestFit="1" customWidth="1"/>
    <col min="4621" max="4864" width="9.140625" style="2131"/>
    <col min="4865" max="4865" width="4.7109375" style="2131" customWidth="1"/>
    <col min="4866" max="4866" width="6.140625" style="2131" customWidth="1"/>
    <col min="4867" max="4867" width="8.7109375" style="2131" customWidth="1"/>
    <col min="4868" max="4868" width="40.42578125" style="2131" customWidth="1"/>
    <col min="4869" max="4869" width="10.42578125" style="2131" customWidth="1"/>
    <col min="4870" max="4870" width="15.85546875" style="2131" customWidth="1"/>
    <col min="4871" max="4871" width="13.85546875" style="2131" customWidth="1"/>
    <col min="4872" max="4872" width="9.42578125" style="2131" customWidth="1"/>
    <col min="4873" max="4873" width="14.28515625" style="2131" bestFit="1" customWidth="1"/>
    <col min="4874" max="4874" width="11.42578125" style="2131" bestFit="1" customWidth="1"/>
    <col min="4875" max="4876" width="14.7109375" style="2131" bestFit="1" customWidth="1"/>
    <col min="4877" max="5120" width="9.140625" style="2131"/>
    <col min="5121" max="5121" width="4.7109375" style="2131" customWidth="1"/>
    <col min="5122" max="5122" width="6.140625" style="2131" customWidth="1"/>
    <col min="5123" max="5123" width="8.7109375" style="2131" customWidth="1"/>
    <col min="5124" max="5124" width="40.42578125" style="2131" customWidth="1"/>
    <col min="5125" max="5125" width="10.42578125" style="2131" customWidth="1"/>
    <col min="5126" max="5126" width="15.85546875" style="2131" customWidth="1"/>
    <col min="5127" max="5127" width="13.85546875" style="2131" customWidth="1"/>
    <col min="5128" max="5128" width="9.42578125" style="2131" customWidth="1"/>
    <col min="5129" max="5129" width="14.28515625" style="2131" bestFit="1" customWidth="1"/>
    <col min="5130" max="5130" width="11.42578125" style="2131" bestFit="1" customWidth="1"/>
    <col min="5131" max="5132" width="14.7109375" style="2131" bestFit="1" customWidth="1"/>
    <col min="5133" max="5376" width="9.140625" style="2131"/>
    <col min="5377" max="5377" width="4.7109375" style="2131" customWidth="1"/>
    <col min="5378" max="5378" width="6.140625" style="2131" customWidth="1"/>
    <col min="5379" max="5379" width="8.7109375" style="2131" customWidth="1"/>
    <col min="5380" max="5380" width="40.42578125" style="2131" customWidth="1"/>
    <col min="5381" max="5381" width="10.42578125" style="2131" customWidth="1"/>
    <col min="5382" max="5382" width="15.85546875" style="2131" customWidth="1"/>
    <col min="5383" max="5383" width="13.85546875" style="2131" customWidth="1"/>
    <col min="5384" max="5384" width="9.42578125" style="2131" customWidth="1"/>
    <col min="5385" max="5385" width="14.28515625" style="2131" bestFit="1" customWidth="1"/>
    <col min="5386" max="5386" width="11.42578125" style="2131" bestFit="1" customWidth="1"/>
    <col min="5387" max="5388" width="14.7109375" style="2131" bestFit="1" customWidth="1"/>
    <col min="5389" max="5632" width="9.140625" style="2131"/>
    <col min="5633" max="5633" width="4.7109375" style="2131" customWidth="1"/>
    <col min="5634" max="5634" width="6.140625" style="2131" customWidth="1"/>
    <col min="5635" max="5635" width="8.7109375" style="2131" customWidth="1"/>
    <col min="5636" max="5636" width="40.42578125" style="2131" customWidth="1"/>
    <col min="5637" max="5637" width="10.42578125" style="2131" customWidth="1"/>
    <col min="5638" max="5638" width="15.85546875" style="2131" customWidth="1"/>
    <col min="5639" max="5639" width="13.85546875" style="2131" customWidth="1"/>
    <col min="5640" max="5640" width="9.42578125" style="2131" customWidth="1"/>
    <col min="5641" max="5641" width="14.28515625" style="2131" bestFit="1" customWidth="1"/>
    <col min="5642" max="5642" width="11.42578125" style="2131" bestFit="1" customWidth="1"/>
    <col min="5643" max="5644" width="14.7109375" style="2131" bestFit="1" customWidth="1"/>
    <col min="5645" max="5888" width="9.140625" style="2131"/>
    <col min="5889" max="5889" width="4.7109375" style="2131" customWidth="1"/>
    <col min="5890" max="5890" width="6.140625" style="2131" customWidth="1"/>
    <col min="5891" max="5891" width="8.7109375" style="2131" customWidth="1"/>
    <col min="5892" max="5892" width="40.42578125" style="2131" customWidth="1"/>
    <col min="5893" max="5893" width="10.42578125" style="2131" customWidth="1"/>
    <col min="5894" max="5894" width="15.85546875" style="2131" customWidth="1"/>
    <col min="5895" max="5895" width="13.85546875" style="2131" customWidth="1"/>
    <col min="5896" max="5896" width="9.42578125" style="2131" customWidth="1"/>
    <col min="5897" max="5897" width="14.28515625" style="2131" bestFit="1" customWidth="1"/>
    <col min="5898" max="5898" width="11.42578125" style="2131" bestFit="1" customWidth="1"/>
    <col min="5899" max="5900" width="14.7109375" style="2131" bestFit="1" customWidth="1"/>
    <col min="5901" max="6144" width="9.140625" style="2131"/>
    <col min="6145" max="6145" width="4.7109375" style="2131" customWidth="1"/>
    <col min="6146" max="6146" width="6.140625" style="2131" customWidth="1"/>
    <col min="6147" max="6147" width="8.7109375" style="2131" customWidth="1"/>
    <col min="6148" max="6148" width="40.42578125" style="2131" customWidth="1"/>
    <col min="6149" max="6149" width="10.42578125" style="2131" customWidth="1"/>
    <col min="6150" max="6150" width="15.85546875" style="2131" customWidth="1"/>
    <col min="6151" max="6151" width="13.85546875" style="2131" customWidth="1"/>
    <col min="6152" max="6152" width="9.42578125" style="2131" customWidth="1"/>
    <col min="6153" max="6153" width="14.28515625" style="2131" bestFit="1" customWidth="1"/>
    <col min="6154" max="6154" width="11.42578125" style="2131" bestFit="1" customWidth="1"/>
    <col min="6155" max="6156" width="14.7109375" style="2131" bestFit="1" customWidth="1"/>
    <col min="6157" max="6400" width="9.140625" style="2131"/>
    <col min="6401" max="6401" width="4.7109375" style="2131" customWidth="1"/>
    <col min="6402" max="6402" width="6.140625" style="2131" customWidth="1"/>
    <col min="6403" max="6403" width="8.7109375" style="2131" customWidth="1"/>
    <col min="6404" max="6404" width="40.42578125" style="2131" customWidth="1"/>
    <col min="6405" max="6405" width="10.42578125" style="2131" customWidth="1"/>
    <col min="6406" max="6406" width="15.85546875" style="2131" customWidth="1"/>
    <col min="6407" max="6407" width="13.85546875" style="2131" customWidth="1"/>
    <col min="6408" max="6408" width="9.42578125" style="2131" customWidth="1"/>
    <col min="6409" max="6409" width="14.28515625" style="2131" bestFit="1" customWidth="1"/>
    <col min="6410" max="6410" width="11.42578125" style="2131" bestFit="1" customWidth="1"/>
    <col min="6411" max="6412" width="14.7109375" style="2131" bestFit="1" customWidth="1"/>
    <col min="6413" max="6656" width="9.140625" style="2131"/>
    <col min="6657" max="6657" width="4.7109375" style="2131" customWidth="1"/>
    <col min="6658" max="6658" width="6.140625" style="2131" customWidth="1"/>
    <col min="6659" max="6659" width="8.7109375" style="2131" customWidth="1"/>
    <col min="6660" max="6660" width="40.42578125" style="2131" customWidth="1"/>
    <col min="6661" max="6661" width="10.42578125" style="2131" customWidth="1"/>
    <col min="6662" max="6662" width="15.85546875" style="2131" customWidth="1"/>
    <col min="6663" max="6663" width="13.85546875" style="2131" customWidth="1"/>
    <col min="6664" max="6664" width="9.42578125" style="2131" customWidth="1"/>
    <col min="6665" max="6665" width="14.28515625" style="2131" bestFit="1" customWidth="1"/>
    <col min="6666" max="6666" width="11.42578125" style="2131" bestFit="1" customWidth="1"/>
    <col min="6667" max="6668" width="14.7109375" style="2131" bestFit="1" customWidth="1"/>
    <col min="6669" max="6912" width="9.140625" style="2131"/>
    <col min="6913" max="6913" width="4.7109375" style="2131" customWidth="1"/>
    <col min="6914" max="6914" width="6.140625" style="2131" customWidth="1"/>
    <col min="6915" max="6915" width="8.7109375" style="2131" customWidth="1"/>
    <col min="6916" max="6916" width="40.42578125" style="2131" customWidth="1"/>
    <col min="6917" max="6917" width="10.42578125" style="2131" customWidth="1"/>
    <col min="6918" max="6918" width="15.85546875" style="2131" customWidth="1"/>
    <col min="6919" max="6919" width="13.85546875" style="2131" customWidth="1"/>
    <col min="6920" max="6920" width="9.42578125" style="2131" customWidth="1"/>
    <col min="6921" max="6921" width="14.28515625" style="2131" bestFit="1" customWidth="1"/>
    <col min="6922" max="6922" width="11.42578125" style="2131" bestFit="1" customWidth="1"/>
    <col min="6923" max="6924" width="14.7109375" style="2131" bestFit="1" customWidth="1"/>
    <col min="6925" max="7168" width="9.140625" style="2131"/>
    <col min="7169" max="7169" width="4.7109375" style="2131" customWidth="1"/>
    <col min="7170" max="7170" width="6.140625" style="2131" customWidth="1"/>
    <col min="7171" max="7171" width="8.7109375" style="2131" customWidth="1"/>
    <col min="7172" max="7172" width="40.42578125" style="2131" customWidth="1"/>
    <col min="7173" max="7173" width="10.42578125" style="2131" customWidth="1"/>
    <col min="7174" max="7174" width="15.85546875" style="2131" customWidth="1"/>
    <col min="7175" max="7175" width="13.85546875" style="2131" customWidth="1"/>
    <col min="7176" max="7176" width="9.42578125" style="2131" customWidth="1"/>
    <col min="7177" max="7177" width="14.28515625" style="2131" bestFit="1" customWidth="1"/>
    <col min="7178" max="7178" width="11.42578125" style="2131" bestFit="1" customWidth="1"/>
    <col min="7179" max="7180" width="14.7109375" style="2131" bestFit="1" customWidth="1"/>
    <col min="7181" max="7424" width="9.140625" style="2131"/>
    <col min="7425" max="7425" width="4.7109375" style="2131" customWidth="1"/>
    <col min="7426" max="7426" width="6.140625" style="2131" customWidth="1"/>
    <col min="7427" max="7427" width="8.7109375" style="2131" customWidth="1"/>
    <col min="7428" max="7428" width="40.42578125" style="2131" customWidth="1"/>
    <col min="7429" max="7429" width="10.42578125" style="2131" customWidth="1"/>
    <col min="7430" max="7430" width="15.85546875" style="2131" customWidth="1"/>
    <col min="7431" max="7431" width="13.85546875" style="2131" customWidth="1"/>
    <col min="7432" max="7432" width="9.42578125" style="2131" customWidth="1"/>
    <col min="7433" max="7433" width="14.28515625" style="2131" bestFit="1" customWidth="1"/>
    <col min="7434" max="7434" width="11.42578125" style="2131" bestFit="1" customWidth="1"/>
    <col min="7435" max="7436" width="14.7109375" style="2131" bestFit="1" customWidth="1"/>
    <col min="7437" max="7680" width="9.140625" style="2131"/>
    <col min="7681" max="7681" width="4.7109375" style="2131" customWidth="1"/>
    <col min="7682" max="7682" width="6.140625" style="2131" customWidth="1"/>
    <col min="7683" max="7683" width="8.7109375" style="2131" customWidth="1"/>
    <col min="7684" max="7684" width="40.42578125" style="2131" customWidth="1"/>
    <col min="7685" max="7685" width="10.42578125" style="2131" customWidth="1"/>
    <col min="7686" max="7686" width="15.85546875" style="2131" customWidth="1"/>
    <col min="7687" max="7687" width="13.85546875" style="2131" customWidth="1"/>
    <col min="7688" max="7688" width="9.42578125" style="2131" customWidth="1"/>
    <col min="7689" max="7689" width="14.28515625" style="2131" bestFit="1" customWidth="1"/>
    <col min="7690" max="7690" width="11.42578125" style="2131" bestFit="1" customWidth="1"/>
    <col min="7691" max="7692" width="14.7109375" style="2131" bestFit="1" customWidth="1"/>
    <col min="7693" max="7936" width="9.140625" style="2131"/>
    <col min="7937" max="7937" width="4.7109375" style="2131" customWidth="1"/>
    <col min="7938" max="7938" width="6.140625" style="2131" customWidth="1"/>
    <col min="7939" max="7939" width="8.7109375" style="2131" customWidth="1"/>
    <col min="7940" max="7940" width="40.42578125" style="2131" customWidth="1"/>
    <col min="7941" max="7941" width="10.42578125" style="2131" customWidth="1"/>
    <col min="7942" max="7942" width="15.85546875" style="2131" customWidth="1"/>
    <col min="7943" max="7943" width="13.85546875" style="2131" customWidth="1"/>
    <col min="7944" max="7944" width="9.42578125" style="2131" customWidth="1"/>
    <col min="7945" max="7945" width="14.28515625" style="2131" bestFit="1" customWidth="1"/>
    <col min="7946" max="7946" width="11.42578125" style="2131" bestFit="1" customWidth="1"/>
    <col min="7947" max="7948" width="14.7109375" style="2131" bestFit="1" customWidth="1"/>
    <col min="7949" max="8192" width="9.140625" style="2131"/>
    <col min="8193" max="8193" width="4.7109375" style="2131" customWidth="1"/>
    <col min="8194" max="8194" width="6.140625" style="2131" customWidth="1"/>
    <col min="8195" max="8195" width="8.7109375" style="2131" customWidth="1"/>
    <col min="8196" max="8196" width="40.42578125" style="2131" customWidth="1"/>
    <col min="8197" max="8197" width="10.42578125" style="2131" customWidth="1"/>
    <col min="8198" max="8198" width="15.85546875" style="2131" customWidth="1"/>
    <col min="8199" max="8199" width="13.85546875" style="2131" customWidth="1"/>
    <col min="8200" max="8200" width="9.42578125" style="2131" customWidth="1"/>
    <col min="8201" max="8201" width="14.28515625" style="2131" bestFit="1" customWidth="1"/>
    <col min="8202" max="8202" width="11.42578125" style="2131" bestFit="1" customWidth="1"/>
    <col min="8203" max="8204" width="14.7109375" style="2131" bestFit="1" customWidth="1"/>
    <col min="8205" max="8448" width="9.140625" style="2131"/>
    <col min="8449" max="8449" width="4.7109375" style="2131" customWidth="1"/>
    <col min="8450" max="8450" width="6.140625" style="2131" customWidth="1"/>
    <col min="8451" max="8451" width="8.7109375" style="2131" customWidth="1"/>
    <col min="8452" max="8452" width="40.42578125" style="2131" customWidth="1"/>
    <col min="8453" max="8453" width="10.42578125" style="2131" customWidth="1"/>
    <col min="8454" max="8454" width="15.85546875" style="2131" customWidth="1"/>
    <col min="8455" max="8455" width="13.85546875" style="2131" customWidth="1"/>
    <col min="8456" max="8456" width="9.42578125" style="2131" customWidth="1"/>
    <col min="8457" max="8457" width="14.28515625" style="2131" bestFit="1" customWidth="1"/>
    <col min="8458" max="8458" width="11.42578125" style="2131" bestFit="1" customWidth="1"/>
    <col min="8459" max="8460" width="14.7109375" style="2131" bestFit="1" customWidth="1"/>
    <col min="8461" max="8704" width="9.140625" style="2131"/>
    <col min="8705" max="8705" width="4.7109375" style="2131" customWidth="1"/>
    <col min="8706" max="8706" width="6.140625" style="2131" customWidth="1"/>
    <col min="8707" max="8707" width="8.7109375" style="2131" customWidth="1"/>
    <col min="8708" max="8708" width="40.42578125" style="2131" customWidth="1"/>
    <col min="8709" max="8709" width="10.42578125" style="2131" customWidth="1"/>
    <col min="8710" max="8710" width="15.85546875" style="2131" customWidth="1"/>
    <col min="8711" max="8711" width="13.85546875" style="2131" customWidth="1"/>
    <col min="8712" max="8712" width="9.42578125" style="2131" customWidth="1"/>
    <col min="8713" max="8713" width="14.28515625" style="2131" bestFit="1" customWidth="1"/>
    <col min="8714" max="8714" width="11.42578125" style="2131" bestFit="1" customWidth="1"/>
    <col min="8715" max="8716" width="14.7109375" style="2131" bestFit="1" customWidth="1"/>
    <col min="8717" max="8960" width="9.140625" style="2131"/>
    <col min="8961" max="8961" width="4.7109375" style="2131" customWidth="1"/>
    <col min="8962" max="8962" width="6.140625" style="2131" customWidth="1"/>
    <col min="8963" max="8963" width="8.7109375" style="2131" customWidth="1"/>
    <col min="8964" max="8964" width="40.42578125" style="2131" customWidth="1"/>
    <col min="8965" max="8965" width="10.42578125" style="2131" customWidth="1"/>
    <col min="8966" max="8966" width="15.85546875" style="2131" customWidth="1"/>
    <col min="8967" max="8967" width="13.85546875" style="2131" customWidth="1"/>
    <col min="8968" max="8968" width="9.42578125" style="2131" customWidth="1"/>
    <col min="8969" max="8969" width="14.28515625" style="2131" bestFit="1" customWidth="1"/>
    <col min="8970" max="8970" width="11.42578125" style="2131" bestFit="1" customWidth="1"/>
    <col min="8971" max="8972" width="14.7109375" style="2131" bestFit="1" customWidth="1"/>
    <col min="8973" max="9216" width="9.140625" style="2131"/>
    <col min="9217" max="9217" width="4.7109375" style="2131" customWidth="1"/>
    <col min="9218" max="9218" width="6.140625" style="2131" customWidth="1"/>
    <col min="9219" max="9219" width="8.7109375" style="2131" customWidth="1"/>
    <col min="9220" max="9220" width="40.42578125" style="2131" customWidth="1"/>
    <col min="9221" max="9221" width="10.42578125" style="2131" customWidth="1"/>
    <col min="9222" max="9222" width="15.85546875" style="2131" customWidth="1"/>
    <col min="9223" max="9223" width="13.85546875" style="2131" customWidth="1"/>
    <col min="9224" max="9224" width="9.42578125" style="2131" customWidth="1"/>
    <col min="9225" max="9225" width="14.28515625" style="2131" bestFit="1" customWidth="1"/>
    <col min="9226" max="9226" width="11.42578125" style="2131" bestFit="1" customWidth="1"/>
    <col min="9227" max="9228" width="14.7109375" style="2131" bestFit="1" customWidth="1"/>
    <col min="9229" max="9472" width="9.140625" style="2131"/>
    <col min="9473" max="9473" width="4.7109375" style="2131" customWidth="1"/>
    <col min="9474" max="9474" width="6.140625" style="2131" customWidth="1"/>
    <col min="9475" max="9475" width="8.7109375" style="2131" customWidth="1"/>
    <col min="9476" max="9476" width="40.42578125" style="2131" customWidth="1"/>
    <col min="9477" max="9477" width="10.42578125" style="2131" customWidth="1"/>
    <col min="9478" max="9478" width="15.85546875" style="2131" customWidth="1"/>
    <col min="9479" max="9479" width="13.85546875" style="2131" customWidth="1"/>
    <col min="9480" max="9480" width="9.42578125" style="2131" customWidth="1"/>
    <col min="9481" max="9481" width="14.28515625" style="2131" bestFit="1" customWidth="1"/>
    <col min="9482" max="9482" width="11.42578125" style="2131" bestFit="1" customWidth="1"/>
    <col min="9483" max="9484" width="14.7109375" style="2131" bestFit="1" customWidth="1"/>
    <col min="9485" max="9728" width="9.140625" style="2131"/>
    <col min="9729" max="9729" width="4.7109375" style="2131" customWidth="1"/>
    <col min="9730" max="9730" width="6.140625" style="2131" customWidth="1"/>
    <col min="9731" max="9731" width="8.7109375" style="2131" customWidth="1"/>
    <col min="9732" max="9732" width="40.42578125" style="2131" customWidth="1"/>
    <col min="9733" max="9733" width="10.42578125" style="2131" customWidth="1"/>
    <col min="9734" max="9734" width="15.85546875" style="2131" customWidth="1"/>
    <col min="9735" max="9735" width="13.85546875" style="2131" customWidth="1"/>
    <col min="9736" max="9736" width="9.42578125" style="2131" customWidth="1"/>
    <col min="9737" max="9737" width="14.28515625" style="2131" bestFit="1" customWidth="1"/>
    <col min="9738" max="9738" width="11.42578125" style="2131" bestFit="1" customWidth="1"/>
    <col min="9739" max="9740" width="14.7109375" style="2131" bestFit="1" customWidth="1"/>
    <col min="9741" max="9984" width="9.140625" style="2131"/>
    <col min="9985" max="9985" width="4.7109375" style="2131" customWidth="1"/>
    <col min="9986" max="9986" width="6.140625" style="2131" customWidth="1"/>
    <col min="9987" max="9987" width="8.7109375" style="2131" customWidth="1"/>
    <col min="9988" max="9988" width="40.42578125" style="2131" customWidth="1"/>
    <col min="9989" max="9989" width="10.42578125" style="2131" customWidth="1"/>
    <col min="9990" max="9990" width="15.85546875" style="2131" customWidth="1"/>
    <col min="9991" max="9991" width="13.85546875" style="2131" customWidth="1"/>
    <col min="9992" max="9992" width="9.42578125" style="2131" customWidth="1"/>
    <col min="9993" max="9993" width="14.28515625" style="2131" bestFit="1" customWidth="1"/>
    <col min="9994" max="9994" width="11.42578125" style="2131" bestFit="1" customWidth="1"/>
    <col min="9995" max="9996" width="14.7109375" style="2131" bestFit="1" customWidth="1"/>
    <col min="9997" max="10240" width="9.140625" style="2131"/>
    <col min="10241" max="10241" width="4.7109375" style="2131" customWidth="1"/>
    <col min="10242" max="10242" width="6.140625" style="2131" customWidth="1"/>
    <col min="10243" max="10243" width="8.7109375" style="2131" customWidth="1"/>
    <col min="10244" max="10244" width="40.42578125" style="2131" customWidth="1"/>
    <col min="10245" max="10245" width="10.42578125" style="2131" customWidth="1"/>
    <col min="10246" max="10246" width="15.85546875" style="2131" customWidth="1"/>
    <col min="10247" max="10247" width="13.85546875" style="2131" customWidth="1"/>
    <col min="10248" max="10248" width="9.42578125" style="2131" customWidth="1"/>
    <col min="10249" max="10249" width="14.28515625" style="2131" bestFit="1" customWidth="1"/>
    <col min="10250" max="10250" width="11.42578125" style="2131" bestFit="1" customWidth="1"/>
    <col min="10251" max="10252" width="14.7109375" style="2131" bestFit="1" customWidth="1"/>
    <col min="10253" max="10496" width="9.140625" style="2131"/>
    <col min="10497" max="10497" width="4.7109375" style="2131" customWidth="1"/>
    <col min="10498" max="10498" width="6.140625" style="2131" customWidth="1"/>
    <col min="10499" max="10499" width="8.7109375" style="2131" customWidth="1"/>
    <col min="10500" max="10500" width="40.42578125" style="2131" customWidth="1"/>
    <col min="10501" max="10501" width="10.42578125" style="2131" customWidth="1"/>
    <col min="10502" max="10502" width="15.85546875" style="2131" customWidth="1"/>
    <col min="10503" max="10503" width="13.85546875" style="2131" customWidth="1"/>
    <col min="10504" max="10504" width="9.42578125" style="2131" customWidth="1"/>
    <col min="10505" max="10505" width="14.28515625" style="2131" bestFit="1" customWidth="1"/>
    <col min="10506" max="10506" width="11.42578125" style="2131" bestFit="1" customWidth="1"/>
    <col min="10507" max="10508" width="14.7109375" style="2131" bestFit="1" customWidth="1"/>
    <col min="10509" max="10752" width="9.140625" style="2131"/>
    <col min="10753" max="10753" width="4.7109375" style="2131" customWidth="1"/>
    <col min="10754" max="10754" width="6.140625" style="2131" customWidth="1"/>
    <col min="10755" max="10755" width="8.7109375" style="2131" customWidth="1"/>
    <col min="10756" max="10756" width="40.42578125" style="2131" customWidth="1"/>
    <col min="10757" max="10757" width="10.42578125" style="2131" customWidth="1"/>
    <col min="10758" max="10758" width="15.85546875" style="2131" customWidth="1"/>
    <col min="10759" max="10759" width="13.85546875" style="2131" customWidth="1"/>
    <col min="10760" max="10760" width="9.42578125" style="2131" customWidth="1"/>
    <col min="10761" max="10761" width="14.28515625" style="2131" bestFit="1" customWidth="1"/>
    <col min="10762" max="10762" width="11.42578125" style="2131" bestFit="1" customWidth="1"/>
    <col min="10763" max="10764" width="14.7109375" style="2131" bestFit="1" customWidth="1"/>
    <col min="10765" max="11008" width="9.140625" style="2131"/>
    <col min="11009" max="11009" width="4.7109375" style="2131" customWidth="1"/>
    <col min="11010" max="11010" width="6.140625" style="2131" customWidth="1"/>
    <col min="11011" max="11011" width="8.7109375" style="2131" customWidth="1"/>
    <col min="11012" max="11012" width="40.42578125" style="2131" customWidth="1"/>
    <col min="11013" max="11013" width="10.42578125" style="2131" customWidth="1"/>
    <col min="11014" max="11014" width="15.85546875" style="2131" customWidth="1"/>
    <col min="11015" max="11015" width="13.85546875" style="2131" customWidth="1"/>
    <col min="11016" max="11016" width="9.42578125" style="2131" customWidth="1"/>
    <col min="11017" max="11017" width="14.28515625" style="2131" bestFit="1" customWidth="1"/>
    <col min="11018" max="11018" width="11.42578125" style="2131" bestFit="1" customWidth="1"/>
    <col min="11019" max="11020" width="14.7109375" style="2131" bestFit="1" customWidth="1"/>
    <col min="11021" max="11264" width="9.140625" style="2131"/>
    <col min="11265" max="11265" width="4.7109375" style="2131" customWidth="1"/>
    <col min="11266" max="11266" width="6.140625" style="2131" customWidth="1"/>
    <col min="11267" max="11267" width="8.7109375" style="2131" customWidth="1"/>
    <col min="11268" max="11268" width="40.42578125" style="2131" customWidth="1"/>
    <col min="11269" max="11269" width="10.42578125" style="2131" customWidth="1"/>
    <col min="11270" max="11270" width="15.85546875" style="2131" customWidth="1"/>
    <col min="11271" max="11271" width="13.85546875" style="2131" customWidth="1"/>
    <col min="11272" max="11272" width="9.42578125" style="2131" customWidth="1"/>
    <col min="11273" max="11273" width="14.28515625" style="2131" bestFit="1" customWidth="1"/>
    <col min="11274" max="11274" width="11.42578125" style="2131" bestFit="1" customWidth="1"/>
    <col min="11275" max="11276" width="14.7109375" style="2131" bestFit="1" customWidth="1"/>
    <col min="11277" max="11520" width="9.140625" style="2131"/>
    <col min="11521" max="11521" width="4.7109375" style="2131" customWidth="1"/>
    <col min="11522" max="11522" width="6.140625" style="2131" customWidth="1"/>
    <col min="11523" max="11523" width="8.7109375" style="2131" customWidth="1"/>
    <col min="11524" max="11524" width="40.42578125" style="2131" customWidth="1"/>
    <col min="11525" max="11525" width="10.42578125" style="2131" customWidth="1"/>
    <col min="11526" max="11526" width="15.85546875" style="2131" customWidth="1"/>
    <col min="11527" max="11527" width="13.85546875" style="2131" customWidth="1"/>
    <col min="11528" max="11528" width="9.42578125" style="2131" customWidth="1"/>
    <col min="11529" max="11529" width="14.28515625" style="2131" bestFit="1" customWidth="1"/>
    <col min="11530" max="11530" width="11.42578125" style="2131" bestFit="1" customWidth="1"/>
    <col min="11531" max="11532" width="14.7109375" style="2131" bestFit="1" customWidth="1"/>
    <col min="11533" max="11776" width="9.140625" style="2131"/>
    <col min="11777" max="11777" width="4.7109375" style="2131" customWidth="1"/>
    <col min="11778" max="11778" width="6.140625" style="2131" customWidth="1"/>
    <col min="11779" max="11779" width="8.7109375" style="2131" customWidth="1"/>
    <col min="11780" max="11780" width="40.42578125" style="2131" customWidth="1"/>
    <col min="11781" max="11781" width="10.42578125" style="2131" customWidth="1"/>
    <col min="11782" max="11782" width="15.85546875" style="2131" customWidth="1"/>
    <col min="11783" max="11783" width="13.85546875" style="2131" customWidth="1"/>
    <col min="11784" max="11784" width="9.42578125" style="2131" customWidth="1"/>
    <col min="11785" max="11785" width="14.28515625" style="2131" bestFit="1" customWidth="1"/>
    <col min="11786" max="11786" width="11.42578125" style="2131" bestFit="1" customWidth="1"/>
    <col min="11787" max="11788" width="14.7109375" style="2131" bestFit="1" customWidth="1"/>
    <col min="11789" max="12032" width="9.140625" style="2131"/>
    <col min="12033" max="12033" width="4.7109375" style="2131" customWidth="1"/>
    <col min="12034" max="12034" width="6.140625" style="2131" customWidth="1"/>
    <col min="12035" max="12035" width="8.7109375" style="2131" customWidth="1"/>
    <col min="12036" max="12036" width="40.42578125" style="2131" customWidth="1"/>
    <col min="12037" max="12037" width="10.42578125" style="2131" customWidth="1"/>
    <col min="12038" max="12038" width="15.85546875" style="2131" customWidth="1"/>
    <col min="12039" max="12039" width="13.85546875" style="2131" customWidth="1"/>
    <col min="12040" max="12040" width="9.42578125" style="2131" customWidth="1"/>
    <col min="12041" max="12041" width="14.28515625" style="2131" bestFit="1" customWidth="1"/>
    <col min="12042" max="12042" width="11.42578125" style="2131" bestFit="1" customWidth="1"/>
    <col min="12043" max="12044" width="14.7109375" style="2131" bestFit="1" customWidth="1"/>
    <col min="12045" max="12288" width="9.140625" style="2131"/>
    <col min="12289" max="12289" width="4.7109375" style="2131" customWidth="1"/>
    <col min="12290" max="12290" width="6.140625" style="2131" customWidth="1"/>
    <col min="12291" max="12291" width="8.7109375" style="2131" customWidth="1"/>
    <col min="12292" max="12292" width="40.42578125" style="2131" customWidth="1"/>
    <col min="12293" max="12293" width="10.42578125" style="2131" customWidth="1"/>
    <col min="12294" max="12294" width="15.85546875" style="2131" customWidth="1"/>
    <col min="12295" max="12295" width="13.85546875" style="2131" customWidth="1"/>
    <col min="12296" max="12296" width="9.42578125" style="2131" customWidth="1"/>
    <col min="12297" max="12297" width="14.28515625" style="2131" bestFit="1" customWidth="1"/>
    <col min="12298" max="12298" width="11.42578125" style="2131" bestFit="1" customWidth="1"/>
    <col min="12299" max="12300" width="14.7109375" style="2131" bestFit="1" customWidth="1"/>
    <col min="12301" max="12544" width="9.140625" style="2131"/>
    <col min="12545" max="12545" width="4.7109375" style="2131" customWidth="1"/>
    <col min="12546" max="12546" width="6.140625" style="2131" customWidth="1"/>
    <col min="12547" max="12547" width="8.7109375" style="2131" customWidth="1"/>
    <col min="12548" max="12548" width="40.42578125" style="2131" customWidth="1"/>
    <col min="12549" max="12549" width="10.42578125" style="2131" customWidth="1"/>
    <col min="12550" max="12550" width="15.85546875" style="2131" customWidth="1"/>
    <col min="12551" max="12551" width="13.85546875" style="2131" customWidth="1"/>
    <col min="12552" max="12552" width="9.42578125" style="2131" customWidth="1"/>
    <col min="12553" max="12553" width="14.28515625" style="2131" bestFit="1" customWidth="1"/>
    <col min="12554" max="12554" width="11.42578125" style="2131" bestFit="1" customWidth="1"/>
    <col min="12555" max="12556" width="14.7109375" style="2131" bestFit="1" customWidth="1"/>
    <col min="12557" max="12800" width="9.140625" style="2131"/>
    <col min="12801" max="12801" width="4.7109375" style="2131" customWidth="1"/>
    <col min="12802" max="12802" width="6.140625" style="2131" customWidth="1"/>
    <col min="12803" max="12803" width="8.7109375" style="2131" customWidth="1"/>
    <col min="12804" max="12804" width="40.42578125" style="2131" customWidth="1"/>
    <col min="12805" max="12805" width="10.42578125" style="2131" customWidth="1"/>
    <col min="12806" max="12806" width="15.85546875" style="2131" customWidth="1"/>
    <col min="12807" max="12807" width="13.85546875" style="2131" customWidth="1"/>
    <col min="12808" max="12808" width="9.42578125" style="2131" customWidth="1"/>
    <col min="12809" max="12809" width="14.28515625" style="2131" bestFit="1" customWidth="1"/>
    <col min="12810" max="12810" width="11.42578125" style="2131" bestFit="1" customWidth="1"/>
    <col min="12811" max="12812" width="14.7109375" style="2131" bestFit="1" customWidth="1"/>
    <col min="12813" max="13056" width="9.140625" style="2131"/>
    <col min="13057" max="13057" width="4.7109375" style="2131" customWidth="1"/>
    <col min="13058" max="13058" width="6.140625" style="2131" customWidth="1"/>
    <col min="13059" max="13059" width="8.7109375" style="2131" customWidth="1"/>
    <col min="13060" max="13060" width="40.42578125" style="2131" customWidth="1"/>
    <col min="13061" max="13061" width="10.42578125" style="2131" customWidth="1"/>
    <col min="13062" max="13062" width="15.85546875" style="2131" customWidth="1"/>
    <col min="13063" max="13063" width="13.85546875" style="2131" customWidth="1"/>
    <col min="13064" max="13064" width="9.42578125" style="2131" customWidth="1"/>
    <col min="13065" max="13065" width="14.28515625" style="2131" bestFit="1" customWidth="1"/>
    <col min="13066" max="13066" width="11.42578125" style="2131" bestFit="1" customWidth="1"/>
    <col min="13067" max="13068" width="14.7109375" style="2131" bestFit="1" customWidth="1"/>
    <col min="13069" max="13312" width="9.140625" style="2131"/>
    <col min="13313" max="13313" width="4.7109375" style="2131" customWidth="1"/>
    <col min="13314" max="13314" width="6.140625" style="2131" customWidth="1"/>
    <col min="13315" max="13315" width="8.7109375" style="2131" customWidth="1"/>
    <col min="13316" max="13316" width="40.42578125" style="2131" customWidth="1"/>
    <col min="13317" max="13317" width="10.42578125" style="2131" customWidth="1"/>
    <col min="13318" max="13318" width="15.85546875" style="2131" customWidth="1"/>
    <col min="13319" max="13319" width="13.85546875" style="2131" customWidth="1"/>
    <col min="13320" max="13320" width="9.42578125" style="2131" customWidth="1"/>
    <col min="13321" max="13321" width="14.28515625" style="2131" bestFit="1" customWidth="1"/>
    <col min="13322" max="13322" width="11.42578125" style="2131" bestFit="1" customWidth="1"/>
    <col min="13323" max="13324" width="14.7109375" style="2131" bestFit="1" customWidth="1"/>
    <col min="13325" max="13568" width="9.140625" style="2131"/>
    <col min="13569" max="13569" width="4.7109375" style="2131" customWidth="1"/>
    <col min="13570" max="13570" width="6.140625" style="2131" customWidth="1"/>
    <col min="13571" max="13571" width="8.7109375" style="2131" customWidth="1"/>
    <col min="13572" max="13572" width="40.42578125" style="2131" customWidth="1"/>
    <col min="13573" max="13573" width="10.42578125" style="2131" customWidth="1"/>
    <col min="13574" max="13574" width="15.85546875" style="2131" customWidth="1"/>
    <col min="13575" max="13575" width="13.85546875" style="2131" customWidth="1"/>
    <col min="13576" max="13576" width="9.42578125" style="2131" customWidth="1"/>
    <col min="13577" max="13577" width="14.28515625" style="2131" bestFit="1" customWidth="1"/>
    <col min="13578" max="13578" width="11.42578125" style="2131" bestFit="1" customWidth="1"/>
    <col min="13579" max="13580" width="14.7109375" style="2131" bestFit="1" customWidth="1"/>
    <col min="13581" max="13824" width="9.140625" style="2131"/>
    <col min="13825" max="13825" width="4.7109375" style="2131" customWidth="1"/>
    <col min="13826" max="13826" width="6.140625" style="2131" customWidth="1"/>
    <col min="13827" max="13827" width="8.7109375" style="2131" customWidth="1"/>
    <col min="13828" max="13828" width="40.42578125" style="2131" customWidth="1"/>
    <col min="13829" max="13829" width="10.42578125" style="2131" customWidth="1"/>
    <col min="13830" max="13830" width="15.85546875" style="2131" customWidth="1"/>
    <col min="13831" max="13831" width="13.85546875" style="2131" customWidth="1"/>
    <col min="13832" max="13832" width="9.42578125" style="2131" customWidth="1"/>
    <col min="13833" max="13833" width="14.28515625" style="2131" bestFit="1" customWidth="1"/>
    <col min="13834" max="13834" width="11.42578125" style="2131" bestFit="1" customWidth="1"/>
    <col min="13835" max="13836" width="14.7109375" style="2131" bestFit="1" customWidth="1"/>
    <col min="13837" max="14080" width="9.140625" style="2131"/>
    <col min="14081" max="14081" width="4.7109375" style="2131" customWidth="1"/>
    <col min="14082" max="14082" width="6.140625" style="2131" customWidth="1"/>
    <col min="14083" max="14083" width="8.7109375" style="2131" customWidth="1"/>
    <col min="14084" max="14084" width="40.42578125" style="2131" customWidth="1"/>
    <col min="14085" max="14085" width="10.42578125" style="2131" customWidth="1"/>
    <col min="14086" max="14086" width="15.85546875" style="2131" customWidth="1"/>
    <col min="14087" max="14087" width="13.85546875" style="2131" customWidth="1"/>
    <col min="14088" max="14088" width="9.42578125" style="2131" customWidth="1"/>
    <col min="14089" max="14089" width="14.28515625" style="2131" bestFit="1" customWidth="1"/>
    <col min="14090" max="14090" width="11.42578125" style="2131" bestFit="1" customWidth="1"/>
    <col min="14091" max="14092" width="14.7109375" style="2131" bestFit="1" customWidth="1"/>
    <col min="14093" max="14336" width="9.140625" style="2131"/>
    <col min="14337" max="14337" width="4.7109375" style="2131" customWidth="1"/>
    <col min="14338" max="14338" width="6.140625" style="2131" customWidth="1"/>
    <col min="14339" max="14339" width="8.7109375" style="2131" customWidth="1"/>
    <col min="14340" max="14340" width="40.42578125" style="2131" customWidth="1"/>
    <col min="14341" max="14341" width="10.42578125" style="2131" customWidth="1"/>
    <col min="14342" max="14342" width="15.85546875" style="2131" customWidth="1"/>
    <col min="14343" max="14343" width="13.85546875" style="2131" customWidth="1"/>
    <col min="14344" max="14344" width="9.42578125" style="2131" customWidth="1"/>
    <col min="14345" max="14345" width="14.28515625" style="2131" bestFit="1" customWidth="1"/>
    <col min="14346" max="14346" width="11.42578125" style="2131" bestFit="1" customWidth="1"/>
    <col min="14347" max="14348" width="14.7109375" style="2131" bestFit="1" customWidth="1"/>
    <col min="14349" max="14592" width="9.140625" style="2131"/>
    <col min="14593" max="14593" width="4.7109375" style="2131" customWidth="1"/>
    <col min="14594" max="14594" width="6.140625" style="2131" customWidth="1"/>
    <col min="14595" max="14595" width="8.7109375" style="2131" customWidth="1"/>
    <col min="14596" max="14596" width="40.42578125" style="2131" customWidth="1"/>
    <col min="14597" max="14597" width="10.42578125" style="2131" customWidth="1"/>
    <col min="14598" max="14598" width="15.85546875" style="2131" customWidth="1"/>
    <col min="14599" max="14599" width="13.85546875" style="2131" customWidth="1"/>
    <col min="14600" max="14600" width="9.42578125" style="2131" customWidth="1"/>
    <col min="14601" max="14601" width="14.28515625" style="2131" bestFit="1" customWidth="1"/>
    <col min="14602" max="14602" width="11.42578125" style="2131" bestFit="1" customWidth="1"/>
    <col min="14603" max="14604" width="14.7109375" style="2131" bestFit="1" customWidth="1"/>
    <col min="14605" max="14848" width="9.140625" style="2131"/>
    <col min="14849" max="14849" width="4.7109375" style="2131" customWidth="1"/>
    <col min="14850" max="14850" width="6.140625" style="2131" customWidth="1"/>
    <col min="14851" max="14851" width="8.7109375" style="2131" customWidth="1"/>
    <col min="14852" max="14852" width="40.42578125" style="2131" customWidth="1"/>
    <col min="14853" max="14853" width="10.42578125" style="2131" customWidth="1"/>
    <col min="14854" max="14854" width="15.85546875" style="2131" customWidth="1"/>
    <col min="14855" max="14855" width="13.85546875" style="2131" customWidth="1"/>
    <col min="14856" max="14856" width="9.42578125" style="2131" customWidth="1"/>
    <col min="14857" max="14857" width="14.28515625" style="2131" bestFit="1" customWidth="1"/>
    <col min="14858" max="14858" width="11.42578125" style="2131" bestFit="1" customWidth="1"/>
    <col min="14859" max="14860" width="14.7109375" style="2131" bestFit="1" customWidth="1"/>
    <col min="14861" max="15104" width="9.140625" style="2131"/>
    <col min="15105" max="15105" width="4.7109375" style="2131" customWidth="1"/>
    <col min="15106" max="15106" width="6.140625" style="2131" customWidth="1"/>
    <col min="15107" max="15107" width="8.7109375" style="2131" customWidth="1"/>
    <col min="15108" max="15108" width="40.42578125" style="2131" customWidth="1"/>
    <col min="15109" max="15109" width="10.42578125" style="2131" customWidth="1"/>
    <col min="15110" max="15110" width="15.85546875" style="2131" customWidth="1"/>
    <col min="15111" max="15111" width="13.85546875" style="2131" customWidth="1"/>
    <col min="15112" max="15112" width="9.42578125" style="2131" customWidth="1"/>
    <col min="15113" max="15113" width="14.28515625" style="2131" bestFit="1" customWidth="1"/>
    <col min="15114" max="15114" width="11.42578125" style="2131" bestFit="1" customWidth="1"/>
    <col min="15115" max="15116" width="14.7109375" style="2131" bestFit="1" customWidth="1"/>
    <col min="15117" max="15360" width="9.140625" style="2131"/>
    <col min="15361" max="15361" width="4.7109375" style="2131" customWidth="1"/>
    <col min="15362" max="15362" width="6.140625" style="2131" customWidth="1"/>
    <col min="15363" max="15363" width="8.7109375" style="2131" customWidth="1"/>
    <col min="15364" max="15364" width="40.42578125" style="2131" customWidth="1"/>
    <col min="15365" max="15365" width="10.42578125" style="2131" customWidth="1"/>
    <col min="15366" max="15366" width="15.85546875" style="2131" customWidth="1"/>
    <col min="15367" max="15367" width="13.85546875" style="2131" customWidth="1"/>
    <col min="15368" max="15368" width="9.42578125" style="2131" customWidth="1"/>
    <col min="15369" max="15369" width="14.28515625" style="2131" bestFit="1" customWidth="1"/>
    <col min="15370" max="15370" width="11.42578125" style="2131" bestFit="1" customWidth="1"/>
    <col min="15371" max="15372" width="14.7109375" style="2131" bestFit="1" customWidth="1"/>
    <col min="15373" max="15616" width="9.140625" style="2131"/>
    <col min="15617" max="15617" width="4.7109375" style="2131" customWidth="1"/>
    <col min="15618" max="15618" width="6.140625" style="2131" customWidth="1"/>
    <col min="15619" max="15619" width="8.7109375" style="2131" customWidth="1"/>
    <col min="15620" max="15620" width="40.42578125" style="2131" customWidth="1"/>
    <col min="15621" max="15621" width="10.42578125" style="2131" customWidth="1"/>
    <col min="15622" max="15622" width="15.85546875" style="2131" customWidth="1"/>
    <col min="15623" max="15623" width="13.85546875" style="2131" customWidth="1"/>
    <col min="15624" max="15624" width="9.42578125" style="2131" customWidth="1"/>
    <col min="15625" max="15625" width="14.28515625" style="2131" bestFit="1" customWidth="1"/>
    <col min="15626" max="15626" width="11.42578125" style="2131" bestFit="1" customWidth="1"/>
    <col min="15627" max="15628" width="14.7109375" style="2131" bestFit="1" customWidth="1"/>
    <col min="15629" max="15872" width="9.140625" style="2131"/>
    <col min="15873" max="15873" width="4.7109375" style="2131" customWidth="1"/>
    <col min="15874" max="15874" width="6.140625" style="2131" customWidth="1"/>
    <col min="15875" max="15875" width="8.7109375" style="2131" customWidth="1"/>
    <col min="15876" max="15876" width="40.42578125" style="2131" customWidth="1"/>
    <col min="15877" max="15877" width="10.42578125" style="2131" customWidth="1"/>
    <col min="15878" max="15878" width="15.85546875" style="2131" customWidth="1"/>
    <col min="15879" max="15879" width="13.85546875" style="2131" customWidth="1"/>
    <col min="15880" max="15880" width="9.42578125" style="2131" customWidth="1"/>
    <col min="15881" max="15881" width="14.28515625" style="2131" bestFit="1" customWidth="1"/>
    <col min="15882" max="15882" width="11.42578125" style="2131" bestFit="1" customWidth="1"/>
    <col min="15883" max="15884" width="14.7109375" style="2131" bestFit="1" customWidth="1"/>
    <col min="15885" max="16128" width="9.140625" style="2131"/>
    <col min="16129" max="16129" width="4.7109375" style="2131" customWidth="1"/>
    <col min="16130" max="16130" width="6.140625" style="2131" customWidth="1"/>
    <col min="16131" max="16131" width="8.7109375" style="2131" customWidth="1"/>
    <col min="16132" max="16132" width="40.42578125" style="2131" customWidth="1"/>
    <col min="16133" max="16133" width="10.42578125" style="2131" customWidth="1"/>
    <col min="16134" max="16134" width="15.85546875" style="2131" customWidth="1"/>
    <col min="16135" max="16135" width="13.85546875" style="2131" customWidth="1"/>
    <col min="16136" max="16136" width="9.42578125" style="2131" customWidth="1"/>
    <col min="16137" max="16137" width="14.28515625" style="2131" bestFit="1" customWidth="1"/>
    <col min="16138" max="16138" width="11.42578125" style="2131" bestFit="1" customWidth="1"/>
    <col min="16139" max="16140" width="14.7109375" style="2131" bestFit="1" customWidth="1"/>
    <col min="16141" max="16384" width="9.140625" style="2131"/>
  </cols>
  <sheetData>
    <row r="1" spans="1:9" ht="19.5" customHeight="1" thickBot="1" x14ac:dyDescent="0.25">
      <c r="A1" s="2818" t="s">
        <v>1077</v>
      </c>
      <c r="B1" s="2818"/>
      <c r="C1" s="2818"/>
      <c r="D1" s="2818"/>
      <c r="E1" s="2818"/>
      <c r="F1" s="2818"/>
      <c r="G1" s="2818"/>
      <c r="H1" s="2818"/>
    </row>
    <row r="2" spans="1:9" ht="18" x14ac:dyDescent="0.25">
      <c r="A2" s="2135"/>
      <c r="B2" s="2168"/>
      <c r="C2" s="2168"/>
      <c r="D2" s="2168"/>
      <c r="E2" s="2168"/>
      <c r="F2" s="2168"/>
      <c r="G2" s="2168"/>
      <c r="H2" s="2222" t="s">
        <v>1078</v>
      </c>
    </row>
    <row r="3" spans="1:9" ht="18" x14ac:dyDescent="0.25">
      <c r="A3" s="1939" t="s">
        <v>404</v>
      </c>
      <c r="B3" s="2168"/>
      <c r="C3" s="2129" t="s">
        <v>379</v>
      </c>
      <c r="D3" s="2168"/>
      <c r="E3" s="2168"/>
      <c r="F3" s="2168"/>
      <c r="G3" s="2168"/>
      <c r="H3" s="2222"/>
    </row>
    <row r="4" spans="1:9" ht="18" x14ac:dyDescent="0.25">
      <c r="A4" s="2135"/>
      <c r="B4" s="2168"/>
      <c r="C4" s="2129" t="s">
        <v>380</v>
      </c>
      <c r="D4" s="2168"/>
      <c r="E4" s="2168"/>
      <c r="F4" s="2168"/>
      <c r="G4" s="2168"/>
      <c r="H4" s="2222"/>
    </row>
    <row r="5" spans="1:9" ht="12.75" customHeight="1" x14ac:dyDescent="0.2">
      <c r="B5" s="2168"/>
      <c r="C5" s="2168"/>
      <c r="D5" s="2168"/>
      <c r="E5" s="2168"/>
      <c r="F5" s="2168"/>
      <c r="G5" s="2168"/>
    </row>
    <row r="6" spans="1:9" ht="18" x14ac:dyDescent="0.25">
      <c r="A6" s="2134" t="s">
        <v>1079</v>
      </c>
      <c r="B6" s="2168"/>
      <c r="C6" s="2168"/>
      <c r="D6" s="2168"/>
      <c r="E6" s="2168"/>
      <c r="F6" s="2168"/>
      <c r="G6" s="2168"/>
      <c r="H6" s="2222"/>
    </row>
    <row r="7" spans="1:9" ht="18" x14ac:dyDescent="0.25">
      <c r="A7" s="2134"/>
      <c r="B7" s="2168"/>
      <c r="C7" s="2168"/>
      <c r="D7" s="2168"/>
      <c r="E7" s="2168"/>
      <c r="F7" s="2168"/>
      <c r="G7" s="2168"/>
      <c r="H7" s="2222"/>
    </row>
    <row r="8" spans="1:9" ht="18" x14ac:dyDescent="0.25">
      <c r="A8" s="2332" t="s">
        <v>1080</v>
      </c>
      <c r="B8" s="2168"/>
      <c r="C8" s="2168"/>
      <c r="D8" s="2168"/>
      <c r="E8" s="2168"/>
      <c r="F8" s="2168"/>
      <c r="G8" s="2168"/>
      <c r="H8" s="2222"/>
    </row>
    <row r="9" spans="1:9" ht="15.75" thickBot="1" x14ac:dyDescent="0.3">
      <c r="A9" s="2333" t="s">
        <v>1205</v>
      </c>
      <c r="H9" s="2240" t="s">
        <v>179</v>
      </c>
    </row>
    <row r="10" spans="1:9" s="1849" customFormat="1" ht="25.5" thickTop="1" thickBot="1" x14ac:dyDescent="0.25">
      <c r="A10" s="2138" t="s">
        <v>180</v>
      </c>
      <c r="B10" s="2139" t="s">
        <v>847</v>
      </c>
      <c r="C10" s="2139" t="s">
        <v>414</v>
      </c>
      <c r="D10" s="2140" t="s">
        <v>182</v>
      </c>
      <c r="E10" s="2171" t="s">
        <v>700</v>
      </c>
      <c r="F10" s="2171" t="s">
        <v>701</v>
      </c>
      <c r="G10" s="2172" t="s">
        <v>986</v>
      </c>
      <c r="H10" s="2173" t="s">
        <v>987</v>
      </c>
    </row>
    <row r="11" spans="1:9" s="1849" customFormat="1" ht="13.5" thickTop="1" thickBot="1" x14ac:dyDescent="0.25">
      <c r="A11" s="1854">
        <v>1</v>
      </c>
      <c r="B11" s="1853">
        <v>2</v>
      </c>
      <c r="C11" s="1853">
        <v>3</v>
      </c>
      <c r="D11" s="1853">
        <v>4</v>
      </c>
      <c r="E11" s="1852">
        <v>5</v>
      </c>
      <c r="F11" s="1852">
        <v>6</v>
      </c>
      <c r="G11" s="2223">
        <v>7</v>
      </c>
      <c r="H11" s="2251" t="s">
        <v>61</v>
      </c>
    </row>
    <row r="12" spans="1:9" s="1849" customFormat="1" ht="15.75" thickTop="1" x14ac:dyDescent="0.2">
      <c r="A12" s="2246">
        <v>2143</v>
      </c>
      <c r="B12" s="2253">
        <v>5163</v>
      </c>
      <c r="C12" s="2258">
        <v>41100880</v>
      </c>
      <c r="D12" s="2174" t="s">
        <v>997</v>
      </c>
      <c r="E12" s="2184">
        <v>2</v>
      </c>
      <c r="F12" s="2184">
        <v>2</v>
      </c>
      <c r="G12" s="2184">
        <v>0</v>
      </c>
      <c r="H12" s="2156">
        <f>G12/F12*100</f>
        <v>0</v>
      </c>
    </row>
    <row r="13" spans="1:9" s="1849" customFormat="1" ht="15" x14ac:dyDescent="0.2">
      <c r="A13" s="2246">
        <v>2143</v>
      </c>
      <c r="B13" s="2253">
        <v>5163</v>
      </c>
      <c r="C13" s="2258">
        <v>41100882</v>
      </c>
      <c r="D13" s="2174" t="s">
        <v>997</v>
      </c>
      <c r="E13" s="2184">
        <v>1</v>
      </c>
      <c r="F13" s="2184">
        <v>1</v>
      </c>
      <c r="G13" s="2184">
        <v>0</v>
      </c>
      <c r="H13" s="2156">
        <f>G13/F13*100</f>
        <v>0</v>
      </c>
    </row>
    <row r="14" spans="1:9" s="1849" customFormat="1" ht="15" x14ac:dyDescent="0.2">
      <c r="A14" s="2246">
        <v>2143</v>
      </c>
      <c r="B14" s="2253">
        <v>5163</v>
      </c>
      <c r="C14" s="2258">
        <v>41500881</v>
      </c>
      <c r="D14" s="2174" t="s">
        <v>997</v>
      </c>
      <c r="E14" s="2184">
        <v>11</v>
      </c>
      <c r="F14" s="2184">
        <v>11</v>
      </c>
      <c r="G14" s="2184">
        <v>0</v>
      </c>
      <c r="H14" s="2156">
        <f>G14/F14*100</f>
        <v>0</v>
      </c>
    </row>
    <row r="15" spans="1:9" s="1849" customFormat="1" ht="15.75" thickBot="1" x14ac:dyDescent="0.25">
      <c r="A15" s="2246">
        <v>6330</v>
      </c>
      <c r="B15" s="2253">
        <v>5345</v>
      </c>
      <c r="C15" s="2258">
        <v>0</v>
      </c>
      <c r="D15" s="2174" t="s">
        <v>853</v>
      </c>
      <c r="E15" s="2184">
        <v>0</v>
      </c>
      <c r="F15" s="2184">
        <v>0</v>
      </c>
      <c r="G15" s="2184">
        <v>2708</v>
      </c>
      <c r="H15" s="2163">
        <v>0</v>
      </c>
    </row>
    <row r="16" spans="1:9" s="2164" customFormat="1" ht="16.5" thickTop="1" thickBot="1" x14ac:dyDescent="0.3">
      <c r="A16" s="2806" t="s">
        <v>849</v>
      </c>
      <c r="B16" s="2807"/>
      <c r="C16" s="2807"/>
      <c r="D16" s="2807"/>
      <c r="E16" s="2152">
        <f>SUM(E12:E15)</f>
        <v>14</v>
      </c>
      <c r="F16" s="2152">
        <f>SUM(F12:F15)</f>
        <v>14</v>
      </c>
      <c r="G16" s="2152">
        <f>SUM(G12:G15)</f>
        <v>2708</v>
      </c>
      <c r="H16" s="2163">
        <f>G16/F16*100</f>
        <v>19342.857142857141</v>
      </c>
      <c r="I16" s="2262"/>
    </row>
    <row r="17" spans="1:9" ht="13.5" thickTop="1" x14ac:dyDescent="0.2">
      <c r="I17" s="2165"/>
    </row>
    <row r="18" spans="1:9" ht="15" x14ac:dyDescent="0.25">
      <c r="A18" s="2136" t="s">
        <v>1159</v>
      </c>
      <c r="D18" s="2130"/>
      <c r="E18" s="2131"/>
      <c r="H18" s="2165"/>
      <c r="I18" s="2165"/>
    </row>
    <row r="19" spans="1:9" ht="15.75" thickBot="1" x14ac:dyDescent="0.3">
      <c r="A19" s="2136" t="s">
        <v>1160</v>
      </c>
      <c r="D19" s="2130"/>
      <c r="E19" s="2131"/>
      <c r="H19" s="2240" t="s">
        <v>179</v>
      </c>
      <c r="I19" s="2165"/>
    </row>
    <row r="20" spans="1:9" ht="25.5" thickTop="1" thickBot="1" x14ac:dyDescent="0.25">
      <c r="A20" s="2138" t="s">
        <v>180</v>
      </c>
      <c r="B20" s="2139" t="s">
        <v>847</v>
      </c>
      <c r="C20" s="2139" t="s">
        <v>414</v>
      </c>
      <c r="D20" s="2140" t="s">
        <v>182</v>
      </c>
      <c r="E20" s="2171" t="s">
        <v>700</v>
      </c>
      <c r="F20" s="2171" t="s">
        <v>701</v>
      </c>
      <c r="G20" s="2172" t="s">
        <v>986</v>
      </c>
      <c r="H20" s="2173" t="s">
        <v>987</v>
      </c>
      <c r="I20" s="2165"/>
    </row>
    <row r="21" spans="1:9" ht="14.25" thickTop="1" thickBot="1" x14ac:dyDescent="0.25">
      <c r="A21" s="1854">
        <v>1</v>
      </c>
      <c r="B21" s="1853">
        <v>2</v>
      </c>
      <c r="C21" s="1853">
        <v>3</v>
      </c>
      <c r="D21" s="1853">
        <v>5</v>
      </c>
      <c r="E21" s="1852">
        <v>6</v>
      </c>
      <c r="F21" s="1852">
        <v>7</v>
      </c>
      <c r="G21" s="2223">
        <v>8</v>
      </c>
      <c r="H21" s="2146" t="s">
        <v>848</v>
      </c>
      <c r="I21" s="2165"/>
    </row>
    <row r="22" spans="1:9" ht="30.75" hidden="1" thickTop="1" x14ac:dyDescent="0.2">
      <c r="A22" s="2246">
        <v>2212</v>
      </c>
      <c r="B22" s="2253">
        <v>5532</v>
      </c>
      <c r="C22" s="2253">
        <v>41595113</v>
      </c>
      <c r="D22" s="2174" t="s">
        <v>1161</v>
      </c>
      <c r="E22" s="2170">
        <v>0</v>
      </c>
      <c r="F22" s="2184">
        <v>0</v>
      </c>
      <c r="G22" s="2233">
        <v>0</v>
      </c>
      <c r="H22" s="2156" t="e">
        <f>G22/F22*100</f>
        <v>#DIV/0!</v>
      </c>
      <c r="I22" s="2165"/>
    </row>
    <row r="23" spans="1:9" ht="16.5" thickTop="1" thickBot="1" x14ac:dyDescent="0.25">
      <c r="A23" s="2246">
        <v>2143</v>
      </c>
      <c r="B23" s="2253">
        <v>6380</v>
      </c>
      <c r="C23" s="2253">
        <v>41595823</v>
      </c>
      <c r="D23" s="2174" t="s">
        <v>1306</v>
      </c>
      <c r="E23" s="2181">
        <v>0</v>
      </c>
      <c r="F23" s="2181">
        <v>3373</v>
      </c>
      <c r="G23" s="2233">
        <v>3373</v>
      </c>
      <c r="H23" s="2163">
        <f>G23/F23*100</f>
        <v>100</v>
      </c>
      <c r="I23" s="2165"/>
    </row>
    <row r="24" spans="1:9" ht="16.5" thickTop="1" thickBot="1" x14ac:dyDescent="0.3">
      <c r="A24" s="2175" t="s">
        <v>849</v>
      </c>
      <c r="B24" s="2176"/>
      <c r="C24" s="2176"/>
      <c r="D24" s="2177"/>
      <c r="E24" s="2152">
        <f>SUM(E22:E23)</f>
        <v>0</v>
      </c>
      <c r="F24" s="2152">
        <f>SUM(F22:F23)</f>
        <v>3373</v>
      </c>
      <c r="G24" s="2152">
        <f>SUM(G22:G23)</f>
        <v>3373</v>
      </c>
      <c r="H24" s="2157">
        <f>G24/F24*100</f>
        <v>100</v>
      </c>
      <c r="I24" s="2165"/>
    </row>
    <row r="25" spans="1:9" ht="15.75" thickTop="1" x14ac:dyDescent="0.25">
      <c r="A25" s="2189"/>
      <c r="B25" s="2189"/>
      <c r="C25" s="2189"/>
      <c r="D25" s="2189"/>
      <c r="E25" s="2159"/>
      <c r="F25" s="2159"/>
      <c r="G25" s="2159"/>
      <c r="H25" s="2190"/>
      <c r="I25" s="2165"/>
    </row>
    <row r="26" spans="1:9" ht="15.75" thickBot="1" x14ac:dyDescent="0.3">
      <c r="A26" s="2136" t="s">
        <v>273</v>
      </c>
      <c r="B26" s="2189"/>
      <c r="C26" s="2189"/>
      <c r="D26" s="2189"/>
      <c r="E26" s="2159"/>
      <c r="F26" s="2159"/>
      <c r="G26" s="2159"/>
      <c r="H26" s="2240" t="s">
        <v>179</v>
      </c>
      <c r="I26" s="2165"/>
    </row>
    <row r="27" spans="1:9" ht="25.5" thickTop="1" thickBot="1" x14ac:dyDescent="0.25">
      <c r="A27" s="2138" t="s">
        <v>180</v>
      </c>
      <c r="B27" s="2139" t="s">
        <v>847</v>
      </c>
      <c r="C27" s="2139" t="s">
        <v>414</v>
      </c>
      <c r="D27" s="2140" t="s">
        <v>182</v>
      </c>
      <c r="E27" s="2171" t="s">
        <v>700</v>
      </c>
      <c r="F27" s="2171" t="s">
        <v>701</v>
      </c>
      <c r="G27" s="2172" t="s">
        <v>986</v>
      </c>
      <c r="H27" s="2173" t="s">
        <v>987</v>
      </c>
      <c r="I27" s="2165"/>
    </row>
    <row r="28" spans="1:9" ht="14.25" thickTop="1" thickBot="1" x14ac:dyDescent="0.25">
      <c r="A28" s="1854">
        <v>1</v>
      </c>
      <c r="B28" s="1853">
        <v>2</v>
      </c>
      <c r="C28" s="1853">
        <v>3</v>
      </c>
      <c r="D28" s="1853">
        <v>5</v>
      </c>
      <c r="E28" s="1852">
        <v>6</v>
      </c>
      <c r="F28" s="1852">
        <v>7</v>
      </c>
      <c r="G28" s="2223">
        <v>8</v>
      </c>
      <c r="H28" s="2146" t="s">
        <v>848</v>
      </c>
      <c r="I28" s="2165"/>
    </row>
    <row r="29" spans="1:9" ht="30.75" hidden="1" thickTop="1" x14ac:dyDescent="0.2">
      <c r="A29" s="2246">
        <v>2212</v>
      </c>
      <c r="B29" s="2253">
        <v>5532</v>
      </c>
      <c r="C29" s="2253">
        <v>41595113</v>
      </c>
      <c r="D29" s="2174" t="s">
        <v>1161</v>
      </c>
      <c r="E29" s="2170">
        <v>0</v>
      </c>
      <c r="F29" s="2184">
        <v>0</v>
      </c>
      <c r="G29" s="2233">
        <v>0</v>
      </c>
      <c r="H29" s="2156" t="e">
        <f>G29/F29*100</f>
        <v>#DIV/0!</v>
      </c>
      <c r="I29" s="2165"/>
    </row>
    <row r="30" spans="1:9" ht="16.5" thickTop="1" thickBot="1" x14ac:dyDescent="0.25">
      <c r="A30" s="2246">
        <v>6409</v>
      </c>
      <c r="B30" s="2253">
        <v>5909</v>
      </c>
      <c r="C30" s="2258">
        <v>0</v>
      </c>
      <c r="D30" s="2174" t="s">
        <v>1834</v>
      </c>
      <c r="E30" s="2181">
        <v>0</v>
      </c>
      <c r="F30" s="2181">
        <v>0</v>
      </c>
      <c r="G30" s="2233">
        <v>6</v>
      </c>
      <c r="H30" s="2163">
        <v>0</v>
      </c>
      <c r="I30" s="2165"/>
    </row>
    <row r="31" spans="1:9" ht="16.5" thickTop="1" thickBot="1" x14ac:dyDescent="0.3">
      <c r="A31" s="2175" t="s">
        <v>849</v>
      </c>
      <c r="B31" s="2176"/>
      <c r="C31" s="2176"/>
      <c r="D31" s="2177"/>
      <c r="E31" s="2152">
        <f>SUM(E29:E30)</f>
        <v>0</v>
      </c>
      <c r="F31" s="2152">
        <f>SUM(F29:F30)</f>
        <v>0</v>
      </c>
      <c r="G31" s="2152">
        <f>SUM(G29:G30)</f>
        <v>6</v>
      </c>
      <c r="H31" s="2157">
        <v>0</v>
      </c>
      <c r="I31" s="2165"/>
    </row>
    <row r="32" spans="1:9" ht="15.75" thickTop="1" x14ac:dyDescent="0.25">
      <c r="A32" s="2189"/>
      <c r="B32" s="2189"/>
      <c r="C32" s="2189"/>
      <c r="D32" s="2189"/>
      <c r="E32" s="2159"/>
      <c r="F32" s="2159"/>
      <c r="G32" s="2159"/>
      <c r="H32" s="2190"/>
      <c r="I32" s="2165"/>
    </row>
    <row r="33" spans="1:12" ht="15" x14ac:dyDescent="0.25">
      <c r="A33" s="2189"/>
      <c r="B33" s="2189"/>
      <c r="C33" s="2189"/>
      <c r="D33" s="2189"/>
      <c r="E33" s="2159"/>
      <c r="F33" s="2159"/>
      <c r="G33" s="2159"/>
      <c r="H33" s="2190"/>
      <c r="I33" s="2165"/>
    </row>
    <row r="34" spans="1:12" ht="15" x14ac:dyDescent="0.25">
      <c r="A34" s="2189"/>
      <c r="B34" s="2189"/>
      <c r="C34" s="2189"/>
      <c r="D34" s="2189"/>
      <c r="E34" s="2159"/>
      <c r="F34" s="2159"/>
      <c r="G34" s="2159"/>
      <c r="H34" s="2190"/>
      <c r="I34" s="2165"/>
    </row>
    <row r="35" spans="1:12" ht="15" x14ac:dyDescent="0.25">
      <c r="A35" s="2189"/>
      <c r="B35" s="2189"/>
      <c r="C35" s="2189"/>
      <c r="D35" s="2189"/>
      <c r="E35" s="2159"/>
      <c r="F35" s="2159"/>
      <c r="G35" s="2159"/>
      <c r="H35" s="2190"/>
      <c r="I35" s="2165"/>
    </row>
    <row r="36" spans="1:12" ht="16.5" x14ac:dyDescent="0.25">
      <c r="A36" s="2206" t="s">
        <v>508</v>
      </c>
      <c r="B36" s="2207"/>
      <c r="C36" s="2208"/>
      <c r="D36" s="2209"/>
      <c r="E36" s="2210">
        <f>SUM(E37:E39)</f>
        <v>14</v>
      </c>
      <c r="F36" s="2210">
        <f>F37+F38+F39+F40</f>
        <v>3387</v>
      </c>
      <c r="G36" s="2210">
        <f>G37+G38+G39+G40</f>
        <v>6087</v>
      </c>
      <c r="H36" s="2232">
        <f>G36/F36*100</f>
        <v>179.71656333038086</v>
      </c>
      <c r="I36" s="2165"/>
      <c r="J36" s="2212">
        <f>J37+J38+J39</f>
        <v>14000</v>
      </c>
      <c r="K36" s="2212">
        <f>K37+K38+K39</f>
        <v>3387116.39</v>
      </c>
      <c r="L36" s="2212">
        <f>L37+L38+L39</f>
        <v>6087178.8599999994</v>
      </c>
    </row>
    <row r="37" spans="1:12" ht="15" x14ac:dyDescent="0.2">
      <c r="A37" s="1810" t="s">
        <v>288</v>
      </c>
      <c r="B37" s="1813"/>
      <c r="C37" s="1808"/>
      <c r="D37" s="2213"/>
      <c r="E37" s="1811">
        <f>E12+E13+E14+E22</f>
        <v>14</v>
      </c>
      <c r="F37" s="1811">
        <f>F12+F13+F14+F22</f>
        <v>14</v>
      </c>
      <c r="G37" s="1811">
        <f>G12+G13+G14+G22+G30</f>
        <v>6</v>
      </c>
      <c r="H37" s="2231">
        <f>G37/F37*100</f>
        <v>42.857142857142854</v>
      </c>
      <c r="J37" s="2214">
        <v>14000</v>
      </c>
      <c r="K37" s="2214">
        <v>14000</v>
      </c>
      <c r="L37" s="2214">
        <v>6465.26</v>
      </c>
    </row>
    <row r="38" spans="1:12" ht="15" x14ac:dyDescent="0.2">
      <c r="A38" s="1810" t="s">
        <v>289</v>
      </c>
      <c r="B38" s="1809"/>
      <c r="C38" s="1808"/>
      <c r="D38" s="2215"/>
      <c r="E38" s="1811">
        <f>E23</f>
        <v>0</v>
      </c>
      <c r="F38" s="1811">
        <f>F23</f>
        <v>3373</v>
      </c>
      <c r="G38" s="1811">
        <f>G23</f>
        <v>3373</v>
      </c>
      <c r="H38" s="2231">
        <f>G38/F38*100</f>
        <v>100</v>
      </c>
      <c r="J38" s="2214">
        <v>0</v>
      </c>
      <c r="K38" s="2214">
        <v>3373116.39</v>
      </c>
      <c r="L38" s="2214">
        <v>3373116.38</v>
      </c>
    </row>
    <row r="39" spans="1:12" ht="15" x14ac:dyDescent="0.2">
      <c r="A39" s="1810" t="s">
        <v>509</v>
      </c>
      <c r="B39" s="1809"/>
      <c r="C39" s="1808"/>
      <c r="D39" s="2215"/>
      <c r="E39" s="1811">
        <f>E15</f>
        <v>0</v>
      </c>
      <c r="F39" s="1811">
        <f>F15</f>
        <v>0</v>
      </c>
      <c r="G39" s="1811">
        <f>G15</f>
        <v>2708</v>
      </c>
      <c r="H39" s="2231">
        <v>0</v>
      </c>
      <c r="J39" s="2214">
        <v>0</v>
      </c>
      <c r="K39" s="2214">
        <v>0</v>
      </c>
      <c r="L39" s="2214">
        <v>2707597.22</v>
      </c>
    </row>
    <row r="40" spans="1:12" ht="15" x14ac:dyDescent="0.2">
      <c r="A40" s="1810"/>
      <c r="B40" s="1809"/>
      <c r="C40" s="1808"/>
      <c r="D40" s="2215"/>
      <c r="E40" s="1811"/>
      <c r="F40" s="1811"/>
      <c r="G40" s="1811"/>
      <c r="H40" s="1807"/>
    </row>
    <row r="41" spans="1:12" ht="46.5" customHeight="1" thickBot="1" x14ac:dyDescent="0.4">
      <c r="A41" s="2800" t="s">
        <v>1080</v>
      </c>
      <c r="B41" s="2821"/>
      <c r="C41" s="2821"/>
      <c r="D41" s="2821"/>
      <c r="E41" s="1801">
        <f>E36</f>
        <v>14</v>
      </c>
      <c r="F41" s="1801">
        <f>F36</f>
        <v>3387</v>
      </c>
      <c r="G41" s="1801">
        <f>G36</f>
        <v>6087</v>
      </c>
      <c r="H41" s="2529">
        <f>G41/F41*100</f>
        <v>179.71656333038086</v>
      </c>
    </row>
    <row r="42" spans="1:12" ht="13.5" thickTop="1" x14ac:dyDescent="0.2"/>
    <row r="156" spans="1:3" ht="13.5" thickBot="1" x14ac:dyDescent="0.25">
      <c r="A156" s="2179"/>
      <c r="B156" s="2179"/>
      <c r="C156" s="2179"/>
    </row>
    <row r="157" spans="1:3" ht="13.5" thickTop="1" x14ac:dyDescent="0.2">
      <c r="A157" s="2204"/>
      <c r="B157" s="2204"/>
      <c r="C157" s="2204"/>
    </row>
    <row r="164" spans="4:5" ht="13.5" thickBot="1" x14ac:dyDescent="0.25">
      <c r="D164" s="2264"/>
      <c r="E164" s="2265"/>
    </row>
    <row r="165" spans="4:5" ht="13.5" thickTop="1" x14ac:dyDescent="0.2">
      <c r="D165" s="2193"/>
      <c r="E165" s="2266"/>
    </row>
    <row r="166" spans="4:5" x14ac:dyDescent="0.2">
      <c r="D166" s="2131" t="e">
        <f>#REF!+#REF!</f>
        <v>#REF!</v>
      </c>
    </row>
  </sheetData>
  <mergeCells count="3">
    <mergeCell ref="A1:H1"/>
    <mergeCell ref="A16:D16"/>
    <mergeCell ref="A41:D41"/>
  </mergeCells>
  <pageMargins left="0.98425196850393704" right="0.98425196850393704" top="0.98425196850393704" bottom="0.98425196850393704" header="0.51181102362204722" footer="0.51181102362204722"/>
  <pageSetup paperSize="9" scale="74" firstPageNumber="159" orientation="portrait" useFirstPageNumber="1" r:id="rId1"/>
  <headerFooter alignWithMargins="0">
    <oddFooter xml:space="preserve">&amp;L&amp;"Arial,Kurzíva"Zastupitelstvo Olomouckého kraje 28. 6. 2013
6.- Závěrečný  účet Olomuckého kraje za rok 2012
Příloha č. 3: Plnění rozpočtu výdajů Olomouckého kraje k 31.12.2012&amp;R&amp;"Arial,Kurzíva"Strana &amp;P (Celkem 484)
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178"/>
  <sheetViews>
    <sheetView showGridLines="0" view="pageBreakPreview" topLeftCell="A87" zoomScaleNormal="100" zoomScaleSheetLayoutView="100" workbookViewId="0">
      <selection activeCell="E56" sqref="E56"/>
    </sheetView>
  </sheetViews>
  <sheetFormatPr defaultRowHeight="12.75" x14ac:dyDescent="0.2"/>
  <cols>
    <col min="1" max="1" width="4.85546875" style="2130" customWidth="1"/>
    <col min="2" max="2" width="6.140625" style="2130" customWidth="1"/>
    <col min="3" max="3" width="9.140625" style="2130" customWidth="1"/>
    <col min="4" max="4" width="39" style="2131" customWidth="1"/>
    <col min="5" max="5" width="10.42578125" style="2165" customWidth="1"/>
    <col min="6" max="6" width="15.85546875" style="2165" customWidth="1"/>
    <col min="7" max="7" width="13.85546875" style="2165" customWidth="1"/>
    <col min="8" max="8" width="9.140625" style="2131" customWidth="1"/>
    <col min="9" max="9" width="14.28515625" style="2131" bestFit="1" customWidth="1"/>
    <col min="10" max="10" width="11.42578125" style="2131" bestFit="1" customWidth="1"/>
    <col min="11" max="12" width="16" style="2131" bestFit="1" customWidth="1"/>
    <col min="13" max="256" width="9.140625" style="2131"/>
    <col min="257" max="257" width="4.7109375" style="2131" customWidth="1"/>
    <col min="258" max="258" width="6.140625" style="2131" customWidth="1"/>
    <col min="259" max="259" width="8.7109375" style="2131" customWidth="1"/>
    <col min="260" max="260" width="40.42578125" style="2131" customWidth="1"/>
    <col min="261" max="261" width="10.42578125" style="2131" customWidth="1"/>
    <col min="262" max="262" width="15.85546875" style="2131" customWidth="1"/>
    <col min="263" max="263" width="13.85546875" style="2131" customWidth="1"/>
    <col min="264" max="264" width="6.42578125" style="2131" customWidth="1"/>
    <col min="265" max="265" width="14.28515625" style="2131" bestFit="1" customWidth="1"/>
    <col min="266" max="266" width="11.42578125" style="2131" bestFit="1" customWidth="1"/>
    <col min="267" max="268" width="16" style="2131" bestFit="1" customWidth="1"/>
    <col min="269" max="512" width="9.140625" style="2131"/>
    <col min="513" max="513" width="4.7109375" style="2131" customWidth="1"/>
    <col min="514" max="514" width="6.140625" style="2131" customWidth="1"/>
    <col min="515" max="515" width="8.7109375" style="2131" customWidth="1"/>
    <col min="516" max="516" width="40.42578125" style="2131" customWidth="1"/>
    <col min="517" max="517" width="10.42578125" style="2131" customWidth="1"/>
    <col min="518" max="518" width="15.85546875" style="2131" customWidth="1"/>
    <col min="519" max="519" width="13.85546875" style="2131" customWidth="1"/>
    <col min="520" max="520" width="6.42578125" style="2131" customWidth="1"/>
    <col min="521" max="521" width="14.28515625" style="2131" bestFit="1" customWidth="1"/>
    <col min="522" max="522" width="11.42578125" style="2131" bestFit="1" customWidth="1"/>
    <col min="523" max="524" width="16" style="2131" bestFit="1" customWidth="1"/>
    <col min="525" max="768" width="9.140625" style="2131"/>
    <col min="769" max="769" width="4.7109375" style="2131" customWidth="1"/>
    <col min="770" max="770" width="6.140625" style="2131" customWidth="1"/>
    <col min="771" max="771" width="8.7109375" style="2131" customWidth="1"/>
    <col min="772" max="772" width="40.42578125" style="2131" customWidth="1"/>
    <col min="773" max="773" width="10.42578125" style="2131" customWidth="1"/>
    <col min="774" max="774" width="15.85546875" style="2131" customWidth="1"/>
    <col min="775" max="775" width="13.85546875" style="2131" customWidth="1"/>
    <col min="776" max="776" width="6.42578125" style="2131" customWidth="1"/>
    <col min="777" max="777" width="14.28515625" style="2131" bestFit="1" customWidth="1"/>
    <col min="778" max="778" width="11.42578125" style="2131" bestFit="1" customWidth="1"/>
    <col min="779" max="780" width="16" style="2131" bestFit="1" customWidth="1"/>
    <col min="781" max="1024" width="9.140625" style="2131"/>
    <col min="1025" max="1025" width="4.7109375" style="2131" customWidth="1"/>
    <col min="1026" max="1026" width="6.140625" style="2131" customWidth="1"/>
    <col min="1027" max="1027" width="8.7109375" style="2131" customWidth="1"/>
    <col min="1028" max="1028" width="40.42578125" style="2131" customWidth="1"/>
    <col min="1029" max="1029" width="10.42578125" style="2131" customWidth="1"/>
    <col min="1030" max="1030" width="15.85546875" style="2131" customWidth="1"/>
    <col min="1031" max="1031" width="13.85546875" style="2131" customWidth="1"/>
    <col min="1032" max="1032" width="6.42578125" style="2131" customWidth="1"/>
    <col min="1033" max="1033" width="14.28515625" style="2131" bestFit="1" customWidth="1"/>
    <col min="1034" max="1034" width="11.42578125" style="2131" bestFit="1" customWidth="1"/>
    <col min="1035" max="1036" width="16" style="2131" bestFit="1" customWidth="1"/>
    <col min="1037" max="1280" width="9.140625" style="2131"/>
    <col min="1281" max="1281" width="4.7109375" style="2131" customWidth="1"/>
    <col min="1282" max="1282" width="6.140625" style="2131" customWidth="1"/>
    <col min="1283" max="1283" width="8.7109375" style="2131" customWidth="1"/>
    <col min="1284" max="1284" width="40.42578125" style="2131" customWidth="1"/>
    <col min="1285" max="1285" width="10.42578125" style="2131" customWidth="1"/>
    <col min="1286" max="1286" width="15.85546875" style="2131" customWidth="1"/>
    <col min="1287" max="1287" width="13.85546875" style="2131" customWidth="1"/>
    <col min="1288" max="1288" width="6.42578125" style="2131" customWidth="1"/>
    <col min="1289" max="1289" width="14.28515625" style="2131" bestFit="1" customWidth="1"/>
    <col min="1290" max="1290" width="11.42578125" style="2131" bestFit="1" customWidth="1"/>
    <col min="1291" max="1292" width="16" style="2131" bestFit="1" customWidth="1"/>
    <col min="1293" max="1536" width="9.140625" style="2131"/>
    <col min="1537" max="1537" width="4.7109375" style="2131" customWidth="1"/>
    <col min="1538" max="1538" width="6.140625" style="2131" customWidth="1"/>
    <col min="1539" max="1539" width="8.7109375" style="2131" customWidth="1"/>
    <col min="1540" max="1540" width="40.42578125" style="2131" customWidth="1"/>
    <col min="1541" max="1541" width="10.42578125" style="2131" customWidth="1"/>
    <col min="1542" max="1542" width="15.85546875" style="2131" customWidth="1"/>
    <col min="1543" max="1543" width="13.85546875" style="2131" customWidth="1"/>
    <col min="1544" max="1544" width="6.42578125" style="2131" customWidth="1"/>
    <col min="1545" max="1545" width="14.28515625" style="2131" bestFit="1" customWidth="1"/>
    <col min="1546" max="1546" width="11.42578125" style="2131" bestFit="1" customWidth="1"/>
    <col min="1547" max="1548" width="16" style="2131" bestFit="1" customWidth="1"/>
    <col min="1549" max="1792" width="9.140625" style="2131"/>
    <col min="1793" max="1793" width="4.7109375" style="2131" customWidth="1"/>
    <col min="1794" max="1794" width="6.140625" style="2131" customWidth="1"/>
    <col min="1795" max="1795" width="8.7109375" style="2131" customWidth="1"/>
    <col min="1796" max="1796" width="40.42578125" style="2131" customWidth="1"/>
    <col min="1797" max="1797" width="10.42578125" style="2131" customWidth="1"/>
    <col min="1798" max="1798" width="15.85546875" style="2131" customWidth="1"/>
    <col min="1799" max="1799" width="13.85546875" style="2131" customWidth="1"/>
    <col min="1800" max="1800" width="6.42578125" style="2131" customWidth="1"/>
    <col min="1801" max="1801" width="14.28515625" style="2131" bestFit="1" customWidth="1"/>
    <col min="1802" max="1802" width="11.42578125" style="2131" bestFit="1" customWidth="1"/>
    <col min="1803" max="1804" width="16" style="2131" bestFit="1" customWidth="1"/>
    <col min="1805" max="2048" width="9.140625" style="2131"/>
    <col min="2049" max="2049" width="4.7109375" style="2131" customWidth="1"/>
    <col min="2050" max="2050" width="6.140625" style="2131" customWidth="1"/>
    <col min="2051" max="2051" width="8.7109375" style="2131" customWidth="1"/>
    <col min="2052" max="2052" width="40.42578125" style="2131" customWidth="1"/>
    <col min="2053" max="2053" width="10.42578125" style="2131" customWidth="1"/>
    <col min="2054" max="2054" width="15.85546875" style="2131" customWidth="1"/>
    <col min="2055" max="2055" width="13.85546875" style="2131" customWidth="1"/>
    <col min="2056" max="2056" width="6.42578125" style="2131" customWidth="1"/>
    <col min="2057" max="2057" width="14.28515625" style="2131" bestFit="1" customWidth="1"/>
    <col min="2058" max="2058" width="11.42578125" style="2131" bestFit="1" customWidth="1"/>
    <col min="2059" max="2060" width="16" style="2131" bestFit="1" customWidth="1"/>
    <col min="2061" max="2304" width="9.140625" style="2131"/>
    <col min="2305" max="2305" width="4.7109375" style="2131" customWidth="1"/>
    <col min="2306" max="2306" width="6.140625" style="2131" customWidth="1"/>
    <col min="2307" max="2307" width="8.7109375" style="2131" customWidth="1"/>
    <col min="2308" max="2308" width="40.42578125" style="2131" customWidth="1"/>
    <col min="2309" max="2309" width="10.42578125" style="2131" customWidth="1"/>
    <col min="2310" max="2310" width="15.85546875" style="2131" customWidth="1"/>
    <col min="2311" max="2311" width="13.85546875" style="2131" customWidth="1"/>
    <col min="2312" max="2312" width="6.42578125" style="2131" customWidth="1"/>
    <col min="2313" max="2313" width="14.28515625" style="2131" bestFit="1" customWidth="1"/>
    <col min="2314" max="2314" width="11.42578125" style="2131" bestFit="1" customWidth="1"/>
    <col min="2315" max="2316" width="16" style="2131" bestFit="1" customWidth="1"/>
    <col min="2317" max="2560" width="9.140625" style="2131"/>
    <col min="2561" max="2561" width="4.7109375" style="2131" customWidth="1"/>
    <col min="2562" max="2562" width="6.140625" style="2131" customWidth="1"/>
    <col min="2563" max="2563" width="8.7109375" style="2131" customWidth="1"/>
    <col min="2564" max="2564" width="40.42578125" style="2131" customWidth="1"/>
    <col min="2565" max="2565" width="10.42578125" style="2131" customWidth="1"/>
    <col min="2566" max="2566" width="15.85546875" style="2131" customWidth="1"/>
    <col min="2567" max="2567" width="13.85546875" style="2131" customWidth="1"/>
    <col min="2568" max="2568" width="6.42578125" style="2131" customWidth="1"/>
    <col min="2569" max="2569" width="14.28515625" style="2131" bestFit="1" customWidth="1"/>
    <col min="2570" max="2570" width="11.42578125" style="2131" bestFit="1" customWidth="1"/>
    <col min="2571" max="2572" width="16" style="2131" bestFit="1" customWidth="1"/>
    <col min="2573" max="2816" width="9.140625" style="2131"/>
    <col min="2817" max="2817" width="4.7109375" style="2131" customWidth="1"/>
    <col min="2818" max="2818" width="6.140625" style="2131" customWidth="1"/>
    <col min="2819" max="2819" width="8.7109375" style="2131" customWidth="1"/>
    <col min="2820" max="2820" width="40.42578125" style="2131" customWidth="1"/>
    <col min="2821" max="2821" width="10.42578125" style="2131" customWidth="1"/>
    <col min="2822" max="2822" width="15.85546875" style="2131" customWidth="1"/>
    <col min="2823" max="2823" width="13.85546875" style="2131" customWidth="1"/>
    <col min="2824" max="2824" width="6.42578125" style="2131" customWidth="1"/>
    <col min="2825" max="2825" width="14.28515625" style="2131" bestFit="1" customWidth="1"/>
    <col min="2826" max="2826" width="11.42578125" style="2131" bestFit="1" customWidth="1"/>
    <col min="2827" max="2828" width="16" style="2131" bestFit="1" customWidth="1"/>
    <col min="2829" max="3072" width="9.140625" style="2131"/>
    <col min="3073" max="3073" width="4.7109375" style="2131" customWidth="1"/>
    <col min="3074" max="3074" width="6.140625" style="2131" customWidth="1"/>
    <col min="3075" max="3075" width="8.7109375" style="2131" customWidth="1"/>
    <col min="3076" max="3076" width="40.42578125" style="2131" customWidth="1"/>
    <col min="3077" max="3077" width="10.42578125" style="2131" customWidth="1"/>
    <col min="3078" max="3078" width="15.85546875" style="2131" customWidth="1"/>
    <col min="3079" max="3079" width="13.85546875" style="2131" customWidth="1"/>
    <col min="3080" max="3080" width="6.42578125" style="2131" customWidth="1"/>
    <col min="3081" max="3081" width="14.28515625" style="2131" bestFit="1" customWidth="1"/>
    <col min="3082" max="3082" width="11.42578125" style="2131" bestFit="1" customWidth="1"/>
    <col min="3083" max="3084" width="16" style="2131" bestFit="1" customWidth="1"/>
    <col min="3085" max="3328" width="9.140625" style="2131"/>
    <col min="3329" max="3329" width="4.7109375" style="2131" customWidth="1"/>
    <col min="3330" max="3330" width="6.140625" style="2131" customWidth="1"/>
    <col min="3331" max="3331" width="8.7109375" style="2131" customWidth="1"/>
    <col min="3332" max="3332" width="40.42578125" style="2131" customWidth="1"/>
    <col min="3333" max="3333" width="10.42578125" style="2131" customWidth="1"/>
    <col min="3334" max="3334" width="15.85546875" style="2131" customWidth="1"/>
    <col min="3335" max="3335" width="13.85546875" style="2131" customWidth="1"/>
    <col min="3336" max="3336" width="6.42578125" style="2131" customWidth="1"/>
    <col min="3337" max="3337" width="14.28515625" style="2131" bestFit="1" customWidth="1"/>
    <col min="3338" max="3338" width="11.42578125" style="2131" bestFit="1" customWidth="1"/>
    <col min="3339" max="3340" width="16" style="2131" bestFit="1" customWidth="1"/>
    <col min="3341" max="3584" width="9.140625" style="2131"/>
    <col min="3585" max="3585" width="4.7109375" style="2131" customWidth="1"/>
    <col min="3586" max="3586" width="6.140625" style="2131" customWidth="1"/>
    <col min="3587" max="3587" width="8.7109375" style="2131" customWidth="1"/>
    <col min="3588" max="3588" width="40.42578125" style="2131" customWidth="1"/>
    <col min="3589" max="3589" width="10.42578125" style="2131" customWidth="1"/>
    <col min="3590" max="3590" width="15.85546875" style="2131" customWidth="1"/>
    <col min="3591" max="3591" width="13.85546875" style="2131" customWidth="1"/>
    <col min="3592" max="3592" width="6.42578125" style="2131" customWidth="1"/>
    <col min="3593" max="3593" width="14.28515625" style="2131" bestFit="1" customWidth="1"/>
    <col min="3594" max="3594" width="11.42578125" style="2131" bestFit="1" customWidth="1"/>
    <col min="3595" max="3596" width="16" style="2131" bestFit="1" customWidth="1"/>
    <col min="3597" max="3840" width="9.140625" style="2131"/>
    <col min="3841" max="3841" width="4.7109375" style="2131" customWidth="1"/>
    <col min="3842" max="3842" width="6.140625" style="2131" customWidth="1"/>
    <col min="3843" max="3843" width="8.7109375" style="2131" customWidth="1"/>
    <col min="3844" max="3844" width="40.42578125" style="2131" customWidth="1"/>
    <col min="3845" max="3845" width="10.42578125" style="2131" customWidth="1"/>
    <col min="3846" max="3846" width="15.85546875" style="2131" customWidth="1"/>
    <col min="3847" max="3847" width="13.85546875" style="2131" customWidth="1"/>
    <col min="3848" max="3848" width="6.42578125" style="2131" customWidth="1"/>
    <col min="3849" max="3849" width="14.28515625" style="2131" bestFit="1" customWidth="1"/>
    <col min="3850" max="3850" width="11.42578125" style="2131" bestFit="1" customWidth="1"/>
    <col min="3851" max="3852" width="16" style="2131" bestFit="1" customWidth="1"/>
    <col min="3853" max="4096" width="9.140625" style="2131"/>
    <col min="4097" max="4097" width="4.7109375" style="2131" customWidth="1"/>
    <col min="4098" max="4098" width="6.140625" style="2131" customWidth="1"/>
    <col min="4099" max="4099" width="8.7109375" style="2131" customWidth="1"/>
    <col min="4100" max="4100" width="40.42578125" style="2131" customWidth="1"/>
    <col min="4101" max="4101" width="10.42578125" style="2131" customWidth="1"/>
    <col min="4102" max="4102" width="15.85546875" style="2131" customWidth="1"/>
    <col min="4103" max="4103" width="13.85546875" style="2131" customWidth="1"/>
    <col min="4104" max="4104" width="6.42578125" style="2131" customWidth="1"/>
    <col min="4105" max="4105" width="14.28515625" style="2131" bestFit="1" customWidth="1"/>
    <col min="4106" max="4106" width="11.42578125" style="2131" bestFit="1" customWidth="1"/>
    <col min="4107" max="4108" width="16" style="2131" bestFit="1" customWidth="1"/>
    <col min="4109" max="4352" width="9.140625" style="2131"/>
    <col min="4353" max="4353" width="4.7109375" style="2131" customWidth="1"/>
    <col min="4354" max="4354" width="6.140625" style="2131" customWidth="1"/>
    <col min="4355" max="4355" width="8.7109375" style="2131" customWidth="1"/>
    <col min="4356" max="4356" width="40.42578125" style="2131" customWidth="1"/>
    <col min="4357" max="4357" width="10.42578125" style="2131" customWidth="1"/>
    <col min="4358" max="4358" width="15.85546875" style="2131" customWidth="1"/>
    <col min="4359" max="4359" width="13.85546875" style="2131" customWidth="1"/>
    <col min="4360" max="4360" width="6.42578125" style="2131" customWidth="1"/>
    <col min="4361" max="4361" width="14.28515625" style="2131" bestFit="1" customWidth="1"/>
    <col min="4362" max="4362" width="11.42578125" style="2131" bestFit="1" customWidth="1"/>
    <col min="4363" max="4364" width="16" style="2131" bestFit="1" customWidth="1"/>
    <col min="4365" max="4608" width="9.140625" style="2131"/>
    <col min="4609" max="4609" width="4.7109375" style="2131" customWidth="1"/>
    <col min="4610" max="4610" width="6.140625" style="2131" customWidth="1"/>
    <col min="4611" max="4611" width="8.7109375" style="2131" customWidth="1"/>
    <col min="4612" max="4612" width="40.42578125" style="2131" customWidth="1"/>
    <col min="4613" max="4613" width="10.42578125" style="2131" customWidth="1"/>
    <col min="4614" max="4614" width="15.85546875" style="2131" customWidth="1"/>
    <col min="4615" max="4615" width="13.85546875" style="2131" customWidth="1"/>
    <col min="4616" max="4616" width="6.42578125" style="2131" customWidth="1"/>
    <col min="4617" max="4617" width="14.28515625" style="2131" bestFit="1" customWidth="1"/>
    <col min="4618" max="4618" width="11.42578125" style="2131" bestFit="1" customWidth="1"/>
    <col min="4619" max="4620" width="16" style="2131" bestFit="1" customWidth="1"/>
    <col min="4621" max="4864" width="9.140625" style="2131"/>
    <col min="4865" max="4865" width="4.7109375" style="2131" customWidth="1"/>
    <col min="4866" max="4866" width="6.140625" style="2131" customWidth="1"/>
    <col min="4867" max="4867" width="8.7109375" style="2131" customWidth="1"/>
    <col min="4868" max="4868" width="40.42578125" style="2131" customWidth="1"/>
    <col min="4869" max="4869" width="10.42578125" style="2131" customWidth="1"/>
    <col min="4870" max="4870" width="15.85546875" style="2131" customWidth="1"/>
    <col min="4871" max="4871" width="13.85546875" style="2131" customWidth="1"/>
    <col min="4872" max="4872" width="6.42578125" style="2131" customWidth="1"/>
    <col min="4873" max="4873" width="14.28515625" style="2131" bestFit="1" customWidth="1"/>
    <col min="4874" max="4874" width="11.42578125" style="2131" bestFit="1" customWidth="1"/>
    <col min="4875" max="4876" width="16" style="2131" bestFit="1" customWidth="1"/>
    <col min="4877" max="5120" width="9.140625" style="2131"/>
    <col min="5121" max="5121" width="4.7109375" style="2131" customWidth="1"/>
    <col min="5122" max="5122" width="6.140625" style="2131" customWidth="1"/>
    <col min="5123" max="5123" width="8.7109375" style="2131" customWidth="1"/>
    <col min="5124" max="5124" width="40.42578125" style="2131" customWidth="1"/>
    <col min="5125" max="5125" width="10.42578125" style="2131" customWidth="1"/>
    <col min="5126" max="5126" width="15.85546875" style="2131" customWidth="1"/>
    <col min="5127" max="5127" width="13.85546875" style="2131" customWidth="1"/>
    <col min="5128" max="5128" width="6.42578125" style="2131" customWidth="1"/>
    <col min="5129" max="5129" width="14.28515625" style="2131" bestFit="1" customWidth="1"/>
    <col min="5130" max="5130" width="11.42578125" style="2131" bestFit="1" customWidth="1"/>
    <col min="5131" max="5132" width="16" style="2131" bestFit="1" customWidth="1"/>
    <col min="5133" max="5376" width="9.140625" style="2131"/>
    <col min="5377" max="5377" width="4.7109375" style="2131" customWidth="1"/>
    <col min="5378" max="5378" width="6.140625" style="2131" customWidth="1"/>
    <col min="5379" max="5379" width="8.7109375" style="2131" customWidth="1"/>
    <col min="5380" max="5380" width="40.42578125" style="2131" customWidth="1"/>
    <col min="5381" max="5381" width="10.42578125" style="2131" customWidth="1"/>
    <col min="5382" max="5382" width="15.85546875" style="2131" customWidth="1"/>
    <col min="5383" max="5383" width="13.85546875" style="2131" customWidth="1"/>
    <col min="5384" max="5384" width="6.42578125" style="2131" customWidth="1"/>
    <col min="5385" max="5385" width="14.28515625" style="2131" bestFit="1" customWidth="1"/>
    <col min="5386" max="5386" width="11.42578125" style="2131" bestFit="1" customWidth="1"/>
    <col min="5387" max="5388" width="16" style="2131" bestFit="1" customWidth="1"/>
    <col min="5389" max="5632" width="9.140625" style="2131"/>
    <col min="5633" max="5633" width="4.7109375" style="2131" customWidth="1"/>
    <col min="5634" max="5634" width="6.140625" style="2131" customWidth="1"/>
    <col min="5635" max="5635" width="8.7109375" style="2131" customWidth="1"/>
    <col min="5636" max="5636" width="40.42578125" style="2131" customWidth="1"/>
    <col min="5637" max="5637" width="10.42578125" style="2131" customWidth="1"/>
    <col min="5638" max="5638" width="15.85546875" style="2131" customWidth="1"/>
    <col min="5639" max="5639" width="13.85546875" style="2131" customWidth="1"/>
    <col min="5640" max="5640" width="6.42578125" style="2131" customWidth="1"/>
    <col min="5641" max="5641" width="14.28515625" style="2131" bestFit="1" customWidth="1"/>
    <col min="5642" max="5642" width="11.42578125" style="2131" bestFit="1" customWidth="1"/>
    <col min="5643" max="5644" width="16" style="2131" bestFit="1" customWidth="1"/>
    <col min="5645" max="5888" width="9.140625" style="2131"/>
    <col min="5889" max="5889" width="4.7109375" style="2131" customWidth="1"/>
    <col min="5890" max="5890" width="6.140625" style="2131" customWidth="1"/>
    <col min="5891" max="5891" width="8.7109375" style="2131" customWidth="1"/>
    <col min="5892" max="5892" width="40.42578125" style="2131" customWidth="1"/>
    <col min="5893" max="5893" width="10.42578125" style="2131" customWidth="1"/>
    <col min="5894" max="5894" width="15.85546875" style="2131" customWidth="1"/>
    <col min="5895" max="5895" width="13.85546875" style="2131" customWidth="1"/>
    <col min="5896" max="5896" width="6.42578125" style="2131" customWidth="1"/>
    <col min="5897" max="5897" width="14.28515625" style="2131" bestFit="1" customWidth="1"/>
    <col min="5898" max="5898" width="11.42578125" style="2131" bestFit="1" customWidth="1"/>
    <col min="5899" max="5900" width="16" style="2131" bestFit="1" customWidth="1"/>
    <col min="5901" max="6144" width="9.140625" style="2131"/>
    <col min="6145" max="6145" width="4.7109375" style="2131" customWidth="1"/>
    <col min="6146" max="6146" width="6.140625" style="2131" customWidth="1"/>
    <col min="6147" max="6147" width="8.7109375" style="2131" customWidth="1"/>
    <col min="6148" max="6148" width="40.42578125" style="2131" customWidth="1"/>
    <col min="6149" max="6149" width="10.42578125" style="2131" customWidth="1"/>
    <col min="6150" max="6150" width="15.85546875" style="2131" customWidth="1"/>
    <col min="6151" max="6151" width="13.85546875" style="2131" customWidth="1"/>
    <col min="6152" max="6152" width="6.42578125" style="2131" customWidth="1"/>
    <col min="6153" max="6153" width="14.28515625" style="2131" bestFit="1" customWidth="1"/>
    <col min="6154" max="6154" width="11.42578125" style="2131" bestFit="1" customWidth="1"/>
    <col min="6155" max="6156" width="16" style="2131" bestFit="1" customWidth="1"/>
    <col min="6157" max="6400" width="9.140625" style="2131"/>
    <col min="6401" max="6401" width="4.7109375" style="2131" customWidth="1"/>
    <col min="6402" max="6402" width="6.140625" style="2131" customWidth="1"/>
    <col min="6403" max="6403" width="8.7109375" style="2131" customWidth="1"/>
    <col min="6404" max="6404" width="40.42578125" style="2131" customWidth="1"/>
    <col min="6405" max="6405" width="10.42578125" style="2131" customWidth="1"/>
    <col min="6406" max="6406" width="15.85546875" style="2131" customWidth="1"/>
    <col min="6407" max="6407" width="13.85546875" style="2131" customWidth="1"/>
    <col min="6408" max="6408" width="6.42578125" style="2131" customWidth="1"/>
    <col min="6409" max="6409" width="14.28515625" style="2131" bestFit="1" customWidth="1"/>
    <col min="6410" max="6410" width="11.42578125" style="2131" bestFit="1" customWidth="1"/>
    <col min="6411" max="6412" width="16" style="2131" bestFit="1" customWidth="1"/>
    <col min="6413" max="6656" width="9.140625" style="2131"/>
    <col min="6657" max="6657" width="4.7109375" style="2131" customWidth="1"/>
    <col min="6658" max="6658" width="6.140625" style="2131" customWidth="1"/>
    <col min="6659" max="6659" width="8.7109375" style="2131" customWidth="1"/>
    <col min="6660" max="6660" width="40.42578125" style="2131" customWidth="1"/>
    <col min="6661" max="6661" width="10.42578125" style="2131" customWidth="1"/>
    <col min="6662" max="6662" width="15.85546875" style="2131" customWidth="1"/>
    <col min="6663" max="6663" width="13.85546875" style="2131" customWidth="1"/>
    <col min="6664" max="6664" width="6.42578125" style="2131" customWidth="1"/>
    <col min="6665" max="6665" width="14.28515625" style="2131" bestFit="1" customWidth="1"/>
    <col min="6666" max="6666" width="11.42578125" style="2131" bestFit="1" customWidth="1"/>
    <col min="6667" max="6668" width="16" style="2131" bestFit="1" customWidth="1"/>
    <col min="6669" max="6912" width="9.140625" style="2131"/>
    <col min="6913" max="6913" width="4.7109375" style="2131" customWidth="1"/>
    <col min="6914" max="6914" width="6.140625" style="2131" customWidth="1"/>
    <col min="6915" max="6915" width="8.7109375" style="2131" customWidth="1"/>
    <col min="6916" max="6916" width="40.42578125" style="2131" customWidth="1"/>
    <col min="6917" max="6917" width="10.42578125" style="2131" customWidth="1"/>
    <col min="6918" max="6918" width="15.85546875" style="2131" customWidth="1"/>
    <col min="6919" max="6919" width="13.85546875" style="2131" customWidth="1"/>
    <col min="6920" max="6920" width="6.42578125" style="2131" customWidth="1"/>
    <col min="6921" max="6921" width="14.28515625" style="2131" bestFit="1" customWidth="1"/>
    <col min="6922" max="6922" width="11.42578125" style="2131" bestFit="1" customWidth="1"/>
    <col min="6923" max="6924" width="16" style="2131" bestFit="1" customWidth="1"/>
    <col min="6925" max="7168" width="9.140625" style="2131"/>
    <col min="7169" max="7169" width="4.7109375" style="2131" customWidth="1"/>
    <col min="7170" max="7170" width="6.140625" style="2131" customWidth="1"/>
    <col min="7171" max="7171" width="8.7109375" style="2131" customWidth="1"/>
    <col min="7172" max="7172" width="40.42578125" style="2131" customWidth="1"/>
    <col min="7173" max="7173" width="10.42578125" style="2131" customWidth="1"/>
    <col min="7174" max="7174" width="15.85546875" style="2131" customWidth="1"/>
    <col min="7175" max="7175" width="13.85546875" style="2131" customWidth="1"/>
    <col min="7176" max="7176" width="6.42578125" style="2131" customWidth="1"/>
    <col min="7177" max="7177" width="14.28515625" style="2131" bestFit="1" customWidth="1"/>
    <col min="7178" max="7178" width="11.42578125" style="2131" bestFit="1" customWidth="1"/>
    <col min="7179" max="7180" width="16" style="2131" bestFit="1" customWidth="1"/>
    <col min="7181" max="7424" width="9.140625" style="2131"/>
    <col min="7425" max="7425" width="4.7109375" style="2131" customWidth="1"/>
    <col min="7426" max="7426" width="6.140625" style="2131" customWidth="1"/>
    <col min="7427" max="7427" width="8.7109375" style="2131" customWidth="1"/>
    <col min="7428" max="7428" width="40.42578125" style="2131" customWidth="1"/>
    <col min="7429" max="7429" width="10.42578125" style="2131" customWidth="1"/>
    <col min="7430" max="7430" width="15.85546875" style="2131" customWidth="1"/>
    <col min="7431" max="7431" width="13.85546875" style="2131" customWidth="1"/>
    <col min="7432" max="7432" width="6.42578125" style="2131" customWidth="1"/>
    <col min="7433" max="7433" width="14.28515625" style="2131" bestFit="1" customWidth="1"/>
    <col min="7434" max="7434" width="11.42578125" style="2131" bestFit="1" customWidth="1"/>
    <col min="7435" max="7436" width="16" style="2131" bestFit="1" customWidth="1"/>
    <col min="7437" max="7680" width="9.140625" style="2131"/>
    <col min="7681" max="7681" width="4.7109375" style="2131" customWidth="1"/>
    <col min="7682" max="7682" width="6.140625" style="2131" customWidth="1"/>
    <col min="7683" max="7683" width="8.7109375" style="2131" customWidth="1"/>
    <col min="7684" max="7684" width="40.42578125" style="2131" customWidth="1"/>
    <col min="7685" max="7685" width="10.42578125" style="2131" customWidth="1"/>
    <col min="7686" max="7686" width="15.85546875" style="2131" customWidth="1"/>
    <col min="7687" max="7687" width="13.85546875" style="2131" customWidth="1"/>
    <col min="7688" max="7688" width="6.42578125" style="2131" customWidth="1"/>
    <col min="7689" max="7689" width="14.28515625" style="2131" bestFit="1" customWidth="1"/>
    <col min="7690" max="7690" width="11.42578125" style="2131" bestFit="1" customWidth="1"/>
    <col min="7691" max="7692" width="16" style="2131" bestFit="1" customWidth="1"/>
    <col min="7693" max="7936" width="9.140625" style="2131"/>
    <col min="7937" max="7937" width="4.7109375" style="2131" customWidth="1"/>
    <col min="7938" max="7938" width="6.140625" style="2131" customWidth="1"/>
    <col min="7939" max="7939" width="8.7109375" style="2131" customWidth="1"/>
    <col min="7940" max="7940" width="40.42578125" style="2131" customWidth="1"/>
    <col min="7941" max="7941" width="10.42578125" style="2131" customWidth="1"/>
    <col min="7942" max="7942" width="15.85546875" style="2131" customWidth="1"/>
    <col min="7943" max="7943" width="13.85546875" style="2131" customWidth="1"/>
    <col min="7944" max="7944" width="6.42578125" style="2131" customWidth="1"/>
    <col min="7945" max="7945" width="14.28515625" style="2131" bestFit="1" customWidth="1"/>
    <col min="7946" max="7946" width="11.42578125" style="2131" bestFit="1" customWidth="1"/>
    <col min="7947" max="7948" width="16" style="2131" bestFit="1" customWidth="1"/>
    <col min="7949" max="8192" width="9.140625" style="2131"/>
    <col min="8193" max="8193" width="4.7109375" style="2131" customWidth="1"/>
    <col min="8194" max="8194" width="6.140625" style="2131" customWidth="1"/>
    <col min="8195" max="8195" width="8.7109375" style="2131" customWidth="1"/>
    <col min="8196" max="8196" width="40.42578125" style="2131" customWidth="1"/>
    <col min="8197" max="8197" width="10.42578125" style="2131" customWidth="1"/>
    <col min="8198" max="8198" width="15.85546875" style="2131" customWidth="1"/>
    <col min="8199" max="8199" width="13.85546875" style="2131" customWidth="1"/>
    <col min="8200" max="8200" width="6.42578125" style="2131" customWidth="1"/>
    <col min="8201" max="8201" width="14.28515625" style="2131" bestFit="1" customWidth="1"/>
    <col min="8202" max="8202" width="11.42578125" style="2131" bestFit="1" customWidth="1"/>
    <col min="8203" max="8204" width="16" style="2131" bestFit="1" customWidth="1"/>
    <col min="8205" max="8448" width="9.140625" style="2131"/>
    <col min="8449" max="8449" width="4.7109375" style="2131" customWidth="1"/>
    <col min="8450" max="8450" width="6.140625" style="2131" customWidth="1"/>
    <col min="8451" max="8451" width="8.7109375" style="2131" customWidth="1"/>
    <col min="8452" max="8452" width="40.42578125" style="2131" customWidth="1"/>
    <col min="8453" max="8453" width="10.42578125" style="2131" customWidth="1"/>
    <col min="8454" max="8454" width="15.85546875" style="2131" customWidth="1"/>
    <col min="8455" max="8455" width="13.85546875" style="2131" customWidth="1"/>
    <col min="8456" max="8456" width="6.42578125" style="2131" customWidth="1"/>
    <col min="8457" max="8457" width="14.28515625" style="2131" bestFit="1" customWidth="1"/>
    <col min="8458" max="8458" width="11.42578125" style="2131" bestFit="1" customWidth="1"/>
    <col min="8459" max="8460" width="16" style="2131" bestFit="1" customWidth="1"/>
    <col min="8461" max="8704" width="9.140625" style="2131"/>
    <col min="8705" max="8705" width="4.7109375" style="2131" customWidth="1"/>
    <col min="8706" max="8706" width="6.140625" style="2131" customWidth="1"/>
    <col min="8707" max="8707" width="8.7109375" style="2131" customWidth="1"/>
    <col min="8708" max="8708" width="40.42578125" style="2131" customWidth="1"/>
    <col min="8709" max="8709" width="10.42578125" style="2131" customWidth="1"/>
    <col min="8710" max="8710" width="15.85546875" style="2131" customWidth="1"/>
    <col min="8711" max="8711" width="13.85546875" style="2131" customWidth="1"/>
    <col min="8712" max="8712" width="6.42578125" style="2131" customWidth="1"/>
    <col min="8713" max="8713" width="14.28515625" style="2131" bestFit="1" customWidth="1"/>
    <col min="8714" max="8714" width="11.42578125" style="2131" bestFit="1" customWidth="1"/>
    <col min="8715" max="8716" width="16" style="2131" bestFit="1" customWidth="1"/>
    <col min="8717" max="8960" width="9.140625" style="2131"/>
    <col min="8961" max="8961" width="4.7109375" style="2131" customWidth="1"/>
    <col min="8962" max="8962" width="6.140625" style="2131" customWidth="1"/>
    <col min="8963" max="8963" width="8.7109375" style="2131" customWidth="1"/>
    <col min="8964" max="8964" width="40.42578125" style="2131" customWidth="1"/>
    <col min="8965" max="8965" width="10.42578125" style="2131" customWidth="1"/>
    <col min="8966" max="8966" width="15.85546875" style="2131" customWidth="1"/>
    <col min="8967" max="8967" width="13.85546875" style="2131" customWidth="1"/>
    <col min="8968" max="8968" width="6.42578125" style="2131" customWidth="1"/>
    <col min="8969" max="8969" width="14.28515625" style="2131" bestFit="1" customWidth="1"/>
    <col min="8970" max="8970" width="11.42578125" style="2131" bestFit="1" customWidth="1"/>
    <col min="8971" max="8972" width="16" style="2131" bestFit="1" customWidth="1"/>
    <col min="8973" max="9216" width="9.140625" style="2131"/>
    <col min="9217" max="9217" width="4.7109375" style="2131" customWidth="1"/>
    <col min="9218" max="9218" width="6.140625" style="2131" customWidth="1"/>
    <col min="9219" max="9219" width="8.7109375" style="2131" customWidth="1"/>
    <col min="9220" max="9220" width="40.42578125" style="2131" customWidth="1"/>
    <col min="9221" max="9221" width="10.42578125" style="2131" customWidth="1"/>
    <col min="9222" max="9222" width="15.85546875" style="2131" customWidth="1"/>
    <col min="9223" max="9223" width="13.85546875" style="2131" customWidth="1"/>
    <col min="9224" max="9224" width="6.42578125" style="2131" customWidth="1"/>
    <col min="9225" max="9225" width="14.28515625" style="2131" bestFit="1" customWidth="1"/>
    <col min="9226" max="9226" width="11.42578125" style="2131" bestFit="1" customWidth="1"/>
    <col min="9227" max="9228" width="16" style="2131" bestFit="1" customWidth="1"/>
    <col min="9229" max="9472" width="9.140625" style="2131"/>
    <col min="9473" max="9473" width="4.7109375" style="2131" customWidth="1"/>
    <col min="9474" max="9474" width="6.140625" style="2131" customWidth="1"/>
    <col min="9475" max="9475" width="8.7109375" style="2131" customWidth="1"/>
    <col min="9476" max="9476" width="40.42578125" style="2131" customWidth="1"/>
    <col min="9477" max="9477" width="10.42578125" style="2131" customWidth="1"/>
    <col min="9478" max="9478" width="15.85546875" style="2131" customWidth="1"/>
    <col min="9479" max="9479" width="13.85546875" style="2131" customWidth="1"/>
    <col min="9480" max="9480" width="6.42578125" style="2131" customWidth="1"/>
    <col min="9481" max="9481" width="14.28515625" style="2131" bestFit="1" customWidth="1"/>
    <col min="9482" max="9482" width="11.42578125" style="2131" bestFit="1" customWidth="1"/>
    <col min="9483" max="9484" width="16" style="2131" bestFit="1" customWidth="1"/>
    <col min="9485" max="9728" width="9.140625" style="2131"/>
    <col min="9729" max="9729" width="4.7109375" style="2131" customWidth="1"/>
    <col min="9730" max="9730" width="6.140625" style="2131" customWidth="1"/>
    <col min="9731" max="9731" width="8.7109375" style="2131" customWidth="1"/>
    <col min="9732" max="9732" width="40.42578125" style="2131" customWidth="1"/>
    <col min="9733" max="9733" width="10.42578125" style="2131" customWidth="1"/>
    <col min="9734" max="9734" width="15.85546875" style="2131" customWidth="1"/>
    <col min="9735" max="9735" width="13.85546875" style="2131" customWidth="1"/>
    <col min="9736" max="9736" width="6.42578125" style="2131" customWidth="1"/>
    <col min="9737" max="9737" width="14.28515625" style="2131" bestFit="1" customWidth="1"/>
    <col min="9738" max="9738" width="11.42578125" style="2131" bestFit="1" customWidth="1"/>
    <col min="9739" max="9740" width="16" style="2131" bestFit="1" customWidth="1"/>
    <col min="9741" max="9984" width="9.140625" style="2131"/>
    <col min="9985" max="9985" width="4.7109375" style="2131" customWidth="1"/>
    <col min="9986" max="9986" width="6.140625" style="2131" customWidth="1"/>
    <col min="9987" max="9987" width="8.7109375" style="2131" customWidth="1"/>
    <col min="9988" max="9988" width="40.42578125" style="2131" customWidth="1"/>
    <col min="9989" max="9989" width="10.42578125" style="2131" customWidth="1"/>
    <col min="9990" max="9990" width="15.85546875" style="2131" customWidth="1"/>
    <col min="9991" max="9991" width="13.85546875" style="2131" customWidth="1"/>
    <col min="9992" max="9992" width="6.42578125" style="2131" customWidth="1"/>
    <col min="9993" max="9993" width="14.28515625" style="2131" bestFit="1" customWidth="1"/>
    <col min="9994" max="9994" width="11.42578125" style="2131" bestFit="1" customWidth="1"/>
    <col min="9995" max="9996" width="16" style="2131" bestFit="1" customWidth="1"/>
    <col min="9997" max="10240" width="9.140625" style="2131"/>
    <col min="10241" max="10241" width="4.7109375" style="2131" customWidth="1"/>
    <col min="10242" max="10242" width="6.140625" style="2131" customWidth="1"/>
    <col min="10243" max="10243" width="8.7109375" style="2131" customWidth="1"/>
    <col min="10244" max="10244" width="40.42578125" style="2131" customWidth="1"/>
    <col min="10245" max="10245" width="10.42578125" style="2131" customWidth="1"/>
    <col min="10246" max="10246" width="15.85546875" style="2131" customWidth="1"/>
    <col min="10247" max="10247" width="13.85546875" style="2131" customWidth="1"/>
    <col min="10248" max="10248" width="6.42578125" style="2131" customWidth="1"/>
    <col min="10249" max="10249" width="14.28515625" style="2131" bestFit="1" customWidth="1"/>
    <col min="10250" max="10250" width="11.42578125" style="2131" bestFit="1" customWidth="1"/>
    <col min="10251" max="10252" width="16" style="2131" bestFit="1" customWidth="1"/>
    <col min="10253" max="10496" width="9.140625" style="2131"/>
    <col min="10497" max="10497" width="4.7109375" style="2131" customWidth="1"/>
    <col min="10498" max="10498" width="6.140625" style="2131" customWidth="1"/>
    <col min="10499" max="10499" width="8.7109375" style="2131" customWidth="1"/>
    <col min="10500" max="10500" width="40.42578125" style="2131" customWidth="1"/>
    <col min="10501" max="10501" width="10.42578125" style="2131" customWidth="1"/>
    <col min="10502" max="10502" width="15.85546875" style="2131" customWidth="1"/>
    <col min="10503" max="10503" width="13.85546875" style="2131" customWidth="1"/>
    <col min="10504" max="10504" width="6.42578125" style="2131" customWidth="1"/>
    <col min="10505" max="10505" width="14.28515625" style="2131" bestFit="1" customWidth="1"/>
    <col min="10506" max="10506" width="11.42578125" style="2131" bestFit="1" customWidth="1"/>
    <col min="10507" max="10508" width="16" style="2131" bestFit="1" customWidth="1"/>
    <col min="10509" max="10752" width="9.140625" style="2131"/>
    <col min="10753" max="10753" width="4.7109375" style="2131" customWidth="1"/>
    <col min="10754" max="10754" width="6.140625" style="2131" customWidth="1"/>
    <col min="10755" max="10755" width="8.7109375" style="2131" customWidth="1"/>
    <col min="10756" max="10756" width="40.42578125" style="2131" customWidth="1"/>
    <col min="10757" max="10757" width="10.42578125" style="2131" customWidth="1"/>
    <col min="10758" max="10758" width="15.85546875" style="2131" customWidth="1"/>
    <col min="10759" max="10759" width="13.85546875" style="2131" customWidth="1"/>
    <col min="10760" max="10760" width="6.42578125" style="2131" customWidth="1"/>
    <col min="10761" max="10761" width="14.28515625" style="2131" bestFit="1" customWidth="1"/>
    <col min="10762" max="10762" width="11.42578125" style="2131" bestFit="1" customWidth="1"/>
    <col min="10763" max="10764" width="16" style="2131" bestFit="1" customWidth="1"/>
    <col min="10765" max="11008" width="9.140625" style="2131"/>
    <col min="11009" max="11009" width="4.7109375" style="2131" customWidth="1"/>
    <col min="11010" max="11010" width="6.140625" style="2131" customWidth="1"/>
    <col min="11011" max="11011" width="8.7109375" style="2131" customWidth="1"/>
    <col min="11012" max="11012" width="40.42578125" style="2131" customWidth="1"/>
    <col min="11013" max="11013" width="10.42578125" style="2131" customWidth="1"/>
    <col min="11014" max="11014" width="15.85546875" style="2131" customWidth="1"/>
    <col min="11015" max="11015" width="13.85546875" style="2131" customWidth="1"/>
    <col min="11016" max="11016" width="6.42578125" style="2131" customWidth="1"/>
    <col min="11017" max="11017" width="14.28515625" style="2131" bestFit="1" customWidth="1"/>
    <col min="11018" max="11018" width="11.42578125" style="2131" bestFit="1" customWidth="1"/>
    <col min="11019" max="11020" width="16" style="2131" bestFit="1" customWidth="1"/>
    <col min="11021" max="11264" width="9.140625" style="2131"/>
    <col min="11265" max="11265" width="4.7109375" style="2131" customWidth="1"/>
    <col min="11266" max="11266" width="6.140625" style="2131" customWidth="1"/>
    <col min="11267" max="11267" width="8.7109375" style="2131" customWidth="1"/>
    <col min="11268" max="11268" width="40.42578125" style="2131" customWidth="1"/>
    <col min="11269" max="11269" width="10.42578125" style="2131" customWidth="1"/>
    <col min="11270" max="11270" width="15.85546875" style="2131" customWidth="1"/>
    <col min="11271" max="11271" width="13.85546875" style="2131" customWidth="1"/>
    <col min="11272" max="11272" width="6.42578125" style="2131" customWidth="1"/>
    <col min="11273" max="11273" width="14.28515625" style="2131" bestFit="1" customWidth="1"/>
    <col min="11274" max="11274" width="11.42578125" style="2131" bestFit="1" customWidth="1"/>
    <col min="11275" max="11276" width="16" style="2131" bestFit="1" customWidth="1"/>
    <col min="11277" max="11520" width="9.140625" style="2131"/>
    <col min="11521" max="11521" width="4.7109375" style="2131" customWidth="1"/>
    <col min="11522" max="11522" width="6.140625" style="2131" customWidth="1"/>
    <col min="11523" max="11523" width="8.7109375" style="2131" customWidth="1"/>
    <col min="11524" max="11524" width="40.42578125" style="2131" customWidth="1"/>
    <col min="11525" max="11525" width="10.42578125" style="2131" customWidth="1"/>
    <col min="11526" max="11526" width="15.85546875" style="2131" customWidth="1"/>
    <col min="11527" max="11527" width="13.85546875" style="2131" customWidth="1"/>
    <col min="11528" max="11528" width="6.42578125" style="2131" customWidth="1"/>
    <col min="11529" max="11529" width="14.28515625" style="2131" bestFit="1" customWidth="1"/>
    <col min="11530" max="11530" width="11.42578125" style="2131" bestFit="1" customWidth="1"/>
    <col min="11531" max="11532" width="16" style="2131" bestFit="1" customWidth="1"/>
    <col min="11533" max="11776" width="9.140625" style="2131"/>
    <col min="11777" max="11777" width="4.7109375" style="2131" customWidth="1"/>
    <col min="11778" max="11778" width="6.140625" style="2131" customWidth="1"/>
    <col min="11779" max="11779" width="8.7109375" style="2131" customWidth="1"/>
    <col min="11780" max="11780" width="40.42578125" style="2131" customWidth="1"/>
    <col min="11781" max="11781" width="10.42578125" style="2131" customWidth="1"/>
    <col min="11782" max="11782" width="15.85546875" style="2131" customWidth="1"/>
    <col min="11783" max="11783" width="13.85546875" style="2131" customWidth="1"/>
    <col min="11784" max="11784" width="6.42578125" style="2131" customWidth="1"/>
    <col min="11785" max="11785" width="14.28515625" style="2131" bestFit="1" customWidth="1"/>
    <col min="11786" max="11786" width="11.42578125" style="2131" bestFit="1" customWidth="1"/>
    <col min="11787" max="11788" width="16" style="2131" bestFit="1" customWidth="1"/>
    <col min="11789" max="12032" width="9.140625" style="2131"/>
    <col min="12033" max="12033" width="4.7109375" style="2131" customWidth="1"/>
    <col min="12034" max="12034" width="6.140625" style="2131" customWidth="1"/>
    <col min="12035" max="12035" width="8.7109375" style="2131" customWidth="1"/>
    <col min="12036" max="12036" width="40.42578125" style="2131" customWidth="1"/>
    <col min="12037" max="12037" width="10.42578125" style="2131" customWidth="1"/>
    <col min="12038" max="12038" width="15.85546875" style="2131" customWidth="1"/>
    <col min="12039" max="12039" width="13.85546875" style="2131" customWidth="1"/>
    <col min="12040" max="12040" width="6.42578125" style="2131" customWidth="1"/>
    <col min="12041" max="12041" width="14.28515625" style="2131" bestFit="1" customWidth="1"/>
    <col min="12042" max="12042" width="11.42578125" style="2131" bestFit="1" customWidth="1"/>
    <col min="12043" max="12044" width="16" style="2131" bestFit="1" customWidth="1"/>
    <col min="12045" max="12288" width="9.140625" style="2131"/>
    <col min="12289" max="12289" width="4.7109375" style="2131" customWidth="1"/>
    <col min="12290" max="12290" width="6.140625" style="2131" customWidth="1"/>
    <col min="12291" max="12291" width="8.7109375" style="2131" customWidth="1"/>
    <col min="12292" max="12292" width="40.42578125" style="2131" customWidth="1"/>
    <col min="12293" max="12293" width="10.42578125" style="2131" customWidth="1"/>
    <col min="12294" max="12294" width="15.85546875" style="2131" customWidth="1"/>
    <col min="12295" max="12295" width="13.85546875" style="2131" customWidth="1"/>
    <col min="12296" max="12296" width="6.42578125" style="2131" customWidth="1"/>
    <col min="12297" max="12297" width="14.28515625" style="2131" bestFit="1" customWidth="1"/>
    <col min="12298" max="12298" width="11.42578125" style="2131" bestFit="1" customWidth="1"/>
    <col min="12299" max="12300" width="16" style="2131" bestFit="1" customWidth="1"/>
    <col min="12301" max="12544" width="9.140625" style="2131"/>
    <col min="12545" max="12545" width="4.7109375" style="2131" customWidth="1"/>
    <col min="12546" max="12546" width="6.140625" style="2131" customWidth="1"/>
    <col min="12547" max="12547" width="8.7109375" style="2131" customWidth="1"/>
    <col min="12548" max="12548" width="40.42578125" style="2131" customWidth="1"/>
    <col min="12549" max="12549" width="10.42578125" style="2131" customWidth="1"/>
    <col min="12550" max="12550" width="15.85546875" style="2131" customWidth="1"/>
    <col min="12551" max="12551" width="13.85546875" style="2131" customWidth="1"/>
    <col min="12552" max="12552" width="6.42578125" style="2131" customWidth="1"/>
    <col min="12553" max="12553" width="14.28515625" style="2131" bestFit="1" customWidth="1"/>
    <col min="12554" max="12554" width="11.42578125" style="2131" bestFit="1" customWidth="1"/>
    <col min="12555" max="12556" width="16" style="2131" bestFit="1" customWidth="1"/>
    <col min="12557" max="12800" width="9.140625" style="2131"/>
    <col min="12801" max="12801" width="4.7109375" style="2131" customWidth="1"/>
    <col min="12802" max="12802" width="6.140625" style="2131" customWidth="1"/>
    <col min="12803" max="12803" width="8.7109375" style="2131" customWidth="1"/>
    <col min="12804" max="12804" width="40.42578125" style="2131" customWidth="1"/>
    <col min="12805" max="12805" width="10.42578125" style="2131" customWidth="1"/>
    <col min="12806" max="12806" width="15.85546875" style="2131" customWidth="1"/>
    <col min="12807" max="12807" width="13.85546875" style="2131" customWidth="1"/>
    <col min="12808" max="12808" width="6.42578125" style="2131" customWidth="1"/>
    <col min="12809" max="12809" width="14.28515625" style="2131" bestFit="1" customWidth="1"/>
    <col min="12810" max="12810" width="11.42578125" style="2131" bestFit="1" customWidth="1"/>
    <col min="12811" max="12812" width="16" style="2131" bestFit="1" customWidth="1"/>
    <col min="12813" max="13056" width="9.140625" style="2131"/>
    <col min="13057" max="13057" width="4.7109375" style="2131" customWidth="1"/>
    <col min="13058" max="13058" width="6.140625" style="2131" customWidth="1"/>
    <col min="13059" max="13059" width="8.7109375" style="2131" customWidth="1"/>
    <col min="13060" max="13060" width="40.42578125" style="2131" customWidth="1"/>
    <col min="13061" max="13061" width="10.42578125" style="2131" customWidth="1"/>
    <col min="13062" max="13062" width="15.85546875" style="2131" customWidth="1"/>
    <col min="13063" max="13063" width="13.85546875" style="2131" customWidth="1"/>
    <col min="13064" max="13064" width="6.42578125" style="2131" customWidth="1"/>
    <col min="13065" max="13065" width="14.28515625" style="2131" bestFit="1" customWidth="1"/>
    <col min="13066" max="13066" width="11.42578125" style="2131" bestFit="1" customWidth="1"/>
    <col min="13067" max="13068" width="16" style="2131" bestFit="1" customWidth="1"/>
    <col min="13069" max="13312" width="9.140625" style="2131"/>
    <col min="13313" max="13313" width="4.7109375" style="2131" customWidth="1"/>
    <col min="13314" max="13314" width="6.140625" style="2131" customWidth="1"/>
    <col min="13315" max="13315" width="8.7109375" style="2131" customWidth="1"/>
    <col min="13316" max="13316" width="40.42578125" style="2131" customWidth="1"/>
    <col min="13317" max="13317" width="10.42578125" style="2131" customWidth="1"/>
    <col min="13318" max="13318" width="15.85546875" style="2131" customWidth="1"/>
    <col min="13319" max="13319" width="13.85546875" style="2131" customWidth="1"/>
    <col min="13320" max="13320" width="6.42578125" style="2131" customWidth="1"/>
    <col min="13321" max="13321" width="14.28515625" style="2131" bestFit="1" customWidth="1"/>
    <col min="13322" max="13322" width="11.42578125" style="2131" bestFit="1" customWidth="1"/>
    <col min="13323" max="13324" width="16" style="2131" bestFit="1" customWidth="1"/>
    <col min="13325" max="13568" width="9.140625" style="2131"/>
    <col min="13569" max="13569" width="4.7109375" style="2131" customWidth="1"/>
    <col min="13570" max="13570" width="6.140625" style="2131" customWidth="1"/>
    <col min="13571" max="13571" width="8.7109375" style="2131" customWidth="1"/>
    <col min="13572" max="13572" width="40.42578125" style="2131" customWidth="1"/>
    <col min="13573" max="13573" width="10.42578125" style="2131" customWidth="1"/>
    <col min="13574" max="13574" width="15.85546875" style="2131" customWidth="1"/>
    <col min="13575" max="13575" width="13.85546875" style="2131" customWidth="1"/>
    <col min="13576" max="13576" width="6.42578125" style="2131" customWidth="1"/>
    <col min="13577" max="13577" width="14.28515625" style="2131" bestFit="1" customWidth="1"/>
    <col min="13578" max="13578" width="11.42578125" style="2131" bestFit="1" customWidth="1"/>
    <col min="13579" max="13580" width="16" style="2131" bestFit="1" customWidth="1"/>
    <col min="13581" max="13824" width="9.140625" style="2131"/>
    <col min="13825" max="13825" width="4.7109375" style="2131" customWidth="1"/>
    <col min="13826" max="13826" width="6.140625" style="2131" customWidth="1"/>
    <col min="13827" max="13827" width="8.7109375" style="2131" customWidth="1"/>
    <col min="13828" max="13828" width="40.42578125" style="2131" customWidth="1"/>
    <col min="13829" max="13829" width="10.42578125" style="2131" customWidth="1"/>
    <col min="13830" max="13830" width="15.85546875" style="2131" customWidth="1"/>
    <col min="13831" max="13831" width="13.85546875" style="2131" customWidth="1"/>
    <col min="13832" max="13832" width="6.42578125" style="2131" customWidth="1"/>
    <col min="13833" max="13833" width="14.28515625" style="2131" bestFit="1" customWidth="1"/>
    <col min="13834" max="13834" width="11.42578125" style="2131" bestFit="1" customWidth="1"/>
    <col min="13835" max="13836" width="16" style="2131" bestFit="1" customWidth="1"/>
    <col min="13837" max="14080" width="9.140625" style="2131"/>
    <col min="14081" max="14081" width="4.7109375" style="2131" customWidth="1"/>
    <col min="14082" max="14082" width="6.140625" style="2131" customWidth="1"/>
    <col min="14083" max="14083" width="8.7109375" style="2131" customWidth="1"/>
    <col min="14084" max="14084" width="40.42578125" style="2131" customWidth="1"/>
    <col min="14085" max="14085" width="10.42578125" style="2131" customWidth="1"/>
    <col min="14086" max="14086" width="15.85546875" style="2131" customWidth="1"/>
    <col min="14087" max="14087" width="13.85546875" style="2131" customWidth="1"/>
    <col min="14088" max="14088" width="6.42578125" style="2131" customWidth="1"/>
    <col min="14089" max="14089" width="14.28515625" style="2131" bestFit="1" customWidth="1"/>
    <col min="14090" max="14090" width="11.42578125" style="2131" bestFit="1" customWidth="1"/>
    <col min="14091" max="14092" width="16" style="2131" bestFit="1" customWidth="1"/>
    <col min="14093" max="14336" width="9.140625" style="2131"/>
    <col min="14337" max="14337" width="4.7109375" style="2131" customWidth="1"/>
    <col min="14338" max="14338" width="6.140625" style="2131" customWidth="1"/>
    <col min="14339" max="14339" width="8.7109375" style="2131" customWidth="1"/>
    <col min="14340" max="14340" width="40.42578125" style="2131" customWidth="1"/>
    <col min="14341" max="14341" width="10.42578125" style="2131" customWidth="1"/>
    <col min="14342" max="14342" width="15.85546875" style="2131" customWidth="1"/>
    <col min="14343" max="14343" width="13.85546875" style="2131" customWidth="1"/>
    <col min="14344" max="14344" width="6.42578125" style="2131" customWidth="1"/>
    <col min="14345" max="14345" width="14.28515625" style="2131" bestFit="1" customWidth="1"/>
    <col min="14346" max="14346" width="11.42578125" style="2131" bestFit="1" customWidth="1"/>
    <col min="14347" max="14348" width="16" style="2131" bestFit="1" customWidth="1"/>
    <col min="14349" max="14592" width="9.140625" style="2131"/>
    <col min="14593" max="14593" width="4.7109375" style="2131" customWidth="1"/>
    <col min="14594" max="14594" width="6.140625" style="2131" customWidth="1"/>
    <col min="14595" max="14595" width="8.7109375" style="2131" customWidth="1"/>
    <col min="14596" max="14596" width="40.42578125" style="2131" customWidth="1"/>
    <col min="14597" max="14597" width="10.42578125" style="2131" customWidth="1"/>
    <col min="14598" max="14598" width="15.85546875" style="2131" customWidth="1"/>
    <col min="14599" max="14599" width="13.85546875" style="2131" customWidth="1"/>
    <col min="14600" max="14600" width="6.42578125" style="2131" customWidth="1"/>
    <col min="14601" max="14601" width="14.28515625" style="2131" bestFit="1" customWidth="1"/>
    <col min="14602" max="14602" width="11.42578125" style="2131" bestFit="1" customWidth="1"/>
    <col min="14603" max="14604" width="16" style="2131" bestFit="1" customWidth="1"/>
    <col min="14605" max="14848" width="9.140625" style="2131"/>
    <col min="14849" max="14849" width="4.7109375" style="2131" customWidth="1"/>
    <col min="14850" max="14850" width="6.140625" style="2131" customWidth="1"/>
    <col min="14851" max="14851" width="8.7109375" style="2131" customWidth="1"/>
    <col min="14852" max="14852" width="40.42578125" style="2131" customWidth="1"/>
    <col min="14853" max="14853" width="10.42578125" style="2131" customWidth="1"/>
    <col min="14854" max="14854" width="15.85546875" style="2131" customWidth="1"/>
    <col min="14855" max="14855" width="13.85546875" style="2131" customWidth="1"/>
    <col min="14856" max="14856" width="6.42578125" style="2131" customWidth="1"/>
    <col min="14857" max="14857" width="14.28515625" style="2131" bestFit="1" customWidth="1"/>
    <col min="14858" max="14858" width="11.42578125" style="2131" bestFit="1" customWidth="1"/>
    <col min="14859" max="14860" width="16" style="2131" bestFit="1" customWidth="1"/>
    <col min="14861" max="15104" width="9.140625" style="2131"/>
    <col min="15105" max="15105" width="4.7109375" style="2131" customWidth="1"/>
    <col min="15106" max="15106" width="6.140625" style="2131" customWidth="1"/>
    <col min="15107" max="15107" width="8.7109375" style="2131" customWidth="1"/>
    <col min="15108" max="15108" width="40.42578125" style="2131" customWidth="1"/>
    <col min="15109" max="15109" width="10.42578125" style="2131" customWidth="1"/>
    <col min="15110" max="15110" width="15.85546875" style="2131" customWidth="1"/>
    <col min="15111" max="15111" width="13.85546875" style="2131" customWidth="1"/>
    <col min="15112" max="15112" width="6.42578125" style="2131" customWidth="1"/>
    <col min="15113" max="15113" width="14.28515625" style="2131" bestFit="1" customWidth="1"/>
    <col min="15114" max="15114" width="11.42578125" style="2131" bestFit="1" customWidth="1"/>
    <col min="15115" max="15116" width="16" style="2131" bestFit="1" customWidth="1"/>
    <col min="15117" max="15360" width="9.140625" style="2131"/>
    <col min="15361" max="15361" width="4.7109375" style="2131" customWidth="1"/>
    <col min="15362" max="15362" width="6.140625" style="2131" customWidth="1"/>
    <col min="15363" max="15363" width="8.7109375" style="2131" customWidth="1"/>
    <col min="15364" max="15364" width="40.42578125" style="2131" customWidth="1"/>
    <col min="15365" max="15365" width="10.42578125" style="2131" customWidth="1"/>
    <col min="15366" max="15366" width="15.85546875" style="2131" customWidth="1"/>
    <col min="15367" max="15367" width="13.85546875" style="2131" customWidth="1"/>
    <col min="15368" max="15368" width="6.42578125" style="2131" customWidth="1"/>
    <col min="15369" max="15369" width="14.28515625" style="2131" bestFit="1" customWidth="1"/>
    <col min="15370" max="15370" width="11.42578125" style="2131" bestFit="1" customWidth="1"/>
    <col min="15371" max="15372" width="16" style="2131" bestFit="1" customWidth="1"/>
    <col min="15373" max="15616" width="9.140625" style="2131"/>
    <col min="15617" max="15617" width="4.7109375" style="2131" customWidth="1"/>
    <col min="15618" max="15618" width="6.140625" style="2131" customWidth="1"/>
    <col min="15619" max="15619" width="8.7109375" style="2131" customWidth="1"/>
    <col min="15620" max="15620" width="40.42578125" style="2131" customWidth="1"/>
    <col min="15621" max="15621" width="10.42578125" style="2131" customWidth="1"/>
    <col min="15622" max="15622" width="15.85546875" style="2131" customWidth="1"/>
    <col min="15623" max="15623" width="13.85546875" style="2131" customWidth="1"/>
    <col min="15624" max="15624" width="6.42578125" style="2131" customWidth="1"/>
    <col min="15625" max="15625" width="14.28515625" style="2131" bestFit="1" customWidth="1"/>
    <col min="15626" max="15626" width="11.42578125" style="2131" bestFit="1" customWidth="1"/>
    <col min="15627" max="15628" width="16" style="2131" bestFit="1" customWidth="1"/>
    <col min="15629" max="15872" width="9.140625" style="2131"/>
    <col min="15873" max="15873" width="4.7109375" style="2131" customWidth="1"/>
    <col min="15874" max="15874" width="6.140625" style="2131" customWidth="1"/>
    <col min="15875" max="15875" width="8.7109375" style="2131" customWidth="1"/>
    <col min="15876" max="15876" width="40.42578125" style="2131" customWidth="1"/>
    <col min="15877" max="15877" width="10.42578125" style="2131" customWidth="1"/>
    <col min="15878" max="15878" width="15.85546875" style="2131" customWidth="1"/>
    <col min="15879" max="15879" width="13.85546875" style="2131" customWidth="1"/>
    <col min="15880" max="15880" width="6.42578125" style="2131" customWidth="1"/>
    <col min="15881" max="15881" width="14.28515625" style="2131" bestFit="1" customWidth="1"/>
    <col min="15882" max="15882" width="11.42578125" style="2131" bestFit="1" customWidth="1"/>
    <col min="15883" max="15884" width="16" style="2131" bestFit="1" customWidth="1"/>
    <col min="15885" max="16128" width="9.140625" style="2131"/>
    <col min="16129" max="16129" width="4.7109375" style="2131" customWidth="1"/>
    <col min="16130" max="16130" width="6.140625" style="2131" customWidth="1"/>
    <col min="16131" max="16131" width="8.7109375" style="2131" customWidth="1"/>
    <col min="16132" max="16132" width="40.42578125" style="2131" customWidth="1"/>
    <col min="16133" max="16133" width="10.42578125" style="2131" customWidth="1"/>
    <col min="16134" max="16134" width="15.85546875" style="2131" customWidth="1"/>
    <col min="16135" max="16135" width="13.85546875" style="2131" customWidth="1"/>
    <col min="16136" max="16136" width="6.42578125" style="2131" customWidth="1"/>
    <col min="16137" max="16137" width="14.28515625" style="2131" bestFit="1" customWidth="1"/>
    <col min="16138" max="16138" width="11.42578125" style="2131" bestFit="1" customWidth="1"/>
    <col min="16139" max="16140" width="16" style="2131" bestFit="1" customWidth="1"/>
    <col min="16141" max="16384" width="9.140625" style="2131"/>
  </cols>
  <sheetData>
    <row r="1" spans="1:10" ht="19.5" customHeight="1" thickBot="1" x14ac:dyDescent="0.25">
      <c r="A1" s="2818" t="s">
        <v>1081</v>
      </c>
      <c r="B1" s="2818"/>
      <c r="C1" s="2818"/>
      <c r="D1" s="2818"/>
      <c r="E1" s="2818"/>
      <c r="F1" s="2818"/>
      <c r="G1" s="2818"/>
      <c r="H1" s="2818"/>
    </row>
    <row r="2" spans="1:10" ht="18" x14ac:dyDescent="0.25">
      <c r="B2" s="2168"/>
      <c r="C2" s="2168"/>
      <c r="D2" s="2168"/>
      <c r="E2" s="2168"/>
      <c r="F2" s="2168"/>
      <c r="G2" s="2168"/>
      <c r="H2" s="2222" t="s">
        <v>1082</v>
      </c>
    </row>
    <row r="3" spans="1:10" ht="18" x14ac:dyDescent="0.25">
      <c r="A3" s="1939" t="s">
        <v>404</v>
      </c>
      <c r="B3" s="2168"/>
      <c r="C3" s="2129" t="s">
        <v>379</v>
      </c>
      <c r="D3" s="2168"/>
      <c r="E3" s="2168"/>
      <c r="F3" s="2168"/>
      <c r="G3" s="2168"/>
      <c r="H3" s="2222"/>
    </row>
    <row r="4" spans="1:10" ht="18" x14ac:dyDescent="0.25">
      <c r="B4" s="2168"/>
      <c r="C4" s="2129" t="s">
        <v>380</v>
      </c>
      <c r="D4" s="2168"/>
      <c r="E4" s="2168"/>
      <c r="F4" s="2168"/>
      <c r="G4" s="2168"/>
      <c r="H4" s="2222"/>
    </row>
    <row r="5" spans="1:10" ht="18" x14ac:dyDescent="0.25">
      <c r="A5" s="2134" t="s">
        <v>1083</v>
      </c>
      <c r="B5" s="2168"/>
      <c r="C5" s="2168"/>
      <c r="D5" s="2168"/>
      <c r="E5" s="2168"/>
      <c r="F5" s="2168"/>
      <c r="G5" s="2168"/>
      <c r="H5" s="2222"/>
    </row>
    <row r="7" spans="1:10" ht="15" x14ac:dyDescent="0.25">
      <c r="A7" s="2334" t="s">
        <v>1206</v>
      </c>
    </row>
    <row r="8" spans="1:10" ht="15.75" thickBot="1" x14ac:dyDescent="0.3">
      <c r="A8" s="2333" t="s">
        <v>1207</v>
      </c>
      <c r="B8" s="2335"/>
      <c r="C8" s="2335"/>
      <c r="H8" s="2240" t="s">
        <v>179</v>
      </c>
    </row>
    <row r="9" spans="1:10" s="1849" customFormat="1" ht="25.5" thickTop="1" thickBot="1" x14ac:dyDescent="0.25">
      <c r="A9" s="2138" t="s">
        <v>180</v>
      </c>
      <c r="B9" s="2139" t="s">
        <v>847</v>
      </c>
      <c r="C9" s="2139" t="s">
        <v>414</v>
      </c>
      <c r="D9" s="2140" t="s">
        <v>182</v>
      </c>
      <c r="E9" s="2171" t="s">
        <v>700</v>
      </c>
      <c r="F9" s="2171" t="s">
        <v>701</v>
      </c>
      <c r="G9" s="2172" t="s">
        <v>986</v>
      </c>
      <c r="H9" s="2173" t="s">
        <v>987</v>
      </c>
    </row>
    <row r="10" spans="1:10" s="1849" customFormat="1" ht="13.5" thickTop="1" thickBot="1" x14ac:dyDescent="0.25">
      <c r="A10" s="1854">
        <v>1</v>
      </c>
      <c r="B10" s="1853">
        <v>2</v>
      </c>
      <c r="C10" s="1853">
        <v>3</v>
      </c>
      <c r="D10" s="1853">
        <v>4</v>
      </c>
      <c r="E10" s="1852">
        <v>5</v>
      </c>
      <c r="F10" s="1852">
        <v>6</v>
      </c>
      <c r="G10" s="2223">
        <v>7</v>
      </c>
      <c r="H10" s="2251" t="s">
        <v>61</v>
      </c>
    </row>
    <row r="11" spans="1:10" ht="15.75" hidden="1" thickTop="1" x14ac:dyDescent="0.2">
      <c r="A11" s="2246">
        <v>5273</v>
      </c>
      <c r="B11" s="2253">
        <v>5163</v>
      </c>
      <c r="C11" s="2258">
        <v>41100880</v>
      </c>
      <c r="D11" s="2174" t="s">
        <v>997</v>
      </c>
      <c r="E11" s="2184">
        <v>0</v>
      </c>
      <c r="F11" s="2184">
        <v>0</v>
      </c>
      <c r="G11" s="2184">
        <v>0</v>
      </c>
      <c r="H11" s="2156" t="e">
        <f>G11/F11*100</f>
        <v>#DIV/0!</v>
      </c>
      <c r="J11" s="2260"/>
    </row>
    <row r="12" spans="1:10" ht="15.75" hidden="1" thickTop="1" x14ac:dyDescent="0.2">
      <c r="A12" s="2246">
        <v>5273</v>
      </c>
      <c r="B12" s="2253">
        <v>5163</v>
      </c>
      <c r="C12" s="2258">
        <v>41100882</v>
      </c>
      <c r="D12" s="2174" t="s">
        <v>997</v>
      </c>
      <c r="E12" s="2184">
        <v>0</v>
      </c>
      <c r="F12" s="2184">
        <v>0</v>
      </c>
      <c r="G12" s="2184">
        <v>0</v>
      </c>
      <c r="H12" s="2156">
        <v>0</v>
      </c>
      <c r="J12" s="2260"/>
    </row>
    <row r="13" spans="1:10" ht="15.75" hidden="1" thickTop="1" x14ac:dyDescent="0.2">
      <c r="A13" s="2246">
        <v>5273</v>
      </c>
      <c r="B13" s="2253">
        <v>5163</v>
      </c>
      <c r="C13" s="2258">
        <v>41500881</v>
      </c>
      <c r="D13" s="2174" t="s">
        <v>997</v>
      </c>
      <c r="E13" s="2184">
        <v>0</v>
      </c>
      <c r="F13" s="2184">
        <v>0</v>
      </c>
      <c r="G13" s="2184">
        <v>0</v>
      </c>
      <c r="H13" s="2156" t="e">
        <f>G13/F13*100</f>
        <v>#DIV/0!</v>
      </c>
      <c r="J13" s="2260"/>
    </row>
    <row r="14" spans="1:10" ht="31.5" thickTop="1" thickBot="1" x14ac:dyDescent="0.25">
      <c r="A14" s="2246">
        <v>6330</v>
      </c>
      <c r="B14" s="2253">
        <v>5345</v>
      </c>
      <c r="C14" s="2258">
        <v>0</v>
      </c>
      <c r="D14" s="2174" t="s">
        <v>853</v>
      </c>
      <c r="E14" s="2184">
        <v>0</v>
      </c>
      <c r="F14" s="2184">
        <v>0</v>
      </c>
      <c r="G14" s="2184">
        <v>126</v>
      </c>
      <c r="H14" s="2163">
        <v>0</v>
      </c>
      <c r="J14" s="2260"/>
    </row>
    <row r="15" spans="1:10" s="2164" customFormat="1" ht="16.5" thickTop="1" thickBot="1" x14ac:dyDescent="0.3">
      <c r="A15" s="2806" t="s">
        <v>849</v>
      </c>
      <c r="B15" s="2807"/>
      <c r="C15" s="2807"/>
      <c r="D15" s="2807"/>
      <c r="E15" s="2152">
        <f>SUM(E11:E14)</f>
        <v>0</v>
      </c>
      <c r="F15" s="2152">
        <f>SUM(F11:F14)</f>
        <v>0</v>
      </c>
      <c r="G15" s="2152">
        <f>SUM(G11:G14)</f>
        <v>126</v>
      </c>
      <c r="H15" s="2163">
        <v>0</v>
      </c>
      <c r="I15" s="2262"/>
    </row>
    <row r="16" spans="1:10" ht="13.5" thickTop="1" x14ac:dyDescent="0.2">
      <c r="I16" s="2165"/>
    </row>
    <row r="17" spans="1:9" ht="15" x14ac:dyDescent="0.25">
      <c r="A17" s="2136" t="s">
        <v>1835</v>
      </c>
      <c r="D17" s="2130"/>
      <c r="E17" s="2131"/>
      <c r="H17" s="2165"/>
      <c r="I17" s="2165"/>
    </row>
    <row r="18" spans="1:9" ht="15.75" thickBot="1" x14ac:dyDescent="0.3">
      <c r="A18" s="2136" t="s">
        <v>1836</v>
      </c>
      <c r="D18" s="2130"/>
      <c r="E18" s="2131"/>
      <c r="H18" s="2240" t="s">
        <v>179</v>
      </c>
      <c r="I18" s="2165"/>
    </row>
    <row r="19" spans="1:9" ht="25.5" thickTop="1" thickBot="1" x14ac:dyDescent="0.25">
      <c r="A19" s="2138" t="s">
        <v>180</v>
      </c>
      <c r="B19" s="2139" t="s">
        <v>847</v>
      </c>
      <c r="C19" s="2139" t="s">
        <v>414</v>
      </c>
      <c r="D19" s="2140" t="s">
        <v>182</v>
      </c>
      <c r="E19" s="2171" t="s">
        <v>700</v>
      </c>
      <c r="F19" s="2171" t="s">
        <v>701</v>
      </c>
      <c r="G19" s="2172" t="s">
        <v>986</v>
      </c>
      <c r="H19" s="2173" t="s">
        <v>987</v>
      </c>
      <c r="I19" s="2165"/>
    </row>
    <row r="20" spans="1:9" ht="14.25" thickTop="1" thickBot="1" x14ac:dyDescent="0.25">
      <c r="A20" s="1854">
        <v>1</v>
      </c>
      <c r="B20" s="1853">
        <v>2</v>
      </c>
      <c r="C20" s="1853">
        <v>3</v>
      </c>
      <c r="D20" s="1853">
        <v>5</v>
      </c>
      <c r="E20" s="1852">
        <v>6</v>
      </c>
      <c r="F20" s="1852">
        <v>7</v>
      </c>
      <c r="G20" s="2223">
        <v>8</v>
      </c>
      <c r="H20" s="2146" t="s">
        <v>848</v>
      </c>
      <c r="I20" s="2165"/>
    </row>
    <row r="21" spans="1:9" ht="15.75" thickTop="1" x14ac:dyDescent="0.2">
      <c r="A21" s="2246">
        <v>5273</v>
      </c>
      <c r="B21" s="2253">
        <v>5321</v>
      </c>
      <c r="C21" s="2253">
        <v>41595113</v>
      </c>
      <c r="D21" s="2174" t="s">
        <v>1349</v>
      </c>
      <c r="E21" s="2170">
        <v>0</v>
      </c>
      <c r="F21" s="2184">
        <v>5</v>
      </c>
      <c r="G21" s="2233">
        <v>5</v>
      </c>
      <c r="H21" s="2156">
        <f>G21/F21*100</f>
        <v>100</v>
      </c>
      <c r="I21" s="2165"/>
    </row>
    <row r="22" spans="1:9" ht="15.75" thickBot="1" x14ac:dyDescent="0.25">
      <c r="A22" s="2246">
        <v>5273</v>
      </c>
      <c r="B22" s="2253">
        <v>6341</v>
      </c>
      <c r="C22" s="2253">
        <v>41595823</v>
      </c>
      <c r="D22" s="2174" t="s">
        <v>271</v>
      </c>
      <c r="E22" s="2181">
        <v>0</v>
      </c>
      <c r="F22" s="2181">
        <v>5408</v>
      </c>
      <c r="G22" s="2233">
        <v>5408</v>
      </c>
      <c r="H22" s="2156">
        <f>G22/F22*100</f>
        <v>100</v>
      </c>
      <c r="I22" s="2165"/>
    </row>
    <row r="23" spans="1:9" ht="16.5" thickTop="1" thickBot="1" x14ac:dyDescent="0.3">
      <c r="A23" s="2175" t="s">
        <v>849</v>
      </c>
      <c r="B23" s="2176"/>
      <c r="C23" s="2176"/>
      <c r="D23" s="2177"/>
      <c r="E23" s="2152">
        <f>SUM(E21:E22)</f>
        <v>0</v>
      </c>
      <c r="F23" s="2152">
        <f>SUM(F21:F22)</f>
        <v>5413</v>
      </c>
      <c r="G23" s="2152">
        <f>SUM(G21:G22)</f>
        <v>5413</v>
      </c>
      <c r="H23" s="2157">
        <f>G23/F23*100</f>
        <v>100</v>
      </c>
      <c r="I23" s="2165"/>
    </row>
    <row r="24" spans="1:9" ht="15.75" thickTop="1" x14ac:dyDescent="0.25">
      <c r="A24" s="2189"/>
      <c r="B24" s="2189"/>
      <c r="C24" s="2189"/>
      <c r="D24" s="2189"/>
      <c r="E24" s="2159"/>
      <c r="F24" s="2159"/>
      <c r="G24" s="2159"/>
      <c r="H24" s="2190"/>
      <c r="I24" s="2165"/>
    </row>
    <row r="25" spans="1:9" ht="15" x14ac:dyDescent="0.25">
      <c r="A25" s="2136" t="s">
        <v>1595</v>
      </c>
      <c r="D25" s="2130"/>
      <c r="E25" s="2131"/>
      <c r="H25" s="2165"/>
      <c r="I25" s="2165"/>
    </row>
    <row r="26" spans="1:9" ht="15.75" thickBot="1" x14ac:dyDescent="0.3">
      <c r="A26" s="2136" t="s">
        <v>1594</v>
      </c>
      <c r="D26" s="2130"/>
      <c r="E26" s="2131"/>
      <c r="H26" s="2240" t="s">
        <v>179</v>
      </c>
      <c r="I26" s="2165"/>
    </row>
    <row r="27" spans="1:9" ht="25.5" thickTop="1" thickBot="1" x14ac:dyDescent="0.25">
      <c r="A27" s="2138" t="s">
        <v>180</v>
      </c>
      <c r="B27" s="2139" t="s">
        <v>847</v>
      </c>
      <c r="C27" s="2139" t="s">
        <v>414</v>
      </c>
      <c r="D27" s="2140" t="s">
        <v>182</v>
      </c>
      <c r="E27" s="2171" t="s">
        <v>700</v>
      </c>
      <c r="F27" s="2171" t="s">
        <v>701</v>
      </c>
      <c r="G27" s="2172" t="s">
        <v>986</v>
      </c>
      <c r="H27" s="2173" t="s">
        <v>987</v>
      </c>
      <c r="I27" s="2165"/>
    </row>
    <row r="28" spans="1:9" ht="14.25" thickTop="1" thickBot="1" x14ac:dyDescent="0.25">
      <c r="A28" s="1854">
        <v>1</v>
      </c>
      <c r="B28" s="1853">
        <v>2</v>
      </c>
      <c r="C28" s="1853">
        <v>3</v>
      </c>
      <c r="D28" s="1853">
        <v>5</v>
      </c>
      <c r="E28" s="1852">
        <v>6</v>
      </c>
      <c r="F28" s="1852">
        <v>7</v>
      </c>
      <c r="G28" s="2223">
        <v>8</v>
      </c>
      <c r="H28" s="2146" t="s">
        <v>848</v>
      </c>
      <c r="I28" s="2165"/>
    </row>
    <row r="29" spans="1:9" ht="15.75" hidden="1" thickTop="1" x14ac:dyDescent="0.2">
      <c r="A29" s="2246">
        <v>5273</v>
      </c>
      <c r="B29" s="2253">
        <v>5321</v>
      </c>
      <c r="C29" s="2253">
        <v>41595113</v>
      </c>
      <c r="D29" s="2174" t="s">
        <v>1349</v>
      </c>
      <c r="E29" s="2170">
        <v>0</v>
      </c>
      <c r="F29" s="2184">
        <v>0</v>
      </c>
      <c r="G29" s="2233">
        <v>0</v>
      </c>
      <c r="H29" s="2156" t="e">
        <f>G29/F29*100</f>
        <v>#DIV/0!</v>
      </c>
      <c r="I29" s="2165"/>
    </row>
    <row r="30" spans="1:9" ht="16.5" thickTop="1" thickBot="1" x14ac:dyDescent="0.25">
      <c r="A30" s="2246">
        <v>5273</v>
      </c>
      <c r="B30" s="2253">
        <v>6341</v>
      </c>
      <c r="C30" s="2253">
        <v>41595823</v>
      </c>
      <c r="D30" s="2174" t="s">
        <v>271</v>
      </c>
      <c r="E30" s="2181">
        <v>0</v>
      </c>
      <c r="F30" s="2181">
        <v>5295</v>
      </c>
      <c r="G30" s="2233">
        <v>5295</v>
      </c>
      <c r="H30" s="2163">
        <f>G30/F30*100</f>
        <v>100</v>
      </c>
      <c r="I30" s="2165"/>
    </row>
    <row r="31" spans="1:9" ht="16.5" thickTop="1" thickBot="1" x14ac:dyDescent="0.3">
      <c r="A31" s="2175" t="s">
        <v>849</v>
      </c>
      <c r="B31" s="2176"/>
      <c r="C31" s="2176"/>
      <c r="D31" s="2177"/>
      <c r="E31" s="2152">
        <f>SUM(E29:E30)</f>
        <v>0</v>
      </c>
      <c r="F31" s="2152">
        <f>SUM(F29:F30)</f>
        <v>5295</v>
      </c>
      <c r="G31" s="2152">
        <f>SUM(G29:G30)</f>
        <v>5295</v>
      </c>
      <c r="H31" s="2157">
        <f>G31/F31*100</f>
        <v>100</v>
      </c>
      <c r="I31" s="2165"/>
    </row>
    <row r="32" spans="1:9" ht="15.75" thickTop="1" x14ac:dyDescent="0.25">
      <c r="A32" s="2189"/>
      <c r="B32" s="2189"/>
      <c r="C32" s="2189"/>
      <c r="D32" s="2189"/>
      <c r="E32" s="2159"/>
      <c r="F32" s="2159"/>
      <c r="G32" s="2159"/>
      <c r="H32" s="2190"/>
      <c r="I32" s="2165"/>
    </row>
    <row r="33" spans="1:9" ht="15" x14ac:dyDescent="0.25">
      <c r="A33" s="2136" t="s">
        <v>1159</v>
      </c>
      <c r="D33" s="2130"/>
      <c r="E33" s="2131"/>
      <c r="H33" s="2165"/>
      <c r="I33" s="2165"/>
    </row>
    <row r="34" spans="1:9" ht="15.75" thickBot="1" x14ac:dyDescent="0.3">
      <c r="A34" s="2136" t="s">
        <v>1160</v>
      </c>
      <c r="D34" s="2130"/>
      <c r="E34" s="2131"/>
      <c r="H34" s="2240" t="s">
        <v>179</v>
      </c>
      <c r="I34" s="2165"/>
    </row>
    <row r="35" spans="1:9" ht="25.5" thickTop="1" thickBot="1" x14ac:dyDescent="0.25">
      <c r="A35" s="2138" t="s">
        <v>180</v>
      </c>
      <c r="B35" s="2139" t="s">
        <v>847</v>
      </c>
      <c r="C35" s="2139" t="s">
        <v>414</v>
      </c>
      <c r="D35" s="2140" t="s">
        <v>182</v>
      </c>
      <c r="E35" s="2171" t="s">
        <v>700</v>
      </c>
      <c r="F35" s="2171" t="s">
        <v>701</v>
      </c>
      <c r="G35" s="2172" t="s">
        <v>986</v>
      </c>
      <c r="H35" s="2173" t="s">
        <v>987</v>
      </c>
      <c r="I35" s="2165"/>
    </row>
    <row r="36" spans="1:9" ht="14.25" thickTop="1" thickBot="1" x14ac:dyDescent="0.25">
      <c r="A36" s="1854">
        <v>1</v>
      </c>
      <c r="B36" s="1853">
        <v>2</v>
      </c>
      <c r="C36" s="1853">
        <v>3</v>
      </c>
      <c r="D36" s="1853">
        <v>5</v>
      </c>
      <c r="E36" s="1852">
        <v>6</v>
      </c>
      <c r="F36" s="1852">
        <v>7</v>
      </c>
      <c r="G36" s="2223">
        <v>8</v>
      </c>
      <c r="H36" s="2146" t="s">
        <v>848</v>
      </c>
      <c r="I36" s="2165"/>
    </row>
    <row r="37" spans="1:9" ht="30.75" thickTop="1" x14ac:dyDescent="0.2">
      <c r="A37" s="2246">
        <v>5273</v>
      </c>
      <c r="B37" s="2253">
        <v>5532</v>
      </c>
      <c r="C37" s="2253">
        <v>41595113</v>
      </c>
      <c r="D37" s="2174" t="s">
        <v>1161</v>
      </c>
      <c r="E37" s="2170">
        <v>0</v>
      </c>
      <c r="F37" s="2184">
        <v>128</v>
      </c>
      <c r="G37" s="2233">
        <v>128</v>
      </c>
      <c r="H37" s="2156">
        <f>G37/F37*100</f>
        <v>100</v>
      </c>
      <c r="I37" s="2165"/>
    </row>
    <row r="38" spans="1:9" ht="15.75" thickBot="1" x14ac:dyDescent="0.25">
      <c r="A38" s="2246">
        <v>5273</v>
      </c>
      <c r="B38" s="2253">
        <v>6380</v>
      </c>
      <c r="C38" s="2253">
        <v>41595823</v>
      </c>
      <c r="D38" s="2174" t="s">
        <v>1306</v>
      </c>
      <c r="E38" s="2181">
        <v>0</v>
      </c>
      <c r="F38" s="2181">
        <v>5542</v>
      </c>
      <c r="G38" s="2233">
        <v>5542</v>
      </c>
      <c r="H38" s="2156">
        <f>G38/F38*100</f>
        <v>100</v>
      </c>
      <c r="I38" s="2165"/>
    </row>
    <row r="39" spans="1:9" ht="16.5" thickTop="1" thickBot="1" x14ac:dyDescent="0.3">
      <c r="A39" s="2175" t="s">
        <v>849</v>
      </c>
      <c r="B39" s="2176"/>
      <c r="C39" s="2176"/>
      <c r="D39" s="2177"/>
      <c r="E39" s="2152">
        <f>SUM(E37:E38)</f>
        <v>0</v>
      </c>
      <c r="F39" s="2152">
        <f>SUM(F37:F38)</f>
        <v>5670</v>
      </c>
      <c r="G39" s="2152">
        <f>SUM(G37:G38)</f>
        <v>5670</v>
      </c>
      <c r="H39" s="2157">
        <f>G39/F39*100</f>
        <v>100</v>
      </c>
      <c r="I39" s="2165"/>
    </row>
    <row r="40" spans="1:9" ht="15.75" thickTop="1" x14ac:dyDescent="0.25">
      <c r="A40" s="2189"/>
      <c r="B40" s="2189"/>
      <c r="C40" s="2189"/>
      <c r="D40" s="2189"/>
      <c r="E40" s="2159"/>
      <c r="F40" s="2159"/>
      <c r="G40" s="2159"/>
      <c r="H40" s="2190"/>
      <c r="I40" s="2165"/>
    </row>
    <row r="41" spans="1:9" ht="15.75" thickBot="1" x14ac:dyDescent="0.3">
      <c r="A41" s="2136" t="s">
        <v>273</v>
      </c>
      <c r="D41" s="2130"/>
      <c r="E41" s="2131"/>
      <c r="H41" s="2240" t="s">
        <v>179</v>
      </c>
      <c r="I41" s="2165"/>
    </row>
    <row r="42" spans="1:9" ht="25.5" thickTop="1" thickBot="1" x14ac:dyDescent="0.25">
      <c r="A42" s="2138" t="s">
        <v>180</v>
      </c>
      <c r="B42" s="2139" t="s">
        <v>847</v>
      </c>
      <c r="C42" s="2139" t="s">
        <v>414</v>
      </c>
      <c r="D42" s="2140" t="s">
        <v>182</v>
      </c>
      <c r="E42" s="2171" t="s">
        <v>700</v>
      </c>
      <c r="F42" s="2171" t="s">
        <v>701</v>
      </c>
      <c r="G42" s="2172" t="s">
        <v>986</v>
      </c>
      <c r="H42" s="2173" t="s">
        <v>987</v>
      </c>
      <c r="I42" s="2165"/>
    </row>
    <row r="43" spans="1:9" ht="14.25" thickTop="1" thickBot="1" x14ac:dyDescent="0.25">
      <c r="A43" s="1854">
        <v>1</v>
      </c>
      <c r="B43" s="1853">
        <v>2</v>
      </c>
      <c r="C43" s="1853">
        <v>3</v>
      </c>
      <c r="D43" s="1853">
        <v>5</v>
      </c>
      <c r="E43" s="1852">
        <v>6</v>
      </c>
      <c r="F43" s="1852">
        <v>7</v>
      </c>
      <c r="G43" s="2223">
        <v>8</v>
      </c>
      <c r="H43" s="2146" t="s">
        <v>848</v>
      </c>
      <c r="I43" s="2165"/>
    </row>
    <row r="44" spans="1:9" ht="31.5" thickTop="1" thickBot="1" x14ac:dyDescent="0.25">
      <c r="A44" s="2270">
        <v>6409</v>
      </c>
      <c r="B44" s="2307">
        <v>5909</v>
      </c>
      <c r="C44" s="2336">
        <v>0</v>
      </c>
      <c r="D44" s="2337" t="s">
        <v>611</v>
      </c>
      <c r="E44" s="2184">
        <v>0</v>
      </c>
      <c r="F44" s="2184">
        <v>0</v>
      </c>
      <c r="G44" s="2184">
        <v>-8</v>
      </c>
      <c r="H44" s="2163">
        <v>0</v>
      </c>
      <c r="I44" s="2165"/>
    </row>
    <row r="45" spans="1:9" ht="16.5" thickTop="1" thickBot="1" x14ac:dyDescent="0.3">
      <c r="A45" s="2175" t="s">
        <v>849</v>
      </c>
      <c r="B45" s="2176"/>
      <c r="C45" s="2176"/>
      <c r="D45" s="2177"/>
      <c r="E45" s="2152">
        <f>SUM(E44:E44)</f>
        <v>0</v>
      </c>
      <c r="F45" s="2152">
        <f>SUM(F44:F44)</f>
        <v>0</v>
      </c>
      <c r="G45" s="2152">
        <f>SUM(G44:G44)</f>
        <v>-8</v>
      </c>
      <c r="H45" s="2157">
        <v>0</v>
      </c>
      <c r="I45" s="2165"/>
    </row>
    <row r="46" spans="1:9" ht="15.75" thickTop="1" x14ac:dyDescent="0.25">
      <c r="A46" s="2189"/>
      <c r="B46" s="2189"/>
      <c r="C46" s="2189"/>
      <c r="D46" s="2189"/>
      <c r="E46" s="2159"/>
      <c r="F46" s="2159"/>
      <c r="G46" s="2159"/>
      <c r="H46" s="2190"/>
      <c r="I46" s="2165"/>
    </row>
    <row r="47" spans="1:9" ht="15" x14ac:dyDescent="0.25">
      <c r="A47" s="2189"/>
      <c r="B47" s="2189"/>
      <c r="C47" s="2189"/>
      <c r="D47" s="2189"/>
      <c r="E47" s="2159"/>
      <c r="F47" s="2159"/>
      <c r="G47" s="2159"/>
      <c r="H47" s="2190"/>
      <c r="I47" s="2165"/>
    </row>
    <row r="48" spans="1:9" ht="15" x14ac:dyDescent="0.25">
      <c r="A48" s="2189"/>
      <c r="B48" s="2189"/>
      <c r="C48" s="2189"/>
      <c r="D48" s="2189"/>
      <c r="E48" s="2159"/>
      <c r="F48" s="2159"/>
      <c r="G48" s="2159"/>
      <c r="H48" s="2190"/>
      <c r="I48" s="2165"/>
    </row>
    <row r="49" spans="1:12" x14ac:dyDescent="0.2">
      <c r="D49" s="2193"/>
      <c r="E49" s="2266"/>
    </row>
    <row r="50" spans="1:12" ht="16.5" x14ac:dyDescent="0.25">
      <c r="A50" s="2206" t="s">
        <v>508</v>
      </c>
      <c r="B50" s="2207"/>
      <c r="C50" s="2208"/>
      <c r="D50" s="2209"/>
      <c r="E50" s="2210">
        <f>SUM(E51:E53)</f>
        <v>0</v>
      </c>
      <c r="F50" s="2210">
        <f>F51+F52+F53+F54</f>
        <v>16378</v>
      </c>
      <c r="G50" s="2210">
        <f>G51+G52+G53+G54</f>
        <v>16496</v>
      </c>
      <c r="H50" s="2232">
        <f>G50/F50*100</f>
        <v>100.72047869092687</v>
      </c>
      <c r="J50" s="2212">
        <f>J51+J52+J53</f>
        <v>0</v>
      </c>
      <c r="K50" s="2212">
        <f>K51+K52+K53</f>
        <v>16378303.17</v>
      </c>
      <c r="L50" s="2212">
        <f>L51+L52+L53</f>
        <v>16496863.43</v>
      </c>
    </row>
    <row r="51" spans="1:12" ht="15" x14ac:dyDescent="0.2">
      <c r="A51" s="1810" t="s">
        <v>288</v>
      </c>
      <c r="B51" s="1813"/>
      <c r="C51" s="1808"/>
      <c r="D51" s="2213"/>
      <c r="E51" s="1811">
        <f>E11+E12+E13+E21+E29+E44</f>
        <v>0</v>
      </c>
      <c r="F51" s="1811">
        <f>F11+F12+F13+F21+F29+F44+F37</f>
        <v>133</v>
      </c>
      <c r="G51" s="1811">
        <f>G11+G12+G13+G21+G29+G44+G37</f>
        <v>125</v>
      </c>
      <c r="H51" s="2231">
        <f>G51/F51*100</f>
        <v>93.984962406015043</v>
      </c>
      <c r="J51" s="2214">
        <v>0</v>
      </c>
      <c r="K51" s="2214">
        <v>133084.91</v>
      </c>
      <c r="L51" s="2214">
        <f>127627.55+5457.36-7562.18</f>
        <v>125522.73000000001</v>
      </c>
    </row>
    <row r="52" spans="1:12" ht="15" x14ac:dyDescent="0.2">
      <c r="A52" s="1810" t="s">
        <v>289</v>
      </c>
      <c r="B52" s="1809"/>
      <c r="C52" s="1808"/>
      <c r="D52" s="2215"/>
      <c r="E52" s="1811">
        <f>E22+E30</f>
        <v>0</v>
      </c>
      <c r="F52" s="1811">
        <f>F22+F30+F38</f>
        <v>16245</v>
      </c>
      <c r="G52" s="1811">
        <f>G22+G30+G38</f>
        <v>16245</v>
      </c>
      <c r="H52" s="2231">
        <f>G52/F52*100</f>
        <v>100</v>
      </c>
      <c r="J52" s="2214">
        <v>0</v>
      </c>
      <c r="K52" s="2214">
        <v>16245218.26</v>
      </c>
      <c r="L52" s="2214">
        <f>5542097.75+5408439.63+5294680.86</f>
        <v>16245218.239999998</v>
      </c>
    </row>
    <row r="53" spans="1:12" ht="15" x14ac:dyDescent="0.2">
      <c r="A53" s="1810" t="s">
        <v>509</v>
      </c>
      <c r="B53" s="1809"/>
      <c r="C53" s="1808"/>
      <c r="D53" s="2215"/>
      <c r="E53" s="1811">
        <f>E14</f>
        <v>0</v>
      </c>
      <c r="F53" s="1811">
        <f>F14</f>
        <v>0</v>
      </c>
      <c r="G53" s="1811">
        <f>G14</f>
        <v>126</v>
      </c>
      <c r="H53" s="2231">
        <v>0</v>
      </c>
      <c r="J53" s="2214">
        <v>0</v>
      </c>
      <c r="K53" s="2214">
        <v>0</v>
      </c>
      <c r="L53" s="2214">
        <v>126122.46</v>
      </c>
    </row>
    <row r="54" spans="1:12" ht="15" x14ac:dyDescent="0.2">
      <c r="A54" s="1810"/>
      <c r="B54" s="1809"/>
      <c r="C54" s="1808"/>
      <c r="D54" s="2215"/>
      <c r="E54" s="1811"/>
      <c r="F54" s="1811"/>
      <c r="G54" s="1811"/>
      <c r="H54" s="1807"/>
    </row>
    <row r="55" spans="1:12" ht="51.75" customHeight="1" thickBot="1" x14ac:dyDescent="0.4">
      <c r="A55" s="2800" t="s">
        <v>1084</v>
      </c>
      <c r="B55" s="2821"/>
      <c r="C55" s="2821"/>
      <c r="D55" s="2821"/>
      <c r="E55" s="1801">
        <f>SUM(E50)</f>
        <v>0</v>
      </c>
      <c r="F55" s="1801">
        <f>SUM(F50)</f>
        <v>16378</v>
      </c>
      <c r="G55" s="1801">
        <f>SUM(G50)</f>
        <v>16496</v>
      </c>
      <c r="H55" s="1800">
        <f>G55/F55*100</f>
        <v>100.72047869092687</v>
      </c>
    </row>
    <row r="56" spans="1:12" ht="13.5" thickTop="1" x14ac:dyDescent="0.2"/>
    <row r="168" spans="1:5" ht="13.5" thickBot="1" x14ac:dyDescent="0.25">
      <c r="A168" s="2179"/>
      <c r="B168" s="2179"/>
      <c r="C168" s="2179"/>
    </row>
    <row r="169" spans="1:5" ht="13.5" thickTop="1" x14ac:dyDescent="0.2">
      <c r="A169" s="2204"/>
      <c r="B169" s="2204"/>
      <c r="C169" s="2204"/>
    </row>
    <row r="176" spans="1:5" ht="13.5" thickBot="1" x14ac:dyDescent="0.25">
      <c r="D176" s="2264"/>
      <c r="E176" s="2265"/>
    </row>
    <row r="177" spans="4:5" ht="13.5" thickTop="1" x14ac:dyDescent="0.2">
      <c r="D177" s="2193"/>
      <c r="E177" s="2266"/>
    </row>
    <row r="178" spans="4:5" x14ac:dyDescent="0.2">
      <c r="D178" s="2131" t="e">
        <f>#REF!+#REF!</f>
        <v>#REF!</v>
      </c>
    </row>
  </sheetData>
  <mergeCells count="3">
    <mergeCell ref="A1:H1"/>
    <mergeCell ref="A15:D15"/>
    <mergeCell ref="A55:D55"/>
  </mergeCells>
  <pageMargins left="0.98425196850393704" right="0.98425196850393704" top="0.98425196850393704" bottom="0.98425196850393704" header="0.51181102362204722" footer="0.51181102362204722"/>
  <pageSetup paperSize="9" scale="75" firstPageNumber="160" orientation="portrait" useFirstPageNumber="1" r:id="rId1"/>
  <headerFooter alignWithMargins="0">
    <oddFooter xml:space="preserve">&amp;L&amp;"Arial,Kurzíva"Zastupitelstvo Olomouckého kraje 28. 6. 2013
6.- Závěrečný  účet Olomuckého kraje za rok 2012
Příloha č. 3: Plnění rozpočtu výdajů Olomouckého kraje k 31.12.2012&amp;R&amp;"Arial,Kurzíva"Strana &amp;P (Celkem 484)
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252"/>
  <sheetViews>
    <sheetView showGridLines="0" view="pageBreakPreview" topLeftCell="A132" zoomScaleNormal="100" zoomScaleSheetLayoutView="100" workbookViewId="0">
      <selection activeCell="A100" sqref="A100"/>
    </sheetView>
  </sheetViews>
  <sheetFormatPr defaultRowHeight="12.75" x14ac:dyDescent="0.2"/>
  <cols>
    <col min="1" max="1" width="4.7109375" style="2130" customWidth="1"/>
    <col min="2" max="2" width="6.7109375" style="2130" customWidth="1"/>
    <col min="3" max="3" width="8.85546875" style="2130" customWidth="1"/>
    <col min="4" max="4" width="46.42578125" style="2131" customWidth="1"/>
    <col min="5" max="5" width="12.85546875" style="2165" customWidth="1"/>
    <col min="6" max="6" width="15.5703125" style="2165" customWidth="1"/>
    <col min="7" max="7" width="15.85546875" style="2165" customWidth="1"/>
    <col min="8" max="8" width="8.5703125" style="2131" customWidth="1"/>
    <col min="9" max="9" width="14.28515625" style="2131" bestFit="1" customWidth="1"/>
    <col min="10" max="10" width="9.140625" style="2131"/>
    <col min="11" max="12" width="16" style="2131" bestFit="1" customWidth="1"/>
    <col min="13" max="256" width="9.140625" style="2131"/>
    <col min="257" max="257" width="4.7109375" style="2131" customWidth="1"/>
    <col min="258" max="258" width="6.7109375" style="2131" customWidth="1"/>
    <col min="259" max="259" width="8.85546875" style="2131" customWidth="1"/>
    <col min="260" max="260" width="46.42578125" style="2131" customWidth="1"/>
    <col min="261" max="261" width="12.85546875" style="2131" customWidth="1"/>
    <col min="262" max="262" width="15.5703125" style="2131" customWidth="1"/>
    <col min="263" max="263" width="15.85546875" style="2131" customWidth="1"/>
    <col min="264" max="264" width="6.42578125" style="2131" customWidth="1"/>
    <col min="265" max="265" width="14.28515625" style="2131" bestFit="1" customWidth="1"/>
    <col min="266" max="266" width="9.140625" style="2131"/>
    <col min="267" max="268" width="16" style="2131" bestFit="1" customWidth="1"/>
    <col min="269" max="512" width="9.140625" style="2131"/>
    <col min="513" max="513" width="4.7109375" style="2131" customWidth="1"/>
    <col min="514" max="514" width="6.7109375" style="2131" customWidth="1"/>
    <col min="515" max="515" width="8.85546875" style="2131" customWidth="1"/>
    <col min="516" max="516" width="46.42578125" style="2131" customWidth="1"/>
    <col min="517" max="517" width="12.85546875" style="2131" customWidth="1"/>
    <col min="518" max="518" width="15.5703125" style="2131" customWidth="1"/>
    <col min="519" max="519" width="15.85546875" style="2131" customWidth="1"/>
    <col min="520" max="520" width="6.42578125" style="2131" customWidth="1"/>
    <col min="521" max="521" width="14.28515625" style="2131" bestFit="1" customWidth="1"/>
    <col min="522" max="522" width="9.140625" style="2131"/>
    <col min="523" max="524" width="16" style="2131" bestFit="1" customWidth="1"/>
    <col min="525" max="768" width="9.140625" style="2131"/>
    <col min="769" max="769" width="4.7109375" style="2131" customWidth="1"/>
    <col min="770" max="770" width="6.7109375" style="2131" customWidth="1"/>
    <col min="771" max="771" width="8.85546875" style="2131" customWidth="1"/>
    <col min="772" max="772" width="46.42578125" style="2131" customWidth="1"/>
    <col min="773" max="773" width="12.85546875" style="2131" customWidth="1"/>
    <col min="774" max="774" width="15.5703125" style="2131" customWidth="1"/>
    <col min="775" max="775" width="15.85546875" style="2131" customWidth="1"/>
    <col min="776" max="776" width="6.42578125" style="2131" customWidth="1"/>
    <col min="777" max="777" width="14.28515625" style="2131" bestFit="1" customWidth="1"/>
    <col min="778" max="778" width="9.140625" style="2131"/>
    <col min="779" max="780" width="16" style="2131" bestFit="1" customWidth="1"/>
    <col min="781" max="1024" width="9.140625" style="2131"/>
    <col min="1025" max="1025" width="4.7109375" style="2131" customWidth="1"/>
    <col min="1026" max="1026" width="6.7109375" style="2131" customWidth="1"/>
    <col min="1027" max="1027" width="8.85546875" style="2131" customWidth="1"/>
    <col min="1028" max="1028" width="46.42578125" style="2131" customWidth="1"/>
    <col min="1029" max="1029" width="12.85546875" style="2131" customWidth="1"/>
    <col min="1030" max="1030" width="15.5703125" style="2131" customWidth="1"/>
    <col min="1031" max="1031" width="15.85546875" style="2131" customWidth="1"/>
    <col min="1032" max="1032" width="6.42578125" style="2131" customWidth="1"/>
    <col min="1033" max="1033" width="14.28515625" style="2131" bestFit="1" customWidth="1"/>
    <col min="1034" max="1034" width="9.140625" style="2131"/>
    <col min="1035" max="1036" width="16" style="2131" bestFit="1" customWidth="1"/>
    <col min="1037" max="1280" width="9.140625" style="2131"/>
    <col min="1281" max="1281" width="4.7109375" style="2131" customWidth="1"/>
    <col min="1282" max="1282" width="6.7109375" style="2131" customWidth="1"/>
    <col min="1283" max="1283" width="8.85546875" style="2131" customWidth="1"/>
    <col min="1284" max="1284" width="46.42578125" style="2131" customWidth="1"/>
    <col min="1285" max="1285" width="12.85546875" style="2131" customWidth="1"/>
    <col min="1286" max="1286" width="15.5703125" style="2131" customWidth="1"/>
    <col min="1287" max="1287" width="15.85546875" style="2131" customWidth="1"/>
    <col min="1288" max="1288" width="6.42578125" style="2131" customWidth="1"/>
    <col min="1289" max="1289" width="14.28515625" style="2131" bestFit="1" customWidth="1"/>
    <col min="1290" max="1290" width="9.140625" style="2131"/>
    <col min="1291" max="1292" width="16" style="2131" bestFit="1" customWidth="1"/>
    <col min="1293" max="1536" width="9.140625" style="2131"/>
    <col min="1537" max="1537" width="4.7109375" style="2131" customWidth="1"/>
    <col min="1538" max="1538" width="6.7109375" style="2131" customWidth="1"/>
    <col min="1539" max="1539" width="8.85546875" style="2131" customWidth="1"/>
    <col min="1540" max="1540" width="46.42578125" style="2131" customWidth="1"/>
    <col min="1541" max="1541" width="12.85546875" style="2131" customWidth="1"/>
    <col min="1542" max="1542" width="15.5703125" style="2131" customWidth="1"/>
    <col min="1543" max="1543" width="15.85546875" style="2131" customWidth="1"/>
    <col min="1544" max="1544" width="6.42578125" style="2131" customWidth="1"/>
    <col min="1545" max="1545" width="14.28515625" style="2131" bestFit="1" customWidth="1"/>
    <col min="1546" max="1546" width="9.140625" style="2131"/>
    <col min="1547" max="1548" width="16" style="2131" bestFit="1" customWidth="1"/>
    <col min="1549" max="1792" width="9.140625" style="2131"/>
    <col min="1793" max="1793" width="4.7109375" style="2131" customWidth="1"/>
    <col min="1794" max="1794" width="6.7109375" style="2131" customWidth="1"/>
    <col min="1795" max="1795" width="8.85546875" style="2131" customWidth="1"/>
    <col min="1796" max="1796" width="46.42578125" style="2131" customWidth="1"/>
    <col min="1797" max="1797" width="12.85546875" style="2131" customWidth="1"/>
    <col min="1798" max="1798" width="15.5703125" style="2131" customWidth="1"/>
    <col min="1799" max="1799" width="15.85546875" style="2131" customWidth="1"/>
    <col min="1800" max="1800" width="6.42578125" style="2131" customWidth="1"/>
    <col min="1801" max="1801" width="14.28515625" style="2131" bestFit="1" customWidth="1"/>
    <col min="1802" max="1802" width="9.140625" style="2131"/>
    <col min="1803" max="1804" width="16" style="2131" bestFit="1" customWidth="1"/>
    <col min="1805" max="2048" width="9.140625" style="2131"/>
    <col min="2049" max="2049" width="4.7109375" style="2131" customWidth="1"/>
    <col min="2050" max="2050" width="6.7109375" style="2131" customWidth="1"/>
    <col min="2051" max="2051" width="8.85546875" style="2131" customWidth="1"/>
    <col min="2052" max="2052" width="46.42578125" style="2131" customWidth="1"/>
    <col min="2053" max="2053" width="12.85546875" style="2131" customWidth="1"/>
    <col min="2054" max="2054" width="15.5703125" style="2131" customWidth="1"/>
    <col min="2055" max="2055" width="15.85546875" style="2131" customWidth="1"/>
    <col min="2056" max="2056" width="6.42578125" style="2131" customWidth="1"/>
    <col min="2057" max="2057" width="14.28515625" style="2131" bestFit="1" customWidth="1"/>
    <col min="2058" max="2058" width="9.140625" style="2131"/>
    <col min="2059" max="2060" width="16" style="2131" bestFit="1" customWidth="1"/>
    <col min="2061" max="2304" width="9.140625" style="2131"/>
    <col min="2305" max="2305" width="4.7109375" style="2131" customWidth="1"/>
    <col min="2306" max="2306" width="6.7109375" style="2131" customWidth="1"/>
    <col min="2307" max="2307" width="8.85546875" style="2131" customWidth="1"/>
    <col min="2308" max="2308" width="46.42578125" style="2131" customWidth="1"/>
    <col min="2309" max="2309" width="12.85546875" style="2131" customWidth="1"/>
    <col min="2310" max="2310" width="15.5703125" style="2131" customWidth="1"/>
    <col min="2311" max="2311" width="15.85546875" style="2131" customWidth="1"/>
    <col min="2312" max="2312" width="6.42578125" style="2131" customWidth="1"/>
    <col min="2313" max="2313" width="14.28515625" style="2131" bestFit="1" customWidth="1"/>
    <col min="2314" max="2314" width="9.140625" style="2131"/>
    <col min="2315" max="2316" width="16" style="2131" bestFit="1" customWidth="1"/>
    <col min="2317" max="2560" width="9.140625" style="2131"/>
    <col min="2561" max="2561" width="4.7109375" style="2131" customWidth="1"/>
    <col min="2562" max="2562" width="6.7109375" style="2131" customWidth="1"/>
    <col min="2563" max="2563" width="8.85546875" style="2131" customWidth="1"/>
    <col min="2564" max="2564" width="46.42578125" style="2131" customWidth="1"/>
    <col min="2565" max="2565" width="12.85546875" style="2131" customWidth="1"/>
    <col min="2566" max="2566" width="15.5703125" style="2131" customWidth="1"/>
    <col min="2567" max="2567" width="15.85546875" style="2131" customWidth="1"/>
    <col min="2568" max="2568" width="6.42578125" style="2131" customWidth="1"/>
    <col min="2569" max="2569" width="14.28515625" style="2131" bestFit="1" customWidth="1"/>
    <col min="2570" max="2570" width="9.140625" style="2131"/>
    <col min="2571" max="2572" width="16" style="2131" bestFit="1" customWidth="1"/>
    <col min="2573" max="2816" width="9.140625" style="2131"/>
    <col min="2817" max="2817" width="4.7109375" style="2131" customWidth="1"/>
    <col min="2818" max="2818" width="6.7109375" style="2131" customWidth="1"/>
    <col min="2819" max="2819" width="8.85546875" style="2131" customWidth="1"/>
    <col min="2820" max="2820" width="46.42578125" style="2131" customWidth="1"/>
    <col min="2821" max="2821" width="12.85546875" style="2131" customWidth="1"/>
    <col min="2822" max="2822" width="15.5703125" style="2131" customWidth="1"/>
    <col min="2823" max="2823" width="15.85546875" style="2131" customWidth="1"/>
    <col min="2824" max="2824" width="6.42578125" style="2131" customWidth="1"/>
    <col min="2825" max="2825" width="14.28515625" style="2131" bestFit="1" customWidth="1"/>
    <col min="2826" max="2826" width="9.140625" style="2131"/>
    <col min="2827" max="2828" width="16" style="2131" bestFit="1" customWidth="1"/>
    <col min="2829" max="3072" width="9.140625" style="2131"/>
    <col min="3073" max="3073" width="4.7109375" style="2131" customWidth="1"/>
    <col min="3074" max="3074" width="6.7109375" style="2131" customWidth="1"/>
    <col min="3075" max="3075" width="8.85546875" style="2131" customWidth="1"/>
    <col min="3076" max="3076" width="46.42578125" style="2131" customWidth="1"/>
    <col min="3077" max="3077" width="12.85546875" style="2131" customWidth="1"/>
    <col min="3078" max="3078" width="15.5703125" style="2131" customWidth="1"/>
    <col min="3079" max="3079" width="15.85546875" style="2131" customWidth="1"/>
    <col min="3080" max="3080" width="6.42578125" style="2131" customWidth="1"/>
    <col min="3081" max="3081" width="14.28515625" style="2131" bestFit="1" customWidth="1"/>
    <col min="3082" max="3082" width="9.140625" style="2131"/>
    <col min="3083" max="3084" width="16" style="2131" bestFit="1" customWidth="1"/>
    <col min="3085" max="3328" width="9.140625" style="2131"/>
    <col min="3329" max="3329" width="4.7109375" style="2131" customWidth="1"/>
    <col min="3330" max="3330" width="6.7109375" style="2131" customWidth="1"/>
    <col min="3331" max="3331" width="8.85546875" style="2131" customWidth="1"/>
    <col min="3332" max="3332" width="46.42578125" style="2131" customWidth="1"/>
    <col min="3333" max="3333" width="12.85546875" style="2131" customWidth="1"/>
    <col min="3334" max="3334" width="15.5703125" style="2131" customWidth="1"/>
    <col min="3335" max="3335" width="15.85546875" style="2131" customWidth="1"/>
    <col min="3336" max="3336" width="6.42578125" style="2131" customWidth="1"/>
    <col min="3337" max="3337" width="14.28515625" style="2131" bestFit="1" customWidth="1"/>
    <col min="3338" max="3338" width="9.140625" style="2131"/>
    <col min="3339" max="3340" width="16" style="2131" bestFit="1" customWidth="1"/>
    <col min="3341" max="3584" width="9.140625" style="2131"/>
    <col min="3585" max="3585" width="4.7109375" style="2131" customWidth="1"/>
    <col min="3586" max="3586" width="6.7109375" style="2131" customWidth="1"/>
    <col min="3587" max="3587" width="8.85546875" style="2131" customWidth="1"/>
    <col min="3588" max="3588" width="46.42578125" style="2131" customWidth="1"/>
    <col min="3589" max="3589" width="12.85546875" style="2131" customWidth="1"/>
    <col min="3590" max="3590" width="15.5703125" style="2131" customWidth="1"/>
    <col min="3591" max="3591" width="15.85546875" style="2131" customWidth="1"/>
    <col min="3592" max="3592" width="6.42578125" style="2131" customWidth="1"/>
    <col min="3593" max="3593" width="14.28515625" style="2131" bestFit="1" customWidth="1"/>
    <col min="3594" max="3594" width="9.140625" style="2131"/>
    <col min="3595" max="3596" width="16" style="2131" bestFit="1" customWidth="1"/>
    <col min="3597" max="3840" width="9.140625" style="2131"/>
    <col min="3841" max="3841" width="4.7109375" style="2131" customWidth="1"/>
    <col min="3842" max="3842" width="6.7109375" style="2131" customWidth="1"/>
    <col min="3843" max="3843" width="8.85546875" style="2131" customWidth="1"/>
    <col min="3844" max="3844" width="46.42578125" style="2131" customWidth="1"/>
    <col min="3845" max="3845" width="12.85546875" style="2131" customWidth="1"/>
    <col min="3846" max="3846" width="15.5703125" style="2131" customWidth="1"/>
    <col min="3847" max="3847" width="15.85546875" style="2131" customWidth="1"/>
    <col min="3848" max="3848" width="6.42578125" style="2131" customWidth="1"/>
    <col min="3849" max="3849" width="14.28515625" style="2131" bestFit="1" customWidth="1"/>
    <col min="3850" max="3850" width="9.140625" style="2131"/>
    <col min="3851" max="3852" width="16" style="2131" bestFit="1" customWidth="1"/>
    <col min="3853" max="4096" width="9.140625" style="2131"/>
    <col min="4097" max="4097" width="4.7109375" style="2131" customWidth="1"/>
    <col min="4098" max="4098" width="6.7109375" style="2131" customWidth="1"/>
    <col min="4099" max="4099" width="8.85546875" style="2131" customWidth="1"/>
    <col min="4100" max="4100" width="46.42578125" style="2131" customWidth="1"/>
    <col min="4101" max="4101" width="12.85546875" style="2131" customWidth="1"/>
    <col min="4102" max="4102" width="15.5703125" style="2131" customWidth="1"/>
    <col min="4103" max="4103" width="15.85546875" style="2131" customWidth="1"/>
    <col min="4104" max="4104" width="6.42578125" style="2131" customWidth="1"/>
    <col min="4105" max="4105" width="14.28515625" style="2131" bestFit="1" customWidth="1"/>
    <col min="4106" max="4106" width="9.140625" style="2131"/>
    <col min="4107" max="4108" width="16" style="2131" bestFit="1" customWidth="1"/>
    <col min="4109" max="4352" width="9.140625" style="2131"/>
    <col min="4353" max="4353" width="4.7109375" style="2131" customWidth="1"/>
    <col min="4354" max="4354" width="6.7109375" style="2131" customWidth="1"/>
    <col min="4355" max="4355" width="8.85546875" style="2131" customWidth="1"/>
    <col min="4356" max="4356" width="46.42578125" style="2131" customWidth="1"/>
    <col min="4357" max="4357" width="12.85546875" style="2131" customWidth="1"/>
    <col min="4358" max="4358" width="15.5703125" style="2131" customWidth="1"/>
    <col min="4359" max="4359" width="15.85546875" style="2131" customWidth="1"/>
    <col min="4360" max="4360" width="6.42578125" style="2131" customWidth="1"/>
    <col min="4361" max="4361" width="14.28515625" style="2131" bestFit="1" customWidth="1"/>
    <col min="4362" max="4362" width="9.140625" style="2131"/>
    <col min="4363" max="4364" width="16" style="2131" bestFit="1" customWidth="1"/>
    <col min="4365" max="4608" width="9.140625" style="2131"/>
    <col min="4609" max="4609" width="4.7109375" style="2131" customWidth="1"/>
    <col min="4610" max="4610" width="6.7109375" style="2131" customWidth="1"/>
    <col min="4611" max="4611" width="8.85546875" style="2131" customWidth="1"/>
    <col min="4612" max="4612" width="46.42578125" style="2131" customWidth="1"/>
    <col min="4613" max="4613" width="12.85546875" style="2131" customWidth="1"/>
    <col min="4614" max="4614" width="15.5703125" style="2131" customWidth="1"/>
    <col min="4615" max="4615" width="15.85546875" style="2131" customWidth="1"/>
    <col min="4616" max="4616" width="6.42578125" style="2131" customWidth="1"/>
    <col min="4617" max="4617" width="14.28515625" style="2131" bestFit="1" customWidth="1"/>
    <col min="4618" max="4618" width="9.140625" style="2131"/>
    <col min="4619" max="4620" width="16" style="2131" bestFit="1" customWidth="1"/>
    <col min="4621" max="4864" width="9.140625" style="2131"/>
    <col min="4865" max="4865" width="4.7109375" style="2131" customWidth="1"/>
    <col min="4866" max="4866" width="6.7109375" style="2131" customWidth="1"/>
    <col min="4867" max="4867" width="8.85546875" style="2131" customWidth="1"/>
    <col min="4868" max="4868" width="46.42578125" style="2131" customWidth="1"/>
    <col min="4869" max="4869" width="12.85546875" style="2131" customWidth="1"/>
    <col min="4870" max="4870" width="15.5703125" style="2131" customWidth="1"/>
    <col min="4871" max="4871" width="15.85546875" style="2131" customWidth="1"/>
    <col min="4872" max="4872" width="6.42578125" style="2131" customWidth="1"/>
    <col min="4873" max="4873" width="14.28515625" style="2131" bestFit="1" customWidth="1"/>
    <col min="4874" max="4874" width="9.140625" style="2131"/>
    <col min="4875" max="4876" width="16" style="2131" bestFit="1" customWidth="1"/>
    <col min="4877" max="5120" width="9.140625" style="2131"/>
    <col min="5121" max="5121" width="4.7109375" style="2131" customWidth="1"/>
    <col min="5122" max="5122" width="6.7109375" style="2131" customWidth="1"/>
    <col min="5123" max="5123" width="8.85546875" style="2131" customWidth="1"/>
    <col min="5124" max="5124" width="46.42578125" style="2131" customWidth="1"/>
    <col min="5125" max="5125" width="12.85546875" style="2131" customWidth="1"/>
    <col min="5126" max="5126" width="15.5703125" style="2131" customWidth="1"/>
    <col min="5127" max="5127" width="15.85546875" style="2131" customWidth="1"/>
    <col min="5128" max="5128" width="6.42578125" style="2131" customWidth="1"/>
    <col min="5129" max="5129" width="14.28515625" style="2131" bestFit="1" customWidth="1"/>
    <col min="5130" max="5130" width="9.140625" style="2131"/>
    <col min="5131" max="5132" width="16" style="2131" bestFit="1" customWidth="1"/>
    <col min="5133" max="5376" width="9.140625" style="2131"/>
    <col min="5377" max="5377" width="4.7109375" style="2131" customWidth="1"/>
    <col min="5378" max="5378" width="6.7109375" style="2131" customWidth="1"/>
    <col min="5379" max="5379" width="8.85546875" style="2131" customWidth="1"/>
    <col min="5380" max="5380" width="46.42578125" style="2131" customWidth="1"/>
    <col min="5381" max="5381" width="12.85546875" style="2131" customWidth="1"/>
    <col min="5382" max="5382" width="15.5703125" style="2131" customWidth="1"/>
    <col min="5383" max="5383" width="15.85546875" style="2131" customWidth="1"/>
    <col min="5384" max="5384" width="6.42578125" style="2131" customWidth="1"/>
    <col min="5385" max="5385" width="14.28515625" style="2131" bestFit="1" customWidth="1"/>
    <col min="5386" max="5386" width="9.140625" style="2131"/>
    <col min="5387" max="5388" width="16" style="2131" bestFit="1" customWidth="1"/>
    <col min="5389" max="5632" width="9.140625" style="2131"/>
    <col min="5633" max="5633" width="4.7109375" style="2131" customWidth="1"/>
    <col min="5634" max="5634" width="6.7109375" style="2131" customWidth="1"/>
    <col min="5635" max="5635" width="8.85546875" style="2131" customWidth="1"/>
    <col min="5636" max="5636" width="46.42578125" style="2131" customWidth="1"/>
    <col min="5637" max="5637" width="12.85546875" style="2131" customWidth="1"/>
    <col min="5638" max="5638" width="15.5703125" style="2131" customWidth="1"/>
    <col min="5639" max="5639" width="15.85546875" style="2131" customWidth="1"/>
    <col min="5640" max="5640" width="6.42578125" style="2131" customWidth="1"/>
    <col min="5641" max="5641" width="14.28515625" style="2131" bestFit="1" customWidth="1"/>
    <col min="5642" max="5642" width="9.140625" style="2131"/>
    <col min="5643" max="5644" width="16" style="2131" bestFit="1" customWidth="1"/>
    <col min="5645" max="5888" width="9.140625" style="2131"/>
    <col min="5889" max="5889" width="4.7109375" style="2131" customWidth="1"/>
    <col min="5890" max="5890" width="6.7109375" style="2131" customWidth="1"/>
    <col min="5891" max="5891" width="8.85546875" style="2131" customWidth="1"/>
    <col min="5892" max="5892" width="46.42578125" style="2131" customWidth="1"/>
    <col min="5893" max="5893" width="12.85546875" style="2131" customWidth="1"/>
    <col min="5894" max="5894" width="15.5703125" style="2131" customWidth="1"/>
    <col min="5895" max="5895" width="15.85546875" style="2131" customWidth="1"/>
    <col min="5896" max="5896" width="6.42578125" style="2131" customWidth="1"/>
    <col min="5897" max="5897" width="14.28515625" style="2131" bestFit="1" customWidth="1"/>
    <col min="5898" max="5898" width="9.140625" style="2131"/>
    <col min="5899" max="5900" width="16" style="2131" bestFit="1" customWidth="1"/>
    <col min="5901" max="6144" width="9.140625" style="2131"/>
    <col min="6145" max="6145" width="4.7109375" style="2131" customWidth="1"/>
    <col min="6146" max="6146" width="6.7109375" style="2131" customWidth="1"/>
    <col min="6147" max="6147" width="8.85546875" style="2131" customWidth="1"/>
    <col min="6148" max="6148" width="46.42578125" style="2131" customWidth="1"/>
    <col min="6149" max="6149" width="12.85546875" style="2131" customWidth="1"/>
    <col min="6150" max="6150" width="15.5703125" style="2131" customWidth="1"/>
    <col min="6151" max="6151" width="15.85546875" style="2131" customWidth="1"/>
    <col min="6152" max="6152" width="6.42578125" style="2131" customWidth="1"/>
    <col min="6153" max="6153" width="14.28515625" style="2131" bestFit="1" customWidth="1"/>
    <col min="6154" max="6154" width="9.140625" style="2131"/>
    <col min="6155" max="6156" width="16" style="2131" bestFit="1" customWidth="1"/>
    <col min="6157" max="6400" width="9.140625" style="2131"/>
    <col min="6401" max="6401" width="4.7109375" style="2131" customWidth="1"/>
    <col min="6402" max="6402" width="6.7109375" style="2131" customWidth="1"/>
    <col min="6403" max="6403" width="8.85546875" style="2131" customWidth="1"/>
    <col min="6404" max="6404" width="46.42578125" style="2131" customWidth="1"/>
    <col min="6405" max="6405" width="12.85546875" style="2131" customWidth="1"/>
    <col min="6406" max="6406" width="15.5703125" style="2131" customWidth="1"/>
    <col min="6407" max="6407" width="15.85546875" style="2131" customWidth="1"/>
    <col min="6408" max="6408" width="6.42578125" style="2131" customWidth="1"/>
    <col min="6409" max="6409" width="14.28515625" style="2131" bestFit="1" customWidth="1"/>
    <col min="6410" max="6410" width="9.140625" style="2131"/>
    <col min="6411" max="6412" width="16" style="2131" bestFit="1" customWidth="1"/>
    <col min="6413" max="6656" width="9.140625" style="2131"/>
    <col min="6657" max="6657" width="4.7109375" style="2131" customWidth="1"/>
    <col min="6658" max="6658" width="6.7109375" style="2131" customWidth="1"/>
    <col min="6659" max="6659" width="8.85546875" style="2131" customWidth="1"/>
    <col min="6660" max="6660" width="46.42578125" style="2131" customWidth="1"/>
    <col min="6661" max="6661" width="12.85546875" style="2131" customWidth="1"/>
    <col min="6662" max="6662" width="15.5703125" style="2131" customWidth="1"/>
    <col min="6663" max="6663" width="15.85546875" style="2131" customWidth="1"/>
    <col min="6664" max="6664" width="6.42578125" style="2131" customWidth="1"/>
    <col min="6665" max="6665" width="14.28515625" style="2131" bestFit="1" customWidth="1"/>
    <col min="6666" max="6666" width="9.140625" style="2131"/>
    <col min="6667" max="6668" width="16" style="2131" bestFit="1" customWidth="1"/>
    <col min="6669" max="6912" width="9.140625" style="2131"/>
    <col min="6913" max="6913" width="4.7109375" style="2131" customWidth="1"/>
    <col min="6914" max="6914" width="6.7109375" style="2131" customWidth="1"/>
    <col min="6915" max="6915" width="8.85546875" style="2131" customWidth="1"/>
    <col min="6916" max="6916" width="46.42578125" style="2131" customWidth="1"/>
    <col min="6917" max="6917" width="12.85546875" style="2131" customWidth="1"/>
    <col min="6918" max="6918" width="15.5703125" style="2131" customWidth="1"/>
    <col min="6919" max="6919" width="15.85546875" style="2131" customWidth="1"/>
    <col min="6920" max="6920" width="6.42578125" style="2131" customWidth="1"/>
    <col min="6921" max="6921" width="14.28515625" style="2131" bestFit="1" customWidth="1"/>
    <col min="6922" max="6922" width="9.140625" style="2131"/>
    <col min="6923" max="6924" width="16" style="2131" bestFit="1" customWidth="1"/>
    <col min="6925" max="7168" width="9.140625" style="2131"/>
    <col min="7169" max="7169" width="4.7109375" style="2131" customWidth="1"/>
    <col min="7170" max="7170" width="6.7109375" style="2131" customWidth="1"/>
    <col min="7171" max="7171" width="8.85546875" style="2131" customWidth="1"/>
    <col min="7172" max="7172" width="46.42578125" style="2131" customWidth="1"/>
    <col min="7173" max="7173" width="12.85546875" style="2131" customWidth="1"/>
    <col min="7174" max="7174" width="15.5703125" style="2131" customWidth="1"/>
    <col min="7175" max="7175" width="15.85546875" style="2131" customWidth="1"/>
    <col min="7176" max="7176" width="6.42578125" style="2131" customWidth="1"/>
    <col min="7177" max="7177" width="14.28515625" style="2131" bestFit="1" customWidth="1"/>
    <col min="7178" max="7178" width="9.140625" style="2131"/>
    <col min="7179" max="7180" width="16" style="2131" bestFit="1" customWidth="1"/>
    <col min="7181" max="7424" width="9.140625" style="2131"/>
    <col min="7425" max="7425" width="4.7109375" style="2131" customWidth="1"/>
    <col min="7426" max="7426" width="6.7109375" style="2131" customWidth="1"/>
    <col min="7427" max="7427" width="8.85546875" style="2131" customWidth="1"/>
    <col min="7428" max="7428" width="46.42578125" style="2131" customWidth="1"/>
    <col min="7429" max="7429" width="12.85546875" style="2131" customWidth="1"/>
    <col min="7430" max="7430" width="15.5703125" style="2131" customWidth="1"/>
    <col min="7431" max="7431" width="15.85546875" style="2131" customWidth="1"/>
    <col min="7432" max="7432" width="6.42578125" style="2131" customWidth="1"/>
    <col min="7433" max="7433" width="14.28515625" style="2131" bestFit="1" customWidth="1"/>
    <col min="7434" max="7434" width="9.140625" style="2131"/>
    <col min="7435" max="7436" width="16" style="2131" bestFit="1" customWidth="1"/>
    <col min="7437" max="7680" width="9.140625" style="2131"/>
    <col min="7681" max="7681" width="4.7109375" style="2131" customWidth="1"/>
    <col min="7682" max="7682" width="6.7109375" style="2131" customWidth="1"/>
    <col min="7683" max="7683" width="8.85546875" style="2131" customWidth="1"/>
    <col min="7684" max="7684" width="46.42578125" style="2131" customWidth="1"/>
    <col min="7685" max="7685" width="12.85546875" style="2131" customWidth="1"/>
    <col min="7686" max="7686" width="15.5703125" style="2131" customWidth="1"/>
    <col min="7687" max="7687" width="15.85546875" style="2131" customWidth="1"/>
    <col min="7688" max="7688" width="6.42578125" style="2131" customWidth="1"/>
    <col min="7689" max="7689" width="14.28515625" style="2131" bestFit="1" customWidth="1"/>
    <col min="7690" max="7690" width="9.140625" style="2131"/>
    <col min="7691" max="7692" width="16" style="2131" bestFit="1" customWidth="1"/>
    <col min="7693" max="7936" width="9.140625" style="2131"/>
    <col min="7937" max="7937" width="4.7109375" style="2131" customWidth="1"/>
    <col min="7938" max="7938" width="6.7109375" style="2131" customWidth="1"/>
    <col min="7939" max="7939" width="8.85546875" style="2131" customWidth="1"/>
    <col min="7940" max="7940" width="46.42578125" style="2131" customWidth="1"/>
    <col min="7941" max="7941" width="12.85546875" style="2131" customWidth="1"/>
    <col min="7942" max="7942" width="15.5703125" style="2131" customWidth="1"/>
    <col min="7943" max="7943" width="15.85546875" style="2131" customWidth="1"/>
    <col min="7944" max="7944" width="6.42578125" style="2131" customWidth="1"/>
    <col min="7945" max="7945" width="14.28515625" style="2131" bestFit="1" customWidth="1"/>
    <col min="7946" max="7946" width="9.140625" style="2131"/>
    <col min="7947" max="7948" width="16" style="2131" bestFit="1" customWidth="1"/>
    <col min="7949" max="8192" width="9.140625" style="2131"/>
    <col min="8193" max="8193" width="4.7109375" style="2131" customWidth="1"/>
    <col min="8194" max="8194" width="6.7109375" style="2131" customWidth="1"/>
    <col min="8195" max="8195" width="8.85546875" style="2131" customWidth="1"/>
    <col min="8196" max="8196" width="46.42578125" style="2131" customWidth="1"/>
    <col min="8197" max="8197" width="12.85546875" style="2131" customWidth="1"/>
    <col min="8198" max="8198" width="15.5703125" style="2131" customWidth="1"/>
    <col min="8199" max="8199" width="15.85546875" style="2131" customWidth="1"/>
    <col min="8200" max="8200" width="6.42578125" style="2131" customWidth="1"/>
    <col min="8201" max="8201" width="14.28515625" style="2131" bestFit="1" customWidth="1"/>
    <col min="8202" max="8202" width="9.140625" style="2131"/>
    <col min="8203" max="8204" width="16" style="2131" bestFit="1" customWidth="1"/>
    <col min="8205" max="8448" width="9.140625" style="2131"/>
    <col min="8449" max="8449" width="4.7109375" style="2131" customWidth="1"/>
    <col min="8450" max="8450" width="6.7109375" style="2131" customWidth="1"/>
    <col min="8451" max="8451" width="8.85546875" style="2131" customWidth="1"/>
    <col min="8452" max="8452" width="46.42578125" style="2131" customWidth="1"/>
    <col min="8453" max="8453" width="12.85546875" style="2131" customWidth="1"/>
    <col min="8454" max="8454" width="15.5703125" style="2131" customWidth="1"/>
    <col min="8455" max="8455" width="15.85546875" style="2131" customWidth="1"/>
    <col min="8456" max="8456" width="6.42578125" style="2131" customWidth="1"/>
    <col min="8457" max="8457" width="14.28515625" style="2131" bestFit="1" customWidth="1"/>
    <col min="8458" max="8458" width="9.140625" style="2131"/>
    <col min="8459" max="8460" width="16" style="2131" bestFit="1" customWidth="1"/>
    <col min="8461" max="8704" width="9.140625" style="2131"/>
    <col min="8705" max="8705" width="4.7109375" style="2131" customWidth="1"/>
    <col min="8706" max="8706" width="6.7109375" style="2131" customWidth="1"/>
    <col min="8707" max="8707" width="8.85546875" style="2131" customWidth="1"/>
    <col min="8708" max="8708" width="46.42578125" style="2131" customWidth="1"/>
    <col min="8709" max="8709" width="12.85546875" style="2131" customWidth="1"/>
    <col min="8710" max="8710" width="15.5703125" style="2131" customWidth="1"/>
    <col min="8711" max="8711" width="15.85546875" style="2131" customWidth="1"/>
    <col min="8712" max="8712" width="6.42578125" style="2131" customWidth="1"/>
    <col min="8713" max="8713" width="14.28515625" style="2131" bestFit="1" customWidth="1"/>
    <col min="8714" max="8714" width="9.140625" style="2131"/>
    <col min="8715" max="8716" width="16" style="2131" bestFit="1" customWidth="1"/>
    <col min="8717" max="8960" width="9.140625" style="2131"/>
    <col min="8961" max="8961" width="4.7109375" style="2131" customWidth="1"/>
    <col min="8962" max="8962" width="6.7109375" style="2131" customWidth="1"/>
    <col min="8963" max="8963" width="8.85546875" style="2131" customWidth="1"/>
    <col min="8964" max="8964" width="46.42578125" style="2131" customWidth="1"/>
    <col min="8965" max="8965" width="12.85546875" style="2131" customWidth="1"/>
    <col min="8966" max="8966" width="15.5703125" style="2131" customWidth="1"/>
    <col min="8967" max="8967" width="15.85546875" style="2131" customWidth="1"/>
    <col min="8968" max="8968" width="6.42578125" style="2131" customWidth="1"/>
    <col min="8969" max="8969" width="14.28515625" style="2131" bestFit="1" customWidth="1"/>
    <col min="8970" max="8970" width="9.140625" style="2131"/>
    <col min="8971" max="8972" width="16" style="2131" bestFit="1" customWidth="1"/>
    <col min="8973" max="9216" width="9.140625" style="2131"/>
    <col min="9217" max="9217" width="4.7109375" style="2131" customWidth="1"/>
    <col min="9218" max="9218" width="6.7109375" style="2131" customWidth="1"/>
    <col min="9219" max="9219" width="8.85546875" style="2131" customWidth="1"/>
    <col min="9220" max="9220" width="46.42578125" style="2131" customWidth="1"/>
    <col min="9221" max="9221" width="12.85546875" style="2131" customWidth="1"/>
    <col min="9222" max="9222" width="15.5703125" style="2131" customWidth="1"/>
    <col min="9223" max="9223" width="15.85546875" style="2131" customWidth="1"/>
    <col min="9224" max="9224" width="6.42578125" style="2131" customWidth="1"/>
    <col min="9225" max="9225" width="14.28515625" style="2131" bestFit="1" customWidth="1"/>
    <col min="9226" max="9226" width="9.140625" style="2131"/>
    <col min="9227" max="9228" width="16" style="2131" bestFit="1" customWidth="1"/>
    <col min="9229" max="9472" width="9.140625" style="2131"/>
    <col min="9473" max="9473" width="4.7109375" style="2131" customWidth="1"/>
    <col min="9474" max="9474" width="6.7109375" style="2131" customWidth="1"/>
    <col min="9475" max="9475" width="8.85546875" style="2131" customWidth="1"/>
    <col min="9476" max="9476" width="46.42578125" style="2131" customWidth="1"/>
    <col min="9477" max="9477" width="12.85546875" style="2131" customWidth="1"/>
    <col min="9478" max="9478" width="15.5703125" style="2131" customWidth="1"/>
    <col min="9479" max="9479" width="15.85546875" style="2131" customWidth="1"/>
    <col min="9480" max="9480" width="6.42578125" style="2131" customWidth="1"/>
    <col min="9481" max="9481" width="14.28515625" style="2131" bestFit="1" customWidth="1"/>
    <col min="9482" max="9482" width="9.140625" style="2131"/>
    <col min="9483" max="9484" width="16" style="2131" bestFit="1" customWidth="1"/>
    <col min="9485" max="9728" width="9.140625" style="2131"/>
    <col min="9729" max="9729" width="4.7109375" style="2131" customWidth="1"/>
    <col min="9730" max="9730" width="6.7109375" style="2131" customWidth="1"/>
    <col min="9731" max="9731" width="8.85546875" style="2131" customWidth="1"/>
    <col min="9732" max="9732" width="46.42578125" style="2131" customWidth="1"/>
    <col min="9733" max="9733" width="12.85546875" style="2131" customWidth="1"/>
    <col min="9734" max="9734" width="15.5703125" style="2131" customWidth="1"/>
    <col min="9735" max="9735" width="15.85546875" style="2131" customWidth="1"/>
    <col min="9736" max="9736" width="6.42578125" style="2131" customWidth="1"/>
    <col min="9737" max="9737" width="14.28515625" style="2131" bestFit="1" customWidth="1"/>
    <col min="9738" max="9738" width="9.140625" style="2131"/>
    <col min="9739" max="9740" width="16" style="2131" bestFit="1" customWidth="1"/>
    <col min="9741" max="9984" width="9.140625" style="2131"/>
    <col min="9985" max="9985" width="4.7109375" style="2131" customWidth="1"/>
    <col min="9986" max="9986" width="6.7109375" style="2131" customWidth="1"/>
    <col min="9987" max="9987" width="8.85546875" style="2131" customWidth="1"/>
    <col min="9988" max="9988" width="46.42578125" style="2131" customWidth="1"/>
    <col min="9989" max="9989" width="12.85546875" style="2131" customWidth="1"/>
    <col min="9990" max="9990" width="15.5703125" style="2131" customWidth="1"/>
    <col min="9991" max="9991" width="15.85546875" style="2131" customWidth="1"/>
    <col min="9992" max="9992" width="6.42578125" style="2131" customWidth="1"/>
    <col min="9993" max="9993" width="14.28515625" style="2131" bestFit="1" customWidth="1"/>
    <col min="9994" max="9994" width="9.140625" style="2131"/>
    <col min="9995" max="9996" width="16" style="2131" bestFit="1" customWidth="1"/>
    <col min="9997" max="10240" width="9.140625" style="2131"/>
    <col min="10241" max="10241" width="4.7109375" style="2131" customWidth="1"/>
    <col min="10242" max="10242" width="6.7109375" style="2131" customWidth="1"/>
    <col min="10243" max="10243" width="8.85546875" style="2131" customWidth="1"/>
    <col min="10244" max="10244" width="46.42578125" style="2131" customWidth="1"/>
    <col min="10245" max="10245" width="12.85546875" style="2131" customWidth="1"/>
    <col min="10246" max="10246" width="15.5703125" style="2131" customWidth="1"/>
    <col min="10247" max="10247" width="15.85546875" style="2131" customWidth="1"/>
    <col min="10248" max="10248" width="6.42578125" style="2131" customWidth="1"/>
    <col min="10249" max="10249" width="14.28515625" style="2131" bestFit="1" customWidth="1"/>
    <col min="10250" max="10250" width="9.140625" style="2131"/>
    <col min="10251" max="10252" width="16" style="2131" bestFit="1" customWidth="1"/>
    <col min="10253" max="10496" width="9.140625" style="2131"/>
    <col min="10497" max="10497" width="4.7109375" style="2131" customWidth="1"/>
    <col min="10498" max="10498" width="6.7109375" style="2131" customWidth="1"/>
    <col min="10499" max="10499" width="8.85546875" style="2131" customWidth="1"/>
    <col min="10500" max="10500" width="46.42578125" style="2131" customWidth="1"/>
    <col min="10501" max="10501" width="12.85546875" style="2131" customWidth="1"/>
    <col min="10502" max="10502" width="15.5703125" style="2131" customWidth="1"/>
    <col min="10503" max="10503" width="15.85546875" style="2131" customWidth="1"/>
    <col min="10504" max="10504" width="6.42578125" style="2131" customWidth="1"/>
    <col min="10505" max="10505" width="14.28515625" style="2131" bestFit="1" customWidth="1"/>
    <col min="10506" max="10506" width="9.140625" style="2131"/>
    <col min="10507" max="10508" width="16" style="2131" bestFit="1" customWidth="1"/>
    <col min="10509" max="10752" width="9.140625" style="2131"/>
    <col min="10753" max="10753" width="4.7109375" style="2131" customWidth="1"/>
    <col min="10754" max="10754" width="6.7109375" style="2131" customWidth="1"/>
    <col min="10755" max="10755" width="8.85546875" style="2131" customWidth="1"/>
    <col min="10756" max="10756" width="46.42578125" style="2131" customWidth="1"/>
    <col min="10757" max="10757" width="12.85546875" style="2131" customWidth="1"/>
    <col min="10758" max="10758" width="15.5703125" style="2131" customWidth="1"/>
    <col min="10759" max="10759" width="15.85546875" style="2131" customWidth="1"/>
    <col min="10760" max="10760" width="6.42578125" style="2131" customWidth="1"/>
    <col min="10761" max="10761" width="14.28515625" style="2131" bestFit="1" customWidth="1"/>
    <col min="10762" max="10762" width="9.140625" style="2131"/>
    <col min="10763" max="10764" width="16" style="2131" bestFit="1" customWidth="1"/>
    <col min="10765" max="11008" width="9.140625" style="2131"/>
    <col min="11009" max="11009" width="4.7109375" style="2131" customWidth="1"/>
    <col min="11010" max="11010" width="6.7109375" style="2131" customWidth="1"/>
    <col min="11011" max="11011" width="8.85546875" style="2131" customWidth="1"/>
    <col min="11012" max="11012" width="46.42578125" style="2131" customWidth="1"/>
    <col min="11013" max="11013" width="12.85546875" style="2131" customWidth="1"/>
    <col min="11014" max="11014" width="15.5703125" style="2131" customWidth="1"/>
    <col min="11015" max="11015" width="15.85546875" style="2131" customWidth="1"/>
    <col min="11016" max="11016" width="6.42578125" style="2131" customWidth="1"/>
    <col min="11017" max="11017" width="14.28515625" style="2131" bestFit="1" customWidth="1"/>
    <col min="11018" max="11018" width="9.140625" style="2131"/>
    <col min="11019" max="11020" width="16" style="2131" bestFit="1" customWidth="1"/>
    <col min="11021" max="11264" width="9.140625" style="2131"/>
    <col min="11265" max="11265" width="4.7109375" style="2131" customWidth="1"/>
    <col min="11266" max="11266" width="6.7109375" style="2131" customWidth="1"/>
    <col min="11267" max="11267" width="8.85546875" style="2131" customWidth="1"/>
    <col min="11268" max="11268" width="46.42578125" style="2131" customWidth="1"/>
    <col min="11269" max="11269" width="12.85546875" style="2131" customWidth="1"/>
    <col min="11270" max="11270" width="15.5703125" style="2131" customWidth="1"/>
    <col min="11271" max="11271" width="15.85546875" style="2131" customWidth="1"/>
    <col min="11272" max="11272" width="6.42578125" style="2131" customWidth="1"/>
    <col min="11273" max="11273" width="14.28515625" style="2131" bestFit="1" customWidth="1"/>
    <col min="11274" max="11274" width="9.140625" style="2131"/>
    <col min="11275" max="11276" width="16" style="2131" bestFit="1" customWidth="1"/>
    <col min="11277" max="11520" width="9.140625" style="2131"/>
    <col min="11521" max="11521" width="4.7109375" style="2131" customWidth="1"/>
    <col min="11522" max="11522" width="6.7109375" style="2131" customWidth="1"/>
    <col min="11523" max="11523" width="8.85546875" style="2131" customWidth="1"/>
    <col min="11524" max="11524" width="46.42578125" style="2131" customWidth="1"/>
    <col min="11525" max="11525" width="12.85546875" style="2131" customWidth="1"/>
    <col min="11526" max="11526" width="15.5703125" style="2131" customWidth="1"/>
    <col min="11527" max="11527" width="15.85546875" style="2131" customWidth="1"/>
    <col min="11528" max="11528" width="6.42578125" style="2131" customWidth="1"/>
    <col min="11529" max="11529" width="14.28515625" style="2131" bestFit="1" customWidth="1"/>
    <col min="11530" max="11530" width="9.140625" style="2131"/>
    <col min="11531" max="11532" width="16" style="2131" bestFit="1" customWidth="1"/>
    <col min="11533" max="11776" width="9.140625" style="2131"/>
    <col min="11777" max="11777" width="4.7109375" style="2131" customWidth="1"/>
    <col min="11778" max="11778" width="6.7109375" style="2131" customWidth="1"/>
    <col min="11779" max="11779" width="8.85546875" style="2131" customWidth="1"/>
    <col min="11780" max="11780" width="46.42578125" style="2131" customWidth="1"/>
    <col min="11781" max="11781" width="12.85546875" style="2131" customWidth="1"/>
    <col min="11782" max="11782" width="15.5703125" style="2131" customWidth="1"/>
    <col min="11783" max="11783" width="15.85546875" style="2131" customWidth="1"/>
    <col min="11784" max="11784" width="6.42578125" style="2131" customWidth="1"/>
    <col min="11785" max="11785" width="14.28515625" style="2131" bestFit="1" customWidth="1"/>
    <col min="11786" max="11786" width="9.140625" style="2131"/>
    <col min="11787" max="11788" width="16" style="2131" bestFit="1" customWidth="1"/>
    <col min="11789" max="12032" width="9.140625" style="2131"/>
    <col min="12033" max="12033" width="4.7109375" style="2131" customWidth="1"/>
    <col min="12034" max="12034" width="6.7109375" style="2131" customWidth="1"/>
    <col min="12035" max="12035" width="8.85546875" style="2131" customWidth="1"/>
    <col min="12036" max="12036" width="46.42578125" style="2131" customWidth="1"/>
    <col min="12037" max="12037" width="12.85546875" style="2131" customWidth="1"/>
    <col min="12038" max="12038" width="15.5703125" style="2131" customWidth="1"/>
    <col min="12039" max="12039" width="15.85546875" style="2131" customWidth="1"/>
    <col min="12040" max="12040" width="6.42578125" style="2131" customWidth="1"/>
    <col min="12041" max="12041" width="14.28515625" style="2131" bestFit="1" customWidth="1"/>
    <col min="12042" max="12042" width="9.140625" style="2131"/>
    <col min="12043" max="12044" width="16" style="2131" bestFit="1" customWidth="1"/>
    <col min="12045" max="12288" width="9.140625" style="2131"/>
    <col min="12289" max="12289" width="4.7109375" style="2131" customWidth="1"/>
    <col min="12290" max="12290" width="6.7109375" style="2131" customWidth="1"/>
    <col min="12291" max="12291" width="8.85546875" style="2131" customWidth="1"/>
    <col min="12292" max="12292" width="46.42578125" style="2131" customWidth="1"/>
    <col min="12293" max="12293" width="12.85546875" style="2131" customWidth="1"/>
    <col min="12294" max="12294" width="15.5703125" style="2131" customWidth="1"/>
    <col min="12295" max="12295" width="15.85546875" style="2131" customWidth="1"/>
    <col min="12296" max="12296" width="6.42578125" style="2131" customWidth="1"/>
    <col min="12297" max="12297" width="14.28515625" style="2131" bestFit="1" customWidth="1"/>
    <col min="12298" max="12298" width="9.140625" style="2131"/>
    <col min="12299" max="12300" width="16" style="2131" bestFit="1" customWidth="1"/>
    <col min="12301" max="12544" width="9.140625" style="2131"/>
    <col min="12545" max="12545" width="4.7109375" style="2131" customWidth="1"/>
    <col min="12546" max="12546" width="6.7109375" style="2131" customWidth="1"/>
    <col min="12547" max="12547" width="8.85546875" style="2131" customWidth="1"/>
    <col min="12548" max="12548" width="46.42578125" style="2131" customWidth="1"/>
    <col min="12549" max="12549" width="12.85546875" style="2131" customWidth="1"/>
    <col min="12550" max="12550" width="15.5703125" style="2131" customWidth="1"/>
    <col min="12551" max="12551" width="15.85546875" style="2131" customWidth="1"/>
    <col min="12552" max="12552" width="6.42578125" style="2131" customWidth="1"/>
    <col min="12553" max="12553" width="14.28515625" style="2131" bestFit="1" customWidth="1"/>
    <col min="12554" max="12554" width="9.140625" style="2131"/>
    <col min="12555" max="12556" width="16" style="2131" bestFit="1" customWidth="1"/>
    <col min="12557" max="12800" width="9.140625" style="2131"/>
    <col min="12801" max="12801" width="4.7109375" style="2131" customWidth="1"/>
    <col min="12802" max="12802" width="6.7109375" style="2131" customWidth="1"/>
    <col min="12803" max="12803" width="8.85546875" style="2131" customWidth="1"/>
    <col min="12804" max="12804" width="46.42578125" style="2131" customWidth="1"/>
    <col min="12805" max="12805" width="12.85546875" style="2131" customWidth="1"/>
    <col min="12806" max="12806" width="15.5703125" style="2131" customWidth="1"/>
    <col min="12807" max="12807" width="15.85546875" style="2131" customWidth="1"/>
    <col min="12808" max="12808" width="6.42578125" style="2131" customWidth="1"/>
    <col min="12809" max="12809" width="14.28515625" style="2131" bestFit="1" customWidth="1"/>
    <col min="12810" max="12810" width="9.140625" style="2131"/>
    <col min="12811" max="12812" width="16" style="2131" bestFit="1" customWidth="1"/>
    <col min="12813" max="13056" width="9.140625" style="2131"/>
    <col min="13057" max="13057" width="4.7109375" style="2131" customWidth="1"/>
    <col min="13058" max="13058" width="6.7109375" style="2131" customWidth="1"/>
    <col min="13059" max="13059" width="8.85546875" style="2131" customWidth="1"/>
    <col min="13060" max="13060" width="46.42578125" style="2131" customWidth="1"/>
    <col min="13061" max="13061" width="12.85546875" style="2131" customWidth="1"/>
    <col min="13062" max="13062" width="15.5703125" style="2131" customWidth="1"/>
    <col min="13063" max="13063" width="15.85546875" style="2131" customWidth="1"/>
    <col min="13064" max="13064" width="6.42578125" style="2131" customWidth="1"/>
    <col min="13065" max="13065" width="14.28515625" style="2131" bestFit="1" customWidth="1"/>
    <col min="13066" max="13066" width="9.140625" style="2131"/>
    <col min="13067" max="13068" width="16" style="2131" bestFit="1" customWidth="1"/>
    <col min="13069" max="13312" width="9.140625" style="2131"/>
    <col min="13313" max="13313" width="4.7109375" style="2131" customWidth="1"/>
    <col min="13314" max="13314" width="6.7109375" style="2131" customWidth="1"/>
    <col min="13315" max="13315" width="8.85546875" style="2131" customWidth="1"/>
    <col min="13316" max="13316" width="46.42578125" style="2131" customWidth="1"/>
    <col min="13317" max="13317" width="12.85546875" style="2131" customWidth="1"/>
    <col min="13318" max="13318" width="15.5703125" style="2131" customWidth="1"/>
    <col min="13319" max="13319" width="15.85546875" style="2131" customWidth="1"/>
    <col min="13320" max="13320" width="6.42578125" style="2131" customWidth="1"/>
    <col min="13321" max="13321" width="14.28515625" style="2131" bestFit="1" customWidth="1"/>
    <col min="13322" max="13322" width="9.140625" style="2131"/>
    <col min="13323" max="13324" width="16" style="2131" bestFit="1" customWidth="1"/>
    <col min="13325" max="13568" width="9.140625" style="2131"/>
    <col min="13569" max="13569" width="4.7109375" style="2131" customWidth="1"/>
    <col min="13570" max="13570" width="6.7109375" style="2131" customWidth="1"/>
    <col min="13571" max="13571" width="8.85546875" style="2131" customWidth="1"/>
    <col min="13572" max="13572" width="46.42578125" style="2131" customWidth="1"/>
    <col min="13573" max="13573" width="12.85546875" style="2131" customWidth="1"/>
    <col min="13574" max="13574" width="15.5703125" style="2131" customWidth="1"/>
    <col min="13575" max="13575" width="15.85546875" style="2131" customWidth="1"/>
    <col min="13576" max="13576" width="6.42578125" style="2131" customWidth="1"/>
    <col min="13577" max="13577" width="14.28515625" style="2131" bestFit="1" customWidth="1"/>
    <col min="13578" max="13578" width="9.140625" style="2131"/>
    <col min="13579" max="13580" width="16" style="2131" bestFit="1" customWidth="1"/>
    <col min="13581" max="13824" width="9.140625" style="2131"/>
    <col min="13825" max="13825" width="4.7109375" style="2131" customWidth="1"/>
    <col min="13826" max="13826" width="6.7109375" style="2131" customWidth="1"/>
    <col min="13827" max="13827" width="8.85546875" style="2131" customWidth="1"/>
    <col min="13828" max="13828" width="46.42578125" style="2131" customWidth="1"/>
    <col min="13829" max="13829" width="12.85546875" style="2131" customWidth="1"/>
    <col min="13830" max="13830" width="15.5703125" style="2131" customWidth="1"/>
    <col min="13831" max="13831" width="15.85546875" style="2131" customWidth="1"/>
    <col min="13832" max="13832" width="6.42578125" style="2131" customWidth="1"/>
    <col min="13833" max="13833" width="14.28515625" style="2131" bestFit="1" customWidth="1"/>
    <col min="13834" max="13834" width="9.140625" style="2131"/>
    <col min="13835" max="13836" width="16" style="2131" bestFit="1" customWidth="1"/>
    <col min="13837" max="14080" width="9.140625" style="2131"/>
    <col min="14081" max="14081" width="4.7109375" style="2131" customWidth="1"/>
    <col min="14082" max="14082" width="6.7109375" style="2131" customWidth="1"/>
    <col min="14083" max="14083" width="8.85546875" style="2131" customWidth="1"/>
    <col min="14084" max="14084" width="46.42578125" style="2131" customWidth="1"/>
    <col min="14085" max="14085" width="12.85546875" style="2131" customWidth="1"/>
    <col min="14086" max="14086" width="15.5703125" style="2131" customWidth="1"/>
    <col min="14087" max="14087" width="15.85546875" style="2131" customWidth="1"/>
    <col min="14088" max="14088" width="6.42578125" style="2131" customWidth="1"/>
    <col min="14089" max="14089" width="14.28515625" style="2131" bestFit="1" customWidth="1"/>
    <col min="14090" max="14090" width="9.140625" style="2131"/>
    <col min="14091" max="14092" width="16" style="2131" bestFit="1" customWidth="1"/>
    <col min="14093" max="14336" width="9.140625" style="2131"/>
    <col min="14337" max="14337" width="4.7109375" style="2131" customWidth="1"/>
    <col min="14338" max="14338" width="6.7109375" style="2131" customWidth="1"/>
    <col min="14339" max="14339" width="8.85546875" style="2131" customWidth="1"/>
    <col min="14340" max="14340" width="46.42578125" style="2131" customWidth="1"/>
    <col min="14341" max="14341" width="12.85546875" style="2131" customWidth="1"/>
    <col min="14342" max="14342" width="15.5703125" style="2131" customWidth="1"/>
    <col min="14343" max="14343" width="15.85546875" style="2131" customWidth="1"/>
    <col min="14344" max="14344" width="6.42578125" style="2131" customWidth="1"/>
    <col min="14345" max="14345" width="14.28515625" style="2131" bestFit="1" customWidth="1"/>
    <col min="14346" max="14346" width="9.140625" style="2131"/>
    <col min="14347" max="14348" width="16" style="2131" bestFit="1" customWidth="1"/>
    <col min="14349" max="14592" width="9.140625" style="2131"/>
    <col min="14593" max="14593" width="4.7109375" style="2131" customWidth="1"/>
    <col min="14594" max="14594" width="6.7109375" style="2131" customWidth="1"/>
    <col min="14595" max="14595" width="8.85546875" style="2131" customWidth="1"/>
    <col min="14596" max="14596" width="46.42578125" style="2131" customWidth="1"/>
    <col min="14597" max="14597" width="12.85546875" style="2131" customWidth="1"/>
    <col min="14598" max="14598" width="15.5703125" style="2131" customWidth="1"/>
    <col min="14599" max="14599" width="15.85546875" style="2131" customWidth="1"/>
    <col min="14600" max="14600" width="6.42578125" style="2131" customWidth="1"/>
    <col min="14601" max="14601" width="14.28515625" style="2131" bestFit="1" customWidth="1"/>
    <col min="14602" max="14602" width="9.140625" style="2131"/>
    <col min="14603" max="14604" width="16" style="2131" bestFit="1" customWidth="1"/>
    <col min="14605" max="14848" width="9.140625" style="2131"/>
    <col min="14849" max="14849" width="4.7109375" style="2131" customWidth="1"/>
    <col min="14850" max="14850" width="6.7109375" style="2131" customWidth="1"/>
    <col min="14851" max="14851" width="8.85546875" style="2131" customWidth="1"/>
    <col min="14852" max="14852" width="46.42578125" style="2131" customWidth="1"/>
    <col min="14853" max="14853" width="12.85546875" style="2131" customWidth="1"/>
    <col min="14854" max="14854" width="15.5703125" style="2131" customWidth="1"/>
    <col min="14855" max="14855" width="15.85546875" style="2131" customWidth="1"/>
    <col min="14856" max="14856" width="6.42578125" style="2131" customWidth="1"/>
    <col min="14857" max="14857" width="14.28515625" style="2131" bestFit="1" customWidth="1"/>
    <col min="14858" max="14858" width="9.140625" style="2131"/>
    <col min="14859" max="14860" width="16" style="2131" bestFit="1" customWidth="1"/>
    <col min="14861" max="15104" width="9.140625" style="2131"/>
    <col min="15105" max="15105" width="4.7109375" style="2131" customWidth="1"/>
    <col min="15106" max="15106" width="6.7109375" style="2131" customWidth="1"/>
    <col min="15107" max="15107" width="8.85546875" style="2131" customWidth="1"/>
    <col min="15108" max="15108" width="46.42578125" style="2131" customWidth="1"/>
    <col min="15109" max="15109" width="12.85546875" style="2131" customWidth="1"/>
    <col min="15110" max="15110" width="15.5703125" style="2131" customWidth="1"/>
    <col min="15111" max="15111" width="15.85546875" style="2131" customWidth="1"/>
    <col min="15112" max="15112" width="6.42578125" style="2131" customWidth="1"/>
    <col min="15113" max="15113" width="14.28515625" style="2131" bestFit="1" customWidth="1"/>
    <col min="15114" max="15114" width="9.140625" style="2131"/>
    <col min="15115" max="15116" width="16" style="2131" bestFit="1" customWidth="1"/>
    <col min="15117" max="15360" width="9.140625" style="2131"/>
    <col min="15361" max="15361" width="4.7109375" style="2131" customWidth="1"/>
    <col min="15362" max="15362" width="6.7109375" style="2131" customWidth="1"/>
    <col min="15363" max="15363" width="8.85546875" style="2131" customWidth="1"/>
    <col min="15364" max="15364" width="46.42578125" style="2131" customWidth="1"/>
    <col min="15365" max="15365" width="12.85546875" style="2131" customWidth="1"/>
    <col min="15366" max="15366" width="15.5703125" style="2131" customWidth="1"/>
    <col min="15367" max="15367" width="15.85546875" style="2131" customWidth="1"/>
    <col min="15368" max="15368" width="6.42578125" style="2131" customWidth="1"/>
    <col min="15369" max="15369" width="14.28515625" style="2131" bestFit="1" customWidth="1"/>
    <col min="15370" max="15370" width="9.140625" style="2131"/>
    <col min="15371" max="15372" width="16" style="2131" bestFit="1" customWidth="1"/>
    <col min="15373" max="15616" width="9.140625" style="2131"/>
    <col min="15617" max="15617" width="4.7109375" style="2131" customWidth="1"/>
    <col min="15618" max="15618" width="6.7109375" style="2131" customWidth="1"/>
    <col min="15619" max="15619" width="8.85546875" style="2131" customWidth="1"/>
    <col min="15620" max="15620" width="46.42578125" style="2131" customWidth="1"/>
    <col min="15621" max="15621" width="12.85546875" style="2131" customWidth="1"/>
    <col min="15622" max="15622" width="15.5703125" style="2131" customWidth="1"/>
    <col min="15623" max="15623" width="15.85546875" style="2131" customWidth="1"/>
    <col min="15624" max="15624" width="6.42578125" style="2131" customWidth="1"/>
    <col min="15625" max="15625" width="14.28515625" style="2131" bestFit="1" customWidth="1"/>
    <col min="15626" max="15626" width="9.140625" style="2131"/>
    <col min="15627" max="15628" width="16" style="2131" bestFit="1" customWidth="1"/>
    <col min="15629" max="15872" width="9.140625" style="2131"/>
    <col min="15873" max="15873" width="4.7109375" style="2131" customWidth="1"/>
    <col min="15874" max="15874" width="6.7109375" style="2131" customWidth="1"/>
    <col min="15875" max="15875" width="8.85546875" style="2131" customWidth="1"/>
    <col min="15876" max="15876" width="46.42578125" style="2131" customWidth="1"/>
    <col min="15877" max="15877" width="12.85546875" style="2131" customWidth="1"/>
    <col min="15878" max="15878" width="15.5703125" style="2131" customWidth="1"/>
    <col min="15879" max="15879" width="15.85546875" style="2131" customWidth="1"/>
    <col min="15880" max="15880" width="6.42578125" style="2131" customWidth="1"/>
    <col min="15881" max="15881" width="14.28515625" style="2131" bestFit="1" customWidth="1"/>
    <col min="15882" max="15882" width="9.140625" style="2131"/>
    <col min="15883" max="15884" width="16" style="2131" bestFit="1" customWidth="1"/>
    <col min="15885" max="16128" width="9.140625" style="2131"/>
    <col min="16129" max="16129" width="4.7109375" style="2131" customWidth="1"/>
    <col min="16130" max="16130" width="6.7109375" style="2131" customWidth="1"/>
    <col min="16131" max="16131" width="8.85546875" style="2131" customWidth="1"/>
    <col min="16132" max="16132" width="46.42578125" style="2131" customWidth="1"/>
    <col min="16133" max="16133" width="12.85546875" style="2131" customWidth="1"/>
    <col min="16134" max="16134" width="15.5703125" style="2131" customWidth="1"/>
    <col min="16135" max="16135" width="15.85546875" style="2131" customWidth="1"/>
    <col min="16136" max="16136" width="6.42578125" style="2131" customWidth="1"/>
    <col min="16137" max="16137" width="14.28515625" style="2131" bestFit="1" customWidth="1"/>
    <col min="16138" max="16138" width="9.140625" style="2131"/>
    <col min="16139" max="16140" width="16" style="2131" bestFit="1" customWidth="1"/>
    <col min="16141" max="16384" width="9.140625" style="2131"/>
  </cols>
  <sheetData>
    <row r="1" spans="1:8" ht="19.5" customHeight="1" thickBot="1" x14ac:dyDescent="0.3">
      <c r="A1" s="1944" t="s">
        <v>263</v>
      </c>
      <c r="B1" s="1943"/>
      <c r="C1" s="2126"/>
      <c r="D1" s="1941"/>
      <c r="E1" s="1940"/>
      <c r="F1" s="1941"/>
      <c r="G1" s="2250"/>
      <c r="H1" s="1944"/>
    </row>
    <row r="2" spans="1:8" ht="18" x14ac:dyDescent="0.25">
      <c r="A2" s="2135"/>
      <c r="B2" s="2168"/>
      <c r="C2" s="2168"/>
      <c r="D2" s="2168"/>
      <c r="E2" s="2168"/>
      <c r="F2" s="2168"/>
      <c r="G2" s="2168"/>
      <c r="H2" s="2222" t="s">
        <v>264</v>
      </c>
    </row>
    <row r="3" spans="1:8" ht="18" x14ac:dyDescent="0.25">
      <c r="A3" s="1939" t="s">
        <v>404</v>
      </c>
      <c r="B3" s="2168"/>
      <c r="C3" s="2129" t="s">
        <v>379</v>
      </c>
      <c r="D3" s="2168"/>
      <c r="E3" s="2168"/>
      <c r="F3" s="2168"/>
      <c r="G3" s="2168"/>
      <c r="H3" s="2222"/>
    </row>
    <row r="4" spans="1:8" ht="18" x14ac:dyDescent="0.25">
      <c r="A4" s="2135"/>
      <c r="B4" s="2168"/>
      <c r="C4" s="2129" t="s">
        <v>380</v>
      </c>
      <c r="D4" s="2168"/>
      <c r="E4" s="2168"/>
      <c r="F4" s="2168"/>
      <c r="G4" s="2168"/>
      <c r="H4" s="2222"/>
    </row>
    <row r="5" spans="1:8" ht="18" x14ac:dyDescent="0.25">
      <c r="A5" s="2134" t="s">
        <v>265</v>
      </c>
      <c r="B5" s="2168"/>
      <c r="C5" s="2168"/>
      <c r="D5" s="2168"/>
      <c r="E5" s="2168"/>
      <c r="F5" s="2168"/>
      <c r="G5" s="2168"/>
      <c r="H5" s="2222"/>
    </row>
    <row r="6" spans="1:8" ht="18" x14ac:dyDescent="0.25">
      <c r="A6" s="2134"/>
      <c r="B6" s="2168"/>
      <c r="C6" s="2168"/>
      <c r="D6" s="2168"/>
      <c r="E6" s="2168"/>
      <c r="F6" s="2168"/>
      <c r="G6" s="2168"/>
      <c r="H6" s="2222"/>
    </row>
    <row r="7" spans="1:8" ht="15.75" thickBot="1" x14ac:dyDescent="0.3">
      <c r="A7" s="2338" t="s">
        <v>852</v>
      </c>
      <c r="H7" s="2240" t="s">
        <v>179</v>
      </c>
    </row>
    <row r="8" spans="1:8" s="1849" customFormat="1" ht="25.5" thickTop="1" thickBot="1" x14ac:dyDescent="0.25">
      <c r="A8" s="2138" t="s">
        <v>180</v>
      </c>
      <c r="B8" s="2139" t="s">
        <v>847</v>
      </c>
      <c r="C8" s="2139" t="s">
        <v>414</v>
      </c>
      <c r="D8" s="2140" t="s">
        <v>182</v>
      </c>
      <c r="E8" s="2171" t="s">
        <v>700</v>
      </c>
      <c r="F8" s="2171" t="s">
        <v>701</v>
      </c>
      <c r="G8" s="2172" t="s">
        <v>986</v>
      </c>
      <c r="H8" s="2173" t="s">
        <v>987</v>
      </c>
    </row>
    <row r="9" spans="1:8" s="1849" customFormat="1" ht="13.5" thickTop="1" thickBot="1" x14ac:dyDescent="0.25">
      <c r="A9" s="1854">
        <v>1</v>
      </c>
      <c r="B9" s="1853">
        <v>2</v>
      </c>
      <c r="C9" s="1853">
        <v>3</v>
      </c>
      <c r="D9" s="1853">
        <v>4</v>
      </c>
      <c r="E9" s="1852">
        <v>5</v>
      </c>
      <c r="F9" s="1852">
        <v>6</v>
      </c>
      <c r="G9" s="2223">
        <v>7</v>
      </c>
      <c r="H9" s="2251" t="s">
        <v>61</v>
      </c>
    </row>
    <row r="10" spans="1:8" s="2259" customFormat="1" ht="45.75" thickTop="1" x14ac:dyDescent="0.2">
      <c r="A10" s="2246">
        <v>3299</v>
      </c>
      <c r="B10" s="2253">
        <v>5213</v>
      </c>
      <c r="C10" s="2254">
        <v>32133012</v>
      </c>
      <c r="D10" s="2174" t="s">
        <v>1162</v>
      </c>
      <c r="E10" s="2184">
        <v>0</v>
      </c>
      <c r="F10" s="2184">
        <v>3887</v>
      </c>
      <c r="G10" s="2184">
        <v>2842</v>
      </c>
      <c r="H10" s="2156">
        <f t="shared" ref="H10:H26" si="0">G10/F10*100</f>
        <v>73.115513249292519</v>
      </c>
    </row>
    <row r="11" spans="1:8" s="2259" customFormat="1" ht="45" x14ac:dyDescent="0.2">
      <c r="A11" s="2246">
        <v>3299</v>
      </c>
      <c r="B11" s="2253">
        <v>5213</v>
      </c>
      <c r="C11" s="2254">
        <v>32533012</v>
      </c>
      <c r="D11" s="2174" t="s">
        <v>1162</v>
      </c>
      <c r="E11" s="2184">
        <v>0</v>
      </c>
      <c r="F11" s="2184">
        <v>22025</v>
      </c>
      <c r="G11" s="2184">
        <v>16103</v>
      </c>
      <c r="H11" s="2156">
        <f t="shared" si="0"/>
        <v>73.112372304199766</v>
      </c>
    </row>
    <row r="12" spans="1:8" s="2259" customFormat="1" ht="15" customHeight="1" x14ac:dyDescent="0.2">
      <c r="A12" s="2246">
        <v>3299</v>
      </c>
      <c r="B12" s="2253">
        <v>5222</v>
      </c>
      <c r="C12" s="2254">
        <v>32133012</v>
      </c>
      <c r="D12" s="2174" t="s">
        <v>241</v>
      </c>
      <c r="E12" s="2184">
        <v>0</v>
      </c>
      <c r="F12" s="2184">
        <v>895</v>
      </c>
      <c r="G12" s="2184">
        <v>721</v>
      </c>
      <c r="H12" s="2156">
        <f t="shared" si="0"/>
        <v>80.558659217877093</v>
      </c>
    </row>
    <row r="13" spans="1:8" s="2259" customFormat="1" ht="15" customHeight="1" x14ac:dyDescent="0.2">
      <c r="A13" s="2246">
        <v>3299</v>
      </c>
      <c r="B13" s="2253">
        <v>5222</v>
      </c>
      <c r="C13" s="2254">
        <v>32533012</v>
      </c>
      <c r="D13" s="2174" t="s">
        <v>241</v>
      </c>
      <c r="E13" s="2184">
        <v>0</v>
      </c>
      <c r="F13" s="2184">
        <v>5069</v>
      </c>
      <c r="G13" s="2184">
        <v>4084</v>
      </c>
      <c r="H13" s="2156">
        <f t="shared" si="0"/>
        <v>80.568159400276187</v>
      </c>
    </row>
    <row r="14" spans="1:8" s="2259" customFormat="1" ht="30" customHeight="1" x14ac:dyDescent="0.2">
      <c r="A14" s="2246">
        <v>3299</v>
      </c>
      <c r="B14" s="2253">
        <v>5229</v>
      </c>
      <c r="C14" s="2254">
        <v>32133012</v>
      </c>
      <c r="D14" s="2174" t="s">
        <v>1090</v>
      </c>
      <c r="E14" s="2184">
        <v>0</v>
      </c>
      <c r="F14" s="2184">
        <v>766</v>
      </c>
      <c r="G14" s="2184">
        <v>659</v>
      </c>
      <c r="H14" s="2156">
        <f t="shared" si="0"/>
        <v>86.031331592689298</v>
      </c>
    </row>
    <row r="15" spans="1:8" s="2259" customFormat="1" ht="30" customHeight="1" x14ac:dyDescent="0.2">
      <c r="A15" s="2246">
        <v>3299</v>
      </c>
      <c r="B15" s="2253">
        <v>5229</v>
      </c>
      <c r="C15" s="2254">
        <v>32533012</v>
      </c>
      <c r="D15" s="2174" t="s">
        <v>1090</v>
      </c>
      <c r="E15" s="2184">
        <v>0</v>
      </c>
      <c r="F15" s="2184">
        <v>4342</v>
      </c>
      <c r="G15" s="2184">
        <v>3736</v>
      </c>
      <c r="H15" s="2156">
        <f t="shared" si="0"/>
        <v>86.043298019345926</v>
      </c>
    </row>
    <row r="16" spans="1:8" s="2259" customFormat="1" ht="15" x14ac:dyDescent="0.2">
      <c r="A16" s="2246">
        <v>3299</v>
      </c>
      <c r="B16" s="2253">
        <v>5901</v>
      </c>
      <c r="C16" s="2254">
        <v>32133012</v>
      </c>
      <c r="D16" s="2174" t="s">
        <v>670</v>
      </c>
      <c r="E16" s="2184">
        <v>0</v>
      </c>
      <c r="F16" s="2184">
        <v>1456</v>
      </c>
      <c r="G16" s="2184">
        <v>0</v>
      </c>
      <c r="H16" s="2156">
        <f t="shared" si="0"/>
        <v>0</v>
      </c>
    </row>
    <row r="17" spans="1:9" s="2259" customFormat="1" ht="15" x14ac:dyDescent="0.2">
      <c r="A17" s="2246">
        <v>3299</v>
      </c>
      <c r="B17" s="2253">
        <v>5901</v>
      </c>
      <c r="C17" s="2254">
        <v>32533012</v>
      </c>
      <c r="D17" s="2174" t="s">
        <v>670</v>
      </c>
      <c r="E17" s="2184">
        <v>0</v>
      </c>
      <c r="F17" s="2184">
        <v>8253</v>
      </c>
      <c r="G17" s="2184">
        <v>0</v>
      </c>
      <c r="H17" s="2156">
        <f t="shared" si="0"/>
        <v>0</v>
      </c>
    </row>
    <row r="18" spans="1:9" s="2259" customFormat="1" ht="45" x14ac:dyDescent="0.2">
      <c r="A18" s="2246">
        <v>3299</v>
      </c>
      <c r="B18" s="2253">
        <v>6313</v>
      </c>
      <c r="C18" s="2254">
        <v>32133887</v>
      </c>
      <c r="D18" s="2174" t="s">
        <v>1163</v>
      </c>
      <c r="E18" s="2184">
        <v>0</v>
      </c>
      <c r="F18" s="2184">
        <v>70</v>
      </c>
      <c r="G18" s="2184">
        <v>51</v>
      </c>
      <c r="H18" s="2156">
        <f t="shared" si="0"/>
        <v>72.857142857142847</v>
      </c>
    </row>
    <row r="19" spans="1:9" s="2259" customFormat="1" ht="45" x14ac:dyDescent="0.2">
      <c r="A19" s="2246">
        <v>3299</v>
      </c>
      <c r="B19" s="2253">
        <v>6313</v>
      </c>
      <c r="C19" s="2254">
        <v>32533887</v>
      </c>
      <c r="D19" s="2174" t="s">
        <v>1163</v>
      </c>
      <c r="E19" s="2184">
        <v>0</v>
      </c>
      <c r="F19" s="2184">
        <v>395</v>
      </c>
      <c r="G19" s="2184">
        <v>288</v>
      </c>
      <c r="H19" s="2156">
        <f t="shared" si="0"/>
        <v>72.911392405063296</v>
      </c>
    </row>
    <row r="20" spans="1:9" s="2185" customFormat="1" ht="15" hidden="1" x14ac:dyDescent="0.2">
      <c r="A20" s="2246">
        <v>3299</v>
      </c>
      <c r="B20" s="2257">
        <v>6322</v>
      </c>
      <c r="C20" s="2254">
        <v>32133887</v>
      </c>
      <c r="D20" s="2174" t="s">
        <v>1290</v>
      </c>
      <c r="E20" s="2184">
        <v>0</v>
      </c>
      <c r="F20" s="2184">
        <v>0</v>
      </c>
      <c r="G20" s="2184">
        <v>0</v>
      </c>
      <c r="H20" s="2156" t="e">
        <f t="shared" si="0"/>
        <v>#DIV/0!</v>
      </c>
    </row>
    <row r="21" spans="1:9" s="2185" customFormat="1" ht="15" hidden="1" x14ac:dyDescent="0.2">
      <c r="A21" s="2246">
        <v>3299</v>
      </c>
      <c r="B21" s="2257">
        <v>6322</v>
      </c>
      <c r="C21" s="2254">
        <v>32533887</v>
      </c>
      <c r="D21" s="2174" t="s">
        <v>1290</v>
      </c>
      <c r="E21" s="2184">
        <v>0</v>
      </c>
      <c r="F21" s="2184">
        <v>0</v>
      </c>
      <c r="G21" s="2184">
        <v>0</v>
      </c>
      <c r="H21" s="2156" t="e">
        <f t="shared" si="0"/>
        <v>#DIV/0!</v>
      </c>
    </row>
    <row r="22" spans="1:9" ht="30" hidden="1" customHeight="1" x14ac:dyDescent="0.2">
      <c r="A22" s="2246">
        <v>3299</v>
      </c>
      <c r="B22" s="2257">
        <v>6329</v>
      </c>
      <c r="C22" s="2254">
        <v>32133887</v>
      </c>
      <c r="D22" s="2174" t="s">
        <v>1098</v>
      </c>
      <c r="E22" s="2184">
        <v>0</v>
      </c>
      <c r="F22" s="2184">
        <v>0</v>
      </c>
      <c r="G22" s="2184">
        <v>0</v>
      </c>
      <c r="H22" s="2156" t="e">
        <f t="shared" si="0"/>
        <v>#DIV/0!</v>
      </c>
    </row>
    <row r="23" spans="1:9" ht="30" hidden="1" customHeight="1" x14ac:dyDescent="0.2">
      <c r="A23" s="2246">
        <v>3299</v>
      </c>
      <c r="B23" s="2257">
        <v>6329</v>
      </c>
      <c r="C23" s="2254">
        <v>32533887</v>
      </c>
      <c r="D23" s="2174" t="s">
        <v>1098</v>
      </c>
      <c r="E23" s="2184">
        <v>0</v>
      </c>
      <c r="F23" s="2184">
        <v>0</v>
      </c>
      <c r="G23" s="2184">
        <v>0</v>
      </c>
      <c r="H23" s="2156" t="e">
        <f t="shared" si="0"/>
        <v>#DIV/0!</v>
      </c>
    </row>
    <row r="24" spans="1:9" ht="15" customHeight="1" x14ac:dyDescent="0.2">
      <c r="A24" s="2246">
        <v>3299</v>
      </c>
      <c r="B24" s="2253">
        <v>6901</v>
      </c>
      <c r="C24" s="2254">
        <v>32133887</v>
      </c>
      <c r="D24" s="2174" t="s">
        <v>468</v>
      </c>
      <c r="E24" s="2184">
        <v>0</v>
      </c>
      <c r="F24" s="2184">
        <v>10</v>
      </c>
      <c r="G24" s="2184">
        <v>0</v>
      </c>
      <c r="H24" s="2156">
        <f t="shared" si="0"/>
        <v>0</v>
      </c>
    </row>
    <row r="25" spans="1:9" ht="15" customHeight="1" x14ac:dyDescent="0.2">
      <c r="A25" s="2246">
        <v>3299</v>
      </c>
      <c r="B25" s="2253">
        <v>6901</v>
      </c>
      <c r="C25" s="2254">
        <v>32533887</v>
      </c>
      <c r="D25" s="2174" t="s">
        <v>468</v>
      </c>
      <c r="E25" s="2184">
        <v>0</v>
      </c>
      <c r="F25" s="2184">
        <v>56</v>
      </c>
      <c r="G25" s="2184">
        <v>0</v>
      </c>
      <c r="H25" s="2156">
        <f t="shared" si="0"/>
        <v>0</v>
      </c>
    </row>
    <row r="26" spans="1:9" ht="15" customHeight="1" thickBot="1" x14ac:dyDescent="0.25">
      <c r="A26" s="2246">
        <v>6402</v>
      </c>
      <c r="B26" s="2253">
        <v>5363</v>
      </c>
      <c r="C26" s="2254">
        <v>19</v>
      </c>
      <c r="D26" s="2174" t="s">
        <v>615</v>
      </c>
      <c r="E26" s="2184">
        <v>0</v>
      </c>
      <c r="F26" s="2184">
        <v>1</v>
      </c>
      <c r="G26" s="2184">
        <v>1</v>
      </c>
      <c r="H26" s="2156">
        <f t="shared" si="0"/>
        <v>100</v>
      </c>
    </row>
    <row r="27" spans="1:9" s="2185" customFormat="1" ht="30.75" hidden="1" thickBot="1" x14ac:dyDescent="0.25">
      <c r="A27" s="2246">
        <v>6409</v>
      </c>
      <c r="B27" s="2253">
        <v>5909</v>
      </c>
      <c r="C27" s="2254"/>
      <c r="D27" s="2174" t="s">
        <v>611</v>
      </c>
      <c r="E27" s="2184">
        <v>0</v>
      </c>
      <c r="F27" s="2184">
        <v>0</v>
      </c>
      <c r="G27" s="2184">
        <v>0</v>
      </c>
      <c r="H27" s="2163">
        <v>0</v>
      </c>
    </row>
    <row r="28" spans="1:9" s="2164" customFormat="1" ht="16.5" thickTop="1" thickBot="1" x14ac:dyDescent="0.3">
      <c r="A28" s="2806" t="s">
        <v>849</v>
      </c>
      <c r="B28" s="2807"/>
      <c r="C28" s="2807"/>
      <c r="D28" s="2807"/>
      <c r="E28" s="2152">
        <f>SUM(E10:E27)</f>
        <v>0</v>
      </c>
      <c r="F28" s="2152">
        <f>SUM(F10:F27)</f>
        <v>47225</v>
      </c>
      <c r="G28" s="2152">
        <f>SUM(G10:G27)</f>
        <v>28485</v>
      </c>
      <c r="H28" s="2157">
        <f>G28/F28*100</f>
        <v>60.31762837480148</v>
      </c>
      <c r="I28" s="2262"/>
    </row>
    <row r="29" spans="1:9" ht="13.5" thickTop="1" x14ac:dyDescent="0.2">
      <c r="I29" s="2165"/>
    </row>
    <row r="30" spans="1:9" ht="15" x14ac:dyDescent="0.25">
      <c r="A30" s="2332" t="s">
        <v>528</v>
      </c>
      <c r="B30" s="2198"/>
      <c r="C30" s="2198"/>
      <c r="D30" s="2198"/>
    </row>
    <row r="31" spans="1:9" ht="15.75" thickBot="1" x14ac:dyDescent="0.3">
      <c r="A31" s="2333" t="s">
        <v>1164</v>
      </c>
      <c r="B31" s="2335"/>
      <c r="C31" s="2335"/>
      <c r="H31" s="2240" t="s">
        <v>179</v>
      </c>
    </row>
    <row r="32" spans="1:9" s="1849" customFormat="1" ht="25.5" thickTop="1" thickBot="1" x14ac:dyDescent="0.25">
      <c r="A32" s="2138" t="s">
        <v>180</v>
      </c>
      <c r="B32" s="2139" t="s">
        <v>847</v>
      </c>
      <c r="C32" s="2139" t="s">
        <v>414</v>
      </c>
      <c r="D32" s="2140" t="s">
        <v>182</v>
      </c>
      <c r="E32" s="2171" t="s">
        <v>700</v>
      </c>
      <c r="F32" s="2171" t="s">
        <v>701</v>
      </c>
      <c r="G32" s="2172" t="s">
        <v>986</v>
      </c>
      <c r="H32" s="2173" t="s">
        <v>987</v>
      </c>
    </row>
    <row r="33" spans="1:10" s="1849" customFormat="1" ht="13.5" thickTop="1" thickBot="1" x14ac:dyDescent="0.25">
      <c r="A33" s="1854">
        <v>1</v>
      </c>
      <c r="B33" s="1853">
        <v>2</v>
      </c>
      <c r="C33" s="1853">
        <v>3</v>
      </c>
      <c r="D33" s="1853">
        <v>4</v>
      </c>
      <c r="E33" s="1852">
        <v>5</v>
      </c>
      <c r="F33" s="1852">
        <v>6</v>
      </c>
      <c r="G33" s="2223">
        <v>7</v>
      </c>
      <c r="H33" s="2251" t="s">
        <v>61</v>
      </c>
    </row>
    <row r="34" spans="1:10" ht="30.75" thickTop="1" x14ac:dyDescent="0.2">
      <c r="A34" s="2246">
        <v>3299</v>
      </c>
      <c r="B34" s="2253">
        <v>5336</v>
      </c>
      <c r="C34" s="2258">
        <v>32133012</v>
      </c>
      <c r="D34" s="2174" t="s">
        <v>1419</v>
      </c>
      <c r="E34" s="2184">
        <v>0</v>
      </c>
      <c r="F34" s="2184">
        <v>354</v>
      </c>
      <c r="G34" s="2184">
        <v>138</v>
      </c>
      <c r="H34" s="2156">
        <f>G34/F34*100</f>
        <v>38.983050847457626</v>
      </c>
      <c r="J34" s="2260"/>
    </row>
    <row r="35" spans="1:10" ht="30" hidden="1" x14ac:dyDescent="0.2">
      <c r="A35" s="2246">
        <v>2212</v>
      </c>
      <c r="B35" s="2253">
        <v>5336</v>
      </c>
      <c r="C35" s="2258">
        <v>41100882</v>
      </c>
      <c r="D35" s="2174" t="s">
        <v>1419</v>
      </c>
      <c r="E35" s="2184">
        <v>0</v>
      </c>
      <c r="F35" s="2184">
        <v>0</v>
      </c>
      <c r="G35" s="2184">
        <v>0</v>
      </c>
      <c r="H35" s="2156" t="e">
        <f>G35/F35*100</f>
        <v>#DIV/0!</v>
      </c>
      <c r="J35" s="2260"/>
    </row>
    <row r="36" spans="1:10" ht="30.75" thickBot="1" x14ac:dyDescent="0.25">
      <c r="A36" s="2246">
        <v>3299</v>
      </c>
      <c r="B36" s="2253">
        <v>5336</v>
      </c>
      <c r="C36" s="2258">
        <v>32533012</v>
      </c>
      <c r="D36" s="2174" t="s">
        <v>1419</v>
      </c>
      <c r="E36" s="2184">
        <v>0</v>
      </c>
      <c r="F36" s="2184">
        <v>2006</v>
      </c>
      <c r="G36" s="2184">
        <v>780</v>
      </c>
      <c r="H36" s="2163">
        <f>G36/F36*100</f>
        <v>38.883349950149551</v>
      </c>
      <c r="J36" s="2260"/>
    </row>
    <row r="37" spans="1:10" s="2164" customFormat="1" ht="16.5" thickTop="1" thickBot="1" x14ac:dyDescent="0.3">
      <c r="A37" s="2806" t="s">
        <v>849</v>
      </c>
      <c r="B37" s="2807"/>
      <c r="C37" s="2807"/>
      <c r="D37" s="2807"/>
      <c r="E37" s="2152">
        <f>SUM(E34:E36)</f>
        <v>0</v>
      </c>
      <c r="F37" s="2152">
        <f>SUM(F34:F36)</f>
        <v>2360</v>
      </c>
      <c r="G37" s="2152">
        <f>SUM(G34:G36)</f>
        <v>918</v>
      </c>
      <c r="H37" s="2163">
        <f>G37/F37*100</f>
        <v>38.898305084745758</v>
      </c>
      <c r="I37" s="2262"/>
    </row>
    <row r="38" spans="1:10" ht="13.5" thickTop="1" x14ac:dyDescent="0.2">
      <c r="I38" s="2165"/>
    </row>
    <row r="39" spans="1:10" ht="15" x14ac:dyDescent="0.25">
      <c r="A39" s="2332" t="s">
        <v>1944</v>
      </c>
      <c r="B39" s="2198"/>
      <c r="C39" s="2198"/>
      <c r="D39" s="2198"/>
    </row>
    <row r="40" spans="1:10" ht="15.75" thickBot="1" x14ac:dyDescent="0.3">
      <c r="A40" s="2333" t="s">
        <v>1114</v>
      </c>
      <c r="B40" s="2335"/>
      <c r="C40" s="2335"/>
      <c r="H40" s="2240" t="s">
        <v>179</v>
      </c>
    </row>
    <row r="41" spans="1:10" s="1849" customFormat="1" ht="25.5" thickTop="1" thickBot="1" x14ac:dyDescent="0.25">
      <c r="A41" s="2138" t="s">
        <v>180</v>
      </c>
      <c r="B41" s="2139" t="s">
        <v>847</v>
      </c>
      <c r="C41" s="2139" t="s">
        <v>414</v>
      </c>
      <c r="D41" s="2140" t="s">
        <v>182</v>
      </c>
      <c r="E41" s="2171" t="s">
        <v>700</v>
      </c>
      <c r="F41" s="2171" t="s">
        <v>701</v>
      </c>
      <c r="G41" s="2172" t="s">
        <v>986</v>
      </c>
      <c r="H41" s="2173" t="s">
        <v>987</v>
      </c>
    </row>
    <row r="42" spans="1:10" s="1849" customFormat="1" ht="13.5" thickTop="1" thickBot="1" x14ac:dyDescent="0.25">
      <c r="A42" s="1854">
        <v>1</v>
      </c>
      <c r="B42" s="1853">
        <v>2</v>
      </c>
      <c r="C42" s="1853">
        <v>3</v>
      </c>
      <c r="D42" s="1853">
        <v>4</v>
      </c>
      <c r="E42" s="1852">
        <v>5</v>
      </c>
      <c r="F42" s="1852">
        <v>6</v>
      </c>
      <c r="G42" s="2223">
        <v>7</v>
      </c>
      <c r="H42" s="2251" t="s">
        <v>61</v>
      </c>
    </row>
    <row r="43" spans="1:10" ht="30.75" thickTop="1" x14ac:dyDescent="0.2">
      <c r="A43" s="2246">
        <v>3299</v>
      </c>
      <c r="B43" s="2272">
        <v>5336</v>
      </c>
      <c r="C43" s="2258">
        <v>32133012</v>
      </c>
      <c r="D43" s="2174" t="s">
        <v>1419</v>
      </c>
      <c r="E43" s="2184">
        <v>0</v>
      </c>
      <c r="F43" s="2184">
        <v>191</v>
      </c>
      <c r="G43" s="2184">
        <v>101</v>
      </c>
      <c r="H43" s="2156">
        <f>G43/F43*100</f>
        <v>52.879581151832454</v>
      </c>
      <c r="J43" s="2260"/>
    </row>
    <row r="44" spans="1:10" ht="30" x14ac:dyDescent="0.2">
      <c r="A44" s="2246">
        <v>3299</v>
      </c>
      <c r="B44" s="2272">
        <v>5336</v>
      </c>
      <c r="C44" s="2258">
        <v>32533012</v>
      </c>
      <c r="D44" s="2174" t="s">
        <v>1419</v>
      </c>
      <c r="E44" s="2184">
        <v>0</v>
      </c>
      <c r="F44" s="2184">
        <v>1083</v>
      </c>
      <c r="G44" s="2184">
        <v>573</v>
      </c>
      <c r="H44" s="2156">
        <f>G44/F44*100</f>
        <v>52.908587257617732</v>
      </c>
      <c r="J44" s="2260"/>
    </row>
    <row r="45" spans="1:10" ht="30" x14ac:dyDescent="0.2">
      <c r="A45" s="2246">
        <v>3299</v>
      </c>
      <c r="B45" s="2253">
        <v>6351</v>
      </c>
      <c r="C45" s="2258">
        <v>32133887</v>
      </c>
      <c r="D45" s="2174" t="s">
        <v>1433</v>
      </c>
      <c r="E45" s="2184">
        <v>0</v>
      </c>
      <c r="F45" s="2184">
        <v>15</v>
      </c>
      <c r="G45" s="2184">
        <v>0</v>
      </c>
      <c r="H45" s="2156">
        <f>G45/F45*100</f>
        <v>0</v>
      </c>
      <c r="J45" s="2260"/>
    </row>
    <row r="46" spans="1:10" ht="30.75" thickBot="1" x14ac:dyDescent="0.25">
      <c r="A46" s="2246">
        <v>3299</v>
      </c>
      <c r="B46" s="2253">
        <v>6351</v>
      </c>
      <c r="C46" s="2258">
        <v>32533887</v>
      </c>
      <c r="D46" s="2174" t="s">
        <v>1433</v>
      </c>
      <c r="E46" s="2184">
        <v>0</v>
      </c>
      <c r="F46" s="2184">
        <v>85</v>
      </c>
      <c r="G46" s="2184">
        <v>0</v>
      </c>
      <c r="H46" s="2163">
        <f>G46/F46*100</f>
        <v>0</v>
      </c>
      <c r="J46" s="2260"/>
    </row>
    <row r="47" spans="1:10" s="2164" customFormat="1" ht="16.5" thickTop="1" thickBot="1" x14ac:dyDescent="0.3">
      <c r="A47" s="2806" t="s">
        <v>849</v>
      </c>
      <c r="B47" s="2807"/>
      <c r="C47" s="2807"/>
      <c r="D47" s="2807"/>
      <c r="E47" s="2152">
        <f>SUM(E43:E46)</f>
        <v>0</v>
      </c>
      <c r="F47" s="2152">
        <f>SUM(F43:F46)</f>
        <v>1374</v>
      </c>
      <c r="G47" s="2152">
        <f>SUM(G43:G46)</f>
        <v>674</v>
      </c>
      <c r="H47" s="2163">
        <f>G47/F47*100</f>
        <v>49.053857350800584</v>
      </c>
      <c r="I47" s="2262"/>
    </row>
    <row r="48" spans="1:10" ht="13.5" thickTop="1" x14ac:dyDescent="0.2">
      <c r="I48" s="2165"/>
    </row>
    <row r="49" spans="1:10" ht="15" x14ac:dyDescent="0.25">
      <c r="A49" s="2332" t="s">
        <v>1356</v>
      </c>
      <c r="B49" s="2198"/>
      <c r="C49" s="2198"/>
      <c r="D49" s="2198"/>
    </row>
    <row r="50" spans="1:10" ht="15.75" thickBot="1" x14ac:dyDescent="0.3">
      <c r="A50" s="2333" t="s">
        <v>208</v>
      </c>
      <c r="B50" s="2335"/>
      <c r="C50" s="2335"/>
      <c r="H50" s="2240" t="s">
        <v>179</v>
      </c>
    </row>
    <row r="51" spans="1:10" s="1849" customFormat="1" ht="25.5" thickTop="1" thickBot="1" x14ac:dyDescent="0.25">
      <c r="A51" s="2138" t="s">
        <v>180</v>
      </c>
      <c r="B51" s="2139" t="s">
        <v>847</v>
      </c>
      <c r="C51" s="2139" t="s">
        <v>414</v>
      </c>
      <c r="D51" s="2140" t="s">
        <v>182</v>
      </c>
      <c r="E51" s="2171" t="s">
        <v>700</v>
      </c>
      <c r="F51" s="2171" t="s">
        <v>701</v>
      </c>
      <c r="G51" s="2172" t="s">
        <v>986</v>
      </c>
      <c r="H51" s="2173" t="s">
        <v>987</v>
      </c>
    </row>
    <row r="52" spans="1:10" s="1849" customFormat="1" ht="13.5" thickTop="1" thickBot="1" x14ac:dyDescent="0.25">
      <c r="A52" s="1854">
        <v>1</v>
      </c>
      <c r="B52" s="1853">
        <v>2</v>
      </c>
      <c r="C52" s="1853">
        <v>3</v>
      </c>
      <c r="D52" s="1853">
        <v>4</v>
      </c>
      <c r="E52" s="1852">
        <v>5</v>
      </c>
      <c r="F52" s="1852">
        <v>6</v>
      </c>
      <c r="G52" s="2223">
        <v>7</v>
      </c>
      <c r="H52" s="2251" t="s">
        <v>61</v>
      </c>
    </row>
    <row r="53" spans="1:10" ht="30.75" thickTop="1" x14ac:dyDescent="0.2">
      <c r="A53" s="2246">
        <v>3299</v>
      </c>
      <c r="B53" s="2272">
        <v>5336</v>
      </c>
      <c r="C53" s="2258">
        <v>32133012</v>
      </c>
      <c r="D53" s="2174" t="s">
        <v>1419</v>
      </c>
      <c r="E53" s="2184">
        <v>0</v>
      </c>
      <c r="F53" s="2184">
        <v>122</v>
      </c>
      <c r="G53" s="2184">
        <v>86</v>
      </c>
      <c r="H53" s="2156">
        <f>G53/F53*100</f>
        <v>70.491803278688522</v>
      </c>
      <c r="J53" s="2260"/>
    </row>
    <row r="54" spans="1:10" ht="30" x14ac:dyDescent="0.2">
      <c r="A54" s="2246">
        <v>3299</v>
      </c>
      <c r="B54" s="2272">
        <v>5336</v>
      </c>
      <c r="C54" s="2258">
        <v>32533012</v>
      </c>
      <c r="D54" s="2174" t="s">
        <v>1419</v>
      </c>
      <c r="E54" s="2184">
        <v>0</v>
      </c>
      <c r="F54" s="2184">
        <v>691</v>
      </c>
      <c r="G54" s="2184">
        <v>487</v>
      </c>
      <c r="H54" s="2156">
        <f>G54/F54*100</f>
        <v>70.477568740955135</v>
      </c>
      <c r="J54" s="2260"/>
    </row>
    <row r="55" spans="1:10" ht="30" x14ac:dyDescent="0.2">
      <c r="A55" s="2246">
        <v>3299</v>
      </c>
      <c r="B55" s="2253">
        <v>6351</v>
      </c>
      <c r="C55" s="2258">
        <v>32133887</v>
      </c>
      <c r="D55" s="2174" t="s">
        <v>1433</v>
      </c>
      <c r="E55" s="2184">
        <v>0</v>
      </c>
      <c r="F55" s="2184">
        <v>21</v>
      </c>
      <c r="G55" s="2184">
        <v>21</v>
      </c>
      <c r="H55" s="2156">
        <f>G55/F55*100</f>
        <v>100</v>
      </c>
      <c r="J55" s="2260"/>
    </row>
    <row r="56" spans="1:10" ht="30.75" thickBot="1" x14ac:dyDescent="0.25">
      <c r="A56" s="2246">
        <v>3299</v>
      </c>
      <c r="B56" s="2253">
        <v>6351</v>
      </c>
      <c r="C56" s="2258">
        <v>32533887</v>
      </c>
      <c r="D56" s="2174" t="s">
        <v>1433</v>
      </c>
      <c r="E56" s="2184">
        <v>0</v>
      </c>
      <c r="F56" s="2184">
        <v>119</v>
      </c>
      <c r="G56" s="2184">
        <v>119</v>
      </c>
      <c r="H56" s="2163">
        <f>G56/F56*100</f>
        <v>100</v>
      </c>
      <c r="J56" s="2260"/>
    </row>
    <row r="57" spans="1:10" s="2164" customFormat="1" ht="16.5" thickTop="1" thickBot="1" x14ac:dyDescent="0.3">
      <c r="A57" s="2806" t="s">
        <v>849</v>
      </c>
      <c r="B57" s="2807"/>
      <c r="C57" s="2807"/>
      <c r="D57" s="2807"/>
      <c r="E57" s="2152">
        <f>SUM(E53:E56)</f>
        <v>0</v>
      </c>
      <c r="F57" s="2152">
        <f>SUM(F53:F56)</f>
        <v>953</v>
      </c>
      <c r="G57" s="2152">
        <f>SUM(G53:G56)</f>
        <v>713</v>
      </c>
      <c r="H57" s="2163">
        <f>G57/F57*100</f>
        <v>74.816369359916052</v>
      </c>
      <c r="I57" s="2262"/>
    </row>
    <row r="58" spans="1:10" ht="13.5" thickTop="1" x14ac:dyDescent="0.2">
      <c r="I58" s="2165"/>
    </row>
    <row r="59" spans="1:10" ht="15" x14ac:dyDescent="0.25">
      <c r="A59" s="2332" t="s">
        <v>349</v>
      </c>
      <c r="B59" s="2198"/>
      <c r="C59" s="2198"/>
      <c r="D59" s="2198"/>
    </row>
    <row r="60" spans="1:10" ht="15.75" thickBot="1" x14ac:dyDescent="0.3">
      <c r="A60" s="2333" t="s">
        <v>629</v>
      </c>
      <c r="B60" s="2335"/>
      <c r="C60" s="2335"/>
      <c r="H60" s="2240" t="s">
        <v>179</v>
      </c>
    </row>
    <row r="61" spans="1:10" s="1849" customFormat="1" ht="25.5" thickTop="1" thickBot="1" x14ac:dyDescent="0.25">
      <c r="A61" s="2138" t="s">
        <v>180</v>
      </c>
      <c r="B61" s="2139" t="s">
        <v>847</v>
      </c>
      <c r="C61" s="2139" t="s">
        <v>414</v>
      </c>
      <c r="D61" s="2140" t="s">
        <v>182</v>
      </c>
      <c r="E61" s="2171" t="s">
        <v>700</v>
      </c>
      <c r="F61" s="2171" t="s">
        <v>701</v>
      </c>
      <c r="G61" s="2172" t="s">
        <v>986</v>
      </c>
      <c r="H61" s="2173" t="s">
        <v>987</v>
      </c>
    </row>
    <row r="62" spans="1:10" s="1849" customFormat="1" ht="13.5" thickTop="1" thickBot="1" x14ac:dyDescent="0.25">
      <c r="A62" s="1854">
        <v>1</v>
      </c>
      <c r="B62" s="1853">
        <v>2</v>
      </c>
      <c r="C62" s="1853">
        <v>3</v>
      </c>
      <c r="D62" s="1853">
        <v>4</v>
      </c>
      <c r="E62" s="1852">
        <v>5</v>
      </c>
      <c r="F62" s="1852">
        <v>6</v>
      </c>
      <c r="G62" s="2223">
        <v>7</v>
      </c>
      <c r="H62" s="2251" t="s">
        <v>61</v>
      </c>
    </row>
    <row r="63" spans="1:10" ht="30.75" thickTop="1" x14ac:dyDescent="0.2">
      <c r="A63" s="2246">
        <v>3299</v>
      </c>
      <c r="B63" s="2272">
        <v>5336</v>
      </c>
      <c r="C63" s="2258">
        <v>32133012</v>
      </c>
      <c r="D63" s="2174" t="s">
        <v>1419</v>
      </c>
      <c r="E63" s="2184">
        <v>0</v>
      </c>
      <c r="F63" s="2184">
        <v>175</v>
      </c>
      <c r="G63" s="2184">
        <v>155</v>
      </c>
      <c r="H63" s="2156">
        <f>G63/F63*100</f>
        <v>88.571428571428569</v>
      </c>
      <c r="J63" s="2260"/>
    </row>
    <row r="64" spans="1:10" ht="30.75" thickBot="1" x14ac:dyDescent="0.25">
      <c r="A64" s="2246">
        <v>3299</v>
      </c>
      <c r="B64" s="2272">
        <v>5336</v>
      </c>
      <c r="C64" s="2258">
        <v>32533012</v>
      </c>
      <c r="D64" s="2174" t="s">
        <v>1419</v>
      </c>
      <c r="E64" s="2184">
        <v>0</v>
      </c>
      <c r="F64" s="2184">
        <v>993</v>
      </c>
      <c r="G64" s="2184">
        <v>878</v>
      </c>
      <c r="H64" s="2163">
        <f>G64/F64*100</f>
        <v>88.418932527693855</v>
      </c>
      <c r="J64" s="2260"/>
    </row>
    <row r="65" spans="1:10" ht="31.5" hidden="1" thickTop="1" thickBot="1" x14ac:dyDescent="0.25">
      <c r="A65" s="2246">
        <v>3299</v>
      </c>
      <c r="B65" s="2253">
        <v>6351</v>
      </c>
      <c r="C65" s="2258">
        <v>32133887</v>
      </c>
      <c r="D65" s="2174" t="s">
        <v>1433</v>
      </c>
      <c r="E65" s="2184">
        <v>0</v>
      </c>
      <c r="F65" s="2184">
        <v>0</v>
      </c>
      <c r="G65" s="2184">
        <v>0</v>
      </c>
      <c r="H65" s="2156" t="e">
        <f>G65/F65*100</f>
        <v>#DIV/0!</v>
      </c>
      <c r="J65" s="2260"/>
    </row>
    <row r="66" spans="1:10" ht="31.5" hidden="1" thickTop="1" thickBot="1" x14ac:dyDescent="0.25">
      <c r="A66" s="2246">
        <v>3299</v>
      </c>
      <c r="B66" s="2253">
        <v>6351</v>
      </c>
      <c r="C66" s="2258">
        <v>32533887</v>
      </c>
      <c r="D66" s="2174" t="s">
        <v>1433</v>
      </c>
      <c r="E66" s="2184">
        <v>0</v>
      </c>
      <c r="F66" s="2184">
        <v>0</v>
      </c>
      <c r="G66" s="2184">
        <v>0</v>
      </c>
      <c r="H66" s="2163" t="e">
        <f>G66/F66*100</f>
        <v>#DIV/0!</v>
      </c>
      <c r="J66" s="2260"/>
    </row>
    <row r="67" spans="1:10" s="2164" customFormat="1" ht="16.5" thickTop="1" thickBot="1" x14ac:dyDescent="0.3">
      <c r="A67" s="2806" t="s">
        <v>849</v>
      </c>
      <c r="B67" s="2807"/>
      <c r="C67" s="2807"/>
      <c r="D67" s="2807"/>
      <c r="E67" s="2152">
        <f>SUM(E63:E66)</f>
        <v>0</v>
      </c>
      <c r="F67" s="2152">
        <f>SUM(F63:F66)</f>
        <v>1168</v>
      </c>
      <c r="G67" s="2152">
        <f>SUM(G63:G66)</f>
        <v>1033</v>
      </c>
      <c r="H67" s="2163">
        <f>G67/F67*100</f>
        <v>88.441780821917803</v>
      </c>
      <c r="I67" s="2262"/>
    </row>
    <row r="68" spans="1:10" ht="13.5" thickTop="1" x14ac:dyDescent="0.2">
      <c r="I68" s="2165"/>
    </row>
    <row r="69" spans="1:10" ht="15" x14ac:dyDescent="0.25">
      <c r="A69" s="2332" t="s">
        <v>354</v>
      </c>
      <c r="B69" s="2198"/>
      <c r="C69" s="2198"/>
      <c r="D69" s="2198"/>
    </row>
    <row r="70" spans="1:10" ht="15.75" thickBot="1" x14ac:dyDescent="0.3">
      <c r="A70" s="2333" t="s">
        <v>1165</v>
      </c>
      <c r="B70" s="2335"/>
      <c r="C70" s="2335"/>
      <c r="H70" s="2240" t="s">
        <v>179</v>
      </c>
    </row>
    <row r="71" spans="1:10" s="1849" customFormat="1" ht="25.5" thickTop="1" thickBot="1" x14ac:dyDescent="0.25">
      <c r="A71" s="2138" t="s">
        <v>180</v>
      </c>
      <c r="B71" s="2139" t="s">
        <v>847</v>
      </c>
      <c r="C71" s="2139" t="s">
        <v>414</v>
      </c>
      <c r="D71" s="2140" t="s">
        <v>182</v>
      </c>
      <c r="E71" s="2171" t="s">
        <v>700</v>
      </c>
      <c r="F71" s="2171" t="s">
        <v>701</v>
      </c>
      <c r="G71" s="2172" t="s">
        <v>986</v>
      </c>
      <c r="H71" s="2173" t="s">
        <v>987</v>
      </c>
    </row>
    <row r="72" spans="1:10" s="1849" customFormat="1" ht="13.5" thickTop="1" thickBot="1" x14ac:dyDescent="0.25">
      <c r="A72" s="1854">
        <v>1</v>
      </c>
      <c r="B72" s="1853">
        <v>2</v>
      </c>
      <c r="C72" s="1853">
        <v>3</v>
      </c>
      <c r="D72" s="1853">
        <v>4</v>
      </c>
      <c r="E72" s="1852">
        <v>5</v>
      </c>
      <c r="F72" s="1852">
        <v>6</v>
      </c>
      <c r="G72" s="2223">
        <v>7</v>
      </c>
      <c r="H72" s="2251" t="s">
        <v>61</v>
      </c>
    </row>
    <row r="73" spans="1:10" ht="30.75" thickTop="1" x14ac:dyDescent="0.2">
      <c r="A73" s="2246">
        <v>3299</v>
      </c>
      <c r="B73" s="2272">
        <v>5336</v>
      </c>
      <c r="C73" s="2258">
        <v>32133012</v>
      </c>
      <c r="D73" s="2174" t="s">
        <v>1419</v>
      </c>
      <c r="E73" s="2184">
        <v>0</v>
      </c>
      <c r="F73" s="2184">
        <v>269</v>
      </c>
      <c r="G73" s="2184">
        <v>124</v>
      </c>
      <c r="H73" s="2156">
        <f>G73/F73*100</f>
        <v>46.096654275092938</v>
      </c>
      <c r="J73" s="2260"/>
    </row>
    <row r="74" spans="1:10" ht="30.75" thickBot="1" x14ac:dyDescent="0.25">
      <c r="A74" s="2246">
        <v>3299</v>
      </c>
      <c r="B74" s="2272">
        <v>5336</v>
      </c>
      <c r="C74" s="2258">
        <v>32533012</v>
      </c>
      <c r="D74" s="2174" t="s">
        <v>1419</v>
      </c>
      <c r="E74" s="2184">
        <v>0</v>
      </c>
      <c r="F74" s="2184">
        <v>1522</v>
      </c>
      <c r="G74" s="2184">
        <v>706</v>
      </c>
      <c r="H74" s="2156">
        <f>G74/F74*100</f>
        <v>46.386333771353485</v>
      </c>
      <c r="J74" s="2260"/>
    </row>
    <row r="75" spans="1:10" ht="30.75" hidden="1" thickBot="1" x14ac:dyDescent="0.25">
      <c r="A75" s="2246">
        <v>3299</v>
      </c>
      <c r="B75" s="2253">
        <v>6351</v>
      </c>
      <c r="C75" s="2258">
        <v>32133887</v>
      </c>
      <c r="D75" s="2174" t="s">
        <v>1433</v>
      </c>
      <c r="E75" s="2184">
        <v>0</v>
      </c>
      <c r="F75" s="2184">
        <v>0</v>
      </c>
      <c r="G75" s="2184">
        <v>0</v>
      </c>
      <c r="H75" s="2156" t="e">
        <f>G75/F75*100</f>
        <v>#DIV/0!</v>
      </c>
      <c r="J75" s="2260"/>
    </row>
    <row r="76" spans="1:10" ht="30.75" hidden="1" thickBot="1" x14ac:dyDescent="0.25">
      <c r="A76" s="2246">
        <v>3299</v>
      </c>
      <c r="B76" s="2253">
        <v>6351</v>
      </c>
      <c r="C76" s="2258">
        <v>32533887</v>
      </c>
      <c r="D76" s="2174" t="s">
        <v>1433</v>
      </c>
      <c r="E76" s="2184">
        <v>0</v>
      </c>
      <c r="F76" s="2184">
        <v>0</v>
      </c>
      <c r="G76" s="2184">
        <v>0</v>
      </c>
      <c r="H76" s="2163" t="e">
        <f>G76/F76*100</f>
        <v>#DIV/0!</v>
      </c>
      <c r="J76" s="2260"/>
    </row>
    <row r="77" spans="1:10" s="2164" customFormat="1" ht="16.5" thickTop="1" thickBot="1" x14ac:dyDescent="0.3">
      <c r="A77" s="2806" t="s">
        <v>849</v>
      </c>
      <c r="B77" s="2807"/>
      <c r="C77" s="2807"/>
      <c r="D77" s="2807"/>
      <c r="E77" s="2152">
        <f>SUM(E73:E76)</f>
        <v>0</v>
      </c>
      <c r="F77" s="2152">
        <f>SUM(F73:F76)</f>
        <v>1791</v>
      </c>
      <c r="G77" s="2152">
        <f>SUM(G73:G76)</f>
        <v>830</v>
      </c>
      <c r="H77" s="2157">
        <f>G77/F77*100</f>
        <v>46.342825237297596</v>
      </c>
      <c r="I77" s="2262"/>
    </row>
    <row r="78" spans="1:10" ht="13.5" thickTop="1" x14ac:dyDescent="0.2">
      <c r="I78" s="2165"/>
    </row>
    <row r="79" spans="1:10" ht="15" x14ac:dyDescent="0.25">
      <c r="A79" s="2332" t="s">
        <v>1086</v>
      </c>
      <c r="B79" s="2198"/>
      <c r="C79" s="2198"/>
      <c r="D79" s="2198"/>
    </row>
    <row r="80" spans="1:10" ht="15.75" thickBot="1" x14ac:dyDescent="0.3">
      <c r="A80" s="2333" t="s">
        <v>1087</v>
      </c>
      <c r="B80" s="2335"/>
      <c r="C80" s="2335"/>
      <c r="H80" s="2240" t="s">
        <v>179</v>
      </c>
    </row>
    <row r="81" spans="1:10" s="1849" customFormat="1" ht="25.5" thickTop="1" thickBot="1" x14ac:dyDescent="0.25">
      <c r="A81" s="2138" t="s">
        <v>180</v>
      </c>
      <c r="B81" s="2139" t="s">
        <v>847</v>
      </c>
      <c r="C81" s="2139" t="s">
        <v>414</v>
      </c>
      <c r="D81" s="2140" t="s">
        <v>182</v>
      </c>
      <c r="E81" s="2171" t="s">
        <v>700</v>
      </c>
      <c r="F81" s="2171" t="s">
        <v>701</v>
      </c>
      <c r="G81" s="2172" t="s">
        <v>986</v>
      </c>
      <c r="H81" s="2173" t="s">
        <v>987</v>
      </c>
    </row>
    <row r="82" spans="1:10" s="1849" customFormat="1" ht="13.5" thickTop="1" thickBot="1" x14ac:dyDescent="0.25">
      <c r="A82" s="1854">
        <v>1</v>
      </c>
      <c r="B82" s="1853">
        <v>2</v>
      </c>
      <c r="C82" s="1853">
        <v>3</v>
      </c>
      <c r="D82" s="1853">
        <v>4</v>
      </c>
      <c r="E82" s="1852">
        <v>5</v>
      </c>
      <c r="F82" s="1852">
        <v>6</v>
      </c>
      <c r="G82" s="2223">
        <v>7</v>
      </c>
      <c r="H82" s="2251" t="s">
        <v>61</v>
      </c>
    </row>
    <row r="83" spans="1:10" ht="45.75" thickTop="1" x14ac:dyDescent="0.2">
      <c r="A83" s="2246">
        <v>3299</v>
      </c>
      <c r="B83" s="2253">
        <v>5213</v>
      </c>
      <c r="C83" s="2258">
        <v>32133012</v>
      </c>
      <c r="D83" s="2174" t="s">
        <v>1162</v>
      </c>
      <c r="E83" s="2184">
        <v>0</v>
      </c>
      <c r="F83" s="2184">
        <v>290</v>
      </c>
      <c r="G83" s="2184">
        <v>232</v>
      </c>
      <c r="H83" s="2156">
        <f>G83/F83*100</f>
        <v>80</v>
      </c>
      <c r="J83" s="2260"/>
    </row>
    <row r="84" spans="1:10" ht="45.75" thickBot="1" x14ac:dyDescent="0.25">
      <c r="A84" s="2246">
        <v>3299</v>
      </c>
      <c r="B84" s="2253">
        <v>5213</v>
      </c>
      <c r="C84" s="2258">
        <v>32533012</v>
      </c>
      <c r="D84" s="2174" t="s">
        <v>1162</v>
      </c>
      <c r="E84" s="2184">
        <v>0</v>
      </c>
      <c r="F84" s="2184">
        <v>1642</v>
      </c>
      <c r="G84" s="2184">
        <v>1317</v>
      </c>
      <c r="H84" s="2156">
        <f>G84/F84*100</f>
        <v>80.207064555420217</v>
      </c>
      <c r="J84" s="2260"/>
    </row>
    <row r="85" spans="1:10" ht="45.75" hidden="1" thickBot="1" x14ac:dyDescent="0.25">
      <c r="A85" s="2246">
        <v>3299</v>
      </c>
      <c r="B85" s="2253">
        <v>6313</v>
      </c>
      <c r="C85" s="2258">
        <v>32133887</v>
      </c>
      <c r="D85" s="2174" t="s">
        <v>1163</v>
      </c>
      <c r="E85" s="2184">
        <v>0</v>
      </c>
      <c r="F85" s="2184">
        <v>0</v>
      </c>
      <c r="G85" s="2184">
        <v>0</v>
      </c>
      <c r="H85" s="2156" t="e">
        <f>G85/F85*100</f>
        <v>#DIV/0!</v>
      </c>
      <c r="J85" s="2260"/>
    </row>
    <row r="86" spans="1:10" ht="45.75" hidden="1" thickBot="1" x14ac:dyDescent="0.25">
      <c r="A86" s="2246">
        <v>3299</v>
      </c>
      <c r="B86" s="2253">
        <v>6313</v>
      </c>
      <c r="C86" s="2258">
        <v>32533887</v>
      </c>
      <c r="D86" s="2174" t="s">
        <v>1163</v>
      </c>
      <c r="E86" s="2184">
        <v>0</v>
      </c>
      <c r="F86" s="2184">
        <v>0</v>
      </c>
      <c r="G86" s="2184">
        <v>0</v>
      </c>
      <c r="H86" s="2163" t="e">
        <f>G86/F86*100</f>
        <v>#DIV/0!</v>
      </c>
      <c r="J86" s="2260"/>
    </row>
    <row r="87" spans="1:10" s="2164" customFormat="1" ht="16.5" thickTop="1" thickBot="1" x14ac:dyDescent="0.3">
      <c r="A87" s="2806" t="s">
        <v>849</v>
      </c>
      <c r="B87" s="2807"/>
      <c r="C87" s="2807"/>
      <c r="D87" s="2807"/>
      <c r="E87" s="2152">
        <f>SUM(E83:E86)</f>
        <v>0</v>
      </c>
      <c r="F87" s="2152">
        <f>SUM(F83:F86)</f>
        <v>1932</v>
      </c>
      <c r="G87" s="2152">
        <f>SUM(G83:G86)</f>
        <v>1549</v>
      </c>
      <c r="H87" s="2157">
        <f>G87/F87*100</f>
        <v>80.175983436853002</v>
      </c>
      <c r="I87" s="2262"/>
    </row>
    <row r="88" spans="1:10" ht="13.5" thickTop="1" x14ac:dyDescent="0.2">
      <c r="I88" s="2165"/>
    </row>
    <row r="89" spans="1:10" ht="15" x14ac:dyDescent="0.25">
      <c r="A89" s="2332" t="s">
        <v>1940</v>
      </c>
      <c r="B89" s="2198"/>
      <c r="C89" s="2198"/>
      <c r="D89" s="2198"/>
    </row>
    <row r="90" spans="1:10" ht="15.75" thickBot="1" x14ac:dyDescent="0.3">
      <c r="A90" s="2333" t="s">
        <v>1089</v>
      </c>
      <c r="B90" s="2335"/>
      <c r="C90" s="2335"/>
      <c r="H90" s="2240" t="s">
        <v>179</v>
      </c>
    </row>
    <row r="91" spans="1:10" s="1849" customFormat="1" ht="25.5" thickTop="1" thickBot="1" x14ac:dyDescent="0.25">
      <c r="A91" s="2138" t="s">
        <v>180</v>
      </c>
      <c r="B91" s="2139" t="s">
        <v>847</v>
      </c>
      <c r="C91" s="2139" t="s">
        <v>414</v>
      </c>
      <c r="D91" s="2140" t="s">
        <v>182</v>
      </c>
      <c r="E91" s="2171" t="s">
        <v>700</v>
      </c>
      <c r="F91" s="2171" t="s">
        <v>701</v>
      </c>
      <c r="G91" s="2172" t="s">
        <v>986</v>
      </c>
      <c r="H91" s="2173" t="s">
        <v>987</v>
      </c>
    </row>
    <row r="92" spans="1:10" s="1849" customFormat="1" ht="13.5" thickTop="1" thickBot="1" x14ac:dyDescent="0.25">
      <c r="A92" s="1854">
        <v>1</v>
      </c>
      <c r="B92" s="1853">
        <v>2</v>
      </c>
      <c r="C92" s="1853">
        <v>3</v>
      </c>
      <c r="D92" s="1853">
        <v>4</v>
      </c>
      <c r="E92" s="1852">
        <v>5</v>
      </c>
      <c r="F92" s="1852">
        <v>6</v>
      </c>
      <c r="G92" s="2223">
        <v>7</v>
      </c>
      <c r="H92" s="2251" t="s">
        <v>61</v>
      </c>
    </row>
    <row r="93" spans="1:10" ht="30.75" thickTop="1" x14ac:dyDescent="0.2">
      <c r="A93" s="2246">
        <v>3299</v>
      </c>
      <c r="B93" s="2253">
        <v>5229</v>
      </c>
      <c r="C93" s="2258">
        <v>32133012</v>
      </c>
      <c r="D93" s="2174" t="s">
        <v>1090</v>
      </c>
      <c r="E93" s="2184">
        <v>0</v>
      </c>
      <c r="F93" s="2184">
        <v>444</v>
      </c>
      <c r="G93" s="2184">
        <v>267</v>
      </c>
      <c r="H93" s="2156">
        <f>G93/F93*100</f>
        <v>60.13513513513513</v>
      </c>
      <c r="J93" s="2260"/>
    </row>
    <row r="94" spans="1:10" ht="30.75" thickBot="1" x14ac:dyDescent="0.25">
      <c r="A94" s="2246">
        <v>3299</v>
      </c>
      <c r="B94" s="2253">
        <v>5229</v>
      </c>
      <c r="C94" s="2258">
        <v>32533012</v>
      </c>
      <c r="D94" s="2174" t="s">
        <v>1090</v>
      </c>
      <c r="E94" s="2184">
        <v>0</v>
      </c>
      <c r="F94" s="2184">
        <v>2518</v>
      </c>
      <c r="G94" s="2184">
        <v>1513</v>
      </c>
      <c r="H94" s="2156">
        <f>G94/F94*100</f>
        <v>60.087370929308982</v>
      </c>
      <c r="J94" s="2260"/>
    </row>
    <row r="95" spans="1:10" ht="30.75" hidden="1" thickBot="1" x14ac:dyDescent="0.25">
      <c r="A95" s="2246">
        <v>3299</v>
      </c>
      <c r="B95" s="2253">
        <v>6351</v>
      </c>
      <c r="C95" s="2258">
        <v>32133887</v>
      </c>
      <c r="D95" s="2174" t="s">
        <v>1433</v>
      </c>
      <c r="E95" s="2184">
        <v>0</v>
      </c>
      <c r="F95" s="2184">
        <v>0</v>
      </c>
      <c r="G95" s="2184">
        <v>0</v>
      </c>
      <c r="H95" s="2156" t="e">
        <f>G95/F95*100</f>
        <v>#DIV/0!</v>
      </c>
      <c r="J95" s="2260"/>
    </row>
    <row r="96" spans="1:10" ht="30.75" hidden="1" thickBot="1" x14ac:dyDescent="0.25">
      <c r="A96" s="2246">
        <v>3299</v>
      </c>
      <c r="B96" s="2253">
        <v>6351</v>
      </c>
      <c r="C96" s="2258">
        <v>32533887</v>
      </c>
      <c r="D96" s="2174" t="s">
        <v>1433</v>
      </c>
      <c r="E96" s="2184">
        <v>0</v>
      </c>
      <c r="F96" s="2184">
        <v>0</v>
      </c>
      <c r="G96" s="2184">
        <v>0</v>
      </c>
      <c r="H96" s="2163" t="e">
        <f>G96/F96*100</f>
        <v>#DIV/0!</v>
      </c>
      <c r="J96" s="2260"/>
    </row>
    <row r="97" spans="1:10" s="2164" customFormat="1" ht="16.5" thickTop="1" thickBot="1" x14ac:dyDescent="0.3">
      <c r="A97" s="2806" t="s">
        <v>849</v>
      </c>
      <c r="B97" s="2807"/>
      <c r="C97" s="2807"/>
      <c r="D97" s="2807"/>
      <c r="E97" s="2152">
        <f>SUM(E93:E96)</f>
        <v>0</v>
      </c>
      <c r="F97" s="2152">
        <f>SUM(F93:F96)</f>
        <v>2962</v>
      </c>
      <c r="G97" s="2152">
        <f>SUM(G93:G96)</f>
        <v>1780</v>
      </c>
      <c r="H97" s="2157">
        <f>G97/F97*100</f>
        <v>60.094530722484805</v>
      </c>
      <c r="I97" s="2262"/>
    </row>
    <row r="98" spans="1:10" ht="13.5" thickTop="1" x14ac:dyDescent="0.2">
      <c r="I98" s="2165"/>
    </row>
    <row r="99" spans="1:10" ht="15" x14ac:dyDescent="0.25">
      <c r="A99" s="2332" t="s">
        <v>1950</v>
      </c>
      <c r="B99" s="2198"/>
      <c r="C99" s="2198"/>
      <c r="D99" s="2198"/>
    </row>
    <row r="100" spans="1:10" ht="15.75" thickBot="1" x14ac:dyDescent="0.3">
      <c r="A100" s="2333" t="s">
        <v>1166</v>
      </c>
      <c r="B100" s="2335"/>
      <c r="C100" s="2335"/>
      <c r="H100" s="2240" t="s">
        <v>179</v>
      </c>
    </row>
    <row r="101" spans="1:10" s="1849" customFormat="1" ht="25.5" thickTop="1" thickBot="1" x14ac:dyDescent="0.25">
      <c r="A101" s="2138" t="s">
        <v>180</v>
      </c>
      <c r="B101" s="2139" t="s">
        <v>847</v>
      </c>
      <c r="C101" s="2139" t="s">
        <v>414</v>
      </c>
      <c r="D101" s="2140" t="s">
        <v>182</v>
      </c>
      <c r="E101" s="2171" t="s">
        <v>700</v>
      </c>
      <c r="F101" s="2171" t="s">
        <v>701</v>
      </c>
      <c r="G101" s="2172" t="s">
        <v>986</v>
      </c>
      <c r="H101" s="2173" t="s">
        <v>987</v>
      </c>
    </row>
    <row r="102" spans="1:10" s="1849" customFormat="1" ht="13.5" thickTop="1" thickBot="1" x14ac:dyDescent="0.25">
      <c r="A102" s="1854">
        <v>1</v>
      </c>
      <c r="B102" s="1853">
        <v>2</v>
      </c>
      <c r="C102" s="1853">
        <v>3</v>
      </c>
      <c r="D102" s="1853">
        <v>4</v>
      </c>
      <c r="E102" s="1852">
        <v>5</v>
      </c>
      <c r="F102" s="1852">
        <v>6</v>
      </c>
      <c r="G102" s="2223">
        <v>7</v>
      </c>
      <c r="H102" s="2251" t="s">
        <v>61</v>
      </c>
    </row>
    <row r="103" spans="1:10" ht="30.75" thickTop="1" x14ac:dyDescent="0.2">
      <c r="A103" s="2246">
        <v>3299</v>
      </c>
      <c r="B103" s="2253">
        <v>5229</v>
      </c>
      <c r="C103" s="2258">
        <v>32133012</v>
      </c>
      <c r="D103" s="2174" t="s">
        <v>1090</v>
      </c>
      <c r="E103" s="2184">
        <v>0</v>
      </c>
      <c r="F103" s="2184">
        <v>130</v>
      </c>
      <c r="G103" s="2184">
        <v>95</v>
      </c>
      <c r="H103" s="2156">
        <f>G103/F103*100</f>
        <v>73.076923076923066</v>
      </c>
      <c r="J103" s="2260"/>
    </row>
    <row r="104" spans="1:10" ht="30.75" thickBot="1" x14ac:dyDescent="0.25">
      <c r="A104" s="2246">
        <v>3299</v>
      </c>
      <c r="B104" s="2253">
        <v>5229</v>
      </c>
      <c r="C104" s="2258">
        <v>32533012</v>
      </c>
      <c r="D104" s="2174" t="s">
        <v>1090</v>
      </c>
      <c r="E104" s="2184">
        <v>0</v>
      </c>
      <c r="F104" s="2184">
        <v>736</v>
      </c>
      <c r="G104" s="2184">
        <v>537</v>
      </c>
      <c r="H104" s="2156">
        <f>G104/F104*100</f>
        <v>72.96195652173914</v>
      </c>
      <c r="J104" s="2260"/>
    </row>
    <row r="105" spans="1:10" ht="30.75" hidden="1" thickBot="1" x14ac:dyDescent="0.25">
      <c r="A105" s="2246">
        <v>3299</v>
      </c>
      <c r="B105" s="2253">
        <v>6351</v>
      </c>
      <c r="C105" s="2258">
        <v>32133887</v>
      </c>
      <c r="D105" s="2174" t="s">
        <v>1433</v>
      </c>
      <c r="E105" s="2184">
        <v>0</v>
      </c>
      <c r="F105" s="2184">
        <v>0</v>
      </c>
      <c r="G105" s="2184">
        <v>0</v>
      </c>
      <c r="H105" s="2156" t="e">
        <f>G105/F105*100</f>
        <v>#DIV/0!</v>
      </c>
      <c r="J105" s="2260"/>
    </row>
    <row r="106" spans="1:10" ht="30.75" hidden="1" thickBot="1" x14ac:dyDescent="0.25">
      <c r="A106" s="2246">
        <v>3299</v>
      </c>
      <c r="B106" s="2253">
        <v>6351</v>
      </c>
      <c r="C106" s="2258">
        <v>32533887</v>
      </c>
      <c r="D106" s="2174" t="s">
        <v>1433</v>
      </c>
      <c r="E106" s="2184">
        <v>0</v>
      </c>
      <c r="F106" s="2184">
        <v>0</v>
      </c>
      <c r="G106" s="2184">
        <v>0</v>
      </c>
      <c r="H106" s="2163" t="e">
        <f>G106/F106*100</f>
        <v>#DIV/0!</v>
      </c>
      <c r="J106" s="2260"/>
    </row>
    <row r="107" spans="1:10" s="2164" customFormat="1" ht="16.5" thickTop="1" thickBot="1" x14ac:dyDescent="0.3">
      <c r="A107" s="2806" t="s">
        <v>849</v>
      </c>
      <c r="B107" s="2807"/>
      <c r="C107" s="2807"/>
      <c r="D107" s="2807"/>
      <c r="E107" s="2152">
        <f>SUM(E103:E106)</f>
        <v>0</v>
      </c>
      <c r="F107" s="2152">
        <f>SUM(F103:F106)</f>
        <v>866</v>
      </c>
      <c r="G107" s="2152">
        <f>SUM(G103:G106)</f>
        <v>632</v>
      </c>
      <c r="H107" s="2157">
        <f>G107/F107*100</f>
        <v>72.979214780600472</v>
      </c>
      <c r="I107" s="2262"/>
    </row>
    <row r="108" spans="1:10" ht="13.5" thickTop="1" x14ac:dyDescent="0.2">
      <c r="I108" s="2165"/>
    </row>
    <row r="109" spans="1:10" ht="15" x14ac:dyDescent="0.25">
      <c r="A109" s="2332" t="s">
        <v>1167</v>
      </c>
      <c r="B109" s="2198"/>
      <c r="C109" s="2198"/>
      <c r="D109" s="2198"/>
    </row>
    <row r="110" spans="1:10" ht="15.75" thickBot="1" x14ac:dyDescent="0.3">
      <c r="A110" s="2333" t="s">
        <v>1168</v>
      </c>
      <c r="B110" s="2335"/>
      <c r="C110" s="2335"/>
      <c r="H110" s="2240" t="s">
        <v>179</v>
      </c>
    </row>
    <row r="111" spans="1:10" s="1849" customFormat="1" ht="25.5" thickTop="1" thickBot="1" x14ac:dyDescent="0.25">
      <c r="A111" s="2138" t="s">
        <v>180</v>
      </c>
      <c r="B111" s="2139" t="s">
        <v>847</v>
      </c>
      <c r="C111" s="2139" t="s">
        <v>414</v>
      </c>
      <c r="D111" s="2140" t="s">
        <v>182</v>
      </c>
      <c r="E111" s="2171" t="s">
        <v>700</v>
      </c>
      <c r="F111" s="2171" t="s">
        <v>701</v>
      </c>
      <c r="G111" s="2172" t="s">
        <v>986</v>
      </c>
      <c r="H111" s="2173" t="s">
        <v>987</v>
      </c>
    </row>
    <row r="112" spans="1:10" s="1849" customFormat="1" ht="13.5" thickTop="1" thickBot="1" x14ac:dyDescent="0.25">
      <c r="A112" s="1854">
        <v>1</v>
      </c>
      <c r="B112" s="1853">
        <v>2</v>
      </c>
      <c r="C112" s="1853">
        <v>3</v>
      </c>
      <c r="D112" s="1853">
        <v>4</v>
      </c>
      <c r="E112" s="1852">
        <v>5</v>
      </c>
      <c r="F112" s="1852">
        <v>6</v>
      </c>
      <c r="G112" s="2223">
        <v>7</v>
      </c>
      <c r="H112" s="2251" t="s">
        <v>61</v>
      </c>
    </row>
    <row r="113" spans="1:12" ht="30.75" thickTop="1" x14ac:dyDescent="0.2">
      <c r="A113" s="2246">
        <v>3299</v>
      </c>
      <c r="B113" s="2253">
        <v>5229</v>
      </c>
      <c r="C113" s="2258">
        <v>32133012</v>
      </c>
      <c r="D113" s="2174" t="s">
        <v>1090</v>
      </c>
      <c r="E113" s="2184">
        <v>0</v>
      </c>
      <c r="F113" s="2184">
        <v>519</v>
      </c>
      <c r="G113" s="2184">
        <v>463</v>
      </c>
      <c r="H113" s="2156">
        <f>G113/F113*100</f>
        <v>89.210019267822744</v>
      </c>
      <c r="J113" s="2260"/>
    </row>
    <row r="114" spans="1:12" ht="30.75" thickBot="1" x14ac:dyDescent="0.25">
      <c r="A114" s="2246">
        <v>3299</v>
      </c>
      <c r="B114" s="2253">
        <v>5229</v>
      </c>
      <c r="C114" s="2258">
        <v>32533012</v>
      </c>
      <c r="D114" s="2174" t="s">
        <v>1090</v>
      </c>
      <c r="E114" s="2184">
        <v>0</v>
      </c>
      <c r="F114" s="2184">
        <v>2938</v>
      </c>
      <c r="G114" s="2184">
        <v>2622</v>
      </c>
      <c r="H114" s="2156">
        <f>G114/F114*100</f>
        <v>89.24438393464942</v>
      </c>
      <c r="J114" s="2260"/>
    </row>
    <row r="115" spans="1:12" ht="30.75" hidden="1" thickBot="1" x14ac:dyDescent="0.25">
      <c r="A115" s="2246">
        <v>3299</v>
      </c>
      <c r="B115" s="2253">
        <v>6351</v>
      </c>
      <c r="C115" s="2258">
        <v>32133887</v>
      </c>
      <c r="D115" s="2174" t="s">
        <v>1433</v>
      </c>
      <c r="E115" s="2184">
        <v>0</v>
      </c>
      <c r="F115" s="2184">
        <v>0</v>
      </c>
      <c r="G115" s="2184">
        <v>0</v>
      </c>
      <c r="H115" s="2156" t="e">
        <f>G115/F115*100</f>
        <v>#DIV/0!</v>
      </c>
      <c r="J115" s="2260"/>
    </row>
    <row r="116" spans="1:12" ht="30.75" hidden="1" thickBot="1" x14ac:dyDescent="0.25">
      <c r="A116" s="2246">
        <v>3299</v>
      </c>
      <c r="B116" s="2253">
        <v>6351</v>
      </c>
      <c r="C116" s="2258">
        <v>32533887</v>
      </c>
      <c r="D116" s="2174" t="s">
        <v>1433</v>
      </c>
      <c r="E116" s="2184">
        <v>0</v>
      </c>
      <c r="F116" s="2184">
        <v>0</v>
      </c>
      <c r="G116" s="2184">
        <v>0</v>
      </c>
      <c r="H116" s="2163" t="e">
        <f>G116/F116*100</f>
        <v>#DIV/0!</v>
      </c>
      <c r="J116" s="2260"/>
    </row>
    <row r="117" spans="1:12" s="2164" customFormat="1" ht="16.5" thickTop="1" thickBot="1" x14ac:dyDescent="0.3">
      <c r="A117" s="2806" t="s">
        <v>849</v>
      </c>
      <c r="B117" s="2807"/>
      <c r="C117" s="2807"/>
      <c r="D117" s="2807"/>
      <c r="E117" s="2152">
        <f>SUM(E113:E116)</f>
        <v>0</v>
      </c>
      <c r="F117" s="2152">
        <f>SUM(F113:F116)</f>
        <v>3457</v>
      </c>
      <c r="G117" s="2152">
        <f>SUM(G113:G116)</f>
        <v>3085</v>
      </c>
      <c r="H117" s="2157">
        <f>G117/F117*100</f>
        <v>89.239224761353768</v>
      </c>
      <c r="I117" s="2262"/>
    </row>
    <row r="118" spans="1:12" ht="13.5" thickTop="1" x14ac:dyDescent="0.2">
      <c r="I118" s="2165"/>
    </row>
    <row r="119" spans="1:12" ht="15" x14ac:dyDescent="0.25">
      <c r="A119" s="2332"/>
      <c r="B119" s="2198"/>
      <c r="C119" s="2198"/>
      <c r="D119" s="2198"/>
    </row>
    <row r="120" spans="1:12" x14ac:dyDescent="0.2">
      <c r="I120" s="2165"/>
    </row>
    <row r="121" spans="1:12" x14ac:dyDescent="0.2">
      <c r="I121" s="2165"/>
    </row>
    <row r="122" spans="1:12" x14ac:dyDescent="0.2">
      <c r="I122" s="2165"/>
    </row>
    <row r="123" spans="1:12" x14ac:dyDescent="0.2">
      <c r="I123" s="2165"/>
    </row>
    <row r="125" spans="1:12" ht="16.5" x14ac:dyDescent="0.25">
      <c r="A125" s="2206" t="s">
        <v>508</v>
      </c>
      <c r="B125" s="2207"/>
      <c r="C125" s="2208"/>
      <c r="D125" s="2209"/>
      <c r="E125" s="2210">
        <f>SUM(E126:E128)</f>
        <v>0</v>
      </c>
      <c r="F125" s="2210">
        <f>F126+F127+F128+F129</f>
        <v>64087</v>
      </c>
      <c r="G125" s="2210">
        <f>G126+G127+G128+G129</f>
        <v>39698</v>
      </c>
      <c r="H125" s="2232">
        <f>G125/F125*100</f>
        <v>61.943919983772055</v>
      </c>
      <c r="J125" s="2212">
        <f>J126+J127+J128</f>
        <v>0</v>
      </c>
      <c r="K125" s="2212">
        <f>K126+K127+K128</f>
        <v>64087273.399999999</v>
      </c>
      <c r="L125" s="2212">
        <f>L126+L127+L128</f>
        <v>39698122.280000001</v>
      </c>
    </row>
    <row r="126" spans="1:12" ht="15" x14ac:dyDescent="0.2">
      <c r="A126" s="1810" t="s">
        <v>288</v>
      </c>
      <c r="B126" s="1813"/>
      <c r="C126" s="1808"/>
      <c r="D126" s="2213"/>
      <c r="E126" s="1811">
        <f>E10+E11+E12+E13+E14+E15+E16+E17+E27+E37+E43+E44+E67+E77+E83+E84+E97+E107+E117</f>
        <v>0</v>
      </c>
      <c r="F126" s="1811">
        <f>F10+F11+F12+F13+F14+F15+F16+F17+F27+F37+F43+F44+F67+F77+F83+F84+F97+F107+F117+F53+F54</f>
        <v>63316</v>
      </c>
      <c r="G126" s="1811">
        <f>G10+G11+G12+G13+G14+G15+G16+G17+G27+G37+G43+G44+G67+G77+G83+G84+G97+G107+G117+G53+G54</f>
        <v>39219</v>
      </c>
      <c r="H126" s="2231">
        <f>G126/F126*100</f>
        <v>61.941689304441219</v>
      </c>
      <c r="J126" s="2214">
        <v>0</v>
      </c>
      <c r="K126" s="2214">
        <v>63316490.799999997</v>
      </c>
      <c r="L126" s="2214">
        <v>39219303.100000001</v>
      </c>
    </row>
    <row r="127" spans="1:12" ht="15" x14ac:dyDescent="0.2">
      <c r="A127" s="1810" t="s">
        <v>289</v>
      </c>
      <c r="B127" s="1809"/>
      <c r="C127" s="1808"/>
      <c r="D127" s="2215"/>
      <c r="E127" s="1811">
        <f>E18+E19+E20+E21+E22+E23+E24+E25+E45+E46+E85+E86</f>
        <v>0</v>
      </c>
      <c r="F127" s="1811">
        <f>F18+F19+F20+F21+F22+F23+F24+F25+F45+F46+F85+F86+F55+F56</f>
        <v>771</v>
      </c>
      <c r="G127" s="1811">
        <f>G18+G19+G20+G21+G22+G23+G24+G25+G45+G46+G85+G86+G55+G56</f>
        <v>479</v>
      </c>
      <c r="H127" s="2231">
        <f>G127/F127*100</f>
        <v>62.127107652399481</v>
      </c>
      <c r="J127" s="2214">
        <v>0</v>
      </c>
      <c r="K127" s="2214">
        <v>770782.6</v>
      </c>
      <c r="L127" s="2214">
        <v>478819.18</v>
      </c>
    </row>
    <row r="128" spans="1:12" ht="15" x14ac:dyDescent="0.2">
      <c r="A128" s="1810" t="s">
        <v>509</v>
      </c>
      <c r="B128" s="1809"/>
      <c r="C128" s="1808"/>
      <c r="D128" s="2215"/>
      <c r="E128" s="1811">
        <v>0</v>
      </c>
      <c r="F128" s="1811">
        <v>0</v>
      </c>
      <c r="G128" s="1811">
        <v>0</v>
      </c>
      <c r="H128" s="2231">
        <v>0</v>
      </c>
      <c r="J128" s="2214">
        <v>0</v>
      </c>
      <c r="K128" s="2214">
        <v>0</v>
      </c>
      <c r="L128" s="2214">
        <v>0</v>
      </c>
    </row>
    <row r="129" spans="1:8" ht="15" x14ac:dyDescent="0.2">
      <c r="A129" s="1810"/>
      <c r="B129" s="1809"/>
      <c r="C129" s="1808"/>
      <c r="D129" s="2215"/>
      <c r="E129" s="1811"/>
      <c r="F129" s="1811"/>
      <c r="G129" s="1811"/>
      <c r="H129" s="1807"/>
    </row>
    <row r="130" spans="1:8" ht="46.5" customHeight="1" thickBot="1" x14ac:dyDescent="0.4">
      <c r="A130" s="2800" t="s">
        <v>908</v>
      </c>
      <c r="B130" s="2801"/>
      <c r="C130" s="2801"/>
      <c r="D130" s="2801"/>
      <c r="E130" s="1801">
        <f>SUM(E125)</f>
        <v>0</v>
      </c>
      <c r="F130" s="1801">
        <f>SUM(F125)</f>
        <v>64087</v>
      </c>
      <c r="G130" s="1801">
        <f>SUM(G125)</f>
        <v>39698</v>
      </c>
      <c r="H130" s="1800">
        <f>(G130/F130)*100</f>
        <v>61.943919983772055</v>
      </c>
    </row>
    <row r="131" spans="1:8" ht="13.5" thickTop="1" x14ac:dyDescent="0.2"/>
    <row r="250" spans="1:5" ht="13.5" thickBot="1" x14ac:dyDescent="0.25">
      <c r="A250" s="2179"/>
      <c r="B250" s="2179"/>
      <c r="C250" s="2179"/>
      <c r="D250" s="2264"/>
      <c r="E250" s="2265"/>
    </row>
    <row r="251" spans="1:5" ht="13.5" thickTop="1" x14ac:dyDescent="0.2">
      <c r="A251" s="2204"/>
      <c r="B251" s="2204"/>
      <c r="C251" s="2204"/>
      <c r="D251" s="2193"/>
      <c r="E251" s="2266"/>
    </row>
    <row r="252" spans="1:5" x14ac:dyDescent="0.2">
      <c r="D252" s="2131" t="e">
        <f>#REF!+#REF!</f>
        <v>#REF!</v>
      </c>
    </row>
  </sheetData>
  <mergeCells count="11">
    <mergeCell ref="A77:D77"/>
    <mergeCell ref="A28:D28"/>
    <mergeCell ref="A37:D37"/>
    <mergeCell ref="A47:D47"/>
    <mergeCell ref="A57:D57"/>
    <mergeCell ref="A67:D67"/>
    <mergeCell ref="A87:D87"/>
    <mergeCell ref="A97:D97"/>
    <mergeCell ref="A107:D107"/>
    <mergeCell ref="A117:D117"/>
    <mergeCell ref="A130:D130"/>
  </mergeCells>
  <pageMargins left="0.98425196850393704" right="0.78740157480314965" top="0.98425196850393704" bottom="0.98425196850393704" header="0.51181102362204722" footer="0.51181102362204722"/>
  <pageSetup paperSize="9" scale="70" firstPageNumber="161" orientation="portrait" useFirstPageNumber="1" r:id="rId1"/>
  <headerFooter alignWithMargins="0">
    <oddFooter xml:space="preserve">&amp;L&amp;"Arial,Kurzíva"Zastupitelstvo Olomouckého kraje 28. 6. 2013
6.- Závěrečný  účet Olomuckého kraje za rok 2012
Příloha č. 3: Plnění rozpočtu výdajů Olomouckého kraje k 31.12.2012&amp;R&amp;"Arial,Kurzíva"Strana &amp;P (Celkem 484)
</oddFooter>
  </headerFooter>
  <rowBreaks count="2" manualBreakCount="2">
    <brk id="48" max="7" man="1"/>
    <brk id="97" max="7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 enableFormatConditionsCalculation="0">
    <tabColor rgb="FF92D050"/>
  </sheetPr>
  <dimension ref="A1:L146"/>
  <sheetViews>
    <sheetView showGridLines="0" view="pageBreakPreview" zoomScaleNormal="100" zoomScaleSheetLayoutView="100" workbookViewId="0">
      <selection activeCell="D206" sqref="D206"/>
    </sheetView>
  </sheetViews>
  <sheetFormatPr defaultRowHeight="12.75" x14ac:dyDescent="0.2"/>
  <cols>
    <col min="1" max="1" width="4.7109375" style="669" customWidth="1"/>
    <col min="2" max="2" width="5.140625" style="558" customWidth="1"/>
    <col min="3" max="3" width="8.85546875" style="884" customWidth="1"/>
    <col min="4" max="4" width="46.5703125" style="558" customWidth="1"/>
    <col min="5" max="5" width="14.5703125" style="517" customWidth="1"/>
    <col min="6" max="6" width="14" style="517" customWidth="1"/>
    <col min="7" max="7" width="14.42578125" style="517" customWidth="1"/>
    <col min="8" max="8" width="8.140625" style="1411" customWidth="1"/>
    <col min="9" max="16384" width="9.140625" style="558"/>
  </cols>
  <sheetData>
    <row r="1" spans="1:11" ht="18.75" thickBot="1" x14ac:dyDescent="0.3">
      <c r="A1" s="487" t="s">
        <v>1335</v>
      </c>
      <c r="B1" s="488"/>
      <c r="C1" s="512"/>
      <c r="D1" s="499"/>
      <c r="E1" s="516"/>
      <c r="F1" s="491" t="s">
        <v>1377</v>
      </c>
      <c r="I1" s="17"/>
    </row>
    <row r="2" spans="1:11" ht="12.75" customHeight="1" x14ac:dyDescent="0.25">
      <c r="A2" s="6"/>
      <c r="B2" s="28"/>
      <c r="C2" s="57"/>
      <c r="D2" s="10"/>
      <c r="E2" s="137"/>
      <c r="F2" s="137"/>
      <c r="G2" s="16"/>
      <c r="H2" s="374"/>
      <c r="I2" s="17"/>
    </row>
    <row r="3" spans="1:11" ht="12.75" customHeight="1" x14ac:dyDescent="0.25">
      <c r="A3" s="67" t="s">
        <v>404</v>
      </c>
      <c r="B3" s="28"/>
      <c r="C3" s="526" t="s">
        <v>405</v>
      </c>
      <c r="D3" s="653"/>
      <c r="E3" s="137"/>
      <c r="F3" s="16"/>
      <c r="G3" s="17"/>
      <c r="H3" s="374"/>
    </row>
    <row r="4" spans="1:11" ht="12.75" customHeight="1" x14ac:dyDescent="0.25">
      <c r="A4" s="6"/>
      <c r="B4" s="28"/>
      <c r="C4" s="526" t="s">
        <v>372</v>
      </c>
      <c r="D4" s="699"/>
      <c r="E4" s="138"/>
      <c r="F4" s="16"/>
      <c r="G4" s="17"/>
      <c r="H4" s="374"/>
    </row>
    <row r="5" spans="1:11" ht="12.75" customHeight="1" x14ac:dyDescent="0.25">
      <c r="A5" s="6"/>
      <c r="B5" s="28"/>
      <c r="C5" s="526"/>
      <c r="D5" s="699"/>
      <c r="E5" s="138"/>
      <c r="F5" s="16"/>
      <c r="G5" s="17"/>
      <c r="H5" s="374"/>
    </row>
    <row r="6" spans="1:11" ht="18" x14ac:dyDescent="0.25">
      <c r="A6" s="33" t="s">
        <v>988</v>
      </c>
      <c r="B6" s="28"/>
      <c r="C6" s="57"/>
      <c r="D6" s="10"/>
      <c r="E6" s="137"/>
      <c r="F6" s="137"/>
      <c r="G6" s="16"/>
      <c r="H6" s="374"/>
      <c r="I6" s="17"/>
    </row>
    <row r="7" spans="1:11" ht="13.5" thickBot="1" x14ac:dyDescent="0.25">
      <c r="A7" s="655"/>
      <c r="B7" s="655"/>
      <c r="C7" s="885"/>
      <c r="D7" s="656"/>
      <c r="G7" s="1014"/>
      <c r="H7" s="1411" t="s">
        <v>179</v>
      </c>
    </row>
    <row r="8" spans="1:11" s="107" customFormat="1" ht="20.25" customHeight="1" thickTop="1" thickBot="1" x14ac:dyDescent="0.25">
      <c r="A8" s="657" t="s">
        <v>180</v>
      </c>
      <c r="B8" s="658" t="s">
        <v>181</v>
      </c>
      <c r="C8" s="660" t="s">
        <v>783</v>
      </c>
      <c r="D8" s="660" t="s">
        <v>182</v>
      </c>
      <c r="E8" s="660" t="s">
        <v>183</v>
      </c>
      <c r="F8" s="660" t="s">
        <v>985</v>
      </c>
      <c r="G8" s="660" t="s">
        <v>986</v>
      </c>
      <c r="H8" s="661" t="s">
        <v>987</v>
      </c>
    </row>
    <row r="9" spans="1:11" s="386" customFormat="1" ht="13.5" thickTop="1" thickBot="1" x14ac:dyDescent="0.25">
      <c r="A9" s="592">
        <v>1</v>
      </c>
      <c r="B9" s="593">
        <v>2</v>
      </c>
      <c r="C9" s="593">
        <v>3</v>
      </c>
      <c r="D9" s="593">
        <v>4</v>
      </c>
      <c r="E9" s="593">
        <v>5</v>
      </c>
      <c r="F9" s="567">
        <v>6</v>
      </c>
      <c r="G9" s="567">
        <v>7</v>
      </c>
      <c r="H9" s="662" t="s">
        <v>61</v>
      </c>
      <c r="I9" s="107"/>
    </row>
    <row r="10" spans="1:11" s="1166" customFormat="1" ht="15.75" thickTop="1" x14ac:dyDescent="0.25">
      <c r="A10" s="34">
        <v>6115</v>
      </c>
      <c r="B10" s="1199">
        <v>5164</v>
      </c>
      <c r="C10" s="1179"/>
      <c r="D10" s="1167" t="s">
        <v>998</v>
      </c>
      <c r="E10" s="1204"/>
      <c r="F10" s="313">
        <v>34</v>
      </c>
      <c r="G10" s="315">
        <v>34</v>
      </c>
      <c r="H10" s="203">
        <v>0</v>
      </c>
      <c r="J10" s="1201"/>
      <c r="K10" s="1201"/>
    </row>
    <row r="11" spans="1:11" s="1166" customFormat="1" ht="14.25" x14ac:dyDescent="0.2">
      <c r="A11" s="34"/>
      <c r="B11" s="1173"/>
      <c r="C11" s="1179" t="s">
        <v>1719</v>
      </c>
      <c r="D11" s="1174" t="s">
        <v>1718</v>
      </c>
      <c r="E11" s="1204"/>
      <c r="F11" s="314">
        <v>34</v>
      </c>
      <c r="G11" s="316">
        <v>34</v>
      </c>
      <c r="H11" s="1175">
        <v>0</v>
      </c>
    </row>
    <row r="12" spans="1:11" s="386" customFormat="1" ht="15" x14ac:dyDescent="0.25">
      <c r="A12" s="34">
        <v>6115</v>
      </c>
      <c r="B12" s="1199">
        <v>5169</v>
      </c>
      <c r="C12" s="1179"/>
      <c r="D12" s="1167" t="s">
        <v>1295</v>
      </c>
      <c r="E12" s="1204"/>
      <c r="F12" s="313">
        <v>65</v>
      </c>
      <c r="G12" s="315">
        <v>0</v>
      </c>
      <c r="H12" s="203">
        <v>0</v>
      </c>
      <c r="I12" s="107"/>
    </row>
    <row r="13" spans="1:11" s="386" customFormat="1" ht="14.25" x14ac:dyDescent="0.2">
      <c r="A13" s="936"/>
      <c r="B13" s="1121"/>
      <c r="C13" s="1179" t="s">
        <v>1719</v>
      </c>
      <c r="D13" s="1174" t="s">
        <v>1718</v>
      </c>
      <c r="E13" s="1447"/>
      <c r="F13" s="314">
        <v>65</v>
      </c>
      <c r="G13" s="316">
        <v>0</v>
      </c>
      <c r="H13" s="1175">
        <v>0</v>
      </c>
      <c r="I13" s="107"/>
    </row>
    <row r="14" spans="1:11" s="386" customFormat="1" ht="15" x14ac:dyDescent="0.25">
      <c r="A14" s="34">
        <v>6115</v>
      </c>
      <c r="B14" s="1199">
        <v>5173</v>
      </c>
      <c r="C14" s="1179"/>
      <c r="D14" s="1167" t="s">
        <v>1296</v>
      </c>
      <c r="E14" s="1204"/>
      <c r="F14" s="313">
        <v>1</v>
      </c>
      <c r="G14" s="315">
        <v>0</v>
      </c>
      <c r="H14" s="203">
        <v>0</v>
      </c>
      <c r="I14" s="107"/>
    </row>
    <row r="15" spans="1:11" s="386" customFormat="1" ht="14.25" x14ac:dyDescent="0.2">
      <c r="A15" s="936"/>
      <c r="B15" s="1121"/>
      <c r="C15" s="1179" t="s">
        <v>1719</v>
      </c>
      <c r="D15" s="1174" t="s">
        <v>1718</v>
      </c>
      <c r="E15" s="1447"/>
      <c r="F15" s="314">
        <v>1</v>
      </c>
      <c r="G15" s="316">
        <v>0</v>
      </c>
      <c r="H15" s="1175">
        <v>0</v>
      </c>
      <c r="I15" s="107"/>
    </row>
    <row r="16" spans="1:11" s="1166" customFormat="1" ht="15" x14ac:dyDescent="0.25">
      <c r="A16" s="34">
        <v>6172</v>
      </c>
      <c r="B16" s="1199">
        <v>5011</v>
      </c>
      <c r="C16" s="1177"/>
      <c r="D16" s="1167" t="s">
        <v>225</v>
      </c>
      <c r="E16" s="48">
        <f>E17</f>
        <v>170000</v>
      </c>
      <c r="F16" s="462">
        <f>F17+F18+F19+F20+F21</f>
        <v>172662</v>
      </c>
      <c r="G16" s="462">
        <f>G17+G18+G19+G20+G21</f>
        <v>169903</v>
      </c>
      <c r="H16" s="1172">
        <f>(G16/F16)*100</f>
        <v>98.402080365106386</v>
      </c>
    </row>
    <row r="17" spans="1:10" s="1166" customFormat="1" ht="14.25" x14ac:dyDescent="0.2">
      <c r="A17" s="34"/>
      <c r="B17" s="1199"/>
      <c r="C17" s="1179" t="s">
        <v>838</v>
      </c>
      <c r="D17" s="1173" t="s">
        <v>1415</v>
      </c>
      <c r="E17" s="55">
        <v>170000</v>
      </c>
      <c r="F17" s="314">
        <v>172081</v>
      </c>
      <c r="G17" s="316">
        <v>169322</v>
      </c>
      <c r="H17" s="1175">
        <f t="shared" ref="H17:H34" si="0">(G17/F17)*100</f>
        <v>98.396685281931184</v>
      </c>
    </row>
    <row r="18" spans="1:10" s="1166" customFormat="1" ht="14.25" x14ac:dyDescent="0.2">
      <c r="A18" s="34"/>
      <c r="B18" s="1199"/>
      <c r="C18" s="1179" t="s">
        <v>332</v>
      </c>
      <c r="D18" s="1174" t="s">
        <v>902</v>
      </c>
      <c r="E18" s="55"/>
      <c r="F18" s="314">
        <v>319</v>
      </c>
      <c r="G18" s="316">
        <v>319</v>
      </c>
      <c r="H18" s="1175">
        <f t="shared" si="0"/>
        <v>100</v>
      </c>
    </row>
    <row r="19" spans="1:10" s="1166" customFormat="1" ht="14.25" x14ac:dyDescent="0.2">
      <c r="A19" s="34"/>
      <c r="B19" s="1199"/>
      <c r="C19" s="1179" t="s">
        <v>1720</v>
      </c>
      <c r="D19" s="1174" t="s">
        <v>1721</v>
      </c>
      <c r="E19" s="55"/>
      <c r="F19" s="314">
        <v>242</v>
      </c>
      <c r="G19" s="316">
        <v>242</v>
      </c>
      <c r="H19" s="1175">
        <f t="shared" si="0"/>
        <v>100</v>
      </c>
    </row>
    <row r="20" spans="1:10" s="1166" customFormat="1" ht="14.25" x14ac:dyDescent="0.2">
      <c r="A20" s="34"/>
      <c r="B20" s="1199"/>
      <c r="C20" s="1179" t="s">
        <v>1003</v>
      </c>
      <c r="D20" s="1174" t="s">
        <v>737</v>
      </c>
      <c r="E20" s="55"/>
      <c r="F20" s="314">
        <v>2</v>
      </c>
      <c r="G20" s="316">
        <v>2</v>
      </c>
      <c r="H20" s="1175">
        <f t="shared" si="0"/>
        <v>100</v>
      </c>
    </row>
    <row r="21" spans="1:10" s="1166" customFormat="1" ht="14.25" x14ac:dyDescent="0.2">
      <c r="A21" s="34"/>
      <c r="B21" s="1199"/>
      <c r="C21" s="2708" t="s">
        <v>1722</v>
      </c>
      <c r="D21" s="2706" t="s">
        <v>1723</v>
      </c>
      <c r="E21" s="55"/>
      <c r="F21" s="314">
        <v>18</v>
      </c>
      <c r="G21" s="316">
        <v>18</v>
      </c>
      <c r="H21" s="1175">
        <f t="shared" si="0"/>
        <v>100</v>
      </c>
    </row>
    <row r="22" spans="1:10" s="1166" customFormat="1" ht="14.25" x14ac:dyDescent="0.2">
      <c r="A22" s="34"/>
      <c r="B22" s="1199"/>
      <c r="C22" s="2709"/>
      <c r="D22" s="2707"/>
      <c r="E22" s="55"/>
      <c r="F22" s="314"/>
      <c r="G22" s="316"/>
      <c r="H22" s="1175"/>
    </row>
    <row r="23" spans="1:10" s="1166" customFormat="1" ht="15" x14ac:dyDescent="0.25">
      <c r="A23" s="34">
        <v>6172</v>
      </c>
      <c r="B23" s="1199">
        <v>5021</v>
      </c>
      <c r="C23" s="1177"/>
      <c r="D23" s="1167" t="s">
        <v>427</v>
      </c>
      <c r="E23" s="48">
        <v>1500</v>
      </c>
      <c r="F23" s="462">
        <f>F24+F25+F27+F28+F30+F29+F31+F32</f>
        <v>2259</v>
      </c>
      <c r="G23" s="462">
        <f>G24+G25+G27+G28+G30+G29+G31+G32</f>
        <v>1392</v>
      </c>
      <c r="H23" s="1172">
        <f>(G23/F23)*100</f>
        <v>61.62018592297477</v>
      </c>
    </row>
    <row r="24" spans="1:10" s="1166" customFormat="1" ht="14.25" x14ac:dyDescent="0.2">
      <c r="A24" s="34"/>
      <c r="B24" s="1199"/>
      <c r="C24" s="1179" t="s">
        <v>838</v>
      </c>
      <c r="D24" s="1173" t="s">
        <v>1415</v>
      </c>
      <c r="E24" s="55">
        <v>1500</v>
      </c>
      <c r="F24" s="314">
        <v>1707</v>
      </c>
      <c r="G24" s="316">
        <v>1036</v>
      </c>
      <c r="H24" s="1175">
        <f t="shared" si="0"/>
        <v>60.691271236086699</v>
      </c>
    </row>
    <row r="25" spans="1:10" s="1166" customFormat="1" ht="15" x14ac:dyDescent="0.25">
      <c r="A25" s="34"/>
      <c r="B25" s="1199"/>
      <c r="C25" s="2708" t="s">
        <v>1524</v>
      </c>
      <c r="D25" s="2706" t="s">
        <v>1525</v>
      </c>
      <c r="E25" s="48"/>
      <c r="F25" s="314">
        <v>6</v>
      </c>
      <c r="G25" s="316">
        <v>6</v>
      </c>
      <c r="H25" s="1175">
        <f t="shared" si="0"/>
        <v>100</v>
      </c>
    </row>
    <row r="26" spans="1:10" s="1166" customFormat="1" ht="15" x14ac:dyDescent="0.25">
      <c r="A26" s="34"/>
      <c r="B26" s="1199"/>
      <c r="C26" s="2709"/>
      <c r="D26" s="2707"/>
      <c r="E26" s="48"/>
      <c r="F26" s="314"/>
      <c r="G26" s="316"/>
      <c r="H26" s="1175"/>
    </row>
    <row r="27" spans="1:10" s="1166" customFormat="1" ht="15" x14ac:dyDescent="0.25">
      <c r="A27" s="34"/>
      <c r="B27" s="1199"/>
      <c r="C27" s="1178" t="s">
        <v>331</v>
      </c>
      <c r="D27" s="1315" t="s">
        <v>719</v>
      </c>
      <c r="E27" s="48"/>
      <c r="F27" s="314">
        <v>86</v>
      </c>
      <c r="G27" s="316">
        <v>86</v>
      </c>
      <c r="H27" s="1175">
        <f t="shared" si="0"/>
        <v>100</v>
      </c>
    </row>
    <row r="28" spans="1:10" s="1166" customFormat="1" ht="15" x14ac:dyDescent="0.25">
      <c r="A28" s="34"/>
      <c r="B28" s="1199"/>
      <c r="C28" s="1959">
        <v>41100880</v>
      </c>
      <c r="D28" s="1499" t="s">
        <v>1724</v>
      </c>
      <c r="E28" s="48"/>
      <c r="F28" s="314">
        <v>3</v>
      </c>
      <c r="G28" s="316">
        <v>3</v>
      </c>
      <c r="H28" s="1175">
        <f t="shared" si="0"/>
        <v>100</v>
      </c>
    </row>
    <row r="29" spans="1:10" s="1166" customFormat="1" ht="15" x14ac:dyDescent="0.25">
      <c r="A29" s="34"/>
      <c r="B29" s="1199"/>
      <c r="C29" s="1959">
        <v>41100882</v>
      </c>
      <c r="D29" s="1499" t="s">
        <v>1725</v>
      </c>
      <c r="E29" s="48"/>
      <c r="F29" s="314">
        <v>2</v>
      </c>
      <c r="G29" s="316">
        <v>2</v>
      </c>
      <c r="H29" s="1175">
        <f t="shared" si="0"/>
        <v>100</v>
      </c>
    </row>
    <row r="30" spans="1:10" s="1166" customFormat="1" ht="15" x14ac:dyDescent="0.25">
      <c r="A30" s="34"/>
      <c r="B30" s="1199"/>
      <c r="C30" s="1959">
        <v>41500881</v>
      </c>
      <c r="D30" s="1174" t="s">
        <v>1726</v>
      </c>
      <c r="E30" s="48"/>
      <c r="F30" s="314">
        <v>24</v>
      </c>
      <c r="G30" s="316">
        <v>24</v>
      </c>
      <c r="H30" s="1175">
        <f t="shared" si="0"/>
        <v>100</v>
      </c>
      <c r="J30" s="1960"/>
    </row>
    <row r="31" spans="1:10" s="1166" customFormat="1" ht="15" x14ac:dyDescent="0.25">
      <c r="A31" s="34"/>
      <c r="B31" s="1199"/>
      <c r="C31" s="1959">
        <v>42100880</v>
      </c>
      <c r="D31" s="1499" t="s">
        <v>1724</v>
      </c>
      <c r="E31" s="48"/>
      <c r="F31" s="314">
        <v>65</v>
      </c>
      <c r="G31" s="316">
        <v>35</v>
      </c>
      <c r="H31" s="1175">
        <f t="shared" si="0"/>
        <v>53.846153846153847</v>
      </c>
      <c r="J31" s="1960"/>
    </row>
    <row r="32" spans="1:10" s="1166" customFormat="1" ht="15" x14ac:dyDescent="0.25">
      <c r="A32" s="34"/>
      <c r="B32" s="1199"/>
      <c r="C32" s="1959">
        <v>42500881</v>
      </c>
      <c r="D32" s="1174" t="s">
        <v>1726</v>
      </c>
      <c r="E32" s="48"/>
      <c r="F32" s="314">
        <v>366</v>
      </c>
      <c r="G32" s="316">
        <v>200</v>
      </c>
      <c r="H32" s="1175">
        <f t="shared" si="0"/>
        <v>54.644808743169406</v>
      </c>
      <c r="J32" s="1960"/>
    </row>
    <row r="33" spans="1:10" s="1166" customFormat="1" ht="15" x14ac:dyDescent="0.25">
      <c r="A33" s="34">
        <v>6172</v>
      </c>
      <c r="B33" s="1199">
        <v>5024</v>
      </c>
      <c r="C33" s="1179"/>
      <c r="D33" s="1167" t="s">
        <v>1244</v>
      </c>
      <c r="E33" s="48">
        <v>300</v>
      </c>
      <c r="F33" s="168">
        <v>0</v>
      </c>
      <c r="G33" s="315">
        <v>0</v>
      </c>
      <c r="H33" s="1172">
        <v>0</v>
      </c>
      <c r="J33" s="1960"/>
    </row>
    <row r="34" spans="1:10" s="1166" customFormat="1" ht="15" x14ac:dyDescent="0.25">
      <c r="A34" s="34">
        <v>6172</v>
      </c>
      <c r="B34" s="1199">
        <v>5029</v>
      </c>
      <c r="C34" s="1179"/>
      <c r="D34" s="1167" t="s">
        <v>533</v>
      </c>
      <c r="E34" s="48">
        <v>100</v>
      </c>
      <c r="F34" s="168">
        <v>100</v>
      </c>
      <c r="G34" s="315">
        <v>0</v>
      </c>
      <c r="H34" s="1172">
        <f t="shared" si="0"/>
        <v>0</v>
      </c>
      <c r="J34" s="1960"/>
    </row>
    <row r="35" spans="1:10" s="1166" customFormat="1" ht="15" x14ac:dyDescent="0.25">
      <c r="A35" s="34">
        <v>6172</v>
      </c>
      <c r="B35" s="1199">
        <v>5031</v>
      </c>
      <c r="C35" s="1179"/>
      <c r="D35" s="1167" t="s">
        <v>260</v>
      </c>
      <c r="E35" s="48">
        <f>E37</f>
        <v>42500</v>
      </c>
      <c r="F35" s="462">
        <f>F37+F39+F38+F40+F41</f>
        <v>43249</v>
      </c>
      <c r="G35" s="462">
        <f>G37+G39+G38+G40+G41</f>
        <v>42712</v>
      </c>
      <c r="H35" s="1172">
        <f>(G35/F35)*100</f>
        <v>98.758352794284264</v>
      </c>
    </row>
    <row r="36" spans="1:10" s="1166" customFormat="1" ht="15" x14ac:dyDescent="0.25">
      <c r="A36" s="34"/>
      <c r="B36" s="1199"/>
      <c r="C36" s="1179"/>
      <c r="D36" s="1167" t="s">
        <v>803</v>
      </c>
      <c r="E36" s="48"/>
      <c r="F36" s="168"/>
      <c r="G36" s="316"/>
      <c r="H36" s="1172"/>
    </row>
    <row r="37" spans="1:10" s="1166" customFormat="1" ht="14.25" x14ac:dyDescent="0.2">
      <c r="A37" s="34"/>
      <c r="B37" s="1199"/>
      <c r="C37" s="1179" t="s">
        <v>838</v>
      </c>
      <c r="D37" s="1173" t="s">
        <v>1415</v>
      </c>
      <c r="E37" s="55">
        <v>42500</v>
      </c>
      <c r="F37" s="314">
        <v>43105</v>
      </c>
      <c r="G37" s="316">
        <v>42568</v>
      </c>
      <c r="H37" s="1175">
        <f t="shared" ref="H37:H50" si="1">(G37/F37)*100</f>
        <v>98.754204848625449</v>
      </c>
    </row>
    <row r="38" spans="1:10" s="1166" customFormat="1" ht="14.25" x14ac:dyDescent="0.2">
      <c r="A38" s="34"/>
      <c r="B38" s="1199"/>
      <c r="C38" s="1179" t="s">
        <v>332</v>
      </c>
      <c r="D38" s="1174" t="s">
        <v>902</v>
      </c>
      <c r="E38" s="55"/>
      <c r="F38" s="314">
        <v>78</v>
      </c>
      <c r="G38" s="316">
        <v>78</v>
      </c>
      <c r="H38" s="1175">
        <f t="shared" si="1"/>
        <v>100</v>
      </c>
    </row>
    <row r="39" spans="1:10" s="1166" customFormat="1" ht="14.25" x14ac:dyDescent="0.2">
      <c r="A39" s="34"/>
      <c r="B39" s="1199"/>
      <c r="C39" s="1179" t="s">
        <v>1720</v>
      </c>
      <c r="D39" s="1174" t="s">
        <v>1721</v>
      </c>
      <c r="E39" s="55"/>
      <c r="F39" s="314">
        <v>61</v>
      </c>
      <c r="G39" s="316">
        <v>61</v>
      </c>
      <c r="H39" s="1175">
        <f t="shared" si="1"/>
        <v>100</v>
      </c>
    </row>
    <row r="40" spans="1:10" s="1166" customFormat="1" ht="14.25" x14ac:dyDescent="0.2">
      <c r="A40" s="34"/>
      <c r="B40" s="1199"/>
      <c r="C40" s="1179" t="s">
        <v>1003</v>
      </c>
      <c r="D40" s="1174" t="s">
        <v>737</v>
      </c>
      <c r="E40" s="55"/>
      <c r="F40" s="314">
        <v>1</v>
      </c>
      <c r="G40" s="316">
        <v>1</v>
      </c>
      <c r="H40" s="1175">
        <f t="shared" si="1"/>
        <v>100</v>
      </c>
    </row>
    <row r="41" spans="1:10" s="1166" customFormat="1" ht="14.25" x14ac:dyDescent="0.2">
      <c r="A41" s="34"/>
      <c r="B41" s="1199"/>
      <c r="C41" s="2708" t="s">
        <v>1722</v>
      </c>
      <c r="D41" s="2706" t="s">
        <v>1723</v>
      </c>
      <c r="E41" s="55"/>
      <c r="F41" s="314">
        <v>4</v>
      </c>
      <c r="G41" s="316">
        <v>4</v>
      </c>
      <c r="H41" s="1175">
        <f t="shared" si="1"/>
        <v>100</v>
      </c>
    </row>
    <row r="42" spans="1:10" s="1166" customFormat="1" ht="14.25" x14ac:dyDescent="0.2">
      <c r="A42" s="34"/>
      <c r="B42" s="1199"/>
      <c r="C42" s="2709"/>
      <c r="D42" s="2707"/>
      <c r="E42" s="55"/>
      <c r="F42" s="314"/>
      <c r="G42" s="316"/>
      <c r="H42" s="1175"/>
    </row>
    <row r="43" spans="1:10" s="1166" customFormat="1" ht="15" x14ac:dyDescent="0.25">
      <c r="A43" s="34">
        <v>6172</v>
      </c>
      <c r="B43" s="1199">
        <v>5032</v>
      </c>
      <c r="C43" s="1179"/>
      <c r="D43" s="1167" t="s">
        <v>261</v>
      </c>
      <c r="E43" s="48">
        <f>E44</f>
        <v>15300</v>
      </c>
      <c r="F43" s="462">
        <f>F44+F46+F45+F47</f>
        <v>15570</v>
      </c>
      <c r="G43" s="462">
        <f>G44+G46+G45+G47</f>
        <v>15375</v>
      </c>
      <c r="H43" s="1172">
        <f>(G43/F43)*100</f>
        <v>98.74759152215799</v>
      </c>
    </row>
    <row r="44" spans="1:10" s="1166" customFormat="1" ht="14.25" x14ac:dyDescent="0.2">
      <c r="A44" s="34"/>
      <c r="B44" s="1199"/>
      <c r="C44" s="1179" t="s">
        <v>838</v>
      </c>
      <c r="D44" s="1173" t="s">
        <v>1415</v>
      </c>
      <c r="E44" s="55">
        <v>15300</v>
      </c>
      <c r="F44" s="314">
        <v>15518</v>
      </c>
      <c r="G44" s="316">
        <v>15323</v>
      </c>
      <c r="H44" s="1175">
        <f t="shared" si="1"/>
        <v>98.743394767366937</v>
      </c>
    </row>
    <row r="45" spans="1:10" s="1166" customFormat="1" ht="14.25" x14ac:dyDescent="0.2">
      <c r="A45" s="34"/>
      <c r="B45" s="1199"/>
      <c r="C45" s="1179" t="s">
        <v>332</v>
      </c>
      <c r="D45" s="1174" t="s">
        <v>902</v>
      </c>
      <c r="E45" s="55"/>
      <c r="F45" s="314">
        <v>28</v>
      </c>
      <c r="G45" s="316">
        <v>28</v>
      </c>
      <c r="H45" s="1175">
        <f t="shared" si="1"/>
        <v>100</v>
      </c>
    </row>
    <row r="46" spans="1:10" s="1166" customFormat="1" ht="14.25" x14ac:dyDescent="0.2">
      <c r="A46" s="34"/>
      <c r="B46" s="1199"/>
      <c r="C46" s="1179" t="s">
        <v>1720</v>
      </c>
      <c r="D46" s="1174" t="s">
        <v>1721</v>
      </c>
      <c r="E46" s="55"/>
      <c r="F46" s="314">
        <v>22</v>
      </c>
      <c r="G46" s="316">
        <v>22</v>
      </c>
      <c r="H46" s="1175">
        <f t="shared" si="1"/>
        <v>100</v>
      </c>
    </row>
    <row r="47" spans="1:10" s="1166" customFormat="1" ht="14.25" x14ac:dyDescent="0.2">
      <c r="A47" s="34"/>
      <c r="B47" s="1199"/>
      <c r="C47" s="2708" t="s">
        <v>1722</v>
      </c>
      <c r="D47" s="2706" t="s">
        <v>1723</v>
      </c>
      <c r="E47" s="55"/>
      <c r="F47" s="314">
        <v>2</v>
      </c>
      <c r="G47" s="316">
        <v>2</v>
      </c>
      <c r="H47" s="1175">
        <f t="shared" si="1"/>
        <v>100</v>
      </c>
    </row>
    <row r="48" spans="1:10" s="1166" customFormat="1" ht="14.25" x14ac:dyDescent="0.2">
      <c r="A48" s="34"/>
      <c r="B48" s="1199"/>
      <c r="C48" s="2709"/>
      <c r="D48" s="2707"/>
      <c r="E48" s="55"/>
      <c r="F48" s="314"/>
      <c r="G48" s="316"/>
      <c r="H48" s="1175"/>
    </row>
    <row r="49" spans="1:8" s="1166" customFormat="1" ht="15" x14ac:dyDescent="0.25">
      <c r="A49" s="34">
        <v>6172</v>
      </c>
      <c r="B49" s="1199">
        <v>5038</v>
      </c>
      <c r="C49" s="1179"/>
      <c r="D49" s="1167" t="s">
        <v>1245</v>
      </c>
      <c r="E49" s="48">
        <v>750</v>
      </c>
      <c r="F49" s="462">
        <v>750</v>
      </c>
      <c r="G49" s="462">
        <v>740</v>
      </c>
      <c r="H49" s="1172">
        <f>(G49/F49)*100</f>
        <v>98.666666666666671</v>
      </c>
    </row>
    <row r="50" spans="1:8" s="1166" customFormat="1" ht="15" x14ac:dyDescent="0.25">
      <c r="A50" s="34">
        <v>6172</v>
      </c>
      <c r="B50" s="1199">
        <v>5039</v>
      </c>
      <c r="C50" s="1179"/>
      <c r="D50" s="1167" t="s">
        <v>1382</v>
      </c>
      <c r="E50" s="48">
        <v>50</v>
      </c>
      <c r="F50" s="168">
        <v>50</v>
      </c>
      <c r="G50" s="315">
        <v>0</v>
      </c>
      <c r="H50" s="1172">
        <f t="shared" si="1"/>
        <v>0</v>
      </c>
    </row>
    <row r="51" spans="1:8" s="1166" customFormat="1" ht="15" x14ac:dyDescent="0.25">
      <c r="A51" s="34">
        <v>6172</v>
      </c>
      <c r="B51" s="1199">
        <v>5134</v>
      </c>
      <c r="C51" s="1179"/>
      <c r="D51" s="1167" t="s">
        <v>675</v>
      </c>
      <c r="E51" s="48">
        <v>46</v>
      </c>
      <c r="F51" s="168">
        <v>46</v>
      </c>
      <c r="G51" s="315">
        <v>36</v>
      </c>
      <c r="H51" s="1172">
        <f>(G51/F51)*100</f>
        <v>78.260869565217391</v>
      </c>
    </row>
    <row r="52" spans="1:8" s="1166" customFormat="1" ht="15" x14ac:dyDescent="0.25">
      <c r="A52" s="34">
        <v>6172</v>
      </c>
      <c r="B52" s="1199">
        <v>5136</v>
      </c>
      <c r="C52" s="1179"/>
      <c r="D52" s="1167" t="s">
        <v>262</v>
      </c>
      <c r="E52" s="48">
        <v>500</v>
      </c>
      <c r="F52" s="168">
        <v>500</v>
      </c>
      <c r="G52" s="315">
        <v>388</v>
      </c>
      <c r="H52" s="1172">
        <f t="shared" ref="H52:H68" si="2">(G52/F52)*100</f>
        <v>77.600000000000009</v>
      </c>
    </row>
    <row r="53" spans="1:8" s="1166" customFormat="1" ht="15" x14ac:dyDescent="0.25">
      <c r="A53" s="34">
        <v>6172</v>
      </c>
      <c r="B53" s="1199">
        <v>5137</v>
      </c>
      <c r="C53" s="1179"/>
      <c r="D53" s="1167" t="s">
        <v>173</v>
      </c>
      <c r="E53" s="48">
        <v>600</v>
      </c>
      <c r="F53" s="168">
        <v>600</v>
      </c>
      <c r="G53" s="315">
        <v>576</v>
      </c>
      <c r="H53" s="1172">
        <f t="shared" si="2"/>
        <v>96</v>
      </c>
    </row>
    <row r="54" spans="1:8" s="1166" customFormat="1" ht="15" x14ac:dyDescent="0.25">
      <c r="A54" s="34">
        <v>6172</v>
      </c>
      <c r="B54" s="1199">
        <v>5139</v>
      </c>
      <c r="C54" s="1179"/>
      <c r="D54" s="1167" t="s">
        <v>320</v>
      </c>
      <c r="E54" s="48">
        <v>2930</v>
      </c>
      <c r="F54" s="462">
        <f>F55++F56</f>
        <v>3002</v>
      </c>
      <c r="G54" s="462">
        <f>G55++G56</f>
        <v>2440</v>
      </c>
      <c r="H54" s="1172">
        <f t="shared" si="2"/>
        <v>81.279147235176552</v>
      </c>
    </row>
    <row r="55" spans="1:8" s="1166" customFormat="1" ht="14.25" x14ac:dyDescent="0.2">
      <c r="A55" s="34"/>
      <c r="B55" s="1199"/>
      <c r="C55" s="1179" t="s">
        <v>838</v>
      </c>
      <c r="D55" s="1173" t="s">
        <v>1415</v>
      </c>
      <c r="E55" s="55">
        <v>2930</v>
      </c>
      <c r="F55" s="314">
        <v>3000</v>
      </c>
      <c r="G55" s="316">
        <v>2438</v>
      </c>
      <c r="H55" s="1175">
        <f t="shared" si="2"/>
        <v>81.266666666666666</v>
      </c>
    </row>
    <row r="56" spans="1:8" s="1166" customFormat="1" ht="15" x14ac:dyDescent="0.25">
      <c r="A56" s="34"/>
      <c r="B56" s="1199"/>
      <c r="C56" s="2708" t="s">
        <v>1722</v>
      </c>
      <c r="D56" s="2706" t="s">
        <v>1723</v>
      </c>
      <c r="E56" s="48"/>
      <c r="F56" s="314">
        <v>2</v>
      </c>
      <c r="G56" s="316">
        <v>2</v>
      </c>
      <c r="H56" s="1175">
        <f t="shared" si="2"/>
        <v>100</v>
      </c>
    </row>
    <row r="57" spans="1:8" s="1166" customFormat="1" ht="15" x14ac:dyDescent="0.25">
      <c r="A57" s="34"/>
      <c r="B57" s="1199"/>
      <c r="C57" s="2709"/>
      <c r="D57" s="2707"/>
      <c r="E57" s="48"/>
      <c r="F57" s="314"/>
      <c r="G57" s="316"/>
      <c r="H57" s="1175"/>
    </row>
    <row r="58" spans="1:8" s="1166" customFormat="1" ht="15" x14ac:dyDescent="0.25">
      <c r="A58" s="34">
        <v>6172</v>
      </c>
      <c r="B58" s="1199">
        <v>5151</v>
      </c>
      <c r="C58" s="1179"/>
      <c r="D58" s="1167" t="s">
        <v>963</v>
      </c>
      <c r="E58" s="48">
        <v>477</v>
      </c>
      <c r="F58" s="168">
        <v>508</v>
      </c>
      <c r="G58" s="315">
        <v>408</v>
      </c>
      <c r="H58" s="1172">
        <f t="shared" si="2"/>
        <v>80.314960629921259</v>
      </c>
    </row>
    <row r="59" spans="1:8" s="1166" customFormat="1" ht="15" x14ac:dyDescent="0.25">
      <c r="A59" s="50">
        <v>6172</v>
      </c>
      <c r="B59" s="19">
        <v>5152</v>
      </c>
      <c r="C59" s="1179"/>
      <c r="D59" s="1167" t="s">
        <v>966</v>
      </c>
      <c r="E59" s="48">
        <v>3201</v>
      </c>
      <c r="F59" s="168">
        <v>2855</v>
      </c>
      <c r="G59" s="315">
        <v>2509</v>
      </c>
      <c r="H59" s="1172">
        <f t="shared" si="2"/>
        <v>87.88091068301226</v>
      </c>
    </row>
    <row r="60" spans="1:8" s="1166" customFormat="1" ht="15" x14ac:dyDescent="0.25">
      <c r="A60" s="50">
        <v>6172</v>
      </c>
      <c r="B60" s="19">
        <v>5153</v>
      </c>
      <c r="C60" s="1179"/>
      <c r="D60" s="1167" t="s">
        <v>1378</v>
      </c>
      <c r="E60" s="48">
        <v>292</v>
      </c>
      <c r="F60" s="168">
        <v>292</v>
      </c>
      <c r="G60" s="315">
        <v>236</v>
      </c>
      <c r="H60" s="1172">
        <f t="shared" si="2"/>
        <v>80.821917808219183</v>
      </c>
    </row>
    <row r="61" spans="1:8" s="1166" customFormat="1" ht="15" x14ac:dyDescent="0.25">
      <c r="A61" s="50">
        <v>6172</v>
      </c>
      <c r="B61" s="19">
        <v>5154</v>
      </c>
      <c r="C61" s="1179"/>
      <c r="D61" s="1167" t="s">
        <v>322</v>
      </c>
      <c r="E61" s="48">
        <v>3700</v>
      </c>
      <c r="F61" s="168">
        <v>3591</v>
      </c>
      <c r="G61" s="315">
        <v>3271</v>
      </c>
      <c r="H61" s="1172">
        <f t="shared" si="2"/>
        <v>91.088833194096352</v>
      </c>
    </row>
    <row r="62" spans="1:8" s="1166" customFormat="1" ht="15" x14ac:dyDescent="0.25">
      <c r="A62" s="50">
        <v>6172</v>
      </c>
      <c r="B62" s="19">
        <v>5156</v>
      </c>
      <c r="C62" s="1179"/>
      <c r="D62" s="1167" t="s">
        <v>323</v>
      </c>
      <c r="E62" s="48">
        <f>E63</f>
        <v>1300</v>
      </c>
      <c r="F62" s="462">
        <f>F63++F64+F65+F67+F68</f>
        <v>1328</v>
      </c>
      <c r="G62" s="462">
        <f>G63++G64+G65+G67+G68</f>
        <v>1138</v>
      </c>
      <c r="H62" s="1172">
        <f t="shared" si="2"/>
        <v>85.692771084337352</v>
      </c>
    </row>
    <row r="63" spans="1:8" s="1166" customFormat="1" ht="14.25" x14ac:dyDescent="0.2">
      <c r="A63" s="50"/>
      <c r="B63" s="19"/>
      <c r="C63" s="1179" t="s">
        <v>838</v>
      </c>
      <c r="D63" s="1173" t="s">
        <v>1415</v>
      </c>
      <c r="E63" s="55">
        <v>1300</v>
      </c>
      <c r="F63" s="314">
        <v>1300</v>
      </c>
      <c r="G63" s="316">
        <v>1127</v>
      </c>
      <c r="H63" s="1175">
        <f t="shared" si="2"/>
        <v>86.692307692307693</v>
      </c>
    </row>
    <row r="64" spans="1:8" s="1166" customFormat="1" ht="15" x14ac:dyDescent="0.25">
      <c r="A64" s="50"/>
      <c r="B64" s="19"/>
      <c r="C64" s="1179" t="s">
        <v>331</v>
      </c>
      <c r="D64" s="1174" t="s">
        <v>719</v>
      </c>
      <c r="E64" s="48"/>
      <c r="F64" s="314">
        <v>15</v>
      </c>
      <c r="G64" s="316">
        <v>0</v>
      </c>
      <c r="H64" s="1175">
        <f t="shared" si="2"/>
        <v>0</v>
      </c>
    </row>
    <row r="65" spans="1:12" s="1166" customFormat="1" ht="15" x14ac:dyDescent="0.25">
      <c r="A65" s="50"/>
      <c r="B65" s="19"/>
      <c r="C65" s="2708" t="s">
        <v>1722</v>
      </c>
      <c r="D65" s="2706" t="s">
        <v>1723</v>
      </c>
      <c r="E65" s="48"/>
      <c r="F65" s="314">
        <v>6</v>
      </c>
      <c r="G65" s="316">
        <v>6</v>
      </c>
      <c r="H65" s="1175">
        <f t="shared" si="2"/>
        <v>100</v>
      </c>
    </row>
    <row r="66" spans="1:12" s="1166" customFormat="1" ht="15" x14ac:dyDescent="0.25">
      <c r="A66" s="50"/>
      <c r="B66" s="19"/>
      <c r="C66" s="2709"/>
      <c r="D66" s="2707"/>
      <c r="E66" s="48"/>
      <c r="F66" s="314"/>
      <c r="G66" s="316"/>
      <c r="H66" s="1175"/>
    </row>
    <row r="67" spans="1:12" s="1166" customFormat="1" ht="15" x14ac:dyDescent="0.25">
      <c r="A67" s="50"/>
      <c r="B67" s="19"/>
      <c r="C67" s="1959">
        <v>41100880</v>
      </c>
      <c r="D67" s="1499" t="s">
        <v>1724</v>
      </c>
      <c r="E67" s="48"/>
      <c r="F67" s="314">
        <v>1</v>
      </c>
      <c r="G67" s="316">
        <v>1</v>
      </c>
      <c r="H67" s="1175">
        <f t="shared" si="2"/>
        <v>100</v>
      </c>
    </row>
    <row r="68" spans="1:12" s="1166" customFormat="1" ht="15" x14ac:dyDescent="0.25">
      <c r="A68" s="50"/>
      <c r="B68" s="19"/>
      <c r="C68" s="1959">
        <v>41500881</v>
      </c>
      <c r="D68" s="1174" t="s">
        <v>1726</v>
      </c>
      <c r="E68" s="48"/>
      <c r="F68" s="314">
        <v>6</v>
      </c>
      <c r="G68" s="316">
        <v>4</v>
      </c>
      <c r="H68" s="1175">
        <f t="shared" si="2"/>
        <v>66.666666666666657</v>
      </c>
    </row>
    <row r="69" spans="1:12" s="1166" customFormat="1" ht="15.75" thickBot="1" x14ac:dyDescent="0.3">
      <c r="A69" s="1206">
        <v>6172</v>
      </c>
      <c r="B69" s="1193">
        <v>5157</v>
      </c>
      <c r="C69" s="1192"/>
      <c r="D69" s="1187" t="s">
        <v>420</v>
      </c>
      <c r="E69" s="1194">
        <v>110</v>
      </c>
      <c r="F69" s="459">
        <v>140</v>
      </c>
      <c r="G69" s="458">
        <v>127</v>
      </c>
      <c r="H69" s="1468">
        <f t="shared" ref="H69:H83" si="3">(G69/F69)*100</f>
        <v>90.714285714285708</v>
      </c>
      <c r="J69" s="1201">
        <f>E16+E23+E33+E34+E35+E43+E49+E50+E51+E52+E53+E54+E58+E59+E60+E61+E62+E69</f>
        <v>243656</v>
      </c>
      <c r="K69" s="1201">
        <f>F10+F12+F14+F16+F23+F33+F34+F35+F43+F49+F50+F51+F52+F53+F54+F58+F59+F60+F61+F62+F69</f>
        <v>247602</v>
      </c>
      <c r="L69" s="1201">
        <f>G10+G12+G14+G16+G23+G33+G34+G35+G43+G49+G50+G51+G52+G53+G54+G58+G59+G60+G61+G62+G69</f>
        <v>241285</v>
      </c>
    </row>
    <row r="70" spans="1:12" ht="14.25" thickTop="1" thickBot="1" x14ac:dyDescent="0.25">
      <c r="A70" s="655"/>
      <c r="B70" s="655"/>
      <c r="C70" s="885"/>
      <c r="D70" s="656"/>
      <c r="G70" s="1014"/>
      <c r="H70" s="1411" t="s">
        <v>179</v>
      </c>
    </row>
    <row r="71" spans="1:12" s="107" customFormat="1" ht="20.25" customHeight="1" thickTop="1" thickBot="1" x14ac:dyDescent="0.25">
      <c r="A71" s="657" t="s">
        <v>180</v>
      </c>
      <c r="B71" s="658" t="s">
        <v>181</v>
      </c>
      <c r="C71" s="660" t="s">
        <v>783</v>
      </c>
      <c r="D71" s="660" t="s">
        <v>182</v>
      </c>
      <c r="E71" s="660" t="s">
        <v>183</v>
      </c>
      <c r="F71" s="660" t="s">
        <v>985</v>
      </c>
      <c r="G71" s="660" t="s">
        <v>986</v>
      </c>
      <c r="H71" s="661" t="s">
        <v>987</v>
      </c>
    </row>
    <row r="72" spans="1:12" s="386" customFormat="1" ht="13.5" thickTop="1" thickBot="1" x14ac:dyDescent="0.25">
      <c r="A72" s="592">
        <v>1</v>
      </c>
      <c r="B72" s="593">
        <v>2</v>
      </c>
      <c r="C72" s="593">
        <v>3</v>
      </c>
      <c r="D72" s="593">
        <v>4</v>
      </c>
      <c r="E72" s="593">
        <v>5</v>
      </c>
      <c r="F72" s="567">
        <v>6</v>
      </c>
      <c r="G72" s="567">
        <v>7</v>
      </c>
      <c r="H72" s="662" t="s">
        <v>61</v>
      </c>
      <c r="I72" s="107"/>
    </row>
    <row r="73" spans="1:12" s="1166" customFormat="1" ht="15.75" thickTop="1" x14ac:dyDescent="0.25">
      <c r="A73" s="50">
        <v>6172</v>
      </c>
      <c r="B73" s="19">
        <v>5159</v>
      </c>
      <c r="C73" s="1179"/>
      <c r="D73" s="1167" t="s">
        <v>534</v>
      </c>
      <c r="E73" s="48">
        <v>5</v>
      </c>
      <c r="F73" s="168">
        <v>5</v>
      </c>
      <c r="G73" s="315">
        <v>3</v>
      </c>
      <c r="H73" s="1172">
        <f t="shared" si="3"/>
        <v>60</v>
      </c>
    </row>
    <row r="74" spans="1:12" s="1166" customFormat="1" ht="15" x14ac:dyDescent="0.25">
      <c r="A74" s="50">
        <v>6172</v>
      </c>
      <c r="B74" s="19">
        <v>5161</v>
      </c>
      <c r="C74" s="1179"/>
      <c r="D74" s="1167" t="s">
        <v>324</v>
      </c>
      <c r="E74" s="48">
        <v>1600</v>
      </c>
      <c r="F74" s="462">
        <f>F75+F76+F78</f>
        <v>1342</v>
      </c>
      <c r="G74" s="462">
        <f>G75+G76+G78</f>
        <v>1284</v>
      </c>
      <c r="H74" s="1172">
        <f t="shared" si="3"/>
        <v>95.67809239940388</v>
      </c>
    </row>
    <row r="75" spans="1:12" s="1166" customFormat="1" ht="14.25" x14ac:dyDescent="0.2">
      <c r="A75" s="50"/>
      <c r="B75" s="19"/>
      <c r="C75" s="1179" t="s">
        <v>838</v>
      </c>
      <c r="D75" s="1173" t="s">
        <v>1415</v>
      </c>
      <c r="E75" s="55">
        <v>1600</v>
      </c>
      <c r="F75" s="314">
        <v>1329</v>
      </c>
      <c r="G75" s="316">
        <v>1283</v>
      </c>
      <c r="H75" s="1175">
        <f t="shared" si="3"/>
        <v>96.53875094055681</v>
      </c>
    </row>
    <row r="76" spans="1:12" s="1166" customFormat="1" ht="14.25" x14ac:dyDescent="0.2">
      <c r="A76" s="50"/>
      <c r="B76" s="19"/>
      <c r="C76" s="2708" t="s">
        <v>1524</v>
      </c>
      <c r="D76" s="2706" t="s">
        <v>1525</v>
      </c>
      <c r="E76" s="55"/>
      <c r="F76" s="314">
        <v>12</v>
      </c>
      <c r="G76" s="316">
        <v>0</v>
      </c>
      <c r="H76" s="1175">
        <f t="shared" si="3"/>
        <v>0</v>
      </c>
    </row>
    <row r="77" spans="1:12" s="1166" customFormat="1" ht="14.25" x14ac:dyDescent="0.2">
      <c r="A77" s="50"/>
      <c r="B77" s="19"/>
      <c r="C77" s="2709"/>
      <c r="D77" s="2707"/>
      <c r="E77" s="55"/>
      <c r="F77" s="314"/>
      <c r="G77" s="316"/>
      <c r="H77" s="1175"/>
    </row>
    <row r="78" spans="1:12" s="1166" customFormat="1" ht="14.25" x14ac:dyDescent="0.2">
      <c r="A78" s="50"/>
      <c r="B78" s="19"/>
      <c r="C78" s="2708" t="s">
        <v>1722</v>
      </c>
      <c r="D78" s="2706" t="s">
        <v>1723</v>
      </c>
      <c r="E78" s="55"/>
      <c r="F78" s="314">
        <v>1</v>
      </c>
      <c r="G78" s="316">
        <v>1</v>
      </c>
      <c r="H78" s="1175">
        <f t="shared" si="3"/>
        <v>100</v>
      </c>
    </row>
    <row r="79" spans="1:12" s="1166" customFormat="1" ht="15" x14ac:dyDescent="0.25">
      <c r="A79" s="50"/>
      <c r="B79" s="19"/>
      <c r="C79" s="2709"/>
      <c r="D79" s="2707"/>
      <c r="E79" s="48"/>
      <c r="F79" s="168"/>
      <c r="G79" s="315"/>
      <c r="H79" s="1172"/>
    </row>
    <row r="80" spans="1:12" s="1166" customFormat="1" ht="15" x14ac:dyDescent="0.25">
      <c r="A80" s="50">
        <v>6172</v>
      </c>
      <c r="B80" s="19">
        <v>5162</v>
      </c>
      <c r="C80" s="1179"/>
      <c r="D80" s="1167" t="s">
        <v>967</v>
      </c>
      <c r="E80" s="48">
        <v>2500</v>
      </c>
      <c r="F80" s="462">
        <f>F81+F82</f>
        <v>2033</v>
      </c>
      <c r="G80" s="462">
        <f>G81+G82</f>
        <v>1776</v>
      </c>
      <c r="H80" s="1172">
        <f t="shared" si="3"/>
        <v>87.358583374323658</v>
      </c>
    </row>
    <row r="81" spans="1:12" s="1166" customFormat="1" ht="14.25" x14ac:dyDescent="0.2">
      <c r="A81" s="50"/>
      <c r="B81" s="19"/>
      <c r="C81" s="1179" t="s">
        <v>838</v>
      </c>
      <c r="D81" s="1173" t="s">
        <v>1415</v>
      </c>
      <c r="E81" s="55">
        <v>2500</v>
      </c>
      <c r="F81" s="314">
        <v>2020</v>
      </c>
      <c r="G81" s="316">
        <v>1769</v>
      </c>
      <c r="H81" s="1175">
        <f t="shared" si="3"/>
        <v>87.574257425742573</v>
      </c>
    </row>
    <row r="82" spans="1:12" s="1166" customFormat="1" ht="15" x14ac:dyDescent="0.25">
      <c r="A82" s="50"/>
      <c r="B82" s="19"/>
      <c r="C82" s="1179" t="s">
        <v>332</v>
      </c>
      <c r="D82" s="1174" t="s">
        <v>902</v>
      </c>
      <c r="E82" s="48"/>
      <c r="F82" s="314">
        <v>13</v>
      </c>
      <c r="G82" s="316">
        <v>7</v>
      </c>
      <c r="H82" s="1175">
        <f t="shared" si="3"/>
        <v>53.846153846153847</v>
      </c>
      <c r="J82" s="1201"/>
    </row>
    <row r="83" spans="1:12" s="1166" customFormat="1" ht="15.75" customHeight="1" x14ac:dyDescent="0.25">
      <c r="A83" s="50">
        <v>6172</v>
      </c>
      <c r="B83" s="19">
        <v>5163</v>
      </c>
      <c r="C83" s="1179"/>
      <c r="D83" s="1167" t="s">
        <v>997</v>
      </c>
      <c r="E83" s="48">
        <v>400</v>
      </c>
      <c r="F83" s="1961">
        <v>299</v>
      </c>
      <c r="G83" s="462">
        <v>233</v>
      </c>
      <c r="H83" s="1172">
        <f t="shared" si="3"/>
        <v>77.926421404682273</v>
      </c>
      <c r="J83" s="1201"/>
      <c r="K83" s="1201"/>
      <c r="L83" s="1201"/>
    </row>
    <row r="84" spans="1:12" s="1166" customFormat="1" ht="15" x14ac:dyDescent="0.25">
      <c r="A84" s="50">
        <v>6172</v>
      </c>
      <c r="B84" s="19">
        <v>5164</v>
      </c>
      <c r="C84" s="1179"/>
      <c r="D84" s="1167" t="s">
        <v>998</v>
      </c>
      <c r="E84" s="48">
        <v>17500</v>
      </c>
      <c r="F84" s="462">
        <f>F85+F86+F87</f>
        <v>17298</v>
      </c>
      <c r="G84" s="462">
        <f>G85+G86+G87</f>
        <v>17134</v>
      </c>
      <c r="H84" s="1172">
        <f t="shared" ref="H84:H97" si="4">(G84/F84)*100</f>
        <v>99.051913516013414</v>
      </c>
    </row>
    <row r="85" spans="1:12" s="1166" customFormat="1" ht="14.25" x14ac:dyDescent="0.2">
      <c r="A85" s="50"/>
      <c r="B85" s="19"/>
      <c r="C85" s="1179" t="s">
        <v>838</v>
      </c>
      <c r="D85" s="1173" t="s">
        <v>1415</v>
      </c>
      <c r="E85" s="55">
        <v>17500</v>
      </c>
      <c r="F85" s="314">
        <v>16980</v>
      </c>
      <c r="G85" s="316">
        <v>16825</v>
      </c>
      <c r="H85" s="1175">
        <f t="shared" si="4"/>
        <v>99.08716136631331</v>
      </c>
    </row>
    <row r="86" spans="1:12" s="1166" customFormat="1" ht="15" x14ac:dyDescent="0.25">
      <c r="A86" s="50"/>
      <c r="B86" s="19"/>
      <c r="C86" s="1179" t="s">
        <v>1353</v>
      </c>
      <c r="D86" s="1173" t="s">
        <v>1354</v>
      </c>
      <c r="E86" s="48"/>
      <c r="F86" s="314">
        <v>300</v>
      </c>
      <c r="G86" s="316">
        <v>291</v>
      </c>
      <c r="H86" s="1175">
        <f t="shared" si="4"/>
        <v>97</v>
      </c>
    </row>
    <row r="87" spans="1:12" s="1166" customFormat="1" ht="15" x14ac:dyDescent="0.25">
      <c r="A87" s="50"/>
      <c r="B87" s="19"/>
      <c r="C87" s="2708" t="s">
        <v>1722</v>
      </c>
      <c r="D87" s="2706" t="s">
        <v>1723</v>
      </c>
      <c r="E87" s="48"/>
      <c r="F87" s="314">
        <v>18</v>
      </c>
      <c r="G87" s="316">
        <v>18</v>
      </c>
      <c r="H87" s="1175">
        <f t="shared" si="4"/>
        <v>100</v>
      </c>
    </row>
    <row r="88" spans="1:12" s="1166" customFormat="1" ht="15" x14ac:dyDescent="0.25">
      <c r="A88" s="50"/>
      <c r="B88" s="19"/>
      <c r="C88" s="2709"/>
      <c r="D88" s="2707"/>
      <c r="E88" s="48"/>
      <c r="F88" s="314"/>
      <c r="G88" s="316"/>
      <c r="H88" s="1175"/>
    </row>
    <row r="89" spans="1:12" s="1166" customFormat="1" ht="15" x14ac:dyDescent="0.25">
      <c r="A89" s="50">
        <v>6172</v>
      </c>
      <c r="B89" s="19">
        <v>5166</v>
      </c>
      <c r="C89" s="1179"/>
      <c r="D89" s="128" t="s">
        <v>677</v>
      </c>
      <c r="E89" s="60">
        <v>200</v>
      </c>
      <c r="F89" s="313">
        <v>147</v>
      </c>
      <c r="G89" s="315">
        <v>129</v>
      </c>
      <c r="H89" s="1172">
        <f t="shared" si="4"/>
        <v>87.755102040816325</v>
      </c>
    </row>
    <row r="90" spans="1:12" s="1166" customFormat="1" ht="15" x14ac:dyDescent="0.25">
      <c r="A90" s="50">
        <v>6172</v>
      </c>
      <c r="B90" s="19">
        <v>5167</v>
      </c>
      <c r="C90" s="1179"/>
      <c r="D90" s="1167" t="s">
        <v>1000</v>
      </c>
      <c r="E90" s="48">
        <v>2500</v>
      </c>
      <c r="F90" s="168">
        <v>2100</v>
      </c>
      <c r="G90" s="315">
        <v>2038</v>
      </c>
      <c r="H90" s="1172">
        <f t="shared" si="4"/>
        <v>97.047619047619051</v>
      </c>
    </row>
    <row r="91" spans="1:12" s="1166" customFormat="1" ht="15" x14ac:dyDescent="0.25">
      <c r="A91" s="50">
        <v>6172</v>
      </c>
      <c r="B91" s="19">
        <v>5169</v>
      </c>
      <c r="C91" s="1179"/>
      <c r="D91" s="1167" t="s">
        <v>1295</v>
      </c>
      <c r="E91" s="48">
        <v>13740</v>
      </c>
      <c r="F91" s="462">
        <f>F92+F93+F94</f>
        <v>13614</v>
      </c>
      <c r="G91" s="462">
        <f>G92+G93+G94</f>
        <v>12241</v>
      </c>
      <c r="H91" s="1172">
        <f t="shared" si="4"/>
        <v>89.914793594828851</v>
      </c>
    </row>
    <row r="92" spans="1:12" s="1166" customFormat="1" ht="14.25" x14ac:dyDescent="0.2">
      <c r="A92" s="50"/>
      <c r="B92" s="19"/>
      <c r="C92" s="1179" t="s">
        <v>838</v>
      </c>
      <c r="D92" s="1173" t="s">
        <v>1415</v>
      </c>
      <c r="E92" s="55">
        <v>13740</v>
      </c>
      <c r="F92" s="314">
        <v>13529</v>
      </c>
      <c r="G92" s="316">
        <v>12241</v>
      </c>
      <c r="H92" s="1175">
        <f t="shared" si="4"/>
        <v>90.479710252051149</v>
      </c>
    </row>
    <row r="93" spans="1:12" s="1166" customFormat="1" ht="15" x14ac:dyDescent="0.25">
      <c r="A93" s="50"/>
      <c r="B93" s="19"/>
      <c r="C93" s="1179" t="s">
        <v>1003</v>
      </c>
      <c r="D93" s="1174" t="s">
        <v>737</v>
      </c>
      <c r="E93" s="48"/>
      <c r="F93" s="314">
        <v>37</v>
      </c>
      <c r="G93" s="316">
        <v>0</v>
      </c>
      <c r="H93" s="1175">
        <f t="shared" si="4"/>
        <v>0</v>
      </c>
    </row>
    <row r="94" spans="1:12" s="1166" customFormat="1" ht="15" x14ac:dyDescent="0.25">
      <c r="A94" s="50"/>
      <c r="B94" s="19"/>
      <c r="C94" s="2708" t="s">
        <v>1722</v>
      </c>
      <c r="D94" s="2706" t="s">
        <v>1723</v>
      </c>
      <c r="E94" s="48"/>
      <c r="F94" s="314">
        <v>48</v>
      </c>
      <c r="G94" s="316">
        <v>0</v>
      </c>
      <c r="H94" s="1175">
        <f t="shared" si="4"/>
        <v>0</v>
      </c>
    </row>
    <row r="95" spans="1:12" s="1166" customFormat="1" ht="15" x14ac:dyDescent="0.25">
      <c r="A95" s="50"/>
      <c r="B95" s="19"/>
      <c r="C95" s="2709"/>
      <c r="D95" s="2707"/>
      <c r="E95" s="48"/>
      <c r="F95" s="314"/>
      <c r="G95" s="316"/>
      <c r="H95" s="1175"/>
    </row>
    <row r="96" spans="1:12" s="1166" customFormat="1" ht="15" x14ac:dyDescent="0.25">
      <c r="A96" s="50">
        <v>6172</v>
      </c>
      <c r="B96" s="19">
        <v>5171</v>
      </c>
      <c r="C96" s="1179"/>
      <c r="D96" s="1167" t="s">
        <v>1383</v>
      </c>
      <c r="E96" s="48">
        <v>4000</v>
      </c>
      <c r="F96" s="313">
        <v>3388</v>
      </c>
      <c r="G96" s="315">
        <v>3043</v>
      </c>
      <c r="H96" s="1172">
        <f t="shared" si="4"/>
        <v>89.817001180637547</v>
      </c>
    </row>
    <row r="97" spans="1:11" s="1166" customFormat="1" ht="15" x14ac:dyDescent="0.25">
      <c r="A97" s="50">
        <v>6172</v>
      </c>
      <c r="B97" s="19">
        <v>5173</v>
      </c>
      <c r="C97" s="1179"/>
      <c r="D97" s="1167" t="s">
        <v>1296</v>
      </c>
      <c r="E97" s="48">
        <v>3000</v>
      </c>
      <c r="F97" s="462">
        <f>F98+F99+F100+F102+F103+F104+F105+F106</f>
        <v>3107</v>
      </c>
      <c r="G97" s="462">
        <f>G98+G99+G100+G102+G103+G104+G105+G106</f>
        <v>2463</v>
      </c>
      <c r="H97" s="1172">
        <f t="shared" si="4"/>
        <v>79.272610234953333</v>
      </c>
      <c r="J97" s="1201"/>
      <c r="K97" s="1201"/>
    </row>
    <row r="98" spans="1:11" s="1166" customFormat="1" ht="14.25" x14ac:dyDescent="0.2">
      <c r="A98" s="50"/>
      <c r="B98" s="19"/>
      <c r="C98" s="1179" t="s">
        <v>838</v>
      </c>
      <c r="D98" s="1173" t="s">
        <v>1415</v>
      </c>
      <c r="E98" s="55">
        <v>3000</v>
      </c>
      <c r="F98" s="314">
        <v>2875</v>
      </c>
      <c r="G98" s="316">
        <v>2332</v>
      </c>
      <c r="H98" s="1175">
        <f t="shared" ref="H98:H108" si="5">(G98/F98)*100</f>
        <v>81.113043478260877</v>
      </c>
    </row>
    <row r="99" spans="1:11" s="1166" customFormat="1" ht="14.25" x14ac:dyDescent="0.2">
      <c r="A99" s="50"/>
      <c r="B99" s="19"/>
      <c r="C99" s="1179" t="s">
        <v>332</v>
      </c>
      <c r="D99" s="1174" t="s">
        <v>902</v>
      </c>
      <c r="E99" s="55"/>
      <c r="F99" s="314">
        <v>12</v>
      </c>
      <c r="G99" s="316">
        <v>12</v>
      </c>
      <c r="H99" s="1175">
        <f t="shared" si="5"/>
        <v>100</v>
      </c>
    </row>
    <row r="100" spans="1:11" s="1166" customFormat="1" ht="14.25" x14ac:dyDescent="0.2">
      <c r="A100" s="50"/>
      <c r="B100" s="19"/>
      <c r="C100" s="2708" t="s">
        <v>1722</v>
      </c>
      <c r="D100" s="2706" t="s">
        <v>1723</v>
      </c>
      <c r="E100" s="55"/>
      <c r="F100" s="314">
        <v>1</v>
      </c>
      <c r="G100" s="316">
        <v>1</v>
      </c>
      <c r="H100" s="1175">
        <f t="shared" si="5"/>
        <v>100</v>
      </c>
    </row>
    <row r="101" spans="1:11" s="1166" customFormat="1" ht="14.25" x14ac:dyDescent="0.2">
      <c r="A101" s="50"/>
      <c r="B101" s="19"/>
      <c r="C101" s="2709"/>
      <c r="D101" s="2707"/>
      <c r="E101" s="55"/>
      <c r="F101" s="314"/>
      <c r="G101" s="316"/>
      <c r="H101" s="1175"/>
    </row>
    <row r="102" spans="1:11" s="1166" customFormat="1" ht="14.25" x14ac:dyDescent="0.2">
      <c r="A102" s="50"/>
      <c r="B102" s="19"/>
      <c r="C102" s="1959">
        <v>41100880</v>
      </c>
      <c r="D102" s="1499" t="s">
        <v>1724</v>
      </c>
      <c r="E102" s="55"/>
      <c r="F102" s="314">
        <v>4</v>
      </c>
      <c r="G102" s="316">
        <v>2</v>
      </c>
      <c r="H102" s="1175">
        <f t="shared" si="5"/>
        <v>50</v>
      </c>
    </row>
    <row r="103" spans="1:11" s="1166" customFormat="1" ht="14.25" x14ac:dyDescent="0.2">
      <c r="A103" s="50"/>
      <c r="B103" s="19"/>
      <c r="C103" s="1959">
        <v>41100882</v>
      </c>
      <c r="D103" s="1499" t="s">
        <v>1725</v>
      </c>
      <c r="E103" s="55"/>
      <c r="F103" s="314">
        <v>2</v>
      </c>
      <c r="G103" s="316">
        <v>1</v>
      </c>
      <c r="H103" s="1175">
        <f t="shared" si="5"/>
        <v>50</v>
      </c>
    </row>
    <row r="104" spans="1:11" s="1166" customFormat="1" ht="14.25" x14ac:dyDescent="0.2">
      <c r="A104" s="50"/>
      <c r="B104" s="19"/>
      <c r="C104" s="1959">
        <v>41500881</v>
      </c>
      <c r="D104" s="1174" t="s">
        <v>1726</v>
      </c>
      <c r="E104" s="55"/>
      <c r="F104" s="314">
        <v>33</v>
      </c>
      <c r="G104" s="316">
        <v>20</v>
      </c>
      <c r="H104" s="1175">
        <f t="shared" si="5"/>
        <v>60.606060606060609</v>
      </c>
    </row>
    <row r="105" spans="1:11" s="1166" customFormat="1" ht="14.25" x14ac:dyDescent="0.2">
      <c r="A105" s="50"/>
      <c r="B105" s="19"/>
      <c r="C105" s="1959">
        <v>42100880</v>
      </c>
      <c r="D105" s="1499" t="s">
        <v>1724</v>
      </c>
      <c r="E105" s="55"/>
      <c r="F105" s="314">
        <v>27</v>
      </c>
      <c r="G105" s="316">
        <v>14</v>
      </c>
      <c r="H105" s="1175">
        <f t="shared" si="5"/>
        <v>51.851851851851848</v>
      </c>
    </row>
    <row r="106" spans="1:11" s="1166" customFormat="1" ht="14.25" x14ac:dyDescent="0.2">
      <c r="A106" s="50"/>
      <c r="B106" s="19"/>
      <c r="C106" s="1959">
        <v>42500881</v>
      </c>
      <c r="D106" s="1174" t="s">
        <v>1726</v>
      </c>
      <c r="E106" s="55"/>
      <c r="F106" s="314">
        <v>153</v>
      </c>
      <c r="G106" s="316">
        <v>81</v>
      </c>
      <c r="H106" s="1175">
        <f t="shared" si="5"/>
        <v>52.941176470588239</v>
      </c>
    </row>
    <row r="107" spans="1:11" s="1166" customFormat="1" ht="15" x14ac:dyDescent="0.25">
      <c r="A107" s="50">
        <v>6172</v>
      </c>
      <c r="B107" s="19">
        <v>5175</v>
      </c>
      <c r="C107" s="1179"/>
      <c r="D107" s="1191" t="s">
        <v>740</v>
      </c>
      <c r="E107" s="71">
        <v>500</v>
      </c>
      <c r="F107" s="313">
        <v>500</v>
      </c>
      <c r="G107" s="315">
        <v>456</v>
      </c>
      <c r="H107" s="1172">
        <f t="shared" si="5"/>
        <v>91.2</v>
      </c>
    </row>
    <row r="108" spans="1:11" s="1166" customFormat="1" ht="15" x14ac:dyDescent="0.25">
      <c r="A108" s="50">
        <v>6172</v>
      </c>
      <c r="B108" s="19">
        <v>5176</v>
      </c>
      <c r="C108" s="1179"/>
      <c r="D108" s="1191" t="s">
        <v>1402</v>
      </c>
      <c r="E108" s="71">
        <v>200</v>
      </c>
      <c r="F108" s="313">
        <v>200</v>
      </c>
      <c r="G108" s="315">
        <v>138</v>
      </c>
      <c r="H108" s="1172">
        <f t="shared" si="5"/>
        <v>69</v>
      </c>
    </row>
    <row r="109" spans="1:11" s="1166" customFormat="1" ht="15" x14ac:dyDescent="0.25">
      <c r="A109" s="50">
        <v>6172</v>
      </c>
      <c r="B109" s="19">
        <v>5189</v>
      </c>
      <c r="C109" s="1179"/>
      <c r="D109" s="1167" t="s">
        <v>1154</v>
      </c>
      <c r="E109" s="48">
        <v>20</v>
      </c>
      <c r="F109" s="168">
        <v>20</v>
      </c>
      <c r="G109" s="315">
        <v>0</v>
      </c>
      <c r="H109" s="1172">
        <v>0</v>
      </c>
    </row>
    <row r="110" spans="1:11" s="1166" customFormat="1" ht="15" x14ac:dyDescent="0.25">
      <c r="A110" s="50">
        <v>6172</v>
      </c>
      <c r="B110" s="19">
        <v>5192</v>
      </c>
      <c r="C110" s="1179"/>
      <c r="D110" s="1167" t="s">
        <v>1155</v>
      </c>
      <c r="E110" s="48">
        <v>20</v>
      </c>
      <c r="F110" s="168">
        <v>78</v>
      </c>
      <c r="G110" s="315">
        <v>16</v>
      </c>
      <c r="H110" s="1172">
        <f t="shared" ref="H110:H115" si="6">(G110/F110)*100</f>
        <v>20.512820512820511</v>
      </c>
    </row>
    <row r="111" spans="1:11" s="455" customFormat="1" ht="15" x14ac:dyDescent="0.25">
      <c r="A111" s="1518">
        <v>6172</v>
      </c>
      <c r="B111" s="705">
        <v>5194</v>
      </c>
      <c r="C111" s="578"/>
      <c r="D111" s="382" t="s">
        <v>667</v>
      </c>
      <c r="E111" s="462">
        <v>20</v>
      </c>
      <c r="F111" s="168">
        <v>0</v>
      </c>
      <c r="G111" s="315">
        <v>0</v>
      </c>
      <c r="H111" s="1546">
        <v>0</v>
      </c>
    </row>
    <row r="112" spans="1:11" s="1166" customFormat="1" ht="15" x14ac:dyDescent="0.25">
      <c r="A112" s="50">
        <v>6172</v>
      </c>
      <c r="B112" s="19">
        <v>5323</v>
      </c>
      <c r="C112" s="1179"/>
      <c r="D112" s="1167" t="s">
        <v>242</v>
      </c>
      <c r="E112" s="48">
        <v>70</v>
      </c>
      <c r="F112" s="168">
        <v>20</v>
      </c>
      <c r="G112" s="315">
        <v>20</v>
      </c>
      <c r="H112" s="1172">
        <f t="shared" si="6"/>
        <v>100</v>
      </c>
    </row>
    <row r="113" spans="1:12" s="1166" customFormat="1" ht="15" x14ac:dyDescent="0.25">
      <c r="A113" s="50">
        <v>6172</v>
      </c>
      <c r="B113" s="19">
        <v>5361</v>
      </c>
      <c r="C113" s="1179"/>
      <c r="D113" s="1167" t="s">
        <v>668</v>
      </c>
      <c r="E113" s="48">
        <v>100</v>
      </c>
      <c r="F113" s="168">
        <v>100</v>
      </c>
      <c r="G113" s="315">
        <v>85</v>
      </c>
      <c r="H113" s="1172">
        <f t="shared" si="6"/>
        <v>85</v>
      </c>
    </row>
    <row r="114" spans="1:12" s="1166" customFormat="1" ht="15" x14ac:dyDescent="0.25">
      <c r="A114" s="50">
        <v>6172</v>
      </c>
      <c r="B114" s="19">
        <v>5362</v>
      </c>
      <c r="C114" s="1179"/>
      <c r="D114" s="1167" t="s">
        <v>669</v>
      </c>
      <c r="E114" s="48">
        <v>50</v>
      </c>
      <c r="F114" s="168">
        <v>54</v>
      </c>
      <c r="G114" s="315">
        <v>51</v>
      </c>
      <c r="H114" s="1172">
        <f t="shared" si="6"/>
        <v>94.444444444444443</v>
      </c>
    </row>
    <row r="115" spans="1:12" s="1166" customFormat="1" ht="15" x14ac:dyDescent="0.25">
      <c r="A115" s="50">
        <v>6172</v>
      </c>
      <c r="B115" s="19">
        <v>5424</v>
      </c>
      <c r="C115" s="1179"/>
      <c r="D115" s="1167" t="s">
        <v>720</v>
      </c>
      <c r="E115" s="48">
        <v>1000</v>
      </c>
      <c r="F115" s="168">
        <v>1006</v>
      </c>
      <c r="G115" s="315">
        <v>844</v>
      </c>
      <c r="H115" s="1172">
        <f t="shared" si="6"/>
        <v>83.896620278330019</v>
      </c>
    </row>
    <row r="116" spans="1:12" s="1166" customFormat="1" ht="15" x14ac:dyDescent="0.25">
      <c r="A116" s="50">
        <v>6172</v>
      </c>
      <c r="B116" s="19">
        <v>5499</v>
      </c>
      <c r="C116" s="1179"/>
      <c r="D116" s="576" t="s">
        <v>412</v>
      </c>
      <c r="E116" s="48"/>
      <c r="F116" s="168"/>
      <c r="G116" s="315">
        <v>202</v>
      </c>
      <c r="H116" s="1172"/>
    </row>
    <row r="117" spans="1:12" s="1166" customFormat="1" ht="15.75" thickBot="1" x14ac:dyDescent="0.3">
      <c r="A117" s="1186">
        <v>6330</v>
      </c>
      <c r="B117" s="1193">
        <v>5342</v>
      </c>
      <c r="C117" s="1192"/>
      <c r="D117" s="1187" t="s">
        <v>370</v>
      </c>
      <c r="E117" s="1194">
        <v>5950</v>
      </c>
      <c r="F117" s="459">
        <v>5950</v>
      </c>
      <c r="G117" s="458">
        <v>5369</v>
      </c>
      <c r="H117" s="1468">
        <f>(G117/F117)*100</f>
        <v>90.235294117647058</v>
      </c>
      <c r="J117" s="1200">
        <f>E73+E74+E80+E83+E84+E89+E90+E91+E96+E97+E107+E108+E109+E110+E111+E112+E113+E114+E115+E117</f>
        <v>53375</v>
      </c>
      <c r="K117" s="1200">
        <f>F73+F74+F80+F83+F84+F89+F90+F91+F96+F97+F107+F108+F109+F110+F111+F112+F113+F114+F115+F117</f>
        <v>51261</v>
      </c>
      <c r="L117" s="1200">
        <f>G73+G74+G80+G83+G84+G89+G90+G91+G96+G97+G107+G108+G109+G110+G111+G112+G113+G114+G115+G116+G117</f>
        <v>47525</v>
      </c>
    </row>
    <row r="118" spans="1:12" s="362" customFormat="1" ht="35.25" customHeight="1" thickTop="1" thickBot="1" x14ac:dyDescent="0.3">
      <c r="A118" s="720" t="s">
        <v>268</v>
      </c>
      <c r="B118" s="1473"/>
      <c r="C118" s="1180"/>
      <c r="D118" s="721"/>
      <c r="E118" s="723">
        <f>J117+J69</f>
        <v>297031</v>
      </c>
      <c r="F118" s="723">
        <f>K117+K69</f>
        <v>298863</v>
      </c>
      <c r="G118" s="723">
        <f>L117+L69</f>
        <v>288810</v>
      </c>
      <c r="H118" s="1112">
        <f>(G118/F118)*100</f>
        <v>96.636251392778632</v>
      </c>
    </row>
    <row r="119" spans="1:12" ht="15.75" thickTop="1" x14ac:dyDescent="0.25">
      <c r="A119" s="803"/>
      <c r="B119" s="139"/>
      <c r="C119" s="1113"/>
      <c r="D119" s="803"/>
      <c r="E119" s="181"/>
      <c r="F119" s="953"/>
      <c r="G119" s="168"/>
      <c r="H119" s="1073"/>
    </row>
    <row r="120" spans="1:12" ht="15" x14ac:dyDescent="0.25">
      <c r="A120" s="803"/>
      <c r="B120" s="139"/>
      <c r="C120" s="1113"/>
      <c r="D120" s="803"/>
      <c r="E120" s="181"/>
      <c r="F120" s="181"/>
      <c r="G120" s="181"/>
      <c r="H120" s="1073"/>
    </row>
    <row r="121" spans="1:12" ht="15" x14ac:dyDescent="0.25">
      <c r="A121" s="803"/>
      <c r="B121" s="139"/>
      <c r="C121" s="1113"/>
      <c r="D121" s="803"/>
      <c r="E121" s="181"/>
      <c r="F121" s="181"/>
      <c r="G121" s="181"/>
      <c r="H121" s="1073"/>
    </row>
    <row r="122" spans="1:12" ht="18" x14ac:dyDescent="0.25">
      <c r="A122" s="33" t="s">
        <v>1403</v>
      </c>
      <c r="B122" s="28"/>
      <c r="C122" s="10"/>
      <c r="D122" s="139"/>
      <c r="E122" s="137"/>
      <c r="F122" s="16"/>
      <c r="G122" s="17"/>
      <c r="H122" s="374"/>
    </row>
    <row r="123" spans="1:12" ht="13.5" thickBot="1" x14ac:dyDescent="0.25">
      <c r="A123" s="655"/>
      <c r="B123" s="655"/>
      <c r="C123" s="656"/>
      <c r="F123" s="1014"/>
      <c r="H123" s="1411" t="s">
        <v>179</v>
      </c>
    </row>
    <row r="124" spans="1:12" s="107" customFormat="1" ht="20.25" customHeight="1" thickTop="1" thickBot="1" x14ac:dyDescent="0.25">
      <c r="A124" s="657" t="s">
        <v>180</v>
      </c>
      <c r="B124" s="658" t="s">
        <v>181</v>
      </c>
      <c r="C124" s="660" t="s">
        <v>783</v>
      </c>
      <c r="D124" s="835" t="s">
        <v>182</v>
      </c>
      <c r="E124" s="835" t="s">
        <v>183</v>
      </c>
      <c r="F124" s="835" t="s">
        <v>985</v>
      </c>
      <c r="G124" s="835" t="s">
        <v>986</v>
      </c>
      <c r="H124" s="661" t="s">
        <v>987</v>
      </c>
    </row>
    <row r="125" spans="1:12" s="386" customFormat="1" ht="13.5" thickTop="1" thickBot="1" x14ac:dyDescent="0.25">
      <c r="A125" s="592">
        <v>1</v>
      </c>
      <c r="B125" s="593">
        <v>2</v>
      </c>
      <c r="C125" s="593">
        <v>3</v>
      </c>
      <c r="D125" s="593">
        <v>4</v>
      </c>
      <c r="E125" s="593">
        <v>5</v>
      </c>
      <c r="F125" s="567">
        <v>6</v>
      </c>
      <c r="G125" s="567">
        <v>7</v>
      </c>
      <c r="H125" s="662" t="s">
        <v>61</v>
      </c>
      <c r="I125" s="107"/>
    </row>
    <row r="126" spans="1:12" s="1166" customFormat="1" ht="15.75" thickTop="1" x14ac:dyDescent="0.25">
      <c r="A126" s="222">
        <v>6172</v>
      </c>
      <c r="B126" s="1170">
        <v>6121</v>
      </c>
      <c r="C126" s="1196"/>
      <c r="D126" s="1229" t="s">
        <v>671</v>
      </c>
      <c r="E126" s="1182">
        <v>1000</v>
      </c>
      <c r="F126" s="1460">
        <v>1180</v>
      </c>
      <c r="G126" s="372">
        <v>380</v>
      </c>
      <c r="H126" s="1471">
        <f>(G126/F126)*100</f>
        <v>32.20338983050847</v>
      </c>
      <c r="J126" s="1200"/>
      <c r="K126" s="1200"/>
    </row>
    <row r="127" spans="1:12" s="1166" customFormat="1" ht="14.25" x14ac:dyDescent="0.2">
      <c r="A127" s="50"/>
      <c r="B127" s="19"/>
      <c r="C127" s="1179" t="s">
        <v>838</v>
      </c>
      <c r="D127" s="1173" t="s">
        <v>1415</v>
      </c>
      <c r="E127" s="55">
        <v>0</v>
      </c>
      <c r="F127" s="314">
        <v>180</v>
      </c>
      <c r="G127" s="316">
        <v>126</v>
      </c>
      <c r="H127" s="1175">
        <f t="shared" ref="H127:H128" si="7">(G127/F127)*100</f>
        <v>70</v>
      </c>
      <c r="J127" s="1200"/>
      <c r="K127" s="1200"/>
    </row>
    <row r="128" spans="1:12" s="1166" customFormat="1" ht="14.25" x14ac:dyDescent="0.2">
      <c r="A128" s="50"/>
      <c r="B128" s="19"/>
      <c r="C128" s="1179" t="s">
        <v>1536</v>
      </c>
      <c r="D128" s="1955" t="s">
        <v>1537</v>
      </c>
      <c r="E128" s="55">
        <v>1000</v>
      </c>
      <c r="F128" s="314">
        <v>1000</v>
      </c>
      <c r="G128" s="316">
        <v>254</v>
      </c>
      <c r="H128" s="1175">
        <f t="shared" si="7"/>
        <v>25.4</v>
      </c>
      <c r="J128" s="1200"/>
      <c r="K128" s="1200"/>
    </row>
    <row r="129" spans="1:11" s="1166" customFormat="1" ht="15" x14ac:dyDescent="0.25">
      <c r="A129" s="50">
        <v>6172</v>
      </c>
      <c r="B129" s="19">
        <v>6122</v>
      </c>
      <c r="C129" s="1179"/>
      <c r="D129" s="1167" t="s">
        <v>672</v>
      </c>
      <c r="E129" s="48">
        <v>200</v>
      </c>
      <c r="F129" s="168">
        <v>300</v>
      </c>
      <c r="G129" s="315">
        <v>127</v>
      </c>
      <c r="H129" s="1172">
        <f>(G129/F129)*100</f>
        <v>42.333333333333336</v>
      </c>
      <c r="J129" s="1200"/>
      <c r="K129" s="1200"/>
    </row>
    <row r="130" spans="1:11" s="1166" customFormat="1" ht="14.25" x14ac:dyDescent="0.2">
      <c r="A130" s="50"/>
      <c r="B130" s="19"/>
      <c r="C130" s="1179" t="s">
        <v>838</v>
      </c>
      <c r="D130" s="1173" t="s">
        <v>1415</v>
      </c>
      <c r="E130" s="55">
        <v>0</v>
      </c>
      <c r="F130" s="314">
        <v>100</v>
      </c>
      <c r="G130" s="316">
        <v>33</v>
      </c>
      <c r="H130" s="1175">
        <f t="shared" ref="H130:H131" si="8">(G130/F130)*100</f>
        <v>33</v>
      </c>
      <c r="J130" s="1200"/>
      <c r="K130" s="1200"/>
    </row>
    <row r="131" spans="1:11" s="1166" customFormat="1" ht="14.25" x14ac:dyDescent="0.2">
      <c r="A131" s="50"/>
      <c r="B131" s="19"/>
      <c r="C131" s="1179" t="s">
        <v>1536</v>
      </c>
      <c r="D131" s="1955" t="s">
        <v>1537</v>
      </c>
      <c r="E131" s="55">
        <v>200</v>
      </c>
      <c r="F131" s="314">
        <v>200</v>
      </c>
      <c r="G131" s="316">
        <v>94</v>
      </c>
      <c r="H131" s="1175">
        <f t="shared" si="8"/>
        <v>47</v>
      </c>
      <c r="J131" s="1200"/>
      <c r="K131" s="1200"/>
    </row>
    <row r="132" spans="1:11" s="1166" customFormat="1" ht="15" x14ac:dyDescent="0.25">
      <c r="A132" s="50">
        <v>6172</v>
      </c>
      <c r="B132" s="19">
        <v>6123</v>
      </c>
      <c r="C132" s="1179"/>
      <c r="D132" s="1167" t="s">
        <v>1384</v>
      </c>
      <c r="E132" s="48">
        <v>1000</v>
      </c>
      <c r="F132" s="168">
        <v>1000</v>
      </c>
      <c r="G132" s="315">
        <v>0</v>
      </c>
      <c r="H132" s="1172">
        <f>(G132/F132)*100</f>
        <v>0</v>
      </c>
      <c r="J132" s="1200"/>
      <c r="K132" s="1200"/>
    </row>
    <row r="133" spans="1:11" s="1166" customFormat="1" ht="15" thickBot="1" x14ac:dyDescent="0.25">
      <c r="A133" s="1206"/>
      <c r="B133" s="1199"/>
      <c r="C133" s="1179" t="s">
        <v>1536</v>
      </c>
      <c r="D133" s="1955" t="s">
        <v>1537</v>
      </c>
      <c r="E133" s="55">
        <v>1000</v>
      </c>
      <c r="F133" s="314">
        <v>1000</v>
      </c>
      <c r="G133" s="316">
        <v>0</v>
      </c>
      <c r="H133" s="1175">
        <f>(G133/F133)*100</f>
        <v>0</v>
      </c>
      <c r="J133" s="1200"/>
      <c r="K133" s="1200"/>
    </row>
    <row r="134" spans="1:11" s="362" customFormat="1" ht="35.25" customHeight="1" thickTop="1" thickBot="1" x14ac:dyDescent="0.3">
      <c r="A134" s="663" t="s">
        <v>267</v>
      </c>
      <c r="B134" s="666"/>
      <c r="C134" s="665"/>
      <c r="D134" s="666"/>
      <c r="E134" s="667">
        <f>E126+E129+E132</f>
        <v>2200</v>
      </c>
      <c r="F134" s="667">
        <f>F126+F129+F132</f>
        <v>2480</v>
      </c>
      <c r="G134" s="667">
        <f>G126+G129+G132</f>
        <v>507</v>
      </c>
      <c r="H134" s="1114">
        <f>(G134/F134)*100</f>
        <v>20.443548387096776</v>
      </c>
    </row>
    <row r="135" spans="1:11" ht="13.5" thickTop="1" x14ac:dyDescent="0.2">
      <c r="A135" s="655"/>
      <c r="B135" s="1021"/>
      <c r="C135" s="1086"/>
    </row>
    <row r="136" spans="1:11" x14ac:dyDescent="0.2">
      <c r="A136" s="655"/>
      <c r="B136" s="1021"/>
      <c r="C136" s="1086"/>
    </row>
    <row r="137" spans="1:11" x14ac:dyDescent="0.2">
      <c r="A137" s="655"/>
      <c r="B137" s="1021"/>
      <c r="C137" s="1086"/>
    </row>
    <row r="138" spans="1:11" s="693" customFormat="1" ht="16.5" x14ac:dyDescent="0.25">
      <c r="A138" s="363" t="s">
        <v>529</v>
      </c>
      <c r="B138" s="364"/>
      <c r="C138" s="365"/>
      <c r="D138" s="365"/>
      <c r="E138" s="1110">
        <f>E139+E140+E141+E142+E143</f>
        <v>299231</v>
      </c>
      <c r="F138" s="1110">
        <f>F139+F140+F141+F142+F143</f>
        <v>301343</v>
      </c>
      <c r="G138" s="1110">
        <f>G139+G140+G141+G142+G143</f>
        <v>289317</v>
      </c>
      <c r="H138" s="1115">
        <f>G138/F138*100</f>
        <v>96.009198819949361</v>
      </c>
    </row>
    <row r="139" spans="1:11" s="693" customFormat="1" ht="15" x14ac:dyDescent="0.2">
      <c r="A139" s="581" t="s">
        <v>288</v>
      </c>
      <c r="B139" s="611"/>
      <c r="C139" s="612"/>
      <c r="D139" s="612"/>
      <c r="E139" s="1111">
        <f>E118-E117</f>
        <v>291081</v>
      </c>
      <c r="F139" s="1111">
        <f>F118-F141-F117</f>
        <v>291797</v>
      </c>
      <c r="G139" s="1111">
        <f>G118-G141-G117</f>
        <v>282497</v>
      </c>
      <c r="H139" s="1116">
        <f>G139/F139*100</f>
        <v>96.812852770933219</v>
      </c>
    </row>
    <row r="140" spans="1:11" s="693" customFormat="1" ht="15" x14ac:dyDescent="0.2">
      <c r="A140" s="581" t="s">
        <v>289</v>
      </c>
      <c r="B140" s="616"/>
      <c r="C140" s="612"/>
      <c r="D140" s="612"/>
      <c r="E140" s="1010">
        <f>E134</f>
        <v>2200</v>
      </c>
      <c r="F140" s="1010">
        <f>F134</f>
        <v>2480</v>
      </c>
      <c r="G140" s="1010">
        <f>G134</f>
        <v>507</v>
      </c>
      <c r="H140" s="1116">
        <f>G140/F140*100</f>
        <v>20.443548387096776</v>
      </c>
    </row>
    <row r="141" spans="1:11" s="693" customFormat="1" ht="15" x14ac:dyDescent="0.2">
      <c r="A141" s="581" t="s">
        <v>227</v>
      </c>
      <c r="B141" s="616"/>
      <c r="C141" s="612"/>
      <c r="D141" s="612"/>
      <c r="E141" s="618">
        <v>0</v>
      </c>
      <c r="F141" s="614">
        <f>F11+F13+F15+F18+F19+F20+F21+F27+F38+F39+F40+F41+F45+F46+F47+F56+F64+F65+F78+F82+F87+F93+F94+F99+F100</f>
        <v>1116</v>
      </c>
      <c r="G141" s="614">
        <f>G11+G13+G15+G18+G19+G20+G21+G27+G38+G39+G40+G41+G45+G46+G47+G56+G64+G65+G78+G82+G87+G93+G94+G99+G100</f>
        <v>944</v>
      </c>
      <c r="H141" s="1116">
        <f>G141/F141*100</f>
        <v>84.587813620071685</v>
      </c>
    </row>
    <row r="142" spans="1:11" s="693" customFormat="1" ht="15" x14ac:dyDescent="0.2">
      <c r="A142" s="581" t="s">
        <v>1291</v>
      </c>
      <c r="B142" s="616"/>
      <c r="C142" s="612"/>
      <c r="D142" s="612"/>
      <c r="E142" s="618">
        <v>0</v>
      </c>
      <c r="F142" s="618">
        <v>0</v>
      </c>
      <c r="G142" s="618">
        <v>0</v>
      </c>
      <c r="H142" s="1116">
        <v>0</v>
      </c>
    </row>
    <row r="143" spans="1:11" s="693" customFormat="1" ht="15" x14ac:dyDescent="0.2">
      <c r="A143" s="581" t="s">
        <v>509</v>
      </c>
      <c r="B143" s="616"/>
      <c r="C143" s="612"/>
      <c r="D143" s="612"/>
      <c r="E143" s="618">
        <f>SUM(E117)</f>
        <v>5950</v>
      </c>
      <c r="F143" s="618">
        <f>SUM(F117)</f>
        <v>5950</v>
      </c>
      <c r="G143" s="618">
        <f>SUM(G117)</f>
        <v>5369</v>
      </c>
      <c r="H143" s="1116">
        <f>G143/F143*100</f>
        <v>90.235294117647058</v>
      </c>
    </row>
    <row r="144" spans="1:11" x14ac:dyDescent="0.2">
      <c r="A144" s="655"/>
      <c r="B144" s="1021"/>
      <c r="C144" s="1086"/>
    </row>
    <row r="145" spans="1:8" s="58" customFormat="1" ht="47.25" customHeight="1" thickBot="1" x14ac:dyDescent="0.4">
      <c r="A145" s="674" t="s">
        <v>1336</v>
      </c>
      <c r="B145" s="675"/>
      <c r="C145" s="676"/>
      <c r="D145" s="677"/>
      <c r="E145" s="619">
        <f>SUM(E118,E134)</f>
        <v>299231</v>
      </c>
      <c r="F145" s="619">
        <f>SUM(F118,F134)</f>
        <v>301343</v>
      </c>
      <c r="G145" s="619">
        <f>SUM(G118,G134)</f>
        <v>289317</v>
      </c>
      <c r="H145" s="620">
        <f>(G145/F145)*100</f>
        <v>96.009198819949361</v>
      </c>
    </row>
    <row r="146" spans="1:8" ht="13.5" thickTop="1" x14ac:dyDescent="0.2">
      <c r="E146" s="1962"/>
      <c r="F146" s="1962"/>
    </row>
  </sheetData>
  <mergeCells count="22">
    <mergeCell ref="C94:C95"/>
    <mergeCell ref="D94:D95"/>
    <mergeCell ref="C100:C101"/>
    <mergeCell ref="D100:D101"/>
    <mergeCell ref="C76:C77"/>
    <mergeCell ref="D76:D77"/>
    <mergeCell ref="C78:C79"/>
    <mergeCell ref="D78:D79"/>
    <mergeCell ref="C87:C88"/>
    <mergeCell ref="D87:D88"/>
    <mergeCell ref="C47:C48"/>
    <mergeCell ref="D47:D48"/>
    <mergeCell ref="C56:C57"/>
    <mergeCell ref="D56:D57"/>
    <mergeCell ref="C65:C66"/>
    <mergeCell ref="D65:D66"/>
    <mergeCell ref="D25:D26"/>
    <mergeCell ref="C25:C26"/>
    <mergeCell ref="D21:D22"/>
    <mergeCell ref="C21:C22"/>
    <mergeCell ref="C41:C42"/>
    <mergeCell ref="D41:D42"/>
  </mergeCells>
  <phoneticPr fontId="0" type="noConversion"/>
  <pageMargins left="0.98425196850393704" right="0.98425196850393704" top="0.98425196850393704" bottom="0.98425196850393704" header="0.51181102362204722" footer="0.51181102362204722"/>
  <pageSetup paperSize="9" scale="70" firstPageNumber="33" orientation="portrait" useFirstPageNumber="1" r:id="rId1"/>
  <headerFooter alignWithMargins="0">
    <oddFooter xml:space="preserve">&amp;L&amp;"Arial,Kurzíva"Zastupitelstvo Olomouckého kraje 28. 6. 2013
6.- Závěrečný  účet Olomuckého kraje za rok 2012
Příloha č. 3: Plnění rozpočtu výdajů Olomouckého kraje k 31.12.2012&amp;R&amp;"Arial,Kurzíva"Strana &amp;P (Celkem 484)
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308"/>
  <sheetViews>
    <sheetView showGridLines="0" view="pageBreakPreview" topLeftCell="A153" zoomScaleNormal="100" zoomScaleSheetLayoutView="100" workbookViewId="0">
      <selection activeCell="B35" sqref="B35"/>
    </sheetView>
  </sheetViews>
  <sheetFormatPr defaultRowHeight="12.75" x14ac:dyDescent="0.2"/>
  <cols>
    <col min="1" max="1" width="5.7109375" style="2130" customWidth="1"/>
    <col min="2" max="2" width="6.7109375" style="2130" customWidth="1"/>
    <col min="3" max="3" width="8.85546875" style="2130" customWidth="1"/>
    <col min="4" max="4" width="46.85546875" style="2131" customWidth="1"/>
    <col min="5" max="5" width="12.85546875" style="2165" customWidth="1"/>
    <col min="6" max="6" width="15.5703125" style="2165" customWidth="1"/>
    <col min="7" max="7" width="15.85546875" style="2165" customWidth="1"/>
    <col min="8" max="8" width="8.140625" style="2131" customWidth="1"/>
    <col min="9" max="9" width="14.28515625" style="2131" bestFit="1" customWidth="1"/>
    <col min="10" max="10" width="14.7109375" style="2131" bestFit="1" customWidth="1"/>
    <col min="11" max="11" width="16" style="2131" bestFit="1" customWidth="1"/>
    <col min="12" max="12" width="15.5703125" style="2131" customWidth="1"/>
    <col min="13" max="256" width="9.140625" style="2131"/>
    <col min="257" max="257" width="5.7109375" style="2131" customWidth="1"/>
    <col min="258" max="258" width="6.7109375" style="2131" customWidth="1"/>
    <col min="259" max="259" width="8.85546875" style="2131" customWidth="1"/>
    <col min="260" max="260" width="46.42578125" style="2131" customWidth="1"/>
    <col min="261" max="261" width="12.85546875" style="2131" customWidth="1"/>
    <col min="262" max="262" width="15.5703125" style="2131" customWidth="1"/>
    <col min="263" max="263" width="15.85546875" style="2131" customWidth="1"/>
    <col min="264" max="264" width="6.42578125" style="2131" customWidth="1"/>
    <col min="265" max="265" width="14.28515625" style="2131" bestFit="1" customWidth="1"/>
    <col min="266" max="266" width="14.7109375" style="2131" bestFit="1" customWidth="1"/>
    <col min="267" max="267" width="16" style="2131" bestFit="1" customWidth="1"/>
    <col min="268" max="268" width="15.5703125" style="2131" customWidth="1"/>
    <col min="269" max="512" width="9.140625" style="2131"/>
    <col min="513" max="513" width="5.7109375" style="2131" customWidth="1"/>
    <col min="514" max="514" width="6.7109375" style="2131" customWidth="1"/>
    <col min="515" max="515" width="8.85546875" style="2131" customWidth="1"/>
    <col min="516" max="516" width="46.42578125" style="2131" customWidth="1"/>
    <col min="517" max="517" width="12.85546875" style="2131" customWidth="1"/>
    <col min="518" max="518" width="15.5703125" style="2131" customWidth="1"/>
    <col min="519" max="519" width="15.85546875" style="2131" customWidth="1"/>
    <col min="520" max="520" width="6.42578125" style="2131" customWidth="1"/>
    <col min="521" max="521" width="14.28515625" style="2131" bestFit="1" customWidth="1"/>
    <col min="522" max="522" width="14.7109375" style="2131" bestFit="1" customWidth="1"/>
    <col min="523" max="523" width="16" style="2131" bestFit="1" customWidth="1"/>
    <col min="524" max="524" width="15.5703125" style="2131" customWidth="1"/>
    <col min="525" max="768" width="9.140625" style="2131"/>
    <col min="769" max="769" width="5.7109375" style="2131" customWidth="1"/>
    <col min="770" max="770" width="6.7109375" style="2131" customWidth="1"/>
    <col min="771" max="771" width="8.85546875" style="2131" customWidth="1"/>
    <col min="772" max="772" width="46.42578125" style="2131" customWidth="1"/>
    <col min="773" max="773" width="12.85546875" style="2131" customWidth="1"/>
    <col min="774" max="774" width="15.5703125" style="2131" customWidth="1"/>
    <col min="775" max="775" width="15.85546875" style="2131" customWidth="1"/>
    <col min="776" max="776" width="6.42578125" style="2131" customWidth="1"/>
    <col min="777" max="777" width="14.28515625" style="2131" bestFit="1" customWidth="1"/>
    <col min="778" max="778" width="14.7109375" style="2131" bestFit="1" customWidth="1"/>
    <col min="779" max="779" width="16" style="2131" bestFit="1" customWidth="1"/>
    <col min="780" max="780" width="15.5703125" style="2131" customWidth="1"/>
    <col min="781" max="1024" width="9.140625" style="2131"/>
    <col min="1025" max="1025" width="5.7109375" style="2131" customWidth="1"/>
    <col min="1026" max="1026" width="6.7109375" style="2131" customWidth="1"/>
    <col min="1027" max="1027" width="8.85546875" style="2131" customWidth="1"/>
    <col min="1028" max="1028" width="46.42578125" style="2131" customWidth="1"/>
    <col min="1029" max="1029" width="12.85546875" style="2131" customWidth="1"/>
    <col min="1030" max="1030" width="15.5703125" style="2131" customWidth="1"/>
    <col min="1031" max="1031" width="15.85546875" style="2131" customWidth="1"/>
    <col min="1032" max="1032" width="6.42578125" style="2131" customWidth="1"/>
    <col min="1033" max="1033" width="14.28515625" style="2131" bestFit="1" customWidth="1"/>
    <col min="1034" max="1034" width="14.7109375" style="2131" bestFit="1" customWidth="1"/>
    <col min="1035" max="1035" width="16" style="2131" bestFit="1" customWidth="1"/>
    <col min="1036" max="1036" width="15.5703125" style="2131" customWidth="1"/>
    <col min="1037" max="1280" width="9.140625" style="2131"/>
    <col min="1281" max="1281" width="5.7109375" style="2131" customWidth="1"/>
    <col min="1282" max="1282" width="6.7109375" style="2131" customWidth="1"/>
    <col min="1283" max="1283" width="8.85546875" style="2131" customWidth="1"/>
    <col min="1284" max="1284" width="46.42578125" style="2131" customWidth="1"/>
    <col min="1285" max="1285" width="12.85546875" style="2131" customWidth="1"/>
    <col min="1286" max="1286" width="15.5703125" style="2131" customWidth="1"/>
    <col min="1287" max="1287" width="15.85546875" style="2131" customWidth="1"/>
    <col min="1288" max="1288" width="6.42578125" style="2131" customWidth="1"/>
    <col min="1289" max="1289" width="14.28515625" style="2131" bestFit="1" customWidth="1"/>
    <col min="1290" max="1290" width="14.7109375" style="2131" bestFit="1" customWidth="1"/>
    <col min="1291" max="1291" width="16" style="2131" bestFit="1" customWidth="1"/>
    <col min="1292" max="1292" width="15.5703125" style="2131" customWidth="1"/>
    <col min="1293" max="1536" width="9.140625" style="2131"/>
    <col min="1537" max="1537" width="5.7109375" style="2131" customWidth="1"/>
    <col min="1538" max="1538" width="6.7109375" style="2131" customWidth="1"/>
    <col min="1539" max="1539" width="8.85546875" style="2131" customWidth="1"/>
    <col min="1540" max="1540" width="46.42578125" style="2131" customWidth="1"/>
    <col min="1541" max="1541" width="12.85546875" style="2131" customWidth="1"/>
    <col min="1542" max="1542" width="15.5703125" style="2131" customWidth="1"/>
    <col min="1543" max="1543" width="15.85546875" style="2131" customWidth="1"/>
    <col min="1544" max="1544" width="6.42578125" style="2131" customWidth="1"/>
    <col min="1545" max="1545" width="14.28515625" style="2131" bestFit="1" customWidth="1"/>
    <col min="1546" max="1546" width="14.7109375" style="2131" bestFit="1" customWidth="1"/>
    <col min="1547" max="1547" width="16" style="2131" bestFit="1" customWidth="1"/>
    <col min="1548" max="1548" width="15.5703125" style="2131" customWidth="1"/>
    <col min="1549" max="1792" width="9.140625" style="2131"/>
    <col min="1793" max="1793" width="5.7109375" style="2131" customWidth="1"/>
    <col min="1794" max="1794" width="6.7109375" style="2131" customWidth="1"/>
    <col min="1795" max="1795" width="8.85546875" style="2131" customWidth="1"/>
    <col min="1796" max="1796" width="46.42578125" style="2131" customWidth="1"/>
    <col min="1797" max="1797" width="12.85546875" style="2131" customWidth="1"/>
    <col min="1798" max="1798" width="15.5703125" style="2131" customWidth="1"/>
    <col min="1799" max="1799" width="15.85546875" style="2131" customWidth="1"/>
    <col min="1800" max="1800" width="6.42578125" style="2131" customWidth="1"/>
    <col min="1801" max="1801" width="14.28515625" style="2131" bestFit="1" customWidth="1"/>
    <col min="1802" max="1802" width="14.7109375" style="2131" bestFit="1" customWidth="1"/>
    <col min="1803" max="1803" width="16" style="2131" bestFit="1" customWidth="1"/>
    <col min="1804" max="1804" width="15.5703125" style="2131" customWidth="1"/>
    <col min="1805" max="2048" width="9.140625" style="2131"/>
    <col min="2049" max="2049" width="5.7109375" style="2131" customWidth="1"/>
    <col min="2050" max="2050" width="6.7109375" style="2131" customWidth="1"/>
    <col min="2051" max="2051" width="8.85546875" style="2131" customWidth="1"/>
    <col min="2052" max="2052" width="46.42578125" style="2131" customWidth="1"/>
    <col min="2053" max="2053" width="12.85546875" style="2131" customWidth="1"/>
    <col min="2054" max="2054" width="15.5703125" style="2131" customWidth="1"/>
    <col min="2055" max="2055" width="15.85546875" style="2131" customWidth="1"/>
    <col min="2056" max="2056" width="6.42578125" style="2131" customWidth="1"/>
    <col min="2057" max="2057" width="14.28515625" style="2131" bestFit="1" customWidth="1"/>
    <col min="2058" max="2058" width="14.7109375" style="2131" bestFit="1" customWidth="1"/>
    <col min="2059" max="2059" width="16" style="2131" bestFit="1" customWidth="1"/>
    <col min="2060" max="2060" width="15.5703125" style="2131" customWidth="1"/>
    <col min="2061" max="2304" width="9.140625" style="2131"/>
    <col min="2305" max="2305" width="5.7109375" style="2131" customWidth="1"/>
    <col min="2306" max="2306" width="6.7109375" style="2131" customWidth="1"/>
    <col min="2307" max="2307" width="8.85546875" style="2131" customWidth="1"/>
    <col min="2308" max="2308" width="46.42578125" style="2131" customWidth="1"/>
    <col min="2309" max="2309" width="12.85546875" style="2131" customWidth="1"/>
    <col min="2310" max="2310" width="15.5703125" style="2131" customWidth="1"/>
    <col min="2311" max="2311" width="15.85546875" style="2131" customWidth="1"/>
    <col min="2312" max="2312" width="6.42578125" style="2131" customWidth="1"/>
    <col min="2313" max="2313" width="14.28515625" style="2131" bestFit="1" customWidth="1"/>
    <col min="2314" max="2314" width="14.7109375" style="2131" bestFit="1" customWidth="1"/>
    <col min="2315" max="2315" width="16" style="2131" bestFit="1" customWidth="1"/>
    <col min="2316" max="2316" width="15.5703125" style="2131" customWidth="1"/>
    <col min="2317" max="2560" width="9.140625" style="2131"/>
    <col min="2561" max="2561" width="5.7109375" style="2131" customWidth="1"/>
    <col min="2562" max="2562" width="6.7109375" style="2131" customWidth="1"/>
    <col min="2563" max="2563" width="8.85546875" style="2131" customWidth="1"/>
    <col min="2564" max="2564" width="46.42578125" style="2131" customWidth="1"/>
    <col min="2565" max="2565" width="12.85546875" style="2131" customWidth="1"/>
    <col min="2566" max="2566" width="15.5703125" style="2131" customWidth="1"/>
    <col min="2567" max="2567" width="15.85546875" style="2131" customWidth="1"/>
    <col min="2568" max="2568" width="6.42578125" style="2131" customWidth="1"/>
    <col min="2569" max="2569" width="14.28515625" style="2131" bestFit="1" customWidth="1"/>
    <col min="2570" max="2570" width="14.7109375" style="2131" bestFit="1" customWidth="1"/>
    <col min="2571" max="2571" width="16" style="2131" bestFit="1" customWidth="1"/>
    <col min="2572" max="2572" width="15.5703125" style="2131" customWidth="1"/>
    <col min="2573" max="2816" width="9.140625" style="2131"/>
    <col min="2817" max="2817" width="5.7109375" style="2131" customWidth="1"/>
    <col min="2818" max="2818" width="6.7109375" style="2131" customWidth="1"/>
    <col min="2819" max="2819" width="8.85546875" style="2131" customWidth="1"/>
    <col min="2820" max="2820" width="46.42578125" style="2131" customWidth="1"/>
    <col min="2821" max="2821" width="12.85546875" style="2131" customWidth="1"/>
    <col min="2822" max="2822" width="15.5703125" style="2131" customWidth="1"/>
    <col min="2823" max="2823" width="15.85546875" style="2131" customWidth="1"/>
    <col min="2824" max="2824" width="6.42578125" style="2131" customWidth="1"/>
    <col min="2825" max="2825" width="14.28515625" style="2131" bestFit="1" customWidth="1"/>
    <col min="2826" max="2826" width="14.7109375" style="2131" bestFit="1" customWidth="1"/>
    <col min="2827" max="2827" width="16" style="2131" bestFit="1" customWidth="1"/>
    <col min="2828" max="2828" width="15.5703125" style="2131" customWidth="1"/>
    <col min="2829" max="3072" width="9.140625" style="2131"/>
    <col min="3073" max="3073" width="5.7109375" style="2131" customWidth="1"/>
    <col min="3074" max="3074" width="6.7109375" style="2131" customWidth="1"/>
    <col min="3075" max="3075" width="8.85546875" style="2131" customWidth="1"/>
    <col min="3076" max="3076" width="46.42578125" style="2131" customWidth="1"/>
    <col min="3077" max="3077" width="12.85546875" style="2131" customWidth="1"/>
    <col min="3078" max="3078" width="15.5703125" style="2131" customWidth="1"/>
    <col min="3079" max="3079" width="15.85546875" style="2131" customWidth="1"/>
    <col min="3080" max="3080" width="6.42578125" style="2131" customWidth="1"/>
    <col min="3081" max="3081" width="14.28515625" style="2131" bestFit="1" customWidth="1"/>
    <col min="3082" max="3082" width="14.7109375" style="2131" bestFit="1" customWidth="1"/>
    <col min="3083" max="3083" width="16" style="2131" bestFit="1" customWidth="1"/>
    <col min="3084" max="3084" width="15.5703125" style="2131" customWidth="1"/>
    <col min="3085" max="3328" width="9.140625" style="2131"/>
    <col min="3329" max="3329" width="5.7109375" style="2131" customWidth="1"/>
    <col min="3330" max="3330" width="6.7109375" style="2131" customWidth="1"/>
    <col min="3331" max="3331" width="8.85546875" style="2131" customWidth="1"/>
    <col min="3332" max="3332" width="46.42578125" style="2131" customWidth="1"/>
    <col min="3333" max="3333" width="12.85546875" style="2131" customWidth="1"/>
    <col min="3334" max="3334" width="15.5703125" style="2131" customWidth="1"/>
    <col min="3335" max="3335" width="15.85546875" style="2131" customWidth="1"/>
    <col min="3336" max="3336" width="6.42578125" style="2131" customWidth="1"/>
    <col min="3337" max="3337" width="14.28515625" style="2131" bestFit="1" customWidth="1"/>
    <col min="3338" max="3338" width="14.7109375" style="2131" bestFit="1" customWidth="1"/>
    <col min="3339" max="3339" width="16" style="2131" bestFit="1" customWidth="1"/>
    <col min="3340" max="3340" width="15.5703125" style="2131" customWidth="1"/>
    <col min="3341" max="3584" width="9.140625" style="2131"/>
    <col min="3585" max="3585" width="5.7109375" style="2131" customWidth="1"/>
    <col min="3586" max="3586" width="6.7109375" style="2131" customWidth="1"/>
    <col min="3587" max="3587" width="8.85546875" style="2131" customWidth="1"/>
    <col min="3588" max="3588" width="46.42578125" style="2131" customWidth="1"/>
    <col min="3589" max="3589" width="12.85546875" style="2131" customWidth="1"/>
    <col min="3590" max="3590" width="15.5703125" style="2131" customWidth="1"/>
    <col min="3591" max="3591" width="15.85546875" style="2131" customWidth="1"/>
    <col min="3592" max="3592" width="6.42578125" style="2131" customWidth="1"/>
    <col min="3593" max="3593" width="14.28515625" style="2131" bestFit="1" customWidth="1"/>
    <col min="3594" max="3594" width="14.7109375" style="2131" bestFit="1" customWidth="1"/>
    <col min="3595" max="3595" width="16" style="2131" bestFit="1" customWidth="1"/>
    <col min="3596" max="3596" width="15.5703125" style="2131" customWidth="1"/>
    <col min="3597" max="3840" width="9.140625" style="2131"/>
    <col min="3841" max="3841" width="5.7109375" style="2131" customWidth="1"/>
    <col min="3842" max="3842" width="6.7109375" style="2131" customWidth="1"/>
    <col min="3843" max="3843" width="8.85546875" style="2131" customWidth="1"/>
    <col min="3844" max="3844" width="46.42578125" style="2131" customWidth="1"/>
    <col min="3845" max="3845" width="12.85546875" style="2131" customWidth="1"/>
    <col min="3846" max="3846" width="15.5703125" style="2131" customWidth="1"/>
    <col min="3847" max="3847" width="15.85546875" style="2131" customWidth="1"/>
    <col min="3848" max="3848" width="6.42578125" style="2131" customWidth="1"/>
    <col min="3849" max="3849" width="14.28515625" style="2131" bestFit="1" customWidth="1"/>
    <col min="3850" max="3850" width="14.7109375" style="2131" bestFit="1" customWidth="1"/>
    <col min="3851" max="3851" width="16" style="2131" bestFit="1" customWidth="1"/>
    <col min="3852" max="3852" width="15.5703125" style="2131" customWidth="1"/>
    <col min="3853" max="4096" width="9.140625" style="2131"/>
    <col min="4097" max="4097" width="5.7109375" style="2131" customWidth="1"/>
    <col min="4098" max="4098" width="6.7109375" style="2131" customWidth="1"/>
    <col min="4099" max="4099" width="8.85546875" style="2131" customWidth="1"/>
    <col min="4100" max="4100" width="46.42578125" style="2131" customWidth="1"/>
    <col min="4101" max="4101" width="12.85546875" style="2131" customWidth="1"/>
    <col min="4102" max="4102" width="15.5703125" style="2131" customWidth="1"/>
    <col min="4103" max="4103" width="15.85546875" style="2131" customWidth="1"/>
    <col min="4104" max="4104" width="6.42578125" style="2131" customWidth="1"/>
    <col min="4105" max="4105" width="14.28515625" style="2131" bestFit="1" customWidth="1"/>
    <col min="4106" max="4106" width="14.7109375" style="2131" bestFit="1" customWidth="1"/>
    <col min="4107" max="4107" width="16" style="2131" bestFit="1" customWidth="1"/>
    <col min="4108" max="4108" width="15.5703125" style="2131" customWidth="1"/>
    <col min="4109" max="4352" width="9.140625" style="2131"/>
    <col min="4353" max="4353" width="5.7109375" style="2131" customWidth="1"/>
    <col min="4354" max="4354" width="6.7109375" style="2131" customWidth="1"/>
    <col min="4355" max="4355" width="8.85546875" style="2131" customWidth="1"/>
    <col min="4356" max="4356" width="46.42578125" style="2131" customWidth="1"/>
    <col min="4357" max="4357" width="12.85546875" style="2131" customWidth="1"/>
    <col min="4358" max="4358" width="15.5703125" style="2131" customWidth="1"/>
    <col min="4359" max="4359" width="15.85546875" style="2131" customWidth="1"/>
    <col min="4360" max="4360" width="6.42578125" style="2131" customWidth="1"/>
    <col min="4361" max="4361" width="14.28515625" style="2131" bestFit="1" customWidth="1"/>
    <col min="4362" max="4362" width="14.7109375" style="2131" bestFit="1" customWidth="1"/>
    <col min="4363" max="4363" width="16" style="2131" bestFit="1" customWidth="1"/>
    <col min="4364" max="4364" width="15.5703125" style="2131" customWidth="1"/>
    <col min="4365" max="4608" width="9.140625" style="2131"/>
    <col min="4609" max="4609" width="5.7109375" style="2131" customWidth="1"/>
    <col min="4610" max="4610" width="6.7109375" style="2131" customWidth="1"/>
    <col min="4611" max="4611" width="8.85546875" style="2131" customWidth="1"/>
    <col min="4612" max="4612" width="46.42578125" style="2131" customWidth="1"/>
    <col min="4613" max="4613" width="12.85546875" style="2131" customWidth="1"/>
    <col min="4614" max="4614" width="15.5703125" style="2131" customWidth="1"/>
    <col min="4615" max="4615" width="15.85546875" style="2131" customWidth="1"/>
    <col min="4616" max="4616" width="6.42578125" style="2131" customWidth="1"/>
    <col min="4617" max="4617" width="14.28515625" style="2131" bestFit="1" customWidth="1"/>
    <col min="4618" max="4618" width="14.7109375" style="2131" bestFit="1" customWidth="1"/>
    <col min="4619" max="4619" width="16" style="2131" bestFit="1" customWidth="1"/>
    <col min="4620" max="4620" width="15.5703125" style="2131" customWidth="1"/>
    <col min="4621" max="4864" width="9.140625" style="2131"/>
    <col min="4865" max="4865" width="5.7109375" style="2131" customWidth="1"/>
    <col min="4866" max="4866" width="6.7109375" style="2131" customWidth="1"/>
    <col min="4867" max="4867" width="8.85546875" style="2131" customWidth="1"/>
    <col min="4868" max="4868" width="46.42578125" style="2131" customWidth="1"/>
    <col min="4869" max="4869" width="12.85546875" style="2131" customWidth="1"/>
    <col min="4870" max="4870" width="15.5703125" style="2131" customWidth="1"/>
    <col min="4871" max="4871" width="15.85546875" style="2131" customWidth="1"/>
    <col min="4872" max="4872" width="6.42578125" style="2131" customWidth="1"/>
    <col min="4873" max="4873" width="14.28515625" style="2131" bestFit="1" customWidth="1"/>
    <col min="4874" max="4874" width="14.7109375" style="2131" bestFit="1" customWidth="1"/>
    <col min="4875" max="4875" width="16" style="2131" bestFit="1" customWidth="1"/>
    <col min="4876" max="4876" width="15.5703125" style="2131" customWidth="1"/>
    <col min="4877" max="5120" width="9.140625" style="2131"/>
    <col min="5121" max="5121" width="5.7109375" style="2131" customWidth="1"/>
    <col min="5122" max="5122" width="6.7109375" style="2131" customWidth="1"/>
    <col min="5123" max="5123" width="8.85546875" style="2131" customWidth="1"/>
    <col min="5124" max="5124" width="46.42578125" style="2131" customWidth="1"/>
    <col min="5125" max="5125" width="12.85546875" style="2131" customWidth="1"/>
    <col min="5126" max="5126" width="15.5703125" style="2131" customWidth="1"/>
    <col min="5127" max="5127" width="15.85546875" style="2131" customWidth="1"/>
    <col min="5128" max="5128" width="6.42578125" style="2131" customWidth="1"/>
    <col min="5129" max="5129" width="14.28515625" style="2131" bestFit="1" customWidth="1"/>
    <col min="5130" max="5130" width="14.7109375" style="2131" bestFit="1" customWidth="1"/>
    <col min="5131" max="5131" width="16" style="2131" bestFit="1" customWidth="1"/>
    <col min="5132" max="5132" width="15.5703125" style="2131" customWidth="1"/>
    <col min="5133" max="5376" width="9.140625" style="2131"/>
    <col min="5377" max="5377" width="5.7109375" style="2131" customWidth="1"/>
    <col min="5378" max="5378" width="6.7109375" style="2131" customWidth="1"/>
    <col min="5379" max="5379" width="8.85546875" style="2131" customWidth="1"/>
    <col min="5380" max="5380" width="46.42578125" style="2131" customWidth="1"/>
    <col min="5381" max="5381" width="12.85546875" style="2131" customWidth="1"/>
    <col min="5382" max="5382" width="15.5703125" style="2131" customWidth="1"/>
    <col min="5383" max="5383" width="15.85546875" style="2131" customWidth="1"/>
    <col min="5384" max="5384" width="6.42578125" style="2131" customWidth="1"/>
    <col min="5385" max="5385" width="14.28515625" style="2131" bestFit="1" customWidth="1"/>
    <col min="5386" max="5386" width="14.7109375" style="2131" bestFit="1" customWidth="1"/>
    <col min="5387" max="5387" width="16" style="2131" bestFit="1" customWidth="1"/>
    <col min="5388" max="5388" width="15.5703125" style="2131" customWidth="1"/>
    <col min="5389" max="5632" width="9.140625" style="2131"/>
    <col min="5633" max="5633" width="5.7109375" style="2131" customWidth="1"/>
    <col min="5634" max="5634" width="6.7109375" style="2131" customWidth="1"/>
    <col min="5635" max="5635" width="8.85546875" style="2131" customWidth="1"/>
    <col min="5636" max="5636" width="46.42578125" style="2131" customWidth="1"/>
    <col min="5637" max="5637" width="12.85546875" style="2131" customWidth="1"/>
    <col min="5638" max="5638" width="15.5703125" style="2131" customWidth="1"/>
    <col min="5639" max="5639" width="15.85546875" style="2131" customWidth="1"/>
    <col min="5640" max="5640" width="6.42578125" style="2131" customWidth="1"/>
    <col min="5641" max="5641" width="14.28515625" style="2131" bestFit="1" customWidth="1"/>
    <col min="5642" max="5642" width="14.7109375" style="2131" bestFit="1" customWidth="1"/>
    <col min="5643" max="5643" width="16" style="2131" bestFit="1" customWidth="1"/>
    <col min="5644" max="5644" width="15.5703125" style="2131" customWidth="1"/>
    <col min="5645" max="5888" width="9.140625" style="2131"/>
    <col min="5889" max="5889" width="5.7109375" style="2131" customWidth="1"/>
    <col min="5890" max="5890" width="6.7109375" style="2131" customWidth="1"/>
    <col min="5891" max="5891" width="8.85546875" style="2131" customWidth="1"/>
    <col min="5892" max="5892" width="46.42578125" style="2131" customWidth="1"/>
    <col min="5893" max="5893" width="12.85546875" style="2131" customWidth="1"/>
    <col min="5894" max="5894" width="15.5703125" style="2131" customWidth="1"/>
    <col min="5895" max="5895" width="15.85546875" style="2131" customWidth="1"/>
    <col min="5896" max="5896" width="6.42578125" style="2131" customWidth="1"/>
    <col min="5897" max="5897" width="14.28515625" style="2131" bestFit="1" customWidth="1"/>
    <col min="5898" max="5898" width="14.7109375" style="2131" bestFit="1" customWidth="1"/>
    <col min="5899" max="5899" width="16" style="2131" bestFit="1" customWidth="1"/>
    <col min="5900" max="5900" width="15.5703125" style="2131" customWidth="1"/>
    <col min="5901" max="6144" width="9.140625" style="2131"/>
    <col min="6145" max="6145" width="5.7109375" style="2131" customWidth="1"/>
    <col min="6146" max="6146" width="6.7109375" style="2131" customWidth="1"/>
    <col min="6147" max="6147" width="8.85546875" style="2131" customWidth="1"/>
    <col min="6148" max="6148" width="46.42578125" style="2131" customWidth="1"/>
    <col min="6149" max="6149" width="12.85546875" style="2131" customWidth="1"/>
    <col min="6150" max="6150" width="15.5703125" style="2131" customWidth="1"/>
    <col min="6151" max="6151" width="15.85546875" style="2131" customWidth="1"/>
    <col min="6152" max="6152" width="6.42578125" style="2131" customWidth="1"/>
    <col min="6153" max="6153" width="14.28515625" style="2131" bestFit="1" customWidth="1"/>
    <col min="6154" max="6154" width="14.7109375" style="2131" bestFit="1" customWidth="1"/>
    <col min="6155" max="6155" width="16" style="2131" bestFit="1" customWidth="1"/>
    <col min="6156" max="6156" width="15.5703125" style="2131" customWidth="1"/>
    <col min="6157" max="6400" width="9.140625" style="2131"/>
    <col min="6401" max="6401" width="5.7109375" style="2131" customWidth="1"/>
    <col min="6402" max="6402" width="6.7109375" style="2131" customWidth="1"/>
    <col min="6403" max="6403" width="8.85546875" style="2131" customWidth="1"/>
    <col min="6404" max="6404" width="46.42578125" style="2131" customWidth="1"/>
    <col min="6405" max="6405" width="12.85546875" style="2131" customWidth="1"/>
    <col min="6406" max="6406" width="15.5703125" style="2131" customWidth="1"/>
    <col min="6407" max="6407" width="15.85546875" style="2131" customWidth="1"/>
    <col min="6408" max="6408" width="6.42578125" style="2131" customWidth="1"/>
    <col min="6409" max="6409" width="14.28515625" style="2131" bestFit="1" customWidth="1"/>
    <col min="6410" max="6410" width="14.7109375" style="2131" bestFit="1" customWidth="1"/>
    <col min="6411" max="6411" width="16" style="2131" bestFit="1" customWidth="1"/>
    <col min="6412" max="6412" width="15.5703125" style="2131" customWidth="1"/>
    <col min="6413" max="6656" width="9.140625" style="2131"/>
    <col min="6657" max="6657" width="5.7109375" style="2131" customWidth="1"/>
    <col min="6658" max="6658" width="6.7109375" style="2131" customWidth="1"/>
    <col min="6659" max="6659" width="8.85546875" style="2131" customWidth="1"/>
    <col min="6660" max="6660" width="46.42578125" style="2131" customWidth="1"/>
    <col min="6661" max="6661" width="12.85546875" style="2131" customWidth="1"/>
    <col min="6662" max="6662" width="15.5703125" style="2131" customWidth="1"/>
    <col min="6663" max="6663" width="15.85546875" style="2131" customWidth="1"/>
    <col min="6664" max="6664" width="6.42578125" style="2131" customWidth="1"/>
    <col min="6665" max="6665" width="14.28515625" style="2131" bestFit="1" customWidth="1"/>
    <col min="6666" max="6666" width="14.7109375" style="2131" bestFit="1" customWidth="1"/>
    <col min="6667" max="6667" width="16" style="2131" bestFit="1" customWidth="1"/>
    <col min="6668" max="6668" width="15.5703125" style="2131" customWidth="1"/>
    <col min="6669" max="6912" width="9.140625" style="2131"/>
    <col min="6913" max="6913" width="5.7109375" style="2131" customWidth="1"/>
    <col min="6914" max="6914" width="6.7109375" style="2131" customWidth="1"/>
    <col min="6915" max="6915" width="8.85546875" style="2131" customWidth="1"/>
    <col min="6916" max="6916" width="46.42578125" style="2131" customWidth="1"/>
    <col min="6917" max="6917" width="12.85546875" style="2131" customWidth="1"/>
    <col min="6918" max="6918" width="15.5703125" style="2131" customWidth="1"/>
    <col min="6919" max="6919" width="15.85546875" style="2131" customWidth="1"/>
    <col min="6920" max="6920" width="6.42578125" style="2131" customWidth="1"/>
    <col min="6921" max="6921" width="14.28515625" style="2131" bestFit="1" customWidth="1"/>
    <col min="6922" max="6922" width="14.7109375" style="2131" bestFit="1" customWidth="1"/>
    <col min="6923" max="6923" width="16" style="2131" bestFit="1" customWidth="1"/>
    <col min="6924" max="6924" width="15.5703125" style="2131" customWidth="1"/>
    <col min="6925" max="7168" width="9.140625" style="2131"/>
    <col min="7169" max="7169" width="5.7109375" style="2131" customWidth="1"/>
    <col min="7170" max="7170" width="6.7109375" style="2131" customWidth="1"/>
    <col min="7171" max="7171" width="8.85546875" style="2131" customWidth="1"/>
    <col min="7172" max="7172" width="46.42578125" style="2131" customWidth="1"/>
    <col min="7173" max="7173" width="12.85546875" style="2131" customWidth="1"/>
    <col min="7174" max="7174" width="15.5703125" style="2131" customWidth="1"/>
    <col min="7175" max="7175" width="15.85546875" style="2131" customWidth="1"/>
    <col min="7176" max="7176" width="6.42578125" style="2131" customWidth="1"/>
    <col min="7177" max="7177" width="14.28515625" style="2131" bestFit="1" customWidth="1"/>
    <col min="7178" max="7178" width="14.7109375" style="2131" bestFit="1" customWidth="1"/>
    <col min="7179" max="7179" width="16" style="2131" bestFit="1" customWidth="1"/>
    <col min="7180" max="7180" width="15.5703125" style="2131" customWidth="1"/>
    <col min="7181" max="7424" width="9.140625" style="2131"/>
    <col min="7425" max="7425" width="5.7109375" style="2131" customWidth="1"/>
    <col min="7426" max="7426" width="6.7109375" style="2131" customWidth="1"/>
    <col min="7427" max="7427" width="8.85546875" style="2131" customWidth="1"/>
    <col min="7428" max="7428" width="46.42578125" style="2131" customWidth="1"/>
    <col min="7429" max="7429" width="12.85546875" style="2131" customWidth="1"/>
    <col min="7430" max="7430" width="15.5703125" style="2131" customWidth="1"/>
    <col min="7431" max="7431" width="15.85546875" style="2131" customWidth="1"/>
    <col min="7432" max="7432" width="6.42578125" style="2131" customWidth="1"/>
    <col min="7433" max="7433" width="14.28515625" style="2131" bestFit="1" customWidth="1"/>
    <col min="7434" max="7434" width="14.7109375" style="2131" bestFit="1" customWidth="1"/>
    <col min="7435" max="7435" width="16" style="2131" bestFit="1" customWidth="1"/>
    <col min="7436" max="7436" width="15.5703125" style="2131" customWidth="1"/>
    <col min="7437" max="7680" width="9.140625" style="2131"/>
    <col min="7681" max="7681" width="5.7109375" style="2131" customWidth="1"/>
    <col min="7682" max="7682" width="6.7109375" style="2131" customWidth="1"/>
    <col min="7683" max="7683" width="8.85546875" style="2131" customWidth="1"/>
    <col min="7684" max="7684" width="46.42578125" style="2131" customWidth="1"/>
    <col min="7685" max="7685" width="12.85546875" style="2131" customWidth="1"/>
    <col min="7686" max="7686" width="15.5703125" style="2131" customWidth="1"/>
    <col min="7687" max="7687" width="15.85546875" style="2131" customWidth="1"/>
    <col min="7688" max="7688" width="6.42578125" style="2131" customWidth="1"/>
    <col min="7689" max="7689" width="14.28515625" style="2131" bestFit="1" customWidth="1"/>
    <col min="7690" max="7690" width="14.7109375" style="2131" bestFit="1" customWidth="1"/>
    <col min="7691" max="7691" width="16" style="2131" bestFit="1" customWidth="1"/>
    <col min="7692" max="7692" width="15.5703125" style="2131" customWidth="1"/>
    <col min="7693" max="7936" width="9.140625" style="2131"/>
    <col min="7937" max="7937" width="5.7109375" style="2131" customWidth="1"/>
    <col min="7938" max="7938" width="6.7109375" style="2131" customWidth="1"/>
    <col min="7939" max="7939" width="8.85546875" style="2131" customWidth="1"/>
    <col min="7940" max="7940" width="46.42578125" style="2131" customWidth="1"/>
    <col min="7941" max="7941" width="12.85546875" style="2131" customWidth="1"/>
    <col min="7942" max="7942" width="15.5703125" style="2131" customWidth="1"/>
    <col min="7943" max="7943" width="15.85546875" style="2131" customWidth="1"/>
    <col min="7944" max="7944" width="6.42578125" style="2131" customWidth="1"/>
    <col min="7945" max="7945" width="14.28515625" style="2131" bestFit="1" customWidth="1"/>
    <col min="7946" max="7946" width="14.7109375" style="2131" bestFit="1" customWidth="1"/>
    <col min="7947" max="7947" width="16" style="2131" bestFit="1" customWidth="1"/>
    <col min="7948" max="7948" width="15.5703125" style="2131" customWidth="1"/>
    <col min="7949" max="8192" width="9.140625" style="2131"/>
    <col min="8193" max="8193" width="5.7109375" style="2131" customWidth="1"/>
    <col min="8194" max="8194" width="6.7109375" style="2131" customWidth="1"/>
    <col min="8195" max="8195" width="8.85546875" style="2131" customWidth="1"/>
    <col min="8196" max="8196" width="46.42578125" style="2131" customWidth="1"/>
    <col min="8197" max="8197" width="12.85546875" style="2131" customWidth="1"/>
    <col min="8198" max="8198" width="15.5703125" style="2131" customWidth="1"/>
    <col min="8199" max="8199" width="15.85546875" style="2131" customWidth="1"/>
    <col min="8200" max="8200" width="6.42578125" style="2131" customWidth="1"/>
    <col min="8201" max="8201" width="14.28515625" style="2131" bestFit="1" customWidth="1"/>
    <col min="8202" max="8202" width="14.7109375" style="2131" bestFit="1" customWidth="1"/>
    <col min="8203" max="8203" width="16" style="2131" bestFit="1" customWidth="1"/>
    <col min="8204" max="8204" width="15.5703125" style="2131" customWidth="1"/>
    <col min="8205" max="8448" width="9.140625" style="2131"/>
    <col min="8449" max="8449" width="5.7109375" style="2131" customWidth="1"/>
    <col min="8450" max="8450" width="6.7109375" style="2131" customWidth="1"/>
    <col min="8451" max="8451" width="8.85546875" style="2131" customWidth="1"/>
    <col min="8452" max="8452" width="46.42578125" style="2131" customWidth="1"/>
    <col min="8453" max="8453" width="12.85546875" style="2131" customWidth="1"/>
    <col min="8454" max="8454" width="15.5703125" style="2131" customWidth="1"/>
    <col min="8455" max="8455" width="15.85546875" style="2131" customWidth="1"/>
    <col min="8456" max="8456" width="6.42578125" style="2131" customWidth="1"/>
    <col min="8457" max="8457" width="14.28515625" style="2131" bestFit="1" customWidth="1"/>
    <col min="8458" max="8458" width="14.7109375" style="2131" bestFit="1" customWidth="1"/>
    <col min="8459" max="8459" width="16" style="2131" bestFit="1" customWidth="1"/>
    <col min="8460" max="8460" width="15.5703125" style="2131" customWidth="1"/>
    <col min="8461" max="8704" width="9.140625" style="2131"/>
    <col min="8705" max="8705" width="5.7109375" style="2131" customWidth="1"/>
    <col min="8706" max="8706" width="6.7109375" style="2131" customWidth="1"/>
    <col min="8707" max="8707" width="8.85546875" style="2131" customWidth="1"/>
    <col min="8708" max="8708" width="46.42578125" style="2131" customWidth="1"/>
    <col min="8709" max="8709" width="12.85546875" style="2131" customWidth="1"/>
    <col min="8710" max="8710" width="15.5703125" style="2131" customWidth="1"/>
    <col min="8711" max="8711" width="15.85546875" style="2131" customWidth="1"/>
    <col min="8712" max="8712" width="6.42578125" style="2131" customWidth="1"/>
    <col min="8713" max="8713" width="14.28515625" style="2131" bestFit="1" customWidth="1"/>
    <col min="8714" max="8714" width="14.7109375" style="2131" bestFit="1" customWidth="1"/>
    <col min="8715" max="8715" width="16" style="2131" bestFit="1" customWidth="1"/>
    <col min="8716" max="8716" width="15.5703125" style="2131" customWidth="1"/>
    <col min="8717" max="8960" width="9.140625" style="2131"/>
    <col min="8961" max="8961" width="5.7109375" style="2131" customWidth="1"/>
    <col min="8962" max="8962" width="6.7109375" style="2131" customWidth="1"/>
    <col min="8963" max="8963" width="8.85546875" style="2131" customWidth="1"/>
    <col min="8964" max="8964" width="46.42578125" style="2131" customWidth="1"/>
    <col min="8965" max="8965" width="12.85546875" style="2131" customWidth="1"/>
    <col min="8966" max="8966" width="15.5703125" style="2131" customWidth="1"/>
    <col min="8967" max="8967" width="15.85546875" style="2131" customWidth="1"/>
    <col min="8968" max="8968" width="6.42578125" style="2131" customWidth="1"/>
    <col min="8969" max="8969" width="14.28515625" style="2131" bestFit="1" customWidth="1"/>
    <col min="8970" max="8970" width="14.7109375" style="2131" bestFit="1" customWidth="1"/>
    <col min="8971" max="8971" width="16" style="2131" bestFit="1" customWidth="1"/>
    <col min="8972" max="8972" width="15.5703125" style="2131" customWidth="1"/>
    <col min="8973" max="9216" width="9.140625" style="2131"/>
    <col min="9217" max="9217" width="5.7109375" style="2131" customWidth="1"/>
    <col min="9218" max="9218" width="6.7109375" style="2131" customWidth="1"/>
    <col min="9219" max="9219" width="8.85546875" style="2131" customWidth="1"/>
    <col min="9220" max="9220" width="46.42578125" style="2131" customWidth="1"/>
    <col min="9221" max="9221" width="12.85546875" style="2131" customWidth="1"/>
    <col min="9222" max="9222" width="15.5703125" style="2131" customWidth="1"/>
    <col min="9223" max="9223" width="15.85546875" style="2131" customWidth="1"/>
    <col min="9224" max="9224" width="6.42578125" style="2131" customWidth="1"/>
    <col min="9225" max="9225" width="14.28515625" style="2131" bestFit="1" customWidth="1"/>
    <col min="9226" max="9226" width="14.7109375" style="2131" bestFit="1" customWidth="1"/>
    <col min="9227" max="9227" width="16" style="2131" bestFit="1" customWidth="1"/>
    <col min="9228" max="9228" width="15.5703125" style="2131" customWidth="1"/>
    <col min="9229" max="9472" width="9.140625" style="2131"/>
    <col min="9473" max="9473" width="5.7109375" style="2131" customWidth="1"/>
    <col min="9474" max="9474" width="6.7109375" style="2131" customWidth="1"/>
    <col min="9475" max="9475" width="8.85546875" style="2131" customWidth="1"/>
    <col min="9476" max="9476" width="46.42578125" style="2131" customWidth="1"/>
    <col min="9477" max="9477" width="12.85546875" style="2131" customWidth="1"/>
    <col min="9478" max="9478" width="15.5703125" style="2131" customWidth="1"/>
    <col min="9479" max="9479" width="15.85546875" style="2131" customWidth="1"/>
    <col min="9480" max="9480" width="6.42578125" style="2131" customWidth="1"/>
    <col min="9481" max="9481" width="14.28515625" style="2131" bestFit="1" customWidth="1"/>
    <col min="9482" max="9482" width="14.7109375" style="2131" bestFit="1" customWidth="1"/>
    <col min="9483" max="9483" width="16" style="2131" bestFit="1" customWidth="1"/>
    <col min="9484" max="9484" width="15.5703125" style="2131" customWidth="1"/>
    <col min="9485" max="9728" width="9.140625" style="2131"/>
    <col min="9729" max="9729" width="5.7109375" style="2131" customWidth="1"/>
    <col min="9730" max="9730" width="6.7109375" style="2131" customWidth="1"/>
    <col min="9731" max="9731" width="8.85546875" style="2131" customWidth="1"/>
    <col min="9732" max="9732" width="46.42578125" style="2131" customWidth="1"/>
    <col min="9733" max="9733" width="12.85546875" style="2131" customWidth="1"/>
    <col min="9734" max="9734" width="15.5703125" style="2131" customWidth="1"/>
    <col min="9735" max="9735" width="15.85546875" style="2131" customWidth="1"/>
    <col min="9736" max="9736" width="6.42578125" style="2131" customWidth="1"/>
    <col min="9737" max="9737" width="14.28515625" style="2131" bestFit="1" customWidth="1"/>
    <col min="9738" max="9738" width="14.7109375" style="2131" bestFit="1" customWidth="1"/>
    <col min="9739" max="9739" width="16" style="2131" bestFit="1" customWidth="1"/>
    <col min="9740" max="9740" width="15.5703125" style="2131" customWidth="1"/>
    <col min="9741" max="9984" width="9.140625" style="2131"/>
    <col min="9985" max="9985" width="5.7109375" style="2131" customWidth="1"/>
    <col min="9986" max="9986" width="6.7109375" style="2131" customWidth="1"/>
    <col min="9987" max="9987" width="8.85546875" style="2131" customWidth="1"/>
    <col min="9988" max="9988" width="46.42578125" style="2131" customWidth="1"/>
    <col min="9989" max="9989" width="12.85546875" style="2131" customWidth="1"/>
    <col min="9990" max="9990" width="15.5703125" style="2131" customWidth="1"/>
    <col min="9991" max="9991" width="15.85546875" style="2131" customWidth="1"/>
    <col min="9992" max="9992" width="6.42578125" style="2131" customWidth="1"/>
    <col min="9993" max="9993" width="14.28515625" style="2131" bestFit="1" customWidth="1"/>
    <col min="9994" max="9994" width="14.7109375" style="2131" bestFit="1" customWidth="1"/>
    <col min="9995" max="9995" width="16" style="2131" bestFit="1" customWidth="1"/>
    <col min="9996" max="9996" width="15.5703125" style="2131" customWidth="1"/>
    <col min="9997" max="10240" width="9.140625" style="2131"/>
    <col min="10241" max="10241" width="5.7109375" style="2131" customWidth="1"/>
    <col min="10242" max="10242" width="6.7109375" style="2131" customWidth="1"/>
    <col min="10243" max="10243" width="8.85546875" style="2131" customWidth="1"/>
    <col min="10244" max="10244" width="46.42578125" style="2131" customWidth="1"/>
    <col min="10245" max="10245" width="12.85546875" style="2131" customWidth="1"/>
    <col min="10246" max="10246" width="15.5703125" style="2131" customWidth="1"/>
    <col min="10247" max="10247" width="15.85546875" style="2131" customWidth="1"/>
    <col min="10248" max="10248" width="6.42578125" style="2131" customWidth="1"/>
    <col min="10249" max="10249" width="14.28515625" style="2131" bestFit="1" customWidth="1"/>
    <col min="10250" max="10250" width="14.7109375" style="2131" bestFit="1" customWidth="1"/>
    <col min="10251" max="10251" width="16" style="2131" bestFit="1" customWidth="1"/>
    <col min="10252" max="10252" width="15.5703125" style="2131" customWidth="1"/>
    <col min="10253" max="10496" width="9.140625" style="2131"/>
    <col min="10497" max="10497" width="5.7109375" style="2131" customWidth="1"/>
    <col min="10498" max="10498" width="6.7109375" style="2131" customWidth="1"/>
    <col min="10499" max="10499" width="8.85546875" style="2131" customWidth="1"/>
    <col min="10500" max="10500" width="46.42578125" style="2131" customWidth="1"/>
    <col min="10501" max="10501" width="12.85546875" style="2131" customWidth="1"/>
    <col min="10502" max="10502" width="15.5703125" style="2131" customWidth="1"/>
    <col min="10503" max="10503" width="15.85546875" style="2131" customWidth="1"/>
    <col min="10504" max="10504" width="6.42578125" style="2131" customWidth="1"/>
    <col min="10505" max="10505" width="14.28515625" style="2131" bestFit="1" customWidth="1"/>
    <col min="10506" max="10506" width="14.7109375" style="2131" bestFit="1" customWidth="1"/>
    <col min="10507" max="10507" width="16" style="2131" bestFit="1" customWidth="1"/>
    <col min="10508" max="10508" width="15.5703125" style="2131" customWidth="1"/>
    <col min="10509" max="10752" width="9.140625" style="2131"/>
    <col min="10753" max="10753" width="5.7109375" style="2131" customWidth="1"/>
    <col min="10754" max="10754" width="6.7109375" style="2131" customWidth="1"/>
    <col min="10755" max="10755" width="8.85546875" style="2131" customWidth="1"/>
    <col min="10756" max="10756" width="46.42578125" style="2131" customWidth="1"/>
    <col min="10757" max="10757" width="12.85546875" style="2131" customWidth="1"/>
    <col min="10758" max="10758" width="15.5703125" style="2131" customWidth="1"/>
    <col min="10759" max="10759" width="15.85546875" style="2131" customWidth="1"/>
    <col min="10760" max="10760" width="6.42578125" style="2131" customWidth="1"/>
    <col min="10761" max="10761" width="14.28515625" style="2131" bestFit="1" customWidth="1"/>
    <col min="10762" max="10762" width="14.7109375" style="2131" bestFit="1" customWidth="1"/>
    <col min="10763" max="10763" width="16" style="2131" bestFit="1" customWidth="1"/>
    <col min="10764" max="10764" width="15.5703125" style="2131" customWidth="1"/>
    <col min="10765" max="11008" width="9.140625" style="2131"/>
    <col min="11009" max="11009" width="5.7109375" style="2131" customWidth="1"/>
    <col min="11010" max="11010" width="6.7109375" style="2131" customWidth="1"/>
    <col min="11011" max="11011" width="8.85546875" style="2131" customWidth="1"/>
    <col min="11012" max="11012" width="46.42578125" style="2131" customWidth="1"/>
    <col min="11013" max="11013" width="12.85546875" style="2131" customWidth="1"/>
    <col min="11014" max="11014" width="15.5703125" style="2131" customWidth="1"/>
    <col min="11015" max="11015" width="15.85546875" style="2131" customWidth="1"/>
    <col min="11016" max="11016" width="6.42578125" style="2131" customWidth="1"/>
    <col min="11017" max="11017" width="14.28515625" style="2131" bestFit="1" customWidth="1"/>
    <col min="11018" max="11018" width="14.7109375" style="2131" bestFit="1" customWidth="1"/>
    <col min="11019" max="11019" width="16" style="2131" bestFit="1" customWidth="1"/>
    <col min="11020" max="11020" width="15.5703125" style="2131" customWidth="1"/>
    <col min="11021" max="11264" width="9.140625" style="2131"/>
    <col min="11265" max="11265" width="5.7109375" style="2131" customWidth="1"/>
    <col min="11266" max="11266" width="6.7109375" style="2131" customWidth="1"/>
    <col min="11267" max="11267" width="8.85546875" style="2131" customWidth="1"/>
    <col min="11268" max="11268" width="46.42578125" style="2131" customWidth="1"/>
    <col min="11269" max="11269" width="12.85546875" style="2131" customWidth="1"/>
    <col min="11270" max="11270" width="15.5703125" style="2131" customWidth="1"/>
    <col min="11271" max="11271" width="15.85546875" style="2131" customWidth="1"/>
    <col min="11272" max="11272" width="6.42578125" style="2131" customWidth="1"/>
    <col min="11273" max="11273" width="14.28515625" style="2131" bestFit="1" customWidth="1"/>
    <col min="11274" max="11274" width="14.7109375" style="2131" bestFit="1" customWidth="1"/>
    <col min="11275" max="11275" width="16" style="2131" bestFit="1" customWidth="1"/>
    <col min="11276" max="11276" width="15.5703125" style="2131" customWidth="1"/>
    <col min="11277" max="11520" width="9.140625" style="2131"/>
    <col min="11521" max="11521" width="5.7109375" style="2131" customWidth="1"/>
    <col min="11522" max="11522" width="6.7109375" style="2131" customWidth="1"/>
    <col min="11523" max="11523" width="8.85546875" style="2131" customWidth="1"/>
    <col min="11524" max="11524" width="46.42578125" style="2131" customWidth="1"/>
    <col min="11525" max="11525" width="12.85546875" style="2131" customWidth="1"/>
    <col min="11526" max="11526" width="15.5703125" style="2131" customWidth="1"/>
    <col min="11527" max="11527" width="15.85546875" style="2131" customWidth="1"/>
    <col min="11528" max="11528" width="6.42578125" style="2131" customWidth="1"/>
    <col min="11529" max="11529" width="14.28515625" style="2131" bestFit="1" customWidth="1"/>
    <col min="11530" max="11530" width="14.7109375" style="2131" bestFit="1" customWidth="1"/>
    <col min="11531" max="11531" width="16" style="2131" bestFit="1" customWidth="1"/>
    <col min="11532" max="11532" width="15.5703125" style="2131" customWidth="1"/>
    <col min="11533" max="11776" width="9.140625" style="2131"/>
    <col min="11777" max="11777" width="5.7109375" style="2131" customWidth="1"/>
    <col min="11778" max="11778" width="6.7109375" style="2131" customWidth="1"/>
    <col min="11779" max="11779" width="8.85546875" style="2131" customWidth="1"/>
    <col min="11780" max="11780" width="46.42578125" style="2131" customWidth="1"/>
    <col min="11781" max="11781" width="12.85546875" style="2131" customWidth="1"/>
    <col min="11782" max="11782" width="15.5703125" style="2131" customWidth="1"/>
    <col min="11783" max="11783" width="15.85546875" style="2131" customWidth="1"/>
    <col min="11784" max="11784" width="6.42578125" style="2131" customWidth="1"/>
    <col min="11785" max="11785" width="14.28515625" style="2131" bestFit="1" customWidth="1"/>
    <col min="11786" max="11786" width="14.7109375" style="2131" bestFit="1" customWidth="1"/>
    <col min="11787" max="11787" width="16" style="2131" bestFit="1" customWidth="1"/>
    <col min="11788" max="11788" width="15.5703125" style="2131" customWidth="1"/>
    <col min="11789" max="12032" width="9.140625" style="2131"/>
    <col min="12033" max="12033" width="5.7109375" style="2131" customWidth="1"/>
    <col min="12034" max="12034" width="6.7109375" style="2131" customWidth="1"/>
    <col min="12035" max="12035" width="8.85546875" style="2131" customWidth="1"/>
    <col min="12036" max="12036" width="46.42578125" style="2131" customWidth="1"/>
    <col min="12037" max="12037" width="12.85546875" style="2131" customWidth="1"/>
    <col min="12038" max="12038" width="15.5703125" style="2131" customWidth="1"/>
    <col min="12039" max="12039" width="15.85546875" style="2131" customWidth="1"/>
    <col min="12040" max="12040" width="6.42578125" style="2131" customWidth="1"/>
    <col min="12041" max="12041" width="14.28515625" style="2131" bestFit="1" customWidth="1"/>
    <col min="12042" max="12042" width="14.7109375" style="2131" bestFit="1" customWidth="1"/>
    <col min="12043" max="12043" width="16" style="2131" bestFit="1" customWidth="1"/>
    <col min="12044" max="12044" width="15.5703125" style="2131" customWidth="1"/>
    <col min="12045" max="12288" width="9.140625" style="2131"/>
    <col min="12289" max="12289" width="5.7109375" style="2131" customWidth="1"/>
    <col min="12290" max="12290" width="6.7109375" style="2131" customWidth="1"/>
    <col min="12291" max="12291" width="8.85546875" style="2131" customWidth="1"/>
    <col min="12292" max="12292" width="46.42578125" style="2131" customWidth="1"/>
    <col min="12293" max="12293" width="12.85546875" style="2131" customWidth="1"/>
    <col min="12294" max="12294" width="15.5703125" style="2131" customWidth="1"/>
    <col min="12295" max="12295" width="15.85546875" style="2131" customWidth="1"/>
    <col min="12296" max="12296" width="6.42578125" style="2131" customWidth="1"/>
    <col min="12297" max="12297" width="14.28515625" style="2131" bestFit="1" customWidth="1"/>
    <col min="12298" max="12298" width="14.7109375" style="2131" bestFit="1" customWidth="1"/>
    <col min="12299" max="12299" width="16" style="2131" bestFit="1" customWidth="1"/>
    <col min="12300" max="12300" width="15.5703125" style="2131" customWidth="1"/>
    <col min="12301" max="12544" width="9.140625" style="2131"/>
    <col min="12545" max="12545" width="5.7109375" style="2131" customWidth="1"/>
    <col min="12546" max="12546" width="6.7109375" style="2131" customWidth="1"/>
    <col min="12547" max="12547" width="8.85546875" style="2131" customWidth="1"/>
    <col min="12548" max="12548" width="46.42578125" style="2131" customWidth="1"/>
    <col min="12549" max="12549" width="12.85546875" style="2131" customWidth="1"/>
    <col min="12550" max="12550" width="15.5703125" style="2131" customWidth="1"/>
    <col min="12551" max="12551" width="15.85546875" style="2131" customWidth="1"/>
    <col min="12552" max="12552" width="6.42578125" style="2131" customWidth="1"/>
    <col min="12553" max="12553" width="14.28515625" style="2131" bestFit="1" customWidth="1"/>
    <col min="12554" max="12554" width="14.7109375" style="2131" bestFit="1" customWidth="1"/>
    <col min="12555" max="12555" width="16" style="2131" bestFit="1" customWidth="1"/>
    <col min="12556" max="12556" width="15.5703125" style="2131" customWidth="1"/>
    <col min="12557" max="12800" width="9.140625" style="2131"/>
    <col min="12801" max="12801" width="5.7109375" style="2131" customWidth="1"/>
    <col min="12802" max="12802" width="6.7109375" style="2131" customWidth="1"/>
    <col min="12803" max="12803" width="8.85546875" style="2131" customWidth="1"/>
    <col min="12804" max="12804" width="46.42578125" style="2131" customWidth="1"/>
    <col min="12805" max="12805" width="12.85546875" style="2131" customWidth="1"/>
    <col min="12806" max="12806" width="15.5703125" style="2131" customWidth="1"/>
    <col min="12807" max="12807" width="15.85546875" style="2131" customWidth="1"/>
    <col min="12808" max="12808" width="6.42578125" style="2131" customWidth="1"/>
    <col min="12809" max="12809" width="14.28515625" style="2131" bestFit="1" customWidth="1"/>
    <col min="12810" max="12810" width="14.7109375" style="2131" bestFit="1" customWidth="1"/>
    <col min="12811" max="12811" width="16" style="2131" bestFit="1" customWidth="1"/>
    <col min="12812" max="12812" width="15.5703125" style="2131" customWidth="1"/>
    <col min="12813" max="13056" width="9.140625" style="2131"/>
    <col min="13057" max="13057" width="5.7109375" style="2131" customWidth="1"/>
    <col min="13058" max="13058" width="6.7109375" style="2131" customWidth="1"/>
    <col min="13059" max="13059" width="8.85546875" style="2131" customWidth="1"/>
    <col min="13060" max="13060" width="46.42578125" style="2131" customWidth="1"/>
    <col min="13061" max="13061" width="12.85546875" style="2131" customWidth="1"/>
    <col min="13062" max="13062" width="15.5703125" style="2131" customWidth="1"/>
    <col min="13063" max="13063" width="15.85546875" style="2131" customWidth="1"/>
    <col min="13064" max="13064" width="6.42578125" style="2131" customWidth="1"/>
    <col min="13065" max="13065" width="14.28515625" style="2131" bestFit="1" customWidth="1"/>
    <col min="13066" max="13066" width="14.7109375" style="2131" bestFit="1" customWidth="1"/>
    <col min="13067" max="13067" width="16" style="2131" bestFit="1" customWidth="1"/>
    <col min="13068" max="13068" width="15.5703125" style="2131" customWidth="1"/>
    <col min="13069" max="13312" width="9.140625" style="2131"/>
    <col min="13313" max="13313" width="5.7109375" style="2131" customWidth="1"/>
    <col min="13314" max="13314" width="6.7109375" style="2131" customWidth="1"/>
    <col min="13315" max="13315" width="8.85546875" style="2131" customWidth="1"/>
    <col min="13316" max="13316" width="46.42578125" style="2131" customWidth="1"/>
    <col min="13317" max="13317" width="12.85546875" style="2131" customWidth="1"/>
    <col min="13318" max="13318" width="15.5703125" style="2131" customWidth="1"/>
    <col min="13319" max="13319" width="15.85546875" style="2131" customWidth="1"/>
    <col min="13320" max="13320" width="6.42578125" style="2131" customWidth="1"/>
    <col min="13321" max="13321" width="14.28515625" style="2131" bestFit="1" customWidth="1"/>
    <col min="13322" max="13322" width="14.7109375" style="2131" bestFit="1" customWidth="1"/>
    <col min="13323" max="13323" width="16" style="2131" bestFit="1" customWidth="1"/>
    <col min="13324" max="13324" width="15.5703125" style="2131" customWidth="1"/>
    <col min="13325" max="13568" width="9.140625" style="2131"/>
    <col min="13569" max="13569" width="5.7109375" style="2131" customWidth="1"/>
    <col min="13570" max="13570" width="6.7109375" style="2131" customWidth="1"/>
    <col min="13571" max="13571" width="8.85546875" style="2131" customWidth="1"/>
    <col min="13572" max="13572" width="46.42578125" style="2131" customWidth="1"/>
    <col min="13573" max="13573" width="12.85546875" style="2131" customWidth="1"/>
    <col min="13574" max="13574" width="15.5703125" style="2131" customWidth="1"/>
    <col min="13575" max="13575" width="15.85546875" style="2131" customWidth="1"/>
    <col min="13576" max="13576" width="6.42578125" style="2131" customWidth="1"/>
    <col min="13577" max="13577" width="14.28515625" style="2131" bestFit="1" customWidth="1"/>
    <col min="13578" max="13578" width="14.7109375" style="2131" bestFit="1" customWidth="1"/>
    <col min="13579" max="13579" width="16" style="2131" bestFit="1" customWidth="1"/>
    <col min="13580" max="13580" width="15.5703125" style="2131" customWidth="1"/>
    <col min="13581" max="13824" width="9.140625" style="2131"/>
    <col min="13825" max="13825" width="5.7109375" style="2131" customWidth="1"/>
    <col min="13826" max="13826" width="6.7109375" style="2131" customWidth="1"/>
    <col min="13827" max="13827" width="8.85546875" style="2131" customWidth="1"/>
    <col min="13828" max="13828" width="46.42578125" style="2131" customWidth="1"/>
    <col min="13829" max="13829" width="12.85546875" style="2131" customWidth="1"/>
    <col min="13830" max="13830" width="15.5703125" style="2131" customWidth="1"/>
    <col min="13831" max="13831" width="15.85546875" style="2131" customWidth="1"/>
    <col min="13832" max="13832" width="6.42578125" style="2131" customWidth="1"/>
    <col min="13833" max="13833" width="14.28515625" style="2131" bestFit="1" customWidth="1"/>
    <col min="13834" max="13834" width="14.7109375" style="2131" bestFit="1" customWidth="1"/>
    <col min="13835" max="13835" width="16" style="2131" bestFit="1" customWidth="1"/>
    <col min="13836" max="13836" width="15.5703125" style="2131" customWidth="1"/>
    <col min="13837" max="14080" width="9.140625" style="2131"/>
    <col min="14081" max="14081" width="5.7109375" style="2131" customWidth="1"/>
    <col min="14082" max="14082" width="6.7109375" style="2131" customWidth="1"/>
    <col min="14083" max="14083" width="8.85546875" style="2131" customWidth="1"/>
    <col min="14084" max="14084" width="46.42578125" style="2131" customWidth="1"/>
    <col min="14085" max="14085" width="12.85546875" style="2131" customWidth="1"/>
    <col min="14086" max="14086" width="15.5703125" style="2131" customWidth="1"/>
    <col min="14087" max="14087" width="15.85546875" style="2131" customWidth="1"/>
    <col min="14088" max="14088" width="6.42578125" style="2131" customWidth="1"/>
    <col min="14089" max="14089" width="14.28515625" style="2131" bestFit="1" customWidth="1"/>
    <col min="14090" max="14090" width="14.7109375" style="2131" bestFit="1" customWidth="1"/>
    <col min="14091" max="14091" width="16" style="2131" bestFit="1" customWidth="1"/>
    <col min="14092" max="14092" width="15.5703125" style="2131" customWidth="1"/>
    <col min="14093" max="14336" width="9.140625" style="2131"/>
    <col min="14337" max="14337" width="5.7109375" style="2131" customWidth="1"/>
    <col min="14338" max="14338" width="6.7109375" style="2131" customWidth="1"/>
    <col min="14339" max="14339" width="8.85546875" style="2131" customWidth="1"/>
    <col min="14340" max="14340" width="46.42578125" style="2131" customWidth="1"/>
    <col min="14341" max="14341" width="12.85546875" style="2131" customWidth="1"/>
    <col min="14342" max="14342" width="15.5703125" style="2131" customWidth="1"/>
    <col min="14343" max="14343" width="15.85546875" style="2131" customWidth="1"/>
    <col min="14344" max="14344" width="6.42578125" style="2131" customWidth="1"/>
    <col min="14345" max="14345" width="14.28515625" style="2131" bestFit="1" customWidth="1"/>
    <col min="14346" max="14346" width="14.7109375" style="2131" bestFit="1" customWidth="1"/>
    <col min="14347" max="14347" width="16" style="2131" bestFit="1" customWidth="1"/>
    <col min="14348" max="14348" width="15.5703125" style="2131" customWidth="1"/>
    <col min="14349" max="14592" width="9.140625" style="2131"/>
    <col min="14593" max="14593" width="5.7109375" style="2131" customWidth="1"/>
    <col min="14594" max="14594" width="6.7109375" style="2131" customWidth="1"/>
    <col min="14595" max="14595" width="8.85546875" style="2131" customWidth="1"/>
    <col min="14596" max="14596" width="46.42578125" style="2131" customWidth="1"/>
    <col min="14597" max="14597" width="12.85546875" style="2131" customWidth="1"/>
    <col min="14598" max="14598" width="15.5703125" style="2131" customWidth="1"/>
    <col min="14599" max="14599" width="15.85546875" style="2131" customWidth="1"/>
    <col min="14600" max="14600" width="6.42578125" style="2131" customWidth="1"/>
    <col min="14601" max="14601" width="14.28515625" style="2131" bestFit="1" customWidth="1"/>
    <col min="14602" max="14602" width="14.7109375" style="2131" bestFit="1" customWidth="1"/>
    <col min="14603" max="14603" width="16" style="2131" bestFit="1" customWidth="1"/>
    <col min="14604" max="14604" width="15.5703125" style="2131" customWidth="1"/>
    <col min="14605" max="14848" width="9.140625" style="2131"/>
    <col min="14849" max="14849" width="5.7109375" style="2131" customWidth="1"/>
    <col min="14850" max="14850" width="6.7109375" style="2131" customWidth="1"/>
    <col min="14851" max="14851" width="8.85546875" style="2131" customWidth="1"/>
    <col min="14852" max="14852" width="46.42578125" style="2131" customWidth="1"/>
    <col min="14853" max="14853" width="12.85546875" style="2131" customWidth="1"/>
    <col min="14854" max="14854" width="15.5703125" style="2131" customWidth="1"/>
    <col min="14855" max="14855" width="15.85546875" style="2131" customWidth="1"/>
    <col min="14856" max="14856" width="6.42578125" style="2131" customWidth="1"/>
    <col min="14857" max="14857" width="14.28515625" style="2131" bestFit="1" customWidth="1"/>
    <col min="14858" max="14858" width="14.7109375" style="2131" bestFit="1" customWidth="1"/>
    <col min="14859" max="14859" width="16" style="2131" bestFit="1" customWidth="1"/>
    <col min="14860" max="14860" width="15.5703125" style="2131" customWidth="1"/>
    <col min="14861" max="15104" width="9.140625" style="2131"/>
    <col min="15105" max="15105" width="5.7109375" style="2131" customWidth="1"/>
    <col min="15106" max="15106" width="6.7109375" style="2131" customWidth="1"/>
    <col min="15107" max="15107" width="8.85546875" style="2131" customWidth="1"/>
    <col min="15108" max="15108" width="46.42578125" style="2131" customWidth="1"/>
    <col min="15109" max="15109" width="12.85546875" style="2131" customWidth="1"/>
    <col min="15110" max="15110" width="15.5703125" style="2131" customWidth="1"/>
    <col min="15111" max="15111" width="15.85546875" style="2131" customWidth="1"/>
    <col min="15112" max="15112" width="6.42578125" style="2131" customWidth="1"/>
    <col min="15113" max="15113" width="14.28515625" style="2131" bestFit="1" customWidth="1"/>
    <col min="15114" max="15114" width="14.7109375" style="2131" bestFit="1" customWidth="1"/>
    <col min="15115" max="15115" width="16" style="2131" bestFit="1" customWidth="1"/>
    <col min="15116" max="15116" width="15.5703125" style="2131" customWidth="1"/>
    <col min="15117" max="15360" width="9.140625" style="2131"/>
    <col min="15361" max="15361" width="5.7109375" style="2131" customWidth="1"/>
    <col min="15362" max="15362" width="6.7109375" style="2131" customWidth="1"/>
    <col min="15363" max="15363" width="8.85546875" style="2131" customWidth="1"/>
    <col min="15364" max="15364" width="46.42578125" style="2131" customWidth="1"/>
    <col min="15365" max="15365" width="12.85546875" style="2131" customWidth="1"/>
    <col min="15366" max="15366" width="15.5703125" style="2131" customWidth="1"/>
    <col min="15367" max="15367" width="15.85546875" style="2131" customWidth="1"/>
    <col min="15368" max="15368" width="6.42578125" style="2131" customWidth="1"/>
    <col min="15369" max="15369" width="14.28515625" style="2131" bestFit="1" customWidth="1"/>
    <col min="15370" max="15370" width="14.7109375" style="2131" bestFit="1" customWidth="1"/>
    <col min="15371" max="15371" width="16" style="2131" bestFit="1" customWidth="1"/>
    <col min="15372" max="15372" width="15.5703125" style="2131" customWidth="1"/>
    <col min="15373" max="15616" width="9.140625" style="2131"/>
    <col min="15617" max="15617" width="5.7109375" style="2131" customWidth="1"/>
    <col min="15618" max="15618" width="6.7109375" style="2131" customWidth="1"/>
    <col min="15619" max="15619" width="8.85546875" style="2131" customWidth="1"/>
    <col min="15620" max="15620" width="46.42578125" style="2131" customWidth="1"/>
    <col min="15621" max="15621" width="12.85546875" style="2131" customWidth="1"/>
    <col min="15622" max="15622" width="15.5703125" style="2131" customWidth="1"/>
    <col min="15623" max="15623" width="15.85546875" style="2131" customWidth="1"/>
    <col min="15624" max="15624" width="6.42578125" style="2131" customWidth="1"/>
    <col min="15625" max="15625" width="14.28515625" style="2131" bestFit="1" customWidth="1"/>
    <col min="15626" max="15626" width="14.7109375" style="2131" bestFit="1" customWidth="1"/>
    <col min="15627" max="15627" width="16" style="2131" bestFit="1" customWidth="1"/>
    <col min="15628" max="15628" width="15.5703125" style="2131" customWidth="1"/>
    <col min="15629" max="15872" width="9.140625" style="2131"/>
    <col min="15873" max="15873" width="5.7109375" style="2131" customWidth="1"/>
    <col min="15874" max="15874" width="6.7109375" style="2131" customWidth="1"/>
    <col min="15875" max="15875" width="8.85546875" style="2131" customWidth="1"/>
    <col min="15876" max="15876" width="46.42578125" style="2131" customWidth="1"/>
    <col min="15877" max="15877" width="12.85546875" style="2131" customWidth="1"/>
    <col min="15878" max="15878" width="15.5703125" style="2131" customWidth="1"/>
    <col min="15879" max="15879" width="15.85546875" style="2131" customWidth="1"/>
    <col min="15880" max="15880" width="6.42578125" style="2131" customWidth="1"/>
    <col min="15881" max="15881" width="14.28515625" style="2131" bestFit="1" customWidth="1"/>
    <col min="15882" max="15882" width="14.7109375" style="2131" bestFit="1" customWidth="1"/>
    <col min="15883" max="15883" width="16" style="2131" bestFit="1" customWidth="1"/>
    <col min="15884" max="15884" width="15.5703125" style="2131" customWidth="1"/>
    <col min="15885" max="16128" width="9.140625" style="2131"/>
    <col min="16129" max="16129" width="5.7109375" style="2131" customWidth="1"/>
    <col min="16130" max="16130" width="6.7109375" style="2131" customWidth="1"/>
    <col min="16131" max="16131" width="8.85546875" style="2131" customWidth="1"/>
    <col min="16132" max="16132" width="46.42578125" style="2131" customWidth="1"/>
    <col min="16133" max="16133" width="12.85546875" style="2131" customWidth="1"/>
    <col min="16134" max="16134" width="15.5703125" style="2131" customWidth="1"/>
    <col min="16135" max="16135" width="15.85546875" style="2131" customWidth="1"/>
    <col min="16136" max="16136" width="6.42578125" style="2131" customWidth="1"/>
    <col min="16137" max="16137" width="14.28515625" style="2131" bestFit="1" customWidth="1"/>
    <col min="16138" max="16138" width="14.7109375" style="2131" bestFit="1" customWidth="1"/>
    <col min="16139" max="16139" width="16" style="2131" bestFit="1" customWidth="1"/>
    <col min="16140" max="16140" width="15.5703125" style="2131" customWidth="1"/>
    <col min="16141" max="16384" width="9.140625" style="2131"/>
  </cols>
  <sheetData>
    <row r="1" spans="1:8" ht="19.5" customHeight="1" thickBot="1" x14ac:dyDescent="0.3">
      <c r="A1" s="1944" t="s">
        <v>1169</v>
      </c>
      <c r="B1" s="1943"/>
      <c r="C1" s="2126"/>
      <c r="D1" s="1941"/>
      <c r="E1" s="1940"/>
      <c r="F1" s="1941"/>
      <c r="G1" s="2250"/>
      <c r="H1" s="1944"/>
    </row>
    <row r="2" spans="1:8" ht="18" x14ac:dyDescent="0.25">
      <c r="A2" s="2135"/>
      <c r="B2" s="2168"/>
      <c r="C2" s="2168"/>
      <c r="D2" s="2168"/>
      <c r="E2" s="2168"/>
      <c r="F2" s="2168"/>
      <c r="G2" s="2168"/>
      <c r="H2" s="2222" t="s">
        <v>1170</v>
      </c>
    </row>
    <row r="3" spans="1:8" ht="18" x14ac:dyDescent="0.25">
      <c r="A3" s="1939" t="s">
        <v>404</v>
      </c>
      <c r="B3" s="2168"/>
      <c r="C3" s="2129" t="s">
        <v>379</v>
      </c>
      <c r="D3" s="2168"/>
      <c r="E3" s="2168"/>
      <c r="F3" s="2168"/>
      <c r="G3" s="2168"/>
      <c r="H3" s="2222"/>
    </row>
    <row r="4" spans="1:8" ht="18" x14ac:dyDescent="0.25">
      <c r="A4" s="2135"/>
      <c r="B4" s="2168"/>
      <c r="C4" s="2129" t="s">
        <v>380</v>
      </c>
      <c r="D4" s="2168"/>
      <c r="E4" s="2168"/>
      <c r="F4" s="2168"/>
      <c r="G4" s="2168"/>
      <c r="H4" s="2222"/>
    </row>
    <row r="5" spans="1:8" ht="18" x14ac:dyDescent="0.25">
      <c r="A5" s="2134" t="s">
        <v>1171</v>
      </c>
      <c r="B5" s="2168"/>
      <c r="C5" s="2168"/>
      <c r="D5" s="2168"/>
      <c r="E5" s="2168"/>
      <c r="F5" s="2168"/>
      <c r="G5" s="2168"/>
      <c r="H5" s="2222"/>
    </row>
    <row r="6" spans="1:8" ht="18" x14ac:dyDescent="0.25">
      <c r="A6" s="2134"/>
      <c r="B6" s="2168"/>
      <c r="C6" s="2168"/>
      <c r="D6" s="2168"/>
      <c r="E6" s="2168"/>
      <c r="F6" s="2168"/>
      <c r="G6" s="2168"/>
      <c r="H6" s="2222"/>
    </row>
    <row r="7" spans="1:8" ht="15" x14ac:dyDescent="0.25">
      <c r="A7" s="2332" t="s">
        <v>1172</v>
      </c>
      <c r="B7" s="2198"/>
      <c r="C7" s="2198"/>
      <c r="D7" s="2198"/>
    </row>
    <row r="8" spans="1:8" ht="15.75" thickBot="1" x14ac:dyDescent="0.3">
      <c r="A8" s="2333" t="s">
        <v>1173</v>
      </c>
      <c r="B8" s="2335"/>
      <c r="C8" s="2335"/>
      <c r="H8" s="2240" t="s">
        <v>179</v>
      </c>
    </row>
    <row r="9" spans="1:8" s="1849" customFormat="1" ht="25.5" thickTop="1" thickBot="1" x14ac:dyDescent="0.25">
      <c r="A9" s="2138" t="s">
        <v>180</v>
      </c>
      <c r="B9" s="2139" t="s">
        <v>847</v>
      </c>
      <c r="C9" s="2139" t="s">
        <v>414</v>
      </c>
      <c r="D9" s="2140" t="s">
        <v>182</v>
      </c>
      <c r="E9" s="2171" t="s">
        <v>700</v>
      </c>
      <c r="F9" s="2171" t="s">
        <v>701</v>
      </c>
      <c r="G9" s="2172" t="s">
        <v>986</v>
      </c>
      <c r="H9" s="2173" t="s">
        <v>987</v>
      </c>
    </row>
    <row r="10" spans="1:8" s="1849" customFormat="1" ht="13.5" thickTop="1" thickBot="1" x14ac:dyDescent="0.25">
      <c r="A10" s="1854">
        <v>1</v>
      </c>
      <c r="B10" s="1853">
        <v>2</v>
      </c>
      <c r="C10" s="1853">
        <v>3</v>
      </c>
      <c r="D10" s="1853">
        <v>4</v>
      </c>
      <c r="E10" s="1852">
        <v>5</v>
      </c>
      <c r="F10" s="1852">
        <v>6</v>
      </c>
      <c r="G10" s="2223">
        <v>7</v>
      </c>
      <c r="H10" s="2251" t="s">
        <v>61</v>
      </c>
    </row>
    <row r="11" spans="1:8" s="2259" customFormat="1" ht="15.75" customHeight="1" thickTop="1" x14ac:dyDescent="0.2">
      <c r="A11" s="2246">
        <v>4399</v>
      </c>
      <c r="B11" s="2253">
        <v>5011</v>
      </c>
      <c r="C11" s="2254">
        <v>33113233</v>
      </c>
      <c r="D11" s="2174" t="s">
        <v>225</v>
      </c>
      <c r="E11" s="2184">
        <v>0</v>
      </c>
      <c r="F11" s="2184">
        <v>3</v>
      </c>
      <c r="G11" s="2184">
        <v>3</v>
      </c>
      <c r="H11" s="2156">
        <f t="shared" ref="H11:H20" si="0">G11/F11*100</f>
        <v>100</v>
      </c>
    </row>
    <row r="12" spans="1:8" s="2259" customFormat="1" ht="15" x14ac:dyDescent="0.2">
      <c r="A12" s="2246">
        <v>4399</v>
      </c>
      <c r="B12" s="2253">
        <v>5011</v>
      </c>
      <c r="C12" s="2254">
        <v>33513233</v>
      </c>
      <c r="D12" s="2174" t="s">
        <v>225</v>
      </c>
      <c r="E12" s="2184">
        <v>0</v>
      </c>
      <c r="F12" s="2184">
        <v>15</v>
      </c>
      <c r="G12" s="2184">
        <v>15</v>
      </c>
      <c r="H12" s="2156">
        <f t="shared" si="0"/>
        <v>100</v>
      </c>
    </row>
    <row r="13" spans="1:8" s="2259" customFormat="1" ht="15" customHeight="1" x14ac:dyDescent="0.2">
      <c r="A13" s="2246">
        <v>4399</v>
      </c>
      <c r="B13" s="2253">
        <v>5021</v>
      </c>
      <c r="C13" s="2254">
        <v>33113233</v>
      </c>
      <c r="D13" s="2174" t="s">
        <v>427</v>
      </c>
      <c r="E13" s="2184">
        <v>0</v>
      </c>
      <c r="F13" s="2184">
        <v>11</v>
      </c>
      <c r="G13" s="2184">
        <v>11</v>
      </c>
      <c r="H13" s="2156">
        <f t="shared" si="0"/>
        <v>100</v>
      </c>
    </row>
    <row r="14" spans="1:8" s="2259" customFormat="1" ht="15" customHeight="1" x14ac:dyDescent="0.2">
      <c r="A14" s="2246">
        <v>4399</v>
      </c>
      <c r="B14" s="2253">
        <v>5021</v>
      </c>
      <c r="C14" s="2254">
        <v>33513233</v>
      </c>
      <c r="D14" s="2174" t="s">
        <v>427</v>
      </c>
      <c r="E14" s="2184">
        <v>0</v>
      </c>
      <c r="F14" s="2184">
        <v>64</v>
      </c>
      <c r="G14" s="2184">
        <v>64</v>
      </c>
      <c r="H14" s="2156">
        <f t="shared" si="0"/>
        <v>100</v>
      </c>
    </row>
    <row r="15" spans="1:8" s="2259" customFormat="1" ht="30" customHeight="1" x14ac:dyDescent="0.2">
      <c r="A15" s="2246">
        <v>4399</v>
      </c>
      <c r="B15" s="2253">
        <v>5031</v>
      </c>
      <c r="C15" s="2254">
        <v>33113233</v>
      </c>
      <c r="D15" s="2174" t="s">
        <v>1459</v>
      </c>
      <c r="E15" s="2184">
        <v>0</v>
      </c>
      <c r="F15" s="2184">
        <v>3</v>
      </c>
      <c r="G15" s="2184">
        <v>3</v>
      </c>
      <c r="H15" s="2156">
        <f t="shared" si="0"/>
        <v>100</v>
      </c>
    </row>
    <row r="16" spans="1:8" s="2259" customFormat="1" ht="30" customHeight="1" x14ac:dyDescent="0.2">
      <c r="A16" s="2246">
        <v>4399</v>
      </c>
      <c r="B16" s="2253">
        <v>5031</v>
      </c>
      <c r="C16" s="2254">
        <v>33513233</v>
      </c>
      <c r="D16" s="2174" t="s">
        <v>1459</v>
      </c>
      <c r="E16" s="2184">
        <v>0</v>
      </c>
      <c r="F16" s="2184">
        <v>15</v>
      </c>
      <c r="G16" s="2184">
        <v>15</v>
      </c>
      <c r="H16" s="2156">
        <f t="shared" si="0"/>
        <v>100</v>
      </c>
    </row>
    <row r="17" spans="1:8" s="2259" customFormat="1" ht="30" x14ac:dyDescent="0.2">
      <c r="A17" s="2246">
        <v>4399</v>
      </c>
      <c r="B17" s="2253">
        <v>5032</v>
      </c>
      <c r="C17" s="2254">
        <v>33113233</v>
      </c>
      <c r="D17" s="2174" t="s">
        <v>1322</v>
      </c>
      <c r="E17" s="2184">
        <v>0</v>
      </c>
      <c r="F17" s="2184">
        <v>1</v>
      </c>
      <c r="G17" s="2184">
        <v>1</v>
      </c>
      <c r="H17" s="2156">
        <f t="shared" si="0"/>
        <v>100</v>
      </c>
    </row>
    <row r="18" spans="1:8" s="2259" customFormat="1" ht="30" x14ac:dyDescent="0.2">
      <c r="A18" s="2246">
        <v>4399</v>
      </c>
      <c r="B18" s="2253">
        <v>5032</v>
      </c>
      <c r="C18" s="2254">
        <v>33513233</v>
      </c>
      <c r="D18" s="2174" t="s">
        <v>1322</v>
      </c>
      <c r="E18" s="2184">
        <v>0</v>
      </c>
      <c r="F18" s="2184">
        <v>5</v>
      </c>
      <c r="G18" s="2184">
        <v>5</v>
      </c>
      <c r="H18" s="2156">
        <f t="shared" si="0"/>
        <v>100</v>
      </c>
    </row>
    <row r="19" spans="1:8" s="2259" customFormat="1" ht="15" hidden="1" x14ac:dyDescent="0.2">
      <c r="A19" s="2246">
        <v>4399</v>
      </c>
      <c r="B19" s="2253">
        <v>5137</v>
      </c>
      <c r="C19" s="2254">
        <v>33113233</v>
      </c>
      <c r="D19" s="2174" t="s">
        <v>173</v>
      </c>
      <c r="E19" s="2184">
        <v>0</v>
      </c>
      <c r="F19" s="2184">
        <v>0</v>
      </c>
      <c r="G19" s="2184">
        <v>0</v>
      </c>
      <c r="H19" s="2156" t="e">
        <f t="shared" si="0"/>
        <v>#DIV/0!</v>
      </c>
    </row>
    <row r="20" spans="1:8" s="2259" customFormat="1" ht="15" hidden="1" x14ac:dyDescent="0.2">
      <c r="A20" s="2246">
        <v>4399</v>
      </c>
      <c r="B20" s="2253">
        <v>5137</v>
      </c>
      <c r="C20" s="2254">
        <v>33513233</v>
      </c>
      <c r="D20" s="2174" t="s">
        <v>173</v>
      </c>
      <c r="E20" s="2184">
        <v>0</v>
      </c>
      <c r="F20" s="2184">
        <v>0</v>
      </c>
      <c r="G20" s="2184">
        <v>0</v>
      </c>
      <c r="H20" s="2156" t="e">
        <f t="shared" si="0"/>
        <v>#DIV/0!</v>
      </c>
    </row>
    <row r="21" spans="1:8" s="2185" customFormat="1" ht="15" hidden="1" x14ac:dyDescent="0.2">
      <c r="A21" s="2246">
        <v>4399</v>
      </c>
      <c r="B21" s="2257">
        <v>5139</v>
      </c>
      <c r="C21" s="2254">
        <v>33113233</v>
      </c>
      <c r="D21" s="2174" t="s">
        <v>295</v>
      </c>
      <c r="E21" s="2184">
        <v>0</v>
      </c>
      <c r="F21" s="2184">
        <v>0</v>
      </c>
      <c r="G21" s="2184">
        <v>0</v>
      </c>
      <c r="H21" s="2156">
        <v>0</v>
      </c>
    </row>
    <row r="22" spans="1:8" s="2185" customFormat="1" ht="15" hidden="1" x14ac:dyDescent="0.2">
      <c r="A22" s="2246">
        <v>4399</v>
      </c>
      <c r="B22" s="2257">
        <v>5139</v>
      </c>
      <c r="C22" s="2254">
        <v>33513233</v>
      </c>
      <c r="D22" s="2174" t="s">
        <v>295</v>
      </c>
      <c r="E22" s="2184">
        <v>0</v>
      </c>
      <c r="F22" s="2184">
        <v>0</v>
      </c>
      <c r="G22" s="2184">
        <v>0</v>
      </c>
      <c r="H22" s="2156" t="e">
        <f t="shared" ref="H22:H36" si="1">G22/F22*100</f>
        <v>#DIV/0!</v>
      </c>
    </row>
    <row r="23" spans="1:8" ht="15.75" hidden="1" customHeight="1" x14ac:dyDescent="0.2">
      <c r="A23" s="2246">
        <v>4399</v>
      </c>
      <c r="B23" s="2257">
        <v>5162</v>
      </c>
      <c r="C23" s="2254">
        <v>33113233</v>
      </c>
      <c r="D23" s="2174" t="s">
        <v>967</v>
      </c>
      <c r="E23" s="2184">
        <v>0</v>
      </c>
      <c r="F23" s="2184">
        <v>0</v>
      </c>
      <c r="G23" s="2184">
        <v>0</v>
      </c>
      <c r="H23" s="2156" t="e">
        <f t="shared" si="1"/>
        <v>#DIV/0!</v>
      </c>
    </row>
    <row r="24" spans="1:8" ht="15.75" hidden="1" customHeight="1" x14ac:dyDescent="0.2">
      <c r="A24" s="2246">
        <v>4399</v>
      </c>
      <c r="B24" s="2257">
        <v>5162</v>
      </c>
      <c r="C24" s="2254">
        <v>33513233</v>
      </c>
      <c r="D24" s="2174" t="s">
        <v>967</v>
      </c>
      <c r="E24" s="2184">
        <v>0</v>
      </c>
      <c r="F24" s="2184">
        <v>0</v>
      </c>
      <c r="G24" s="2184">
        <v>0</v>
      </c>
      <c r="H24" s="2156" t="e">
        <f t="shared" si="1"/>
        <v>#DIV/0!</v>
      </c>
    </row>
    <row r="25" spans="1:8" ht="15.75" hidden="1" customHeight="1" x14ac:dyDescent="0.2">
      <c r="A25" s="2246">
        <v>4399</v>
      </c>
      <c r="B25" s="2257">
        <v>5164</v>
      </c>
      <c r="C25" s="2254">
        <v>33113233</v>
      </c>
      <c r="D25" s="2174" t="s">
        <v>188</v>
      </c>
      <c r="E25" s="2184">
        <v>0</v>
      </c>
      <c r="F25" s="2184">
        <v>0</v>
      </c>
      <c r="G25" s="2184">
        <v>0</v>
      </c>
      <c r="H25" s="2156" t="e">
        <f t="shared" si="1"/>
        <v>#DIV/0!</v>
      </c>
    </row>
    <row r="26" spans="1:8" ht="15.75" hidden="1" customHeight="1" x14ac:dyDescent="0.2">
      <c r="A26" s="2246">
        <v>4399</v>
      </c>
      <c r="B26" s="2257">
        <v>5164</v>
      </c>
      <c r="C26" s="2254">
        <v>33513233</v>
      </c>
      <c r="D26" s="2174" t="s">
        <v>188</v>
      </c>
      <c r="E26" s="2184">
        <v>0</v>
      </c>
      <c r="F26" s="2184">
        <v>0</v>
      </c>
      <c r="G26" s="2184">
        <v>0</v>
      </c>
      <c r="H26" s="2156" t="e">
        <f t="shared" si="1"/>
        <v>#DIV/0!</v>
      </c>
    </row>
    <row r="27" spans="1:8" ht="15.75" customHeight="1" x14ac:dyDescent="0.2">
      <c r="A27" s="2246">
        <v>4399</v>
      </c>
      <c r="B27" s="2257">
        <v>5166</v>
      </c>
      <c r="C27" s="2254">
        <v>33113233</v>
      </c>
      <c r="D27" s="2174" t="s">
        <v>677</v>
      </c>
      <c r="E27" s="2184">
        <v>0</v>
      </c>
      <c r="F27" s="2184">
        <v>12</v>
      </c>
      <c r="G27" s="2184">
        <v>12</v>
      </c>
      <c r="H27" s="2156">
        <f t="shared" si="1"/>
        <v>100</v>
      </c>
    </row>
    <row r="28" spans="1:8" ht="15.75" customHeight="1" x14ac:dyDescent="0.2">
      <c r="A28" s="2246">
        <v>4399</v>
      </c>
      <c r="B28" s="2257">
        <v>5166</v>
      </c>
      <c r="C28" s="2254">
        <v>33513233</v>
      </c>
      <c r="D28" s="2174" t="s">
        <v>677</v>
      </c>
      <c r="E28" s="2184">
        <v>0</v>
      </c>
      <c r="F28" s="2184">
        <v>70</v>
      </c>
      <c r="G28" s="2184">
        <v>70</v>
      </c>
      <c r="H28" s="2156">
        <f t="shared" si="1"/>
        <v>100</v>
      </c>
    </row>
    <row r="29" spans="1:8" ht="15.75" customHeight="1" x14ac:dyDescent="0.2">
      <c r="A29" s="2246">
        <v>4399</v>
      </c>
      <c r="B29" s="2257">
        <v>5169</v>
      </c>
      <c r="C29" s="2254">
        <v>33113233</v>
      </c>
      <c r="D29" s="2174" t="s">
        <v>955</v>
      </c>
      <c r="E29" s="2184">
        <v>0</v>
      </c>
      <c r="F29" s="2184">
        <v>24</v>
      </c>
      <c r="G29" s="2184">
        <v>24</v>
      </c>
      <c r="H29" s="2156">
        <f t="shared" si="1"/>
        <v>100</v>
      </c>
    </row>
    <row r="30" spans="1:8" ht="15.75" customHeight="1" x14ac:dyDescent="0.2">
      <c r="A30" s="2246">
        <v>4399</v>
      </c>
      <c r="B30" s="2253">
        <v>5169</v>
      </c>
      <c r="C30" s="2254">
        <v>33513233</v>
      </c>
      <c r="D30" s="2174" t="s">
        <v>955</v>
      </c>
      <c r="E30" s="2184">
        <v>0</v>
      </c>
      <c r="F30" s="2184">
        <v>138</v>
      </c>
      <c r="G30" s="2184">
        <v>138</v>
      </c>
      <c r="H30" s="2156">
        <f t="shared" si="1"/>
        <v>100</v>
      </c>
    </row>
    <row r="31" spans="1:8" ht="15.75" hidden="1" customHeight="1" x14ac:dyDescent="0.2">
      <c r="A31" s="2246">
        <v>4399</v>
      </c>
      <c r="B31" s="2253">
        <v>5173</v>
      </c>
      <c r="C31" s="2254">
        <v>33113233</v>
      </c>
      <c r="D31" s="2174" t="s">
        <v>1296</v>
      </c>
      <c r="E31" s="2184">
        <v>0</v>
      </c>
      <c r="F31" s="2184">
        <v>0</v>
      </c>
      <c r="G31" s="2184">
        <v>0</v>
      </c>
      <c r="H31" s="2156" t="e">
        <f t="shared" si="1"/>
        <v>#DIV/0!</v>
      </c>
    </row>
    <row r="32" spans="1:8" ht="15.75" hidden="1" customHeight="1" x14ac:dyDescent="0.2">
      <c r="A32" s="2246">
        <v>4399</v>
      </c>
      <c r="B32" s="2253">
        <v>5173</v>
      </c>
      <c r="C32" s="2254">
        <v>33513233</v>
      </c>
      <c r="D32" s="2174" t="s">
        <v>1296</v>
      </c>
      <c r="E32" s="2184">
        <v>0</v>
      </c>
      <c r="F32" s="2184">
        <v>0</v>
      </c>
      <c r="G32" s="2184">
        <v>0</v>
      </c>
      <c r="H32" s="2156" t="e">
        <f t="shared" si="1"/>
        <v>#DIV/0!</v>
      </c>
    </row>
    <row r="33" spans="1:9" ht="15.75" customHeight="1" x14ac:dyDescent="0.2">
      <c r="A33" s="2246">
        <v>4399</v>
      </c>
      <c r="B33" s="2253">
        <v>5424</v>
      </c>
      <c r="C33" s="2254">
        <v>33113233</v>
      </c>
      <c r="D33" s="2174" t="s">
        <v>720</v>
      </c>
      <c r="E33" s="2184">
        <v>0</v>
      </c>
      <c r="F33" s="2184">
        <v>1</v>
      </c>
      <c r="G33" s="2184">
        <v>1</v>
      </c>
      <c r="H33" s="2156">
        <f t="shared" si="1"/>
        <v>100</v>
      </c>
    </row>
    <row r="34" spans="1:9" s="2185" customFormat="1" ht="15.75" customHeight="1" x14ac:dyDescent="0.2">
      <c r="A34" s="2246">
        <v>4399</v>
      </c>
      <c r="B34" s="2253">
        <v>5424</v>
      </c>
      <c r="C34" s="2254">
        <v>33513233</v>
      </c>
      <c r="D34" s="2174" t="s">
        <v>720</v>
      </c>
      <c r="E34" s="2184">
        <v>0</v>
      </c>
      <c r="F34" s="2184">
        <v>5</v>
      </c>
      <c r="G34" s="2184">
        <v>5</v>
      </c>
      <c r="H34" s="2156">
        <f t="shared" si="1"/>
        <v>100</v>
      </c>
    </row>
    <row r="35" spans="1:9" s="2185" customFormat="1" ht="30" customHeight="1" thickBot="1" x14ac:dyDescent="0.25">
      <c r="A35" s="2246">
        <v>6402</v>
      </c>
      <c r="B35" s="2253">
        <v>5364</v>
      </c>
      <c r="C35" s="2254">
        <v>19</v>
      </c>
      <c r="D35" s="2174" t="s">
        <v>1717</v>
      </c>
      <c r="E35" s="2184">
        <v>0</v>
      </c>
      <c r="F35" s="2184">
        <v>1595</v>
      </c>
      <c r="G35" s="2184">
        <v>1595</v>
      </c>
      <c r="H35" s="2163">
        <f t="shared" si="1"/>
        <v>100</v>
      </c>
    </row>
    <row r="36" spans="1:9" s="2164" customFormat="1" ht="16.5" thickTop="1" thickBot="1" x14ac:dyDescent="0.3">
      <c r="A36" s="2806" t="s">
        <v>849</v>
      </c>
      <c r="B36" s="2807"/>
      <c r="C36" s="2807"/>
      <c r="D36" s="2807"/>
      <c r="E36" s="2152">
        <f>SUM(E11:E35)</f>
        <v>0</v>
      </c>
      <c r="F36" s="2152">
        <f>SUM(F11:F35)</f>
        <v>1962</v>
      </c>
      <c r="G36" s="2152">
        <f>SUM(G11:G35)</f>
        <v>1962</v>
      </c>
      <c r="H36" s="2163">
        <f t="shared" si="1"/>
        <v>100</v>
      </c>
      <c r="I36" s="2262"/>
    </row>
    <row r="37" spans="1:9" ht="13.5" thickTop="1" x14ac:dyDescent="0.2">
      <c r="I37" s="2165"/>
    </row>
    <row r="38" spans="1:9" ht="15" x14ac:dyDescent="0.25">
      <c r="A38" s="2332" t="s">
        <v>1175</v>
      </c>
      <c r="B38" s="2198"/>
      <c r="C38" s="2198"/>
      <c r="D38" s="2198"/>
    </row>
    <row r="39" spans="1:9" ht="15.75" thickBot="1" x14ac:dyDescent="0.3">
      <c r="A39" s="2333" t="s">
        <v>1176</v>
      </c>
      <c r="B39" s="2335"/>
      <c r="C39" s="2335"/>
      <c r="H39" s="2240" t="s">
        <v>179</v>
      </c>
    </row>
    <row r="40" spans="1:9" s="1849" customFormat="1" ht="25.5" thickTop="1" thickBot="1" x14ac:dyDescent="0.25">
      <c r="A40" s="2138" t="s">
        <v>180</v>
      </c>
      <c r="B40" s="2139" t="s">
        <v>847</v>
      </c>
      <c r="C40" s="2139" t="s">
        <v>414</v>
      </c>
      <c r="D40" s="2140" t="s">
        <v>182</v>
      </c>
      <c r="E40" s="2171" t="s">
        <v>700</v>
      </c>
      <c r="F40" s="2171" t="s">
        <v>701</v>
      </c>
      <c r="G40" s="2172" t="s">
        <v>986</v>
      </c>
      <c r="H40" s="2173" t="s">
        <v>987</v>
      </c>
    </row>
    <row r="41" spans="1:9" s="1849" customFormat="1" ht="13.5" thickTop="1" thickBot="1" x14ac:dyDescent="0.25">
      <c r="A41" s="1854">
        <v>1</v>
      </c>
      <c r="B41" s="1853">
        <v>2</v>
      </c>
      <c r="C41" s="1853">
        <v>3</v>
      </c>
      <c r="D41" s="1853">
        <v>4</v>
      </c>
      <c r="E41" s="1852">
        <v>5</v>
      </c>
      <c r="F41" s="1852">
        <v>6</v>
      </c>
      <c r="G41" s="2223">
        <v>7</v>
      </c>
      <c r="H41" s="2251" t="s">
        <v>61</v>
      </c>
    </row>
    <row r="42" spans="1:9" s="2259" customFormat="1" ht="15.75" customHeight="1" thickTop="1" x14ac:dyDescent="0.2">
      <c r="A42" s="2246">
        <v>4378</v>
      </c>
      <c r="B42" s="2253">
        <v>5011</v>
      </c>
      <c r="C42" s="2254">
        <v>33113233</v>
      </c>
      <c r="D42" s="2174" t="s">
        <v>225</v>
      </c>
      <c r="E42" s="2184">
        <v>0</v>
      </c>
      <c r="F42" s="2184">
        <v>32</v>
      </c>
      <c r="G42" s="2184">
        <v>31</v>
      </c>
      <c r="H42" s="2156">
        <f t="shared" ref="H42:H53" si="2">G42/F42*100</f>
        <v>96.875</v>
      </c>
    </row>
    <row r="43" spans="1:9" s="2259" customFormat="1" ht="15" x14ac:dyDescent="0.2">
      <c r="A43" s="2246">
        <v>4378</v>
      </c>
      <c r="B43" s="2253">
        <v>5011</v>
      </c>
      <c r="C43" s="2254">
        <v>33513233</v>
      </c>
      <c r="D43" s="2174" t="s">
        <v>225</v>
      </c>
      <c r="E43" s="2184">
        <v>0</v>
      </c>
      <c r="F43" s="2184">
        <v>183</v>
      </c>
      <c r="G43" s="2184">
        <v>175</v>
      </c>
      <c r="H43" s="2156">
        <f t="shared" si="2"/>
        <v>95.628415300546436</v>
      </c>
    </row>
    <row r="44" spans="1:9" s="2259" customFormat="1" ht="15" customHeight="1" x14ac:dyDescent="0.2">
      <c r="A44" s="2246">
        <v>4378</v>
      </c>
      <c r="B44" s="2253">
        <v>5021</v>
      </c>
      <c r="C44" s="2254">
        <v>33113233</v>
      </c>
      <c r="D44" s="2174" t="s">
        <v>427</v>
      </c>
      <c r="E44" s="2184">
        <v>0</v>
      </c>
      <c r="F44" s="2184">
        <v>11</v>
      </c>
      <c r="G44" s="2184">
        <v>10</v>
      </c>
      <c r="H44" s="2156">
        <f t="shared" si="2"/>
        <v>90.909090909090907</v>
      </c>
    </row>
    <row r="45" spans="1:9" s="2259" customFormat="1" ht="15" customHeight="1" x14ac:dyDescent="0.2">
      <c r="A45" s="2246">
        <v>4378</v>
      </c>
      <c r="B45" s="2253">
        <v>5021</v>
      </c>
      <c r="C45" s="2254">
        <v>33513233</v>
      </c>
      <c r="D45" s="2174" t="s">
        <v>427</v>
      </c>
      <c r="E45" s="2184">
        <v>0</v>
      </c>
      <c r="F45" s="2184">
        <v>61</v>
      </c>
      <c r="G45" s="2184">
        <v>59</v>
      </c>
      <c r="H45" s="2156">
        <f t="shared" si="2"/>
        <v>96.721311475409834</v>
      </c>
    </row>
    <row r="46" spans="1:9" s="2259" customFormat="1" ht="30" customHeight="1" x14ac:dyDescent="0.2">
      <c r="A46" s="2246">
        <v>4378</v>
      </c>
      <c r="B46" s="2253">
        <v>5031</v>
      </c>
      <c r="C46" s="2254">
        <v>33113233</v>
      </c>
      <c r="D46" s="2174" t="s">
        <v>1459</v>
      </c>
      <c r="E46" s="2184">
        <v>0</v>
      </c>
      <c r="F46" s="2184">
        <v>12</v>
      </c>
      <c r="G46" s="2184">
        <v>10</v>
      </c>
      <c r="H46" s="2156">
        <f t="shared" si="2"/>
        <v>83.333333333333343</v>
      </c>
    </row>
    <row r="47" spans="1:9" s="2259" customFormat="1" ht="30" customHeight="1" x14ac:dyDescent="0.2">
      <c r="A47" s="2246">
        <v>4378</v>
      </c>
      <c r="B47" s="2253">
        <v>5031</v>
      </c>
      <c r="C47" s="2254">
        <v>33513233</v>
      </c>
      <c r="D47" s="2174" t="s">
        <v>1459</v>
      </c>
      <c r="E47" s="2184">
        <v>0</v>
      </c>
      <c r="F47" s="2184">
        <v>66</v>
      </c>
      <c r="G47" s="2184">
        <v>59</v>
      </c>
      <c r="H47" s="2156">
        <f t="shared" si="2"/>
        <v>89.393939393939391</v>
      </c>
    </row>
    <row r="48" spans="1:9" s="2259" customFormat="1" ht="30" x14ac:dyDescent="0.2">
      <c r="A48" s="2246">
        <v>4378</v>
      </c>
      <c r="B48" s="2253">
        <v>5032</v>
      </c>
      <c r="C48" s="2254">
        <v>33113233</v>
      </c>
      <c r="D48" s="2174" t="s">
        <v>1322</v>
      </c>
      <c r="E48" s="2184">
        <v>0</v>
      </c>
      <c r="F48" s="2184">
        <v>4</v>
      </c>
      <c r="G48" s="2184">
        <v>4</v>
      </c>
      <c r="H48" s="2156">
        <f t="shared" si="2"/>
        <v>100</v>
      </c>
    </row>
    <row r="49" spans="1:8" s="2259" customFormat="1" ht="30" x14ac:dyDescent="0.2">
      <c r="A49" s="2246">
        <v>4378</v>
      </c>
      <c r="B49" s="2253">
        <v>5032</v>
      </c>
      <c r="C49" s="2254">
        <v>33513233</v>
      </c>
      <c r="D49" s="2174" t="s">
        <v>1322</v>
      </c>
      <c r="E49" s="2184">
        <v>0</v>
      </c>
      <c r="F49" s="2184">
        <v>23</v>
      </c>
      <c r="G49" s="2184">
        <v>20</v>
      </c>
      <c r="H49" s="2156">
        <f t="shared" si="2"/>
        <v>86.956521739130437</v>
      </c>
    </row>
    <row r="50" spans="1:8" s="2259" customFormat="1" ht="15" hidden="1" x14ac:dyDescent="0.2">
      <c r="A50" s="2246">
        <v>4378</v>
      </c>
      <c r="B50" s="2253">
        <v>5137</v>
      </c>
      <c r="C50" s="2254">
        <v>33113233</v>
      </c>
      <c r="D50" s="2174" t="s">
        <v>173</v>
      </c>
      <c r="E50" s="2184">
        <v>0</v>
      </c>
      <c r="F50" s="2184">
        <v>0</v>
      </c>
      <c r="G50" s="2184">
        <v>0</v>
      </c>
      <c r="H50" s="2156" t="e">
        <f t="shared" si="2"/>
        <v>#DIV/0!</v>
      </c>
    </row>
    <row r="51" spans="1:8" s="2259" customFormat="1" ht="15" hidden="1" x14ac:dyDescent="0.2">
      <c r="A51" s="2246">
        <v>4378</v>
      </c>
      <c r="B51" s="2253">
        <v>5137</v>
      </c>
      <c r="C51" s="2254">
        <v>33513233</v>
      </c>
      <c r="D51" s="2174" t="s">
        <v>173</v>
      </c>
      <c r="E51" s="2184">
        <v>0</v>
      </c>
      <c r="F51" s="2184">
        <v>0</v>
      </c>
      <c r="G51" s="2184">
        <v>0</v>
      </c>
      <c r="H51" s="2156" t="e">
        <f t="shared" si="2"/>
        <v>#DIV/0!</v>
      </c>
    </row>
    <row r="52" spans="1:8" s="2185" customFormat="1" ht="15" x14ac:dyDescent="0.2">
      <c r="A52" s="2246">
        <v>4378</v>
      </c>
      <c r="B52" s="2257">
        <v>5139</v>
      </c>
      <c r="C52" s="2254">
        <v>33113233</v>
      </c>
      <c r="D52" s="2174" t="s">
        <v>295</v>
      </c>
      <c r="E52" s="2184">
        <v>0</v>
      </c>
      <c r="F52" s="2184">
        <v>6</v>
      </c>
      <c r="G52" s="2184">
        <v>0</v>
      </c>
      <c r="H52" s="2156">
        <f t="shared" si="2"/>
        <v>0</v>
      </c>
    </row>
    <row r="53" spans="1:8" s="2185" customFormat="1" ht="15" x14ac:dyDescent="0.2">
      <c r="A53" s="2246">
        <v>4378</v>
      </c>
      <c r="B53" s="2257">
        <v>5139</v>
      </c>
      <c r="C53" s="2254">
        <v>33513233</v>
      </c>
      <c r="D53" s="2174" t="s">
        <v>295</v>
      </c>
      <c r="E53" s="2184">
        <v>0</v>
      </c>
      <c r="F53" s="2184">
        <v>31</v>
      </c>
      <c r="G53" s="2184">
        <v>0</v>
      </c>
      <c r="H53" s="2156">
        <f t="shared" si="2"/>
        <v>0</v>
      </c>
    </row>
    <row r="54" spans="1:8" ht="15.75" hidden="1" customHeight="1" x14ac:dyDescent="0.2">
      <c r="A54" s="2246">
        <v>4378</v>
      </c>
      <c r="B54" s="2257">
        <v>5162</v>
      </c>
      <c r="C54" s="2254">
        <v>33113233</v>
      </c>
      <c r="D54" s="2174" t="s">
        <v>967</v>
      </c>
      <c r="E54" s="2184">
        <v>0</v>
      </c>
      <c r="F54" s="2184">
        <v>0</v>
      </c>
      <c r="G54" s="2184">
        <v>0</v>
      </c>
      <c r="H54" s="2156">
        <v>0</v>
      </c>
    </row>
    <row r="55" spans="1:8" ht="15.75" hidden="1" customHeight="1" x14ac:dyDescent="0.2">
      <c r="A55" s="2246">
        <v>4378</v>
      </c>
      <c r="B55" s="2257">
        <v>5162</v>
      </c>
      <c r="C55" s="2254">
        <v>33513233</v>
      </c>
      <c r="D55" s="2174" t="s">
        <v>967</v>
      </c>
      <c r="E55" s="2184">
        <v>0</v>
      </c>
      <c r="F55" s="2184">
        <v>0</v>
      </c>
      <c r="G55" s="2184">
        <v>0</v>
      </c>
      <c r="H55" s="2156" t="e">
        <f t="shared" ref="H55:H64" si="3">G55/F55*100</f>
        <v>#DIV/0!</v>
      </c>
    </row>
    <row r="56" spans="1:8" ht="15" x14ac:dyDescent="0.2">
      <c r="A56" s="2246">
        <v>4378</v>
      </c>
      <c r="B56" s="2257">
        <v>5166</v>
      </c>
      <c r="C56" s="2254">
        <v>33113233</v>
      </c>
      <c r="D56" s="2174" t="s">
        <v>677</v>
      </c>
      <c r="E56" s="2184">
        <v>0</v>
      </c>
      <c r="F56" s="2184">
        <v>57</v>
      </c>
      <c r="G56" s="2184">
        <v>54</v>
      </c>
      <c r="H56" s="2156">
        <f t="shared" si="3"/>
        <v>94.73684210526315</v>
      </c>
    </row>
    <row r="57" spans="1:8" ht="15" x14ac:dyDescent="0.2">
      <c r="A57" s="2246">
        <v>4378</v>
      </c>
      <c r="B57" s="2257">
        <v>5166</v>
      </c>
      <c r="C57" s="2254">
        <v>33513233</v>
      </c>
      <c r="D57" s="2174" t="s">
        <v>677</v>
      </c>
      <c r="E57" s="2184">
        <v>0</v>
      </c>
      <c r="F57" s="2184">
        <v>323</v>
      </c>
      <c r="G57" s="2184">
        <v>306</v>
      </c>
      <c r="H57" s="2156">
        <f t="shared" si="3"/>
        <v>94.73684210526315</v>
      </c>
    </row>
    <row r="58" spans="1:8" ht="15" x14ac:dyDescent="0.2">
      <c r="A58" s="2246">
        <v>4378</v>
      </c>
      <c r="B58" s="2257">
        <v>5169</v>
      </c>
      <c r="C58" s="2254">
        <v>33113233</v>
      </c>
      <c r="D58" s="2174" t="s">
        <v>955</v>
      </c>
      <c r="E58" s="2184">
        <v>0</v>
      </c>
      <c r="F58" s="2184">
        <v>802</v>
      </c>
      <c r="G58" s="2184">
        <v>765</v>
      </c>
      <c r="H58" s="2156">
        <f t="shared" si="3"/>
        <v>95.386533665835415</v>
      </c>
    </row>
    <row r="59" spans="1:8" ht="15" x14ac:dyDescent="0.2">
      <c r="A59" s="2246">
        <v>4378</v>
      </c>
      <c r="B59" s="2253">
        <v>5169</v>
      </c>
      <c r="C59" s="2254">
        <v>33513233</v>
      </c>
      <c r="D59" s="2174" t="s">
        <v>955</v>
      </c>
      <c r="E59" s="2184">
        <v>0</v>
      </c>
      <c r="F59" s="2184">
        <v>4547</v>
      </c>
      <c r="G59" s="2184">
        <v>4332</v>
      </c>
      <c r="H59" s="2156">
        <f t="shared" si="3"/>
        <v>95.271607653397851</v>
      </c>
    </row>
    <row r="60" spans="1:8" ht="15.75" customHeight="1" x14ac:dyDescent="0.2">
      <c r="A60" s="2246">
        <v>4378</v>
      </c>
      <c r="B60" s="2253">
        <v>5175</v>
      </c>
      <c r="C60" s="2254">
        <v>33113233</v>
      </c>
      <c r="D60" s="2174" t="s">
        <v>740</v>
      </c>
      <c r="E60" s="2184">
        <v>0</v>
      </c>
      <c r="F60" s="2184">
        <v>2</v>
      </c>
      <c r="G60" s="2184">
        <v>1</v>
      </c>
      <c r="H60" s="2156">
        <f t="shared" si="3"/>
        <v>50</v>
      </c>
    </row>
    <row r="61" spans="1:8" ht="15.75" customHeight="1" x14ac:dyDescent="0.2">
      <c r="A61" s="2246">
        <v>4378</v>
      </c>
      <c r="B61" s="2253">
        <v>5175</v>
      </c>
      <c r="C61" s="2254">
        <v>33513233</v>
      </c>
      <c r="D61" s="2174" t="s">
        <v>740</v>
      </c>
      <c r="E61" s="2184">
        <v>0</v>
      </c>
      <c r="F61" s="2184">
        <v>9</v>
      </c>
      <c r="G61" s="2184">
        <v>4</v>
      </c>
      <c r="H61" s="2156">
        <f>G61/F61*100</f>
        <v>44.444444444444443</v>
      </c>
    </row>
    <row r="62" spans="1:8" ht="15" x14ac:dyDescent="0.2">
      <c r="A62" s="2246">
        <v>4378</v>
      </c>
      <c r="B62" s="2253">
        <v>5424</v>
      </c>
      <c r="C62" s="2254">
        <v>33113233</v>
      </c>
      <c r="D62" s="2174" t="s">
        <v>720</v>
      </c>
      <c r="E62" s="2184">
        <v>0</v>
      </c>
      <c r="F62" s="2184">
        <v>0</v>
      </c>
      <c r="G62" s="2184">
        <v>0</v>
      </c>
      <c r="H62" s="2156">
        <v>0</v>
      </c>
    </row>
    <row r="63" spans="1:8" ht="15.75" thickBot="1" x14ac:dyDescent="0.25">
      <c r="A63" s="2246">
        <v>4378</v>
      </c>
      <c r="B63" s="2253">
        <v>5424</v>
      </c>
      <c r="C63" s="2254">
        <v>33513233</v>
      </c>
      <c r="D63" s="2174" t="s">
        <v>720</v>
      </c>
      <c r="E63" s="2184">
        <v>0</v>
      </c>
      <c r="F63" s="2184">
        <v>1</v>
      </c>
      <c r="G63" s="2184">
        <v>1</v>
      </c>
      <c r="H63" s="2156">
        <f t="shared" si="3"/>
        <v>100</v>
      </c>
    </row>
    <row r="64" spans="1:8" ht="15.75" hidden="1" thickBot="1" x14ac:dyDescent="0.25">
      <c r="A64" s="2246">
        <v>4378</v>
      </c>
      <c r="B64" s="2253">
        <v>5901</v>
      </c>
      <c r="C64" s="2254">
        <v>33113233</v>
      </c>
      <c r="D64" s="2174" t="s">
        <v>670</v>
      </c>
      <c r="E64" s="2184">
        <v>0</v>
      </c>
      <c r="F64" s="2184">
        <v>0</v>
      </c>
      <c r="G64" s="2184">
        <v>0</v>
      </c>
      <c r="H64" s="2156" t="e">
        <f t="shared" si="3"/>
        <v>#DIV/0!</v>
      </c>
    </row>
    <row r="65" spans="1:9" s="2185" customFormat="1" ht="15.75" hidden="1" thickBot="1" x14ac:dyDescent="0.25">
      <c r="A65" s="2246">
        <v>4378</v>
      </c>
      <c r="B65" s="2253">
        <v>5901</v>
      </c>
      <c r="C65" s="2254">
        <v>33513233</v>
      </c>
      <c r="D65" s="2174" t="s">
        <v>670</v>
      </c>
      <c r="E65" s="2184">
        <v>0</v>
      </c>
      <c r="F65" s="2184">
        <v>0</v>
      </c>
      <c r="G65" s="2184">
        <v>0</v>
      </c>
      <c r="H65" s="2163">
        <v>0</v>
      </c>
    </row>
    <row r="66" spans="1:9" s="2164" customFormat="1" ht="16.5" thickTop="1" thickBot="1" x14ac:dyDescent="0.3">
      <c r="A66" s="2806" t="s">
        <v>849</v>
      </c>
      <c r="B66" s="2807"/>
      <c r="C66" s="2807"/>
      <c r="D66" s="2807"/>
      <c r="E66" s="2152">
        <f>SUM(E42:E65)</f>
        <v>0</v>
      </c>
      <c r="F66" s="2152">
        <f>SUM(F42:F65)</f>
        <v>6170</v>
      </c>
      <c r="G66" s="2152">
        <f>SUM(G42:G65)</f>
        <v>5831</v>
      </c>
      <c r="H66" s="2157">
        <f>G66/F66*100</f>
        <v>94.505672609400321</v>
      </c>
      <c r="I66" s="2262"/>
    </row>
    <row r="67" spans="1:9" s="2164" customFormat="1" ht="15.75" thickTop="1" x14ac:dyDescent="0.25">
      <c r="A67" s="2158"/>
      <c r="B67" s="2158"/>
      <c r="C67" s="2158"/>
      <c r="D67" s="2158"/>
      <c r="E67" s="2159"/>
      <c r="F67" s="2159"/>
      <c r="G67" s="2159"/>
      <c r="H67" s="2190"/>
      <c r="I67" s="2262"/>
    </row>
    <row r="68" spans="1:9" s="2164" customFormat="1" ht="15" x14ac:dyDescent="0.25">
      <c r="A68" s="2158"/>
      <c r="B68" s="2158"/>
      <c r="C68" s="2158"/>
      <c r="D68" s="2158"/>
      <c r="E68" s="2159"/>
      <c r="F68" s="2159"/>
      <c r="G68" s="2159"/>
      <c r="H68" s="2190"/>
      <c r="I68" s="2262"/>
    </row>
    <row r="69" spans="1:9" s="2164" customFormat="1" ht="15" x14ac:dyDescent="0.25">
      <c r="A69" s="2158"/>
      <c r="B69" s="2158"/>
      <c r="C69" s="2158"/>
      <c r="D69" s="2158"/>
      <c r="E69" s="2159"/>
      <c r="F69" s="2159"/>
      <c r="G69" s="2159"/>
      <c r="H69" s="2190"/>
      <c r="I69" s="2262"/>
    </row>
    <row r="70" spans="1:9" s="2164" customFormat="1" ht="15" x14ac:dyDescent="0.25">
      <c r="A70" s="2158"/>
      <c r="B70" s="2158"/>
      <c r="C70" s="2158"/>
      <c r="D70" s="2158"/>
      <c r="E70" s="2159"/>
      <c r="F70" s="2159"/>
      <c r="G70" s="2159"/>
      <c r="H70" s="2190"/>
      <c r="I70" s="2262"/>
    </row>
    <row r="71" spans="1:9" s="2164" customFormat="1" ht="15" x14ac:dyDescent="0.25">
      <c r="A71" s="2158"/>
      <c r="B71" s="2158"/>
      <c r="C71" s="2158"/>
      <c r="D71" s="2158"/>
      <c r="E71" s="2159"/>
      <c r="F71" s="2159"/>
      <c r="G71" s="2159"/>
      <c r="H71" s="2190"/>
      <c r="I71" s="2262"/>
    </row>
    <row r="72" spans="1:9" s="2164" customFormat="1" ht="15" x14ac:dyDescent="0.25">
      <c r="A72" s="2158"/>
      <c r="B72" s="2158"/>
      <c r="C72" s="2158"/>
      <c r="D72" s="2158"/>
      <c r="E72" s="2159"/>
      <c r="F72" s="2159"/>
      <c r="G72" s="2159"/>
      <c r="H72" s="2190"/>
      <c r="I72" s="2262"/>
    </row>
    <row r="73" spans="1:9" s="2164" customFormat="1" ht="6" customHeight="1" x14ac:dyDescent="0.25">
      <c r="A73" s="2158"/>
      <c r="B73" s="2158"/>
      <c r="C73" s="2158"/>
      <c r="D73" s="2158"/>
      <c r="E73" s="2159"/>
      <c r="F73" s="2159"/>
      <c r="G73" s="2159"/>
      <c r="H73" s="2190"/>
      <c r="I73" s="2262"/>
    </row>
    <row r="74" spans="1:9" ht="15" x14ac:dyDescent="0.25">
      <c r="A74" s="2332" t="s">
        <v>1837</v>
      </c>
      <c r="B74" s="2198"/>
      <c r="C74" s="2198"/>
      <c r="D74" s="2198"/>
    </row>
    <row r="75" spans="1:9" ht="15.75" thickBot="1" x14ac:dyDescent="0.3">
      <c r="A75" s="2333" t="s">
        <v>1838</v>
      </c>
      <c r="B75" s="2335"/>
      <c r="C75" s="2335"/>
      <c r="H75" s="2240" t="s">
        <v>179</v>
      </c>
    </row>
    <row r="76" spans="1:9" s="1849" customFormat="1" ht="25.5" thickTop="1" thickBot="1" x14ac:dyDescent="0.25">
      <c r="A76" s="2138" t="s">
        <v>180</v>
      </c>
      <c r="B76" s="2139" t="s">
        <v>847</v>
      </c>
      <c r="C76" s="2139" t="s">
        <v>414</v>
      </c>
      <c r="D76" s="2140" t="s">
        <v>182</v>
      </c>
      <c r="E76" s="2171" t="s">
        <v>700</v>
      </c>
      <c r="F76" s="2171" t="s">
        <v>701</v>
      </c>
      <c r="G76" s="2172" t="s">
        <v>986</v>
      </c>
      <c r="H76" s="2173" t="s">
        <v>987</v>
      </c>
    </row>
    <row r="77" spans="1:9" s="1849" customFormat="1" ht="13.5" thickTop="1" thickBot="1" x14ac:dyDescent="0.25">
      <c r="A77" s="1854">
        <v>1</v>
      </c>
      <c r="B77" s="1853">
        <v>2</v>
      </c>
      <c r="C77" s="1853">
        <v>3</v>
      </c>
      <c r="D77" s="1853">
        <v>4</v>
      </c>
      <c r="E77" s="1852">
        <v>5</v>
      </c>
      <c r="F77" s="1852">
        <v>6</v>
      </c>
      <c r="G77" s="2223">
        <v>7</v>
      </c>
      <c r="H77" s="2251" t="s">
        <v>61</v>
      </c>
    </row>
    <row r="78" spans="1:9" s="2259" customFormat="1" ht="15.75" customHeight="1" thickTop="1" x14ac:dyDescent="0.2">
      <c r="A78" s="2246">
        <v>4399</v>
      </c>
      <c r="B78" s="2253">
        <v>5011</v>
      </c>
      <c r="C78" s="2254">
        <v>33113233</v>
      </c>
      <c r="D78" s="2174" t="s">
        <v>225</v>
      </c>
      <c r="E78" s="2184">
        <v>0</v>
      </c>
      <c r="F78" s="2184">
        <v>24</v>
      </c>
      <c r="G78" s="2184">
        <v>22</v>
      </c>
      <c r="H78" s="2156">
        <f t="shared" ref="H78:H89" si="4">G78/F78*100</f>
        <v>91.666666666666657</v>
      </c>
    </row>
    <row r="79" spans="1:9" s="2259" customFormat="1" ht="15" x14ac:dyDescent="0.2">
      <c r="A79" s="2246">
        <v>4399</v>
      </c>
      <c r="B79" s="2253">
        <v>5011</v>
      </c>
      <c r="C79" s="2254">
        <v>33513233</v>
      </c>
      <c r="D79" s="2174" t="s">
        <v>225</v>
      </c>
      <c r="E79" s="2184">
        <v>0</v>
      </c>
      <c r="F79" s="2184">
        <v>134</v>
      </c>
      <c r="G79" s="2184">
        <v>124</v>
      </c>
      <c r="H79" s="2156">
        <f t="shared" si="4"/>
        <v>92.537313432835816</v>
      </c>
    </row>
    <row r="80" spans="1:9" s="2259" customFormat="1" ht="15" customHeight="1" x14ac:dyDescent="0.2">
      <c r="A80" s="2246">
        <v>4399</v>
      </c>
      <c r="B80" s="2253">
        <v>5021</v>
      </c>
      <c r="C80" s="2254">
        <v>33113233</v>
      </c>
      <c r="D80" s="2174" t="s">
        <v>427</v>
      </c>
      <c r="E80" s="2184">
        <v>0</v>
      </c>
      <c r="F80" s="2184">
        <v>14</v>
      </c>
      <c r="G80" s="2184">
        <v>13</v>
      </c>
      <c r="H80" s="2156">
        <f t="shared" si="4"/>
        <v>92.857142857142861</v>
      </c>
    </row>
    <row r="81" spans="1:8" s="2259" customFormat="1" ht="15" customHeight="1" x14ac:dyDescent="0.2">
      <c r="A81" s="2246">
        <v>4399</v>
      </c>
      <c r="B81" s="2253">
        <v>5021</v>
      </c>
      <c r="C81" s="2254">
        <v>33513233</v>
      </c>
      <c r="D81" s="2174" t="s">
        <v>427</v>
      </c>
      <c r="E81" s="2184">
        <v>0</v>
      </c>
      <c r="F81" s="2184">
        <v>81</v>
      </c>
      <c r="G81" s="2184">
        <v>71</v>
      </c>
      <c r="H81" s="2156">
        <f t="shared" si="4"/>
        <v>87.654320987654316</v>
      </c>
    </row>
    <row r="82" spans="1:8" s="2259" customFormat="1" ht="30" customHeight="1" x14ac:dyDescent="0.2">
      <c r="A82" s="2246">
        <v>4399</v>
      </c>
      <c r="B82" s="2253">
        <v>5031</v>
      </c>
      <c r="C82" s="2254">
        <v>33113233</v>
      </c>
      <c r="D82" s="2174" t="s">
        <v>1459</v>
      </c>
      <c r="E82" s="2184">
        <v>0</v>
      </c>
      <c r="F82" s="2184">
        <v>10</v>
      </c>
      <c r="G82" s="2184">
        <v>9</v>
      </c>
      <c r="H82" s="2156">
        <f t="shared" si="4"/>
        <v>90</v>
      </c>
    </row>
    <row r="83" spans="1:8" s="2259" customFormat="1" ht="30" customHeight="1" x14ac:dyDescent="0.2">
      <c r="A83" s="2246">
        <v>4399</v>
      </c>
      <c r="B83" s="2253">
        <v>5031</v>
      </c>
      <c r="C83" s="2254">
        <v>33513233</v>
      </c>
      <c r="D83" s="2174" t="s">
        <v>1459</v>
      </c>
      <c r="E83" s="2184">
        <v>0</v>
      </c>
      <c r="F83" s="2184">
        <v>58</v>
      </c>
      <c r="G83" s="2184">
        <v>49</v>
      </c>
      <c r="H83" s="2156">
        <f t="shared" si="4"/>
        <v>84.482758620689651</v>
      </c>
    </row>
    <row r="84" spans="1:8" s="2259" customFormat="1" ht="30" x14ac:dyDescent="0.2">
      <c r="A84" s="2246">
        <v>4399</v>
      </c>
      <c r="B84" s="2253">
        <v>5032</v>
      </c>
      <c r="C84" s="2254">
        <v>33113233</v>
      </c>
      <c r="D84" s="2174" t="s">
        <v>1322</v>
      </c>
      <c r="E84" s="2184">
        <v>0</v>
      </c>
      <c r="F84" s="2184">
        <v>5</v>
      </c>
      <c r="G84" s="2184">
        <v>3</v>
      </c>
      <c r="H84" s="2156">
        <f t="shared" si="4"/>
        <v>60</v>
      </c>
    </row>
    <row r="85" spans="1:8" s="2259" customFormat="1" ht="30" x14ac:dyDescent="0.2">
      <c r="A85" s="2246">
        <v>4399</v>
      </c>
      <c r="B85" s="2253">
        <v>5032</v>
      </c>
      <c r="C85" s="2254">
        <v>33513233</v>
      </c>
      <c r="D85" s="2174" t="s">
        <v>1322</v>
      </c>
      <c r="E85" s="2184">
        <v>0</v>
      </c>
      <c r="F85" s="2184">
        <v>26</v>
      </c>
      <c r="G85" s="2184">
        <v>17</v>
      </c>
      <c r="H85" s="2156">
        <f t="shared" si="4"/>
        <v>65.384615384615387</v>
      </c>
    </row>
    <row r="86" spans="1:8" s="2259" customFormat="1" ht="15" x14ac:dyDescent="0.2">
      <c r="A86" s="2246">
        <v>4399</v>
      </c>
      <c r="B86" s="2253">
        <v>5137</v>
      </c>
      <c r="C86" s="2254">
        <v>33113233</v>
      </c>
      <c r="D86" s="2174" t="s">
        <v>173</v>
      </c>
      <c r="E86" s="2184">
        <v>0</v>
      </c>
      <c r="F86" s="2184">
        <v>1</v>
      </c>
      <c r="G86" s="2184">
        <v>0</v>
      </c>
      <c r="H86" s="2156">
        <f t="shared" si="4"/>
        <v>0</v>
      </c>
    </row>
    <row r="87" spans="1:8" s="2259" customFormat="1" ht="15" x14ac:dyDescent="0.2">
      <c r="A87" s="2246">
        <v>4399</v>
      </c>
      <c r="B87" s="2253">
        <v>5137</v>
      </c>
      <c r="C87" s="2254">
        <v>33513233</v>
      </c>
      <c r="D87" s="2174" t="s">
        <v>173</v>
      </c>
      <c r="E87" s="2184">
        <v>0</v>
      </c>
      <c r="F87" s="2184">
        <v>4</v>
      </c>
      <c r="G87" s="2184">
        <v>0</v>
      </c>
      <c r="H87" s="2156">
        <f t="shared" si="4"/>
        <v>0</v>
      </c>
    </row>
    <row r="88" spans="1:8" s="2185" customFormat="1" ht="15" x14ac:dyDescent="0.2">
      <c r="A88" s="2246">
        <v>4399</v>
      </c>
      <c r="B88" s="2257">
        <v>5139</v>
      </c>
      <c r="C88" s="2254">
        <v>33113233</v>
      </c>
      <c r="D88" s="2174" t="s">
        <v>295</v>
      </c>
      <c r="E88" s="2184">
        <v>0</v>
      </c>
      <c r="F88" s="2184">
        <v>15</v>
      </c>
      <c r="G88" s="2184">
        <v>10</v>
      </c>
      <c r="H88" s="2156">
        <f t="shared" si="4"/>
        <v>66.666666666666657</v>
      </c>
    </row>
    <row r="89" spans="1:8" s="2185" customFormat="1" ht="15" x14ac:dyDescent="0.2">
      <c r="A89" s="2246">
        <v>4399</v>
      </c>
      <c r="B89" s="2257">
        <v>5139</v>
      </c>
      <c r="C89" s="2254">
        <v>33513233</v>
      </c>
      <c r="D89" s="2174" t="s">
        <v>295</v>
      </c>
      <c r="E89" s="2184">
        <v>0</v>
      </c>
      <c r="F89" s="2184">
        <v>85</v>
      </c>
      <c r="G89" s="2184">
        <v>56</v>
      </c>
      <c r="H89" s="2156">
        <f t="shared" si="4"/>
        <v>65.882352941176464</v>
      </c>
    </row>
    <row r="90" spans="1:8" ht="15" x14ac:dyDescent="0.2">
      <c r="A90" s="2246">
        <v>4399</v>
      </c>
      <c r="B90" s="2257">
        <v>5162</v>
      </c>
      <c r="C90" s="2254">
        <v>33113233</v>
      </c>
      <c r="D90" s="2174" t="s">
        <v>967</v>
      </c>
      <c r="E90" s="2184">
        <v>0</v>
      </c>
      <c r="F90" s="2184">
        <v>0</v>
      </c>
      <c r="G90" s="2184">
        <v>0</v>
      </c>
      <c r="H90" s="2156">
        <v>0</v>
      </c>
    </row>
    <row r="91" spans="1:8" ht="15" x14ac:dyDescent="0.2">
      <c r="A91" s="2246">
        <v>4399</v>
      </c>
      <c r="B91" s="2257">
        <v>5162</v>
      </c>
      <c r="C91" s="2254">
        <v>33513233</v>
      </c>
      <c r="D91" s="2174" t="s">
        <v>967</v>
      </c>
      <c r="E91" s="2184">
        <v>0</v>
      </c>
      <c r="F91" s="2184">
        <v>1</v>
      </c>
      <c r="G91" s="2184">
        <v>0</v>
      </c>
      <c r="H91" s="2156">
        <f t="shared" ref="H91:H96" si="5">G91/F91*100</f>
        <v>0</v>
      </c>
    </row>
    <row r="92" spans="1:8" ht="15" x14ac:dyDescent="0.2">
      <c r="A92" s="2246">
        <v>4399</v>
      </c>
      <c r="B92" s="2257">
        <v>5166</v>
      </c>
      <c r="C92" s="2254">
        <v>33113233</v>
      </c>
      <c r="D92" s="2174" t="s">
        <v>677</v>
      </c>
      <c r="E92" s="2184">
        <v>0</v>
      </c>
      <c r="F92" s="2184">
        <v>42</v>
      </c>
      <c r="G92" s="2184">
        <v>36</v>
      </c>
      <c r="H92" s="2156">
        <f t="shared" si="5"/>
        <v>85.714285714285708</v>
      </c>
    </row>
    <row r="93" spans="1:8" ht="15" x14ac:dyDescent="0.2">
      <c r="A93" s="2246">
        <v>4399</v>
      </c>
      <c r="B93" s="2257">
        <v>5166</v>
      </c>
      <c r="C93" s="2254">
        <v>33513233</v>
      </c>
      <c r="D93" s="2174" t="s">
        <v>677</v>
      </c>
      <c r="E93" s="2184">
        <v>0</v>
      </c>
      <c r="F93" s="2184">
        <v>238</v>
      </c>
      <c r="G93" s="2184">
        <v>204</v>
      </c>
      <c r="H93" s="2156">
        <f t="shared" si="5"/>
        <v>85.714285714285708</v>
      </c>
    </row>
    <row r="94" spans="1:8" ht="15" x14ac:dyDescent="0.2">
      <c r="A94" s="2246">
        <v>4399</v>
      </c>
      <c r="B94" s="2257">
        <v>5169</v>
      </c>
      <c r="C94" s="2254">
        <v>33113233</v>
      </c>
      <c r="D94" s="2174" t="s">
        <v>955</v>
      </c>
      <c r="E94" s="2184">
        <v>0</v>
      </c>
      <c r="F94" s="2184">
        <v>81</v>
      </c>
      <c r="G94" s="2184">
        <v>21</v>
      </c>
      <c r="H94" s="2156">
        <f t="shared" si="5"/>
        <v>25.925925925925924</v>
      </c>
    </row>
    <row r="95" spans="1:8" ht="15" x14ac:dyDescent="0.2">
      <c r="A95" s="2246">
        <v>4399</v>
      </c>
      <c r="B95" s="2253">
        <v>5169</v>
      </c>
      <c r="C95" s="2254">
        <v>33513233</v>
      </c>
      <c r="D95" s="2174" t="s">
        <v>955</v>
      </c>
      <c r="E95" s="2184">
        <v>0</v>
      </c>
      <c r="F95" s="2184">
        <v>459</v>
      </c>
      <c r="G95" s="2184">
        <v>116</v>
      </c>
      <c r="H95" s="2156">
        <f t="shared" si="5"/>
        <v>25.272331154684096</v>
      </c>
    </row>
    <row r="96" spans="1:8" ht="15.75" customHeight="1" x14ac:dyDescent="0.2">
      <c r="A96" s="2246">
        <v>4399</v>
      </c>
      <c r="B96" s="2253">
        <v>5175</v>
      </c>
      <c r="C96" s="2254">
        <v>33113233</v>
      </c>
      <c r="D96" s="2174" t="s">
        <v>740</v>
      </c>
      <c r="E96" s="2184">
        <v>0</v>
      </c>
      <c r="F96" s="2184">
        <v>15</v>
      </c>
      <c r="G96" s="2184">
        <v>4</v>
      </c>
      <c r="H96" s="2156">
        <f t="shared" si="5"/>
        <v>26.666666666666668</v>
      </c>
    </row>
    <row r="97" spans="1:9" ht="15.75" customHeight="1" x14ac:dyDescent="0.2">
      <c r="A97" s="2246">
        <v>4399</v>
      </c>
      <c r="B97" s="2253">
        <v>5175</v>
      </c>
      <c r="C97" s="2254">
        <v>33513233</v>
      </c>
      <c r="D97" s="2174" t="s">
        <v>740</v>
      </c>
      <c r="E97" s="2184">
        <v>0</v>
      </c>
      <c r="F97" s="2184">
        <v>84</v>
      </c>
      <c r="G97" s="2184">
        <v>25</v>
      </c>
      <c r="H97" s="2156">
        <f>G97/F97*100</f>
        <v>29.761904761904763</v>
      </c>
    </row>
    <row r="98" spans="1:9" ht="15" x14ac:dyDescent="0.2">
      <c r="A98" s="2246">
        <v>4399</v>
      </c>
      <c r="B98" s="2253">
        <v>5424</v>
      </c>
      <c r="C98" s="2254">
        <v>33113233</v>
      </c>
      <c r="D98" s="2174" t="s">
        <v>720</v>
      </c>
      <c r="E98" s="2184">
        <v>0</v>
      </c>
      <c r="F98" s="2184">
        <v>0</v>
      </c>
      <c r="G98" s="2184">
        <v>0</v>
      </c>
      <c r="H98" s="2156">
        <v>0</v>
      </c>
    </row>
    <row r="99" spans="1:9" ht="15.75" thickBot="1" x14ac:dyDescent="0.25">
      <c r="A99" s="2246">
        <v>4399</v>
      </c>
      <c r="B99" s="2253">
        <v>5424</v>
      </c>
      <c r="C99" s="2254">
        <v>33513233</v>
      </c>
      <c r="D99" s="2174" t="s">
        <v>720</v>
      </c>
      <c r="E99" s="2184">
        <v>0</v>
      </c>
      <c r="F99" s="2184">
        <v>1</v>
      </c>
      <c r="G99" s="2184">
        <v>1</v>
      </c>
      <c r="H99" s="2156">
        <f>G99/F99*100</f>
        <v>100</v>
      </c>
    </row>
    <row r="100" spans="1:9" ht="15.75" hidden="1" thickBot="1" x14ac:dyDescent="0.25">
      <c r="A100" s="2246">
        <v>4378</v>
      </c>
      <c r="B100" s="2253">
        <v>5901</v>
      </c>
      <c r="C100" s="2254">
        <v>33113233</v>
      </c>
      <c r="D100" s="2174" t="s">
        <v>670</v>
      </c>
      <c r="E100" s="2184">
        <v>0</v>
      </c>
      <c r="F100" s="2184">
        <v>0</v>
      </c>
      <c r="G100" s="2184">
        <v>0</v>
      </c>
      <c r="H100" s="2156" t="e">
        <f>G100/F100*100</f>
        <v>#DIV/0!</v>
      </c>
    </row>
    <row r="101" spans="1:9" s="2185" customFormat="1" ht="15.75" hidden="1" thickBot="1" x14ac:dyDescent="0.25">
      <c r="A101" s="2246">
        <v>4378</v>
      </c>
      <c r="B101" s="2253">
        <v>5901</v>
      </c>
      <c r="C101" s="2254">
        <v>33513233</v>
      </c>
      <c r="D101" s="2174" t="s">
        <v>670</v>
      </c>
      <c r="E101" s="2184">
        <v>0</v>
      </c>
      <c r="F101" s="2184">
        <v>0</v>
      </c>
      <c r="G101" s="2184">
        <v>0</v>
      </c>
      <c r="H101" s="2163">
        <v>0</v>
      </c>
    </row>
    <row r="102" spans="1:9" s="2164" customFormat="1" ht="16.5" thickTop="1" thickBot="1" x14ac:dyDescent="0.3">
      <c r="A102" s="2806" t="s">
        <v>849</v>
      </c>
      <c r="B102" s="2807"/>
      <c r="C102" s="2807"/>
      <c r="D102" s="2807"/>
      <c r="E102" s="2152">
        <f>SUM(E78:E101)</f>
        <v>0</v>
      </c>
      <c r="F102" s="2152">
        <f>SUM(F78:F101)</f>
        <v>1378</v>
      </c>
      <c r="G102" s="2152">
        <f>SUM(G78:G101)</f>
        <v>781</v>
      </c>
      <c r="H102" s="2157">
        <f>G102/F102*100</f>
        <v>56.676342525399129</v>
      </c>
      <c r="I102" s="2262"/>
    </row>
    <row r="103" spans="1:9" ht="13.5" thickTop="1" x14ac:dyDescent="0.2">
      <c r="I103" s="2165"/>
    </row>
    <row r="104" spans="1:9" ht="15" x14ac:dyDescent="0.25">
      <c r="A104" s="2332" t="s">
        <v>608</v>
      </c>
      <c r="B104" s="2198"/>
      <c r="C104" s="2198"/>
      <c r="D104" s="2198"/>
    </row>
    <row r="105" spans="1:9" ht="15.75" thickBot="1" x14ac:dyDescent="0.3">
      <c r="A105" s="2333" t="s">
        <v>58</v>
      </c>
      <c r="B105" s="2335"/>
      <c r="C105" s="2335"/>
      <c r="H105" s="2240" t="s">
        <v>179</v>
      </c>
    </row>
    <row r="106" spans="1:9" s="1849" customFormat="1" ht="25.5" thickTop="1" thickBot="1" x14ac:dyDescent="0.25">
      <c r="A106" s="2138" t="s">
        <v>180</v>
      </c>
      <c r="B106" s="2139" t="s">
        <v>847</v>
      </c>
      <c r="C106" s="2139" t="s">
        <v>414</v>
      </c>
      <c r="D106" s="2140" t="s">
        <v>182</v>
      </c>
      <c r="E106" s="2171" t="s">
        <v>700</v>
      </c>
      <c r="F106" s="2171" t="s">
        <v>701</v>
      </c>
      <c r="G106" s="2172" t="s">
        <v>986</v>
      </c>
      <c r="H106" s="2173" t="s">
        <v>987</v>
      </c>
    </row>
    <row r="107" spans="1:9" s="1849" customFormat="1" ht="13.5" thickTop="1" thickBot="1" x14ac:dyDescent="0.25">
      <c r="A107" s="1854">
        <v>1</v>
      </c>
      <c r="B107" s="1853">
        <v>2</v>
      </c>
      <c r="C107" s="1853">
        <v>3</v>
      </c>
      <c r="D107" s="1853">
        <v>4</v>
      </c>
      <c r="E107" s="1852">
        <v>5</v>
      </c>
      <c r="F107" s="1852">
        <v>6</v>
      </c>
      <c r="G107" s="2223">
        <v>7</v>
      </c>
      <c r="H107" s="2251" t="s">
        <v>61</v>
      </c>
    </row>
    <row r="108" spans="1:9" s="2259" customFormat="1" ht="15.75" customHeight="1" thickTop="1" x14ac:dyDescent="0.2">
      <c r="A108" s="2246">
        <v>6172</v>
      </c>
      <c r="B108" s="2253">
        <v>5011</v>
      </c>
      <c r="C108" s="2254">
        <v>33100880</v>
      </c>
      <c r="D108" s="2174" t="s">
        <v>225</v>
      </c>
      <c r="E108" s="2184">
        <v>0</v>
      </c>
      <c r="F108" s="2184">
        <v>36</v>
      </c>
      <c r="G108" s="2184">
        <v>35</v>
      </c>
      <c r="H108" s="2156">
        <f t="shared" ref="H108:H139" si="6">G108/F108*100</f>
        <v>97.222222222222214</v>
      </c>
    </row>
    <row r="109" spans="1:9" s="2259" customFormat="1" ht="15" x14ac:dyDescent="0.2">
      <c r="A109" s="2246">
        <v>6172</v>
      </c>
      <c r="B109" s="2253">
        <v>5011</v>
      </c>
      <c r="C109" s="2254">
        <v>33514013</v>
      </c>
      <c r="D109" s="2174" t="s">
        <v>225</v>
      </c>
      <c r="E109" s="2184">
        <v>0</v>
      </c>
      <c r="F109" s="2184">
        <v>205</v>
      </c>
      <c r="G109" s="2184">
        <v>201</v>
      </c>
      <c r="H109" s="2156">
        <f t="shared" si="6"/>
        <v>98.048780487804876</v>
      </c>
    </row>
    <row r="110" spans="1:9" s="2259" customFormat="1" ht="15" x14ac:dyDescent="0.2">
      <c r="A110" s="2246">
        <v>6172</v>
      </c>
      <c r="B110" s="2253">
        <v>5021</v>
      </c>
      <c r="C110" s="2254">
        <v>33100880</v>
      </c>
      <c r="D110" s="2174" t="s">
        <v>427</v>
      </c>
      <c r="E110" s="2184">
        <v>0</v>
      </c>
      <c r="F110" s="2184">
        <v>49</v>
      </c>
      <c r="G110" s="2184">
        <v>30</v>
      </c>
      <c r="H110" s="2156">
        <f t="shared" si="6"/>
        <v>61.224489795918366</v>
      </c>
    </row>
    <row r="111" spans="1:9" s="2259" customFormat="1" ht="15" x14ac:dyDescent="0.2">
      <c r="A111" s="2246">
        <v>6172</v>
      </c>
      <c r="B111" s="2253">
        <v>5021</v>
      </c>
      <c r="C111" s="2254">
        <v>33514013</v>
      </c>
      <c r="D111" s="2174" t="s">
        <v>427</v>
      </c>
      <c r="E111" s="2184">
        <v>0</v>
      </c>
      <c r="F111" s="2184">
        <v>286</v>
      </c>
      <c r="G111" s="2184">
        <v>169</v>
      </c>
      <c r="H111" s="2156">
        <f t="shared" si="6"/>
        <v>59.090909090909093</v>
      </c>
    </row>
    <row r="112" spans="1:9" s="2259" customFormat="1" ht="30" customHeight="1" x14ac:dyDescent="0.2">
      <c r="A112" s="2246">
        <v>6172</v>
      </c>
      <c r="B112" s="2253">
        <v>5031</v>
      </c>
      <c r="C112" s="2254">
        <v>33100880</v>
      </c>
      <c r="D112" s="2174" t="s">
        <v>1459</v>
      </c>
      <c r="E112" s="2184">
        <v>0</v>
      </c>
      <c r="F112" s="2184">
        <v>21</v>
      </c>
      <c r="G112" s="2184">
        <v>16</v>
      </c>
      <c r="H112" s="2156">
        <f t="shared" si="6"/>
        <v>76.19047619047619</v>
      </c>
    </row>
    <row r="113" spans="1:8" s="2259" customFormat="1" ht="30" customHeight="1" x14ac:dyDescent="0.2">
      <c r="A113" s="2246">
        <v>6172</v>
      </c>
      <c r="B113" s="2253">
        <v>5031</v>
      </c>
      <c r="C113" s="2254">
        <v>33514013</v>
      </c>
      <c r="D113" s="2174" t="s">
        <v>1459</v>
      </c>
      <c r="E113" s="2184">
        <v>0</v>
      </c>
      <c r="F113" s="2184">
        <v>121</v>
      </c>
      <c r="G113" s="2184">
        <v>92</v>
      </c>
      <c r="H113" s="2156">
        <f t="shared" si="6"/>
        <v>76.033057851239676</v>
      </c>
    </row>
    <row r="114" spans="1:8" s="2259" customFormat="1" ht="30" x14ac:dyDescent="0.2">
      <c r="A114" s="2246">
        <v>6172</v>
      </c>
      <c r="B114" s="2253">
        <v>5032</v>
      </c>
      <c r="C114" s="2254">
        <v>33100880</v>
      </c>
      <c r="D114" s="2174" t="s">
        <v>1322</v>
      </c>
      <c r="E114" s="2184">
        <v>0</v>
      </c>
      <c r="F114" s="2184">
        <v>8</v>
      </c>
      <c r="G114" s="2184">
        <v>6</v>
      </c>
      <c r="H114" s="2156">
        <f t="shared" si="6"/>
        <v>75</v>
      </c>
    </row>
    <row r="115" spans="1:8" s="2259" customFormat="1" ht="30" x14ac:dyDescent="0.2">
      <c r="A115" s="2246">
        <v>6172</v>
      </c>
      <c r="B115" s="2253">
        <v>5032</v>
      </c>
      <c r="C115" s="2254">
        <v>33514013</v>
      </c>
      <c r="D115" s="2174" t="s">
        <v>1322</v>
      </c>
      <c r="E115" s="2184">
        <v>0</v>
      </c>
      <c r="F115" s="2184">
        <v>44</v>
      </c>
      <c r="G115" s="2184">
        <v>33</v>
      </c>
      <c r="H115" s="2156">
        <f t="shared" si="6"/>
        <v>75</v>
      </c>
    </row>
    <row r="116" spans="1:8" s="2259" customFormat="1" ht="15" x14ac:dyDescent="0.2">
      <c r="A116" s="2246">
        <v>6172</v>
      </c>
      <c r="B116" s="2253">
        <v>5137</v>
      </c>
      <c r="C116" s="2254">
        <v>33100880</v>
      </c>
      <c r="D116" s="2174" t="s">
        <v>173</v>
      </c>
      <c r="E116" s="2184">
        <v>0</v>
      </c>
      <c r="F116" s="2184">
        <v>4</v>
      </c>
      <c r="G116" s="2184">
        <v>0</v>
      </c>
      <c r="H116" s="2156">
        <f t="shared" si="6"/>
        <v>0</v>
      </c>
    </row>
    <row r="117" spans="1:8" s="2259" customFormat="1" ht="15" x14ac:dyDescent="0.2">
      <c r="A117" s="2246">
        <v>6172</v>
      </c>
      <c r="B117" s="2253">
        <v>5137</v>
      </c>
      <c r="C117" s="2254">
        <v>33514013</v>
      </c>
      <c r="D117" s="2174" t="s">
        <v>173</v>
      </c>
      <c r="E117" s="2184">
        <v>0</v>
      </c>
      <c r="F117" s="2184">
        <v>20</v>
      </c>
      <c r="G117" s="2184">
        <v>0</v>
      </c>
      <c r="H117" s="2156">
        <f t="shared" si="6"/>
        <v>0</v>
      </c>
    </row>
    <row r="118" spans="1:8" s="2185" customFormat="1" ht="15" x14ac:dyDescent="0.2">
      <c r="A118" s="2246">
        <v>6172</v>
      </c>
      <c r="B118" s="2257">
        <v>5139</v>
      </c>
      <c r="C118" s="2254">
        <v>33100880</v>
      </c>
      <c r="D118" s="2174" t="s">
        <v>295</v>
      </c>
      <c r="E118" s="2184">
        <v>0</v>
      </c>
      <c r="F118" s="2184">
        <v>15</v>
      </c>
      <c r="G118" s="2184">
        <v>10</v>
      </c>
      <c r="H118" s="2156">
        <f t="shared" si="6"/>
        <v>66.666666666666657</v>
      </c>
    </row>
    <row r="119" spans="1:8" s="2185" customFormat="1" ht="15" x14ac:dyDescent="0.2">
      <c r="A119" s="2246">
        <v>6172</v>
      </c>
      <c r="B119" s="2257">
        <v>5139</v>
      </c>
      <c r="C119" s="2254">
        <v>33514013</v>
      </c>
      <c r="D119" s="2174" t="s">
        <v>295</v>
      </c>
      <c r="E119" s="2184">
        <v>0</v>
      </c>
      <c r="F119" s="2184">
        <v>85</v>
      </c>
      <c r="G119" s="2184">
        <v>54</v>
      </c>
      <c r="H119" s="2156">
        <f t="shared" si="6"/>
        <v>63.529411764705877</v>
      </c>
    </row>
    <row r="120" spans="1:8" ht="15" x14ac:dyDescent="0.2">
      <c r="A120" s="2246">
        <v>6172</v>
      </c>
      <c r="B120" s="2257">
        <v>5164</v>
      </c>
      <c r="C120" s="2254">
        <v>33100880</v>
      </c>
      <c r="D120" s="2174" t="s">
        <v>188</v>
      </c>
      <c r="E120" s="2184">
        <v>0</v>
      </c>
      <c r="F120" s="2184">
        <v>7</v>
      </c>
      <c r="G120" s="2184">
        <v>2</v>
      </c>
      <c r="H120" s="2156">
        <f t="shared" si="6"/>
        <v>28.571428571428569</v>
      </c>
    </row>
    <row r="121" spans="1:8" ht="15" x14ac:dyDescent="0.2">
      <c r="A121" s="2246">
        <v>6172</v>
      </c>
      <c r="B121" s="2257">
        <v>5164</v>
      </c>
      <c r="C121" s="2254">
        <v>33514013</v>
      </c>
      <c r="D121" s="2174" t="s">
        <v>188</v>
      </c>
      <c r="E121" s="2184">
        <v>0</v>
      </c>
      <c r="F121" s="2184">
        <v>42</v>
      </c>
      <c r="G121" s="2184">
        <v>14</v>
      </c>
      <c r="H121" s="2156">
        <f t="shared" si="6"/>
        <v>33.333333333333329</v>
      </c>
    </row>
    <row r="122" spans="1:8" ht="15" x14ac:dyDescent="0.2">
      <c r="A122" s="2246">
        <v>6172</v>
      </c>
      <c r="B122" s="2257">
        <v>5166</v>
      </c>
      <c r="C122" s="2254">
        <v>33100880</v>
      </c>
      <c r="D122" s="2174" t="s">
        <v>677</v>
      </c>
      <c r="E122" s="2184">
        <v>0</v>
      </c>
      <c r="F122" s="2184">
        <v>1050</v>
      </c>
      <c r="G122" s="2184">
        <v>738</v>
      </c>
      <c r="H122" s="2156">
        <f t="shared" si="6"/>
        <v>70.285714285714278</v>
      </c>
    </row>
    <row r="123" spans="1:8" ht="15" x14ac:dyDescent="0.2">
      <c r="A123" s="2246">
        <v>6172</v>
      </c>
      <c r="B123" s="2257">
        <v>5166</v>
      </c>
      <c r="C123" s="2254">
        <v>33500881</v>
      </c>
      <c r="D123" s="2174" t="s">
        <v>677</v>
      </c>
      <c r="E123" s="2184">
        <v>0</v>
      </c>
      <c r="F123" s="2184">
        <v>3422</v>
      </c>
      <c r="G123" s="2184">
        <v>1224</v>
      </c>
      <c r="H123" s="2156">
        <f t="shared" si="6"/>
        <v>35.768556399766219</v>
      </c>
    </row>
    <row r="124" spans="1:8" ht="15" x14ac:dyDescent="0.2">
      <c r="A124" s="2246">
        <v>6172</v>
      </c>
      <c r="B124" s="2257">
        <v>5166</v>
      </c>
      <c r="C124" s="2254">
        <v>33514013</v>
      </c>
      <c r="D124" s="2174" t="s">
        <v>677</v>
      </c>
      <c r="E124" s="2184">
        <v>6931</v>
      </c>
      <c r="F124" s="2184">
        <v>5358</v>
      </c>
      <c r="G124" s="2184">
        <v>2958</v>
      </c>
      <c r="H124" s="2156">
        <f t="shared" si="6"/>
        <v>55.20716685330347</v>
      </c>
    </row>
    <row r="125" spans="1:8" ht="15" x14ac:dyDescent="0.2">
      <c r="A125" s="2246">
        <v>6172</v>
      </c>
      <c r="B125" s="2257">
        <v>5166</v>
      </c>
      <c r="C125" s="2254">
        <v>38100880</v>
      </c>
      <c r="D125" s="2174" t="s">
        <v>677</v>
      </c>
      <c r="E125" s="2184">
        <v>1224</v>
      </c>
      <c r="F125" s="2184">
        <v>0</v>
      </c>
      <c r="G125" s="2184">
        <v>0</v>
      </c>
      <c r="H125" s="2156">
        <v>0</v>
      </c>
    </row>
    <row r="126" spans="1:8" ht="15" x14ac:dyDescent="0.2">
      <c r="A126" s="2246">
        <v>6172</v>
      </c>
      <c r="B126" s="2257">
        <v>5169</v>
      </c>
      <c r="C126" s="2254">
        <v>33100880</v>
      </c>
      <c r="D126" s="2174" t="s">
        <v>955</v>
      </c>
      <c r="E126" s="2184">
        <v>0</v>
      </c>
      <c r="F126" s="2184">
        <v>3</v>
      </c>
      <c r="G126" s="2184">
        <v>2</v>
      </c>
      <c r="H126" s="2156">
        <f t="shared" si="6"/>
        <v>66.666666666666657</v>
      </c>
    </row>
    <row r="127" spans="1:8" ht="15" x14ac:dyDescent="0.2">
      <c r="A127" s="2246">
        <v>6172</v>
      </c>
      <c r="B127" s="2253">
        <v>5169</v>
      </c>
      <c r="C127" s="2254">
        <v>33514013</v>
      </c>
      <c r="D127" s="2174" t="s">
        <v>955</v>
      </c>
      <c r="E127" s="2184">
        <v>0</v>
      </c>
      <c r="F127" s="2184">
        <v>14</v>
      </c>
      <c r="G127" s="2184">
        <v>14</v>
      </c>
      <c r="H127" s="2156">
        <f t="shared" si="6"/>
        <v>100</v>
      </c>
    </row>
    <row r="128" spans="1:8" ht="15" x14ac:dyDescent="0.2">
      <c r="A128" s="2246">
        <v>6172</v>
      </c>
      <c r="B128" s="2253">
        <v>5172</v>
      </c>
      <c r="C128" s="2254">
        <v>33100880</v>
      </c>
      <c r="D128" s="2174" t="s">
        <v>1002</v>
      </c>
      <c r="E128" s="2184">
        <v>0</v>
      </c>
      <c r="F128" s="2184">
        <v>123</v>
      </c>
      <c r="G128" s="2184">
        <v>123</v>
      </c>
      <c r="H128" s="2156">
        <f t="shared" si="6"/>
        <v>100</v>
      </c>
    </row>
    <row r="129" spans="1:9" ht="15" x14ac:dyDescent="0.2">
      <c r="A129" s="2246">
        <v>6172</v>
      </c>
      <c r="B129" s="2253">
        <v>5172</v>
      </c>
      <c r="C129" s="2254">
        <v>33500881</v>
      </c>
      <c r="D129" s="2174" t="s">
        <v>1002</v>
      </c>
      <c r="E129" s="2184">
        <v>0</v>
      </c>
      <c r="F129" s="2184">
        <v>697</v>
      </c>
      <c r="G129" s="2184">
        <v>697</v>
      </c>
      <c r="H129" s="2156">
        <f t="shared" si="6"/>
        <v>100</v>
      </c>
    </row>
    <row r="130" spans="1:9" ht="15.75" customHeight="1" x14ac:dyDescent="0.2">
      <c r="A130" s="2246">
        <v>6172</v>
      </c>
      <c r="B130" s="2253">
        <v>5175</v>
      </c>
      <c r="C130" s="2254">
        <v>33100880</v>
      </c>
      <c r="D130" s="2174" t="s">
        <v>1174</v>
      </c>
      <c r="E130" s="2184">
        <v>0</v>
      </c>
      <c r="F130" s="2184">
        <v>10</v>
      </c>
      <c r="G130" s="2184">
        <v>9</v>
      </c>
      <c r="H130" s="2156">
        <f t="shared" si="6"/>
        <v>90</v>
      </c>
    </row>
    <row r="131" spans="1:9" s="2185" customFormat="1" ht="15.75" customHeight="1" x14ac:dyDescent="0.2">
      <c r="A131" s="2246">
        <v>6172</v>
      </c>
      <c r="B131" s="2253">
        <v>5175</v>
      </c>
      <c r="C131" s="2254">
        <v>33514013</v>
      </c>
      <c r="D131" s="2174" t="s">
        <v>1174</v>
      </c>
      <c r="E131" s="2184">
        <v>0</v>
      </c>
      <c r="F131" s="2184">
        <v>56</v>
      </c>
      <c r="G131" s="2184">
        <v>49</v>
      </c>
      <c r="H131" s="2156">
        <f t="shared" si="6"/>
        <v>87.5</v>
      </c>
    </row>
    <row r="132" spans="1:9" s="2185" customFormat="1" ht="15.75" customHeight="1" x14ac:dyDescent="0.2">
      <c r="A132" s="2246">
        <v>6172</v>
      </c>
      <c r="B132" s="2253">
        <v>6111</v>
      </c>
      <c r="C132" s="2254">
        <v>33100880</v>
      </c>
      <c r="D132" s="2174" t="s">
        <v>1002</v>
      </c>
      <c r="E132" s="2184">
        <v>0</v>
      </c>
      <c r="F132" s="2184">
        <v>210</v>
      </c>
      <c r="G132" s="2184">
        <v>210</v>
      </c>
      <c r="H132" s="2156">
        <f t="shared" si="6"/>
        <v>100</v>
      </c>
    </row>
    <row r="133" spans="1:9" s="2185" customFormat="1" ht="15.75" customHeight="1" thickBot="1" x14ac:dyDescent="0.25">
      <c r="A133" s="2270">
        <v>6172</v>
      </c>
      <c r="B133" s="2271">
        <v>6111</v>
      </c>
      <c r="C133" s="2330">
        <v>33500881</v>
      </c>
      <c r="D133" s="2180" t="s">
        <v>1002</v>
      </c>
      <c r="E133" s="2181">
        <v>0</v>
      </c>
      <c r="F133" s="2181">
        <v>1190</v>
      </c>
      <c r="G133" s="2181">
        <v>0</v>
      </c>
      <c r="H133" s="2163">
        <f t="shared" si="6"/>
        <v>0</v>
      </c>
    </row>
    <row r="134" spans="1:9" s="2532" customFormat="1" ht="15.75" customHeight="1" thickTop="1" thickBot="1" x14ac:dyDescent="0.25">
      <c r="A134" s="2307"/>
      <c r="B134" s="2307"/>
      <c r="C134" s="2530"/>
      <c r="D134" s="2531"/>
      <c r="E134" s="2260"/>
      <c r="F134" s="2260"/>
      <c r="G134" s="2260"/>
      <c r="H134" s="2240" t="s">
        <v>179</v>
      </c>
    </row>
    <row r="135" spans="1:9" s="2532" customFormat="1" ht="26.25" customHeight="1" thickTop="1" thickBot="1" x14ac:dyDescent="0.25">
      <c r="A135" s="2138" t="s">
        <v>180</v>
      </c>
      <c r="B135" s="2139" t="s">
        <v>847</v>
      </c>
      <c r="C135" s="2139" t="s">
        <v>414</v>
      </c>
      <c r="D135" s="2140" t="s">
        <v>182</v>
      </c>
      <c r="E135" s="2171" t="s">
        <v>700</v>
      </c>
      <c r="F135" s="2171" t="s">
        <v>701</v>
      </c>
      <c r="G135" s="2172" t="s">
        <v>986</v>
      </c>
      <c r="H135" s="2173" t="s">
        <v>987</v>
      </c>
    </row>
    <row r="136" spans="1:9" s="2532" customFormat="1" ht="15.75" customHeight="1" thickTop="1" thickBot="1" x14ac:dyDescent="0.25">
      <c r="A136" s="1854">
        <v>1</v>
      </c>
      <c r="B136" s="1853">
        <v>2</v>
      </c>
      <c r="C136" s="1853">
        <v>3</v>
      </c>
      <c r="D136" s="1853">
        <v>4</v>
      </c>
      <c r="E136" s="1852">
        <v>5</v>
      </c>
      <c r="F136" s="1852">
        <v>6</v>
      </c>
      <c r="G136" s="2223">
        <v>7</v>
      </c>
      <c r="H136" s="2251" t="s">
        <v>61</v>
      </c>
    </row>
    <row r="137" spans="1:9" s="2185" customFormat="1" ht="15.75" customHeight="1" thickTop="1" x14ac:dyDescent="0.2">
      <c r="A137" s="2246">
        <v>6172</v>
      </c>
      <c r="B137" s="2253">
        <v>6111</v>
      </c>
      <c r="C137" s="2254">
        <v>33514013</v>
      </c>
      <c r="D137" s="2174" t="s">
        <v>1002</v>
      </c>
      <c r="E137" s="2184">
        <v>0</v>
      </c>
      <c r="F137" s="2184">
        <v>1190</v>
      </c>
      <c r="G137" s="2184">
        <v>1190</v>
      </c>
      <c r="H137" s="2156">
        <f t="shared" si="6"/>
        <v>100</v>
      </c>
    </row>
    <row r="138" spans="1:9" s="2185" customFormat="1" ht="15.75" customHeight="1" thickBot="1" x14ac:dyDescent="0.25">
      <c r="A138" s="2246">
        <v>6330</v>
      </c>
      <c r="B138" s="2253">
        <v>5345</v>
      </c>
      <c r="C138" s="2254">
        <v>0</v>
      </c>
      <c r="D138" s="2174" t="s">
        <v>853</v>
      </c>
      <c r="E138" s="2184">
        <v>0</v>
      </c>
      <c r="F138" s="2184">
        <v>0</v>
      </c>
      <c r="G138" s="2184">
        <v>3179</v>
      </c>
      <c r="H138" s="2163">
        <v>0</v>
      </c>
    </row>
    <row r="139" spans="1:9" s="2164" customFormat="1" ht="16.5" thickTop="1" thickBot="1" x14ac:dyDescent="0.3">
      <c r="A139" s="2806" t="s">
        <v>849</v>
      </c>
      <c r="B139" s="2807"/>
      <c r="C139" s="2807"/>
      <c r="D139" s="2807"/>
      <c r="E139" s="2152">
        <f>SUM(E108:E138)</f>
        <v>8160</v>
      </c>
      <c r="F139" s="2152">
        <f>SUM(F108:F138)</f>
        <v>14272</v>
      </c>
      <c r="G139" s="2152">
        <f>SUM(G108:G138)</f>
        <v>11062</v>
      </c>
      <c r="H139" s="2163">
        <f t="shared" si="6"/>
        <v>77.508408071748875</v>
      </c>
      <c r="I139" s="2262"/>
    </row>
    <row r="140" spans="1:9" ht="13.5" thickTop="1" x14ac:dyDescent="0.2">
      <c r="I140" s="2165"/>
    </row>
    <row r="141" spans="1:9" ht="15" x14ac:dyDescent="0.25">
      <c r="A141" s="2332" t="s">
        <v>1177</v>
      </c>
      <c r="B141" s="2198"/>
      <c r="C141" s="2198"/>
      <c r="D141" s="2198"/>
    </row>
    <row r="142" spans="1:9" ht="15.75" thickBot="1" x14ac:dyDescent="0.3">
      <c r="A142" s="2333" t="s">
        <v>1178</v>
      </c>
      <c r="B142" s="2335"/>
      <c r="C142" s="2335"/>
      <c r="H142" s="2240" t="s">
        <v>179</v>
      </c>
    </row>
    <row r="143" spans="1:9" s="1849" customFormat="1" ht="25.5" thickTop="1" thickBot="1" x14ac:dyDescent="0.25">
      <c r="A143" s="2138" t="s">
        <v>180</v>
      </c>
      <c r="B143" s="2139" t="s">
        <v>847</v>
      </c>
      <c r="C143" s="2139" t="s">
        <v>414</v>
      </c>
      <c r="D143" s="2140" t="s">
        <v>182</v>
      </c>
      <c r="E143" s="2171" t="s">
        <v>700</v>
      </c>
      <c r="F143" s="2171" t="s">
        <v>701</v>
      </c>
      <c r="G143" s="2172" t="s">
        <v>986</v>
      </c>
      <c r="H143" s="2173" t="s">
        <v>987</v>
      </c>
    </row>
    <row r="144" spans="1:9" s="1849" customFormat="1" ht="13.5" thickTop="1" thickBot="1" x14ac:dyDescent="0.25">
      <c r="A144" s="1854">
        <v>1</v>
      </c>
      <c r="B144" s="1853">
        <v>2</v>
      </c>
      <c r="C144" s="1853">
        <v>3</v>
      </c>
      <c r="D144" s="1853">
        <v>4</v>
      </c>
      <c r="E144" s="1852">
        <v>5</v>
      </c>
      <c r="F144" s="1852">
        <v>6</v>
      </c>
      <c r="G144" s="2223">
        <v>7</v>
      </c>
      <c r="H144" s="2251" t="s">
        <v>61</v>
      </c>
    </row>
    <row r="145" spans="1:8" s="2259" customFormat="1" ht="15.75" customHeight="1" thickTop="1" x14ac:dyDescent="0.2">
      <c r="A145" s="2246">
        <v>6172</v>
      </c>
      <c r="B145" s="2253">
        <v>5011</v>
      </c>
      <c r="C145" s="2254">
        <v>33100880</v>
      </c>
      <c r="D145" s="2174" t="s">
        <v>225</v>
      </c>
      <c r="E145" s="2184">
        <v>0</v>
      </c>
      <c r="F145" s="2184">
        <v>14</v>
      </c>
      <c r="G145" s="2184">
        <v>0</v>
      </c>
      <c r="H145" s="2156">
        <f t="shared" ref="H145:H167" si="7">G145/F145*100</f>
        <v>0</v>
      </c>
    </row>
    <row r="146" spans="1:8" s="2259" customFormat="1" ht="15" x14ac:dyDescent="0.2">
      <c r="A146" s="2246">
        <v>6172</v>
      </c>
      <c r="B146" s="2253">
        <v>5011</v>
      </c>
      <c r="C146" s="2254">
        <v>33514012</v>
      </c>
      <c r="D146" s="2174" t="s">
        <v>225</v>
      </c>
      <c r="E146" s="2184">
        <v>0</v>
      </c>
      <c r="F146" s="2184">
        <v>81</v>
      </c>
      <c r="G146" s="2184">
        <v>0</v>
      </c>
      <c r="H146" s="2156">
        <f t="shared" si="7"/>
        <v>0</v>
      </c>
    </row>
    <row r="147" spans="1:8" s="2259" customFormat="1" ht="15" x14ac:dyDescent="0.2">
      <c r="A147" s="2246">
        <v>6172</v>
      </c>
      <c r="B147" s="2253">
        <v>5021</v>
      </c>
      <c r="C147" s="2254">
        <v>33100880</v>
      </c>
      <c r="D147" s="2174" t="s">
        <v>427</v>
      </c>
      <c r="E147" s="2184">
        <v>219</v>
      </c>
      <c r="F147" s="2184">
        <v>166</v>
      </c>
      <c r="G147" s="2184">
        <v>0</v>
      </c>
      <c r="H147" s="2156">
        <f t="shared" si="7"/>
        <v>0</v>
      </c>
    </row>
    <row r="148" spans="1:8" s="2259" customFormat="1" ht="15" x14ac:dyDescent="0.2">
      <c r="A148" s="2246">
        <v>6172</v>
      </c>
      <c r="B148" s="2253">
        <v>5021</v>
      </c>
      <c r="C148" s="2254">
        <v>33500881</v>
      </c>
      <c r="D148" s="2174" t="s">
        <v>427</v>
      </c>
      <c r="E148" s="2184">
        <v>0</v>
      </c>
      <c r="F148" s="2184">
        <v>1</v>
      </c>
      <c r="G148" s="2184">
        <v>0</v>
      </c>
      <c r="H148" s="2156">
        <f t="shared" si="7"/>
        <v>0</v>
      </c>
    </row>
    <row r="149" spans="1:8" s="2259" customFormat="1" ht="15" x14ac:dyDescent="0.2">
      <c r="A149" s="2246">
        <v>6172</v>
      </c>
      <c r="B149" s="2253">
        <v>5021</v>
      </c>
      <c r="C149" s="2254">
        <v>33514012</v>
      </c>
      <c r="D149" s="2174" t="s">
        <v>427</v>
      </c>
      <c r="E149" s="2184">
        <v>1239</v>
      </c>
      <c r="F149" s="2184">
        <v>63</v>
      </c>
      <c r="G149" s="2184">
        <v>0</v>
      </c>
      <c r="H149" s="2156">
        <f t="shared" si="7"/>
        <v>0</v>
      </c>
    </row>
    <row r="150" spans="1:8" s="2259" customFormat="1" ht="30" customHeight="1" x14ac:dyDescent="0.2">
      <c r="A150" s="2246">
        <v>6172</v>
      </c>
      <c r="B150" s="2253">
        <v>5031</v>
      </c>
      <c r="C150" s="2254">
        <v>33100880</v>
      </c>
      <c r="D150" s="2174" t="s">
        <v>1459</v>
      </c>
      <c r="E150" s="2184">
        <v>0</v>
      </c>
      <c r="F150" s="2184">
        <v>6</v>
      </c>
      <c r="G150" s="2184">
        <v>0</v>
      </c>
      <c r="H150" s="2156">
        <f t="shared" si="7"/>
        <v>0</v>
      </c>
    </row>
    <row r="151" spans="1:8" s="2259" customFormat="1" ht="30" customHeight="1" x14ac:dyDescent="0.2">
      <c r="A151" s="2246">
        <v>6172</v>
      </c>
      <c r="B151" s="2253">
        <v>5031</v>
      </c>
      <c r="C151" s="2254">
        <v>33514012</v>
      </c>
      <c r="D151" s="2174" t="s">
        <v>1459</v>
      </c>
      <c r="E151" s="2184">
        <v>0</v>
      </c>
      <c r="F151" s="2184">
        <v>36</v>
      </c>
      <c r="G151" s="2184">
        <v>0</v>
      </c>
      <c r="H151" s="2156">
        <f t="shared" si="7"/>
        <v>0</v>
      </c>
    </row>
    <row r="152" spans="1:8" s="2259" customFormat="1" ht="30" x14ac:dyDescent="0.2">
      <c r="A152" s="2246">
        <v>6172</v>
      </c>
      <c r="B152" s="2253">
        <v>5032</v>
      </c>
      <c r="C152" s="2254">
        <v>33100880</v>
      </c>
      <c r="D152" s="2174" t="s">
        <v>1322</v>
      </c>
      <c r="E152" s="2184">
        <v>0</v>
      </c>
      <c r="F152" s="2184">
        <v>2</v>
      </c>
      <c r="G152" s="2184">
        <v>0</v>
      </c>
      <c r="H152" s="2156">
        <f t="shared" si="7"/>
        <v>0</v>
      </c>
    </row>
    <row r="153" spans="1:8" s="2259" customFormat="1" ht="30" x14ac:dyDescent="0.2">
      <c r="A153" s="2246">
        <v>6172</v>
      </c>
      <c r="B153" s="2253">
        <v>5032</v>
      </c>
      <c r="C153" s="2254">
        <v>33514012</v>
      </c>
      <c r="D153" s="2174" t="s">
        <v>1322</v>
      </c>
      <c r="E153" s="2184">
        <v>0</v>
      </c>
      <c r="F153" s="2184">
        <v>12</v>
      </c>
      <c r="G153" s="2184">
        <v>0</v>
      </c>
      <c r="H153" s="2156">
        <f t="shared" si="7"/>
        <v>0</v>
      </c>
    </row>
    <row r="154" spans="1:8" s="2259" customFormat="1" ht="15" hidden="1" x14ac:dyDescent="0.2">
      <c r="A154" s="2246">
        <v>6172</v>
      </c>
      <c r="B154" s="2253">
        <v>5137</v>
      </c>
      <c r="C154" s="2254">
        <v>33100880</v>
      </c>
      <c r="D154" s="2174" t="s">
        <v>173</v>
      </c>
      <c r="E154" s="2184">
        <v>0</v>
      </c>
      <c r="F154" s="2184">
        <v>0</v>
      </c>
      <c r="G154" s="2184">
        <v>0</v>
      </c>
      <c r="H154" s="2156" t="e">
        <f t="shared" si="7"/>
        <v>#DIV/0!</v>
      </c>
    </row>
    <row r="155" spans="1:8" s="2259" customFormat="1" ht="15" hidden="1" x14ac:dyDescent="0.2">
      <c r="A155" s="2246">
        <v>6172</v>
      </c>
      <c r="B155" s="2253">
        <v>5137</v>
      </c>
      <c r="C155" s="2254">
        <v>33514012</v>
      </c>
      <c r="D155" s="2174" t="s">
        <v>173</v>
      </c>
      <c r="E155" s="2184">
        <v>0</v>
      </c>
      <c r="F155" s="2184">
        <v>0</v>
      </c>
      <c r="G155" s="2184">
        <v>0</v>
      </c>
      <c r="H155" s="2156" t="e">
        <f t="shared" si="7"/>
        <v>#DIV/0!</v>
      </c>
    </row>
    <row r="156" spans="1:8" s="2185" customFormat="1" ht="15" x14ac:dyDescent="0.2">
      <c r="A156" s="2246">
        <v>6172</v>
      </c>
      <c r="B156" s="2257">
        <v>5139</v>
      </c>
      <c r="C156" s="2254">
        <v>33100880</v>
      </c>
      <c r="D156" s="2174" t="s">
        <v>295</v>
      </c>
      <c r="E156" s="2184">
        <v>0</v>
      </c>
      <c r="F156" s="2184">
        <v>24</v>
      </c>
      <c r="G156" s="2184">
        <v>23</v>
      </c>
      <c r="H156" s="2156">
        <f t="shared" si="7"/>
        <v>95.833333333333343</v>
      </c>
    </row>
    <row r="157" spans="1:8" s="2185" customFormat="1" ht="15" x14ac:dyDescent="0.2">
      <c r="A157" s="2246">
        <v>6172</v>
      </c>
      <c r="B157" s="2257">
        <v>5139</v>
      </c>
      <c r="C157" s="2254">
        <v>33500881</v>
      </c>
      <c r="D157" s="2174" t="s">
        <v>295</v>
      </c>
      <c r="E157" s="2184">
        <v>0</v>
      </c>
      <c r="F157" s="2184">
        <v>10</v>
      </c>
      <c r="G157" s="2184">
        <v>0</v>
      </c>
      <c r="H157" s="2156">
        <f t="shared" si="7"/>
        <v>0</v>
      </c>
    </row>
    <row r="158" spans="1:8" ht="15" x14ac:dyDescent="0.2">
      <c r="A158" s="2246">
        <v>6172</v>
      </c>
      <c r="B158" s="2257">
        <v>5139</v>
      </c>
      <c r="C158" s="2254">
        <v>33514012</v>
      </c>
      <c r="D158" s="2174" t="s">
        <v>295</v>
      </c>
      <c r="E158" s="2184">
        <v>0</v>
      </c>
      <c r="F158" s="2184">
        <v>129</v>
      </c>
      <c r="G158" s="2184">
        <v>128</v>
      </c>
      <c r="H158" s="2156">
        <f t="shared" si="7"/>
        <v>99.224806201550393</v>
      </c>
    </row>
    <row r="159" spans="1:8" ht="15" hidden="1" x14ac:dyDescent="0.2">
      <c r="A159" s="2246">
        <v>6172</v>
      </c>
      <c r="B159" s="2257">
        <v>5162</v>
      </c>
      <c r="C159" s="2254">
        <v>33513233</v>
      </c>
      <c r="D159" s="2174" t="s">
        <v>967</v>
      </c>
      <c r="E159" s="2184">
        <v>0</v>
      </c>
      <c r="F159" s="2184">
        <v>0</v>
      </c>
      <c r="G159" s="2184">
        <v>0</v>
      </c>
      <c r="H159" s="2156" t="e">
        <f t="shared" si="7"/>
        <v>#DIV/0!</v>
      </c>
    </row>
    <row r="160" spans="1:8" ht="15" hidden="1" x14ac:dyDescent="0.2">
      <c r="A160" s="2246">
        <v>6172</v>
      </c>
      <c r="B160" s="2257">
        <v>5166</v>
      </c>
      <c r="C160" s="2254">
        <v>33113233</v>
      </c>
      <c r="D160" s="2174" t="s">
        <v>677</v>
      </c>
      <c r="E160" s="2184">
        <v>0</v>
      </c>
      <c r="F160" s="2184">
        <v>0</v>
      </c>
      <c r="G160" s="2184">
        <v>0</v>
      </c>
      <c r="H160" s="2156" t="e">
        <f t="shared" si="7"/>
        <v>#DIV/0!</v>
      </c>
    </row>
    <row r="161" spans="1:9" ht="15" x14ac:dyDescent="0.2">
      <c r="A161" s="2246">
        <v>6172</v>
      </c>
      <c r="B161" s="2257">
        <v>5166</v>
      </c>
      <c r="C161" s="2254">
        <v>33100880</v>
      </c>
      <c r="D161" s="2174" t="s">
        <v>677</v>
      </c>
      <c r="E161" s="2184">
        <v>0</v>
      </c>
      <c r="F161" s="2184">
        <v>6</v>
      </c>
      <c r="G161" s="2184">
        <v>6</v>
      </c>
      <c r="H161" s="2156">
        <f t="shared" si="7"/>
        <v>100</v>
      </c>
    </row>
    <row r="162" spans="1:9" ht="15" x14ac:dyDescent="0.2">
      <c r="A162" s="2246">
        <v>6172</v>
      </c>
      <c r="B162" s="2257">
        <v>5166</v>
      </c>
      <c r="C162" s="2254">
        <v>33500881</v>
      </c>
      <c r="D162" s="2174" t="s">
        <v>677</v>
      </c>
      <c r="E162" s="2184">
        <v>0</v>
      </c>
      <c r="F162" s="2184">
        <v>0</v>
      </c>
      <c r="G162" s="2184">
        <v>0</v>
      </c>
      <c r="H162" s="2156">
        <v>0</v>
      </c>
    </row>
    <row r="163" spans="1:9" ht="15" x14ac:dyDescent="0.2">
      <c r="A163" s="2246">
        <v>6172</v>
      </c>
      <c r="B163" s="2257">
        <v>5166</v>
      </c>
      <c r="C163" s="2254">
        <v>33514012</v>
      </c>
      <c r="D163" s="2174" t="s">
        <v>677</v>
      </c>
      <c r="E163" s="2184">
        <v>0</v>
      </c>
      <c r="F163" s="2184">
        <v>33</v>
      </c>
      <c r="G163" s="2184">
        <v>33</v>
      </c>
      <c r="H163" s="2156">
        <f t="shared" si="7"/>
        <v>100</v>
      </c>
    </row>
    <row r="164" spans="1:9" ht="15" hidden="1" x14ac:dyDescent="0.2">
      <c r="A164" s="2246">
        <v>6172</v>
      </c>
      <c r="B164" s="2253">
        <v>5173</v>
      </c>
      <c r="C164" s="2254">
        <v>33113233</v>
      </c>
      <c r="D164" s="2174" t="s">
        <v>1296</v>
      </c>
      <c r="E164" s="2184">
        <v>0</v>
      </c>
      <c r="F164" s="2184">
        <v>0</v>
      </c>
      <c r="G164" s="2184">
        <v>0</v>
      </c>
      <c r="H164" s="2156" t="e">
        <f t="shared" si="7"/>
        <v>#DIV/0!</v>
      </c>
    </row>
    <row r="165" spans="1:9" ht="15" hidden="1" x14ac:dyDescent="0.2">
      <c r="A165" s="2246">
        <v>6172</v>
      </c>
      <c r="B165" s="2253">
        <v>5173</v>
      </c>
      <c r="C165" s="2254">
        <v>33513233</v>
      </c>
      <c r="D165" s="2174" t="s">
        <v>1296</v>
      </c>
      <c r="E165" s="2184">
        <v>0</v>
      </c>
      <c r="F165" s="2184">
        <v>0</v>
      </c>
      <c r="G165" s="2184">
        <v>0</v>
      </c>
      <c r="H165" s="2156" t="e">
        <f t="shared" si="7"/>
        <v>#DIV/0!</v>
      </c>
    </row>
    <row r="166" spans="1:9" ht="15" hidden="1" x14ac:dyDescent="0.2">
      <c r="A166" s="2246">
        <v>6172</v>
      </c>
      <c r="B166" s="2253">
        <v>5901</v>
      </c>
      <c r="C166" s="2254">
        <v>33100880</v>
      </c>
      <c r="D166" s="2174" t="s">
        <v>670</v>
      </c>
      <c r="E166" s="2184">
        <v>0</v>
      </c>
      <c r="F166" s="2184">
        <v>0</v>
      </c>
      <c r="G166" s="2184">
        <v>0</v>
      </c>
      <c r="H166" s="2156" t="e">
        <f t="shared" si="7"/>
        <v>#DIV/0!</v>
      </c>
    </row>
    <row r="167" spans="1:9" s="2185" customFormat="1" ht="15" x14ac:dyDescent="0.2">
      <c r="A167" s="2246">
        <v>6172</v>
      </c>
      <c r="B167" s="2253">
        <v>5901</v>
      </c>
      <c r="C167" s="2254">
        <v>33514012</v>
      </c>
      <c r="D167" s="2174" t="s">
        <v>670</v>
      </c>
      <c r="E167" s="2184">
        <v>0</v>
      </c>
      <c r="F167" s="2184">
        <v>18</v>
      </c>
      <c r="G167" s="2184">
        <v>0</v>
      </c>
      <c r="H167" s="2156">
        <f t="shared" si="7"/>
        <v>0</v>
      </c>
    </row>
    <row r="168" spans="1:9" s="2185" customFormat="1" ht="15.75" thickBot="1" x14ac:dyDescent="0.25">
      <c r="A168" s="2246">
        <v>6330</v>
      </c>
      <c r="B168" s="2253">
        <v>5345</v>
      </c>
      <c r="C168" s="2254">
        <v>0</v>
      </c>
      <c r="D168" s="2174" t="s">
        <v>853</v>
      </c>
      <c r="E168" s="2184">
        <v>0</v>
      </c>
      <c r="F168" s="2184">
        <v>0</v>
      </c>
      <c r="G168" s="2184">
        <v>379</v>
      </c>
      <c r="H168" s="2163">
        <v>0</v>
      </c>
    </row>
    <row r="169" spans="1:9" s="2164" customFormat="1" ht="16.5" thickTop="1" thickBot="1" x14ac:dyDescent="0.3">
      <c r="A169" s="2806" t="s">
        <v>849</v>
      </c>
      <c r="B169" s="2807"/>
      <c r="C169" s="2807"/>
      <c r="D169" s="2807"/>
      <c r="E169" s="2152">
        <f>SUM(E145:E168)</f>
        <v>1458</v>
      </c>
      <c r="F169" s="2152">
        <f>SUM(F145:F168)</f>
        <v>601</v>
      </c>
      <c r="G169" s="2152">
        <f>SUM(G145:G168)</f>
        <v>569</v>
      </c>
      <c r="H169" s="2157">
        <f>G169/F169*100</f>
        <v>94.67554076539102</v>
      </c>
      <c r="I169" s="2262"/>
    </row>
    <row r="170" spans="1:9" ht="13.5" thickTop="1" x14ac:dyDescent="0.2">
      <c r="I170" s="2165"/>
    </row>
    <row r="171" spans="1:9" ht="15" x14ac:dyDescent="0.25">
      <c r="A171" s="2332" t="s">
        <v>1839</v>
      </c>
      <c r="B171" s="2198"/>
      <c r="C171" s="2198"/>
      <c r="D171" s="2198"/>
    </row>
    <row r="172" spans="1:9" ht="15.75" thickBot="1" x14ac:dyDescent="0.3">
      <c r="A172" s="2333" t="s">
        <v>1840</v>
      </c>
      <c r="B172" s="2335"/>
      <c r="C172" s="2335"/>
      <c r="H172" s="2240" t="s">
        <v>179</v>
      </c>
    </row>
    <row r="173" spans="1:9" s="1849" customFormat="1" ht="25.5" thickTop="1" thickBot="1" x14ac:dyDescent="0.25">
      <c r="A173" s="2138" t="s">
        <v>180</v>
      </c>
      <c r="B173" s="2139" t="s">
        <v>847</v>
      </c>
      <c r="C173" s="2139" t="s">
        <v>414</v>
      </c>
      <c r="D173" s="2140" t="s">
        <v>182</v>
      </c>
      <c r="E173" s="2171" t="s">
        <v>700</v>
      </c>
      <c r="F173" s="2171" t="s">
        <v>701</v>
      </c>
      <c r="G173" s="2172" t="s">
        <v>986</v>
      </c>
      <c r="H173" s="2173" t="s">
        <v>987</v>
      </c>
    </row>
    <row r="174" spans="1:9" s="1849" customFormat="1" ht="13.5" thickTop="1" thickBot="1" x14ac:dyDescent="0.25">
      <c r="A174" s="1854">
        <v>1</v>
      </c>
      <c r="B174" s="1853">
        <v>2</v>
      </c>
      <c r="C174" s="1853">
        <v>3</v>
      </c>
      <c r="D174" s="1853">
        <v>4</v>
      </c>
      <c r="E174" s="1852">
        <v>5</v>
      </c>
      <c r="F174" s="1852">
        <v>6</v>
      </c>
      <c r="G174" s="2223">
        <v>7</v>
      </c>
      <c r="H174" s="2251" t="s">
        <v>61</v>
      </c>
    </row>
    <row r="175" spans="1:9" s="2259" customFormat="1" ht="15.75" customHeight="1" thickTop="1" thickBot="1" x14ac:dyDescent="0.25">
      <c r="A175" s="2246">
        <v>6402</v>
      </c>
      <c r="B175" s="2253">
        <v>5363</v>
      </c>
      <c r="C175" s="2254">
        <v>19</v>
      </c>
      <c r="D175" s="2174" t="s">
        <v>1841</v>
      </c>
      <c r="E175" s="2184">
        <v>0</v>
      </c>
      <c r="F175" s="2184">
        <v>21</v>
      </c>
      <c r="G175" s="2184">
        <v>4</v>
      </c>
      <c r="H175" s="2156">
        <f>G175/F175*100</f>
        <v>19.047619047619047</v>
      </c>
    </row>
    <row r="176" spans="1:9" s="2164" customFormat="1" ht="16.5" thickTop="1" thickBot="1" x14ac:dyDescent="0.3">
      <c r="A176" s="2806" t="s">
        <v>849</v>
      </c>
      <c r="B176" s="2807"/>
      <c r="C176" s="2807"/>
      <c r="D176" s="2807"/>
      <c r="E176" s="2152">
        <f>SUM(E175)</f>
        <v>0</v>
      </c>
      <c r="F176" s="2152">
        <f>SUM(F175)</f>
        <v>21</v>
      </c>
      <c r="G176" s="2152">
        <f>SUM(G175)</f>
        <v>4</v>
      </c>
      <c r="H176" s="2157">
        <f>G176/F176*100</f>
        <v>19.047619047619047</v>
      </c>
      <c r="I176" s="2262"/>
    </row>
    <row r="177" spans="1:12" ht="13.5" thickTop="1" x14ac:dyDescent="0.2">
      <c r="I177" s="2165"/>
    </row>
    <row r="178" spans="1:12" x14ac:dyDescent="0.2">
      <c r="I178" s="2165"/>
    </row>
    <row r="179" spans="1:12" x14ac:dyDescent="0.2">
      <c r="I179" s="2165"/>
    </row>
    <row r="181" spans="1:12" ht="16.5" x14ac:dyDescent="0.25">
      <c r="A181" s="2206" t="s">
        <v>508</v>
      </c>
      <c r="B181" s="2207"/>
      <c r="C181" s="2208"/>
      <c r="D181" s="2209"/>
      <c r="E181" s="2210">
        <f>SUM(E182:E184)</f>
        <v>9613</v>
      </c>
      <c r="F181" s="2210">
        <f>F182+F183+F184+F185</f>
        <v>24398</v>
      </c>
      <c r="G181" s="2210">
        <f>G182+G183+G184+G185</f>
        <v>20202</v>
      </c>
      <c r="H181" s="2232">
        <f>G181/F181*100</f>
        <v>82.801869005656201</v>
      </c>
      <c r="J181" s="2212">
        <f>J182+J183+J184</f>
        <v>9613000</v>
      </c>
      <c r="K181" s="2212">
        <f>K182+K183+K184</f>
        <v>24397650.57</v>
      </c>
      <c r="L181" s="2212">
        <f>L182+L183+L184</f>
        <v>20201808.219999999</v>
      </c>
    </row>
    <row r="182" spans="1:12" ht="15" x14ac:dyDescent="0.2">
      <c r="A182" s="1810" t="s">
        <v>288</v>
      </c>
      <c r="B182" s="1813"/>
      <c r="C182" s="1808"/>
      <c r="D182" s="2213"/>
      <c r="E182" s="1811">
        <f>E11+E12+E13+E14+E15+E16+E17+E18+E27+E28+E29+E30+E33+E34+E35+E42+E43+E44+E45+E46+E47+E48+E49+E52+E53+E56+E57+E58+E59+E60+E61+E62+E63+E78+E79+E80+E81+E82+E83+E84+E85+E86+E87+E88+E89+E90+E91+E92+E93+E94+E95+E96+E97+E98+E99+E108+E109+E110+E111+E112+E113+E114+E115+E116+E117+E118+E119+E120+E121+E122+E123+E124+E125+E126+E127+E128+E129+E130+E131+E145+E146+E147+E148+E149+E150+E151+E152+E153+E156+E157+E158+E161+E162+E163+E167+E175</f>
        <v>9613</v>
      </c>
      <c r="F182" s="1811">
        <f>F11+F12+F13+F14+F15+F16+F17+F18+F27+F28+F29+F30+F33+F34+F35+F42+F43+F44+F45+F46+F47+F48+F49+F52+F53+F56+F57+F58+F59+F60+F61+F62+F63+F78+F79+F80+F81+F82+F83+F84+F85+F86+F87+F88+F89+F90+F91+F92+F93+F94+F95+F96+F97+F98+F99+F108+F109+F110+F111+F112+F113+F114+F115+F116+F117+F118+F119+F120+F121+F122+F123+F124+F125+F126+F127+F128+F129+F130+F131+F145+F146+F147+F148+F149+F150+F151+F152+F153+F156+F157+F158+F161+F162+F163+F167+F175</f>
        <v>21808</v>
      </c>
      <c r="G182" s="1811">
        <f>G11+G12+G13+G14+G15+G16+G17+G18+G27+G28+G29+G30+G33+G34+G35+G42+G43+G44+G45+G46+G47+G48+G49+G52+G53+G56+G57+G58+G59+G60+G61+G62+G63+G78+G79+G80+G81+G82+G83+G84+G85+G86+G87+G88+G89+G90+G91+G92+G93+G94+G95+G96+G97+G98+G99+G108+G109+G110+G111+G112+G113+G114+G115+G116+G117+G118+G119+G120+G121+G122+G123+G124+G125+G126+G127+G128+G129+G130+G131+G145+G146+G147+G148+G149+G150+G151+G152+G153+G156+G157+G158+G161+G162+G163+G167+G175</f>
        <v>15244</v>
      </c>
      <c r="H182" s="2231">
        <f>G182/F182*100</f>
        <v>69.900953778429937</v>
      </c>
      <c r="J182" s="2214">
        <v>9613000</v>
      </c>
      <c r="K182" s="2214">
        <v>21807650.57</v>
      </c>
      <c r="L182" s="2214">
        <v>15244323.66</v>
      </c>
    </row>
    <row r="183" spans="1:12" ht="15" x14ac:dyDescent="0.2">
      <c r="A183" s="1810" t="s">
        <v>289</v>
      </c>
      <c r="B183" s="1809"/>
      <c r="C183" s="1808"/>
      <c r="D183" s="2215"/>
      <c r="E183" s="1811">
        <f>E133+E132+E137</f>
        <v>0</v>
      </c>
      <c r="F183" s="1811">
        <f>F133+F132+F137</f>
        <v>2590</v>
      </c>
      <c r="G183" s="1811">
        <f>G133+G132+G137</f>
        <v>1400</v>
      </c>
      <c r="H183" s="2231">
        <f>G183/F183*100</f>
        <v>54.054054054054056</v>
      </c>
      <c r="J183" s="2214">
        <v>0</v>
      </c>
      <c r="K183" s="2214">
        <v>2590000</v>
      </c>
      <c r="L183" s="2214">
        <v>1400000</v>
      </c>
    </row>
    <row r="184" spans="1:12" ht="15" x14ac:dyDescent="0.2">
      <c r="A184" s="1810" t="s">
        <v>509</v>
      </c>
      <c r="B184" s="1809"/>
      <c r="C184" s="1808"/>
      <c r="D184" s="2215"/>
      <c r="E184" s="1811">
        <v>0</v>
      </c>
      <c r="F184" s="1811">
        <v>0</v>
      </c>
      <c r="G184" s="1811">
        <f>G168+G138</f>
        <v>3558</v>
      </c>
      <c r="H184" s="2231">
        <v>0</v>
      </c>
      <c r="J184" s="2214">
        <v>0</v>
      </c>
      <c r="K184" s="2214">
        <v>0</v>
      </c>
      <c r="L184" s="2214">
        <v>3557484.56</v>
      </c>
    </row>
    <row r="185" spans="1:12" ht="15" x14ac:dyDescent="0.2">
      <c r="A185" s="1810"/>
      <c r="B185" s="1809"/>
      <c r="C185" s="1808"/>
      <c r="D185" s="2215"/>
      <c r="E185" s="1811"/>
      <c r="F185" s="1811"/>
      <c r="G185" s="1811"/>
      <c r="H185" s="1807"/>
    </row>
    <row r="186" spans="1:12" ht="46.5" customHeight="1" thickBot="1" x14ac:dyDescent="0.4">
      <c r="A186" s="2800" t="s">
        <v>1179</v>
      </c>
      <c r="B186" s="2801"/>
      <c r="C186" s="2801"/>
      <c r="D186" s="2801"/>
      <c r="E186" s="1801">
        <f>SUM(E181)</f>
        <v>9613</v>
      </c>
      <c r="F186" s="1801">
        <f>SUM(F181)</f>
        <v>24398</v>
      </c>
      <c r="G186" s="1801">
        <f>SUM(G181)</f>
        <v>20202</v>
      </c>
      <c r="H186" s="1800">
        <f>(G186/F186)*100</f>
        <v>82.801869005656201</v>
      </c>
    </row>
    <row r="187" spans="1:12" ht="13.5" thickTop="1" x14ac:dyDescent="0.2"/>
    <row r="306" spans="1:5" ht="13.5" thickBot="1" x14ac:dyDescent="0.25">
      <c r="A306" s="2179"/>
      <c r="B306" s="2179"/>
      <c r="C306" s="2179"/>
      <c r="D306" s="2264"/>
      <c r="E306" s="2265"/>
    </row>
    <row r="307" spans="1:5" ht="13.5" thickTop="1" x14ac:dyDescent="0.2">
      <c r="A307" s="2204"/>
      <c r="B307" s="2204"/>
      <c r="C307" s="2204"/>
      <c r="D307" s="2193"/>
      <c r="E307" s="2266"/>
    </row>
    <row r="308" spans="1:5" x14ac:dyDescent="0.2">
      <c r="D308" s="2131" t="e">
        <f>#REF!+#REF!</f>
        <v>#REF!</v>
      </c>
    </row>
  </sheetData>
  <mergeCells count="7">
    <mergeCell ref="A186:D186"/>
    <mergeCell ref="A36:D36"/>
    <mergeCell ref="A66:D66"/>
    <mergeCell ref="A102:D102"/>
    <mergeCell ref="A139:D139"/>
    <mergeCell ref="A169:D169"/>
    <mergeCell ref="A176:D176"/>
  </mergeCells>
  <pageMargins left="0.98425196850393704" right="0.78740157480314965" top="0.98425196850393704" bottom="0.98425196850393704" header="0.51181102362204722" footer="0.51181102362204722"/>
  <pageSetup paperSize="9" scale="70" firstPageNumber="164" orientation="portrait" useFirstPageNumber="1" r:id="rId1"/>
  <headerFooter alignWithMargins="0">
    <oddFooter xml:space="preserve">&amp;L&amp;"Arial,Kurzíva"Zastupitelstvo Olomouckého kraje 28. 6. 2013
6.- Závěrečný  účet Olomuckého kraje za rok 2012
Příloha č. 3: Plnění rozpočtu výdajů Olomouckého kraje k 31.12.2012&amp;R&amp;"Arial,Kurzíva"Strana &amp;P (Celkem 484)
</oddFooter>
  </headerFooter>
  <rowBreaks count="1" manualBreakCount="1">
    <brk id="133" max="7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191"/>
  <sheetViews>
    <sheetView showGridLines="0" view="pageBreakPreview" topLeftCell="A66" zoomScaleNormal="100" zoomScaleSheetLayoutView="100" workbookViewId="0">
      <selection activeCell="C3" sqref="C3:C4"/>
    </sheetView>
  </sheetViews>
  <sheetFormatPr defaultRowHeight="12.75" x14ac:dyDescent="0.2"/>
  <cols>
    <col min="1" max="1" width="5.28515625" style="2130" customWidth="1"/>
    <col min="2" max="2" width="6.7109375" style="2130" customWidth="1"/>
    <col min="3" max="3" width="9.5703125" style="2130" customWidth="1"/>
    <col min="4" max="4" width="46.42578125" style="2131" customWidth="1"/>
    <col min="5" max="5" width="12.85546875" style="2165" customWidth="1"/>
    <col min="6" max="6" width="15.5703125" style="2165" customWidth="1"/>
    <col min="7" max="7" width="15.85546875" style="2165" customWidth="1"/>
    <col min="8" max="8" width="9.85546875" style="2131" customWidth="1"/>
    <col min="9" max="9" width="14.28515625" style="2131" bestFit="1" customWidth="1"/>
    <col min="10" max="12" width="14.7109375" style="2131" bestFit="1" customWidth="1"/>
    <col min="13" max="256" width="9.140625" style="2131"/>
    <col min="257" max="257" width="5.28515625" style="2131" customWidth="1"/>
    <col min="258" max="258" width="6.7109375" style="2131" customWidth="1"/>
    <col min="259" max="259" width="9.5703125" style="2131" customWidth="1"/>
    <col min="260" max="260" width="46.42578125" style="2131" customWidth="1"/>
    <col min="261" max="261" width="12.85546875" style="2131" customWidth="1"/>
    <col min="262" max="262" width="15.5703125" style="2131" customWidth="1"/>
    <col min="263" max="263" width="15.85546875" style="2131" customWidth="1"/>
    <col min="264" max="264" width="6.42578125" style="2131" customWidth="1"/>
    <col min="265" max="265" width="14.28515625" style="2131" bestFit="1" customWidth="1"/>
    <col min="266" max="268" width="14.7109375" style="2131" bestFit="1" customWidth="1"/>
    <col min="269" max="512" width="9.140625" style="2131"/>
    <col min="513" max="513" width="5.28515625" style="2131" customWidth="1"/>
    <col min="514" max="514" width="6.7109375" style="2131" customWidth="1"/>
    <col min="515" max="515" width="9.5703125" style="2131" customWidth="1"/>
    <col min="516" max="516" width="46.42578125" style="2131" customWidth="1"/>
    <col min="517" max="517" width="12.85546875" style="2131" customWidth="1"/>
    <col min="518" max="518" width="15.5703125" style="2131" customWidth="1"/>
    <col min="519" max="519" width="15.85546875" style="2131" customWidth="1"/>
    <col min="520" max="520" width="6.42578125" style="2131" customWidth="1"/>
    <col min="521" max="521" width="14.28515625" style="2131" bestFit="1" customWidth="1"/>
    <col min="522" max="524" width="14.7109375" style="2131" bestFit="1" customWidth="1"/>
    <col min="525" max="768" width="9.140625" style="2131"/>
    <col min="769" max="769" width="5.28515625" style="2131" customWidth="1"/>
    <col min="770" max="770" width="6.7109375" style="2131" customWidth="1"/>
    <col min="771" max="771" width="9.5703125" style="2131" customWidth="1"/>
    <col min="772" max="772" width="46.42578125" style="2131" customWidth="1"/>
    <col min="773" max="773" width="12.85546875" style="2131" customWidth="1"/>
    <col min="774" max="774" width="15.5703125" style="2131" customWidth="1"/>
    <col min="775" max="775" width="15.85546875" style="2131" customWidth="1"/>
    <col min="776" max="776" width="6.42578125" style="2131" customWidth="1"/>
    <col min="777" max="777" width="14.28515625" style="2131" bestFit="1" customWidth="1"/>
    <col min="778" max="780" width="14.7109375" style="2131" bestFit="1" customWidth="1"/>
    <col min="781" max="1024" width="9.140625" style="2131"/>
    <col min="1025" max="1025" width="5.28515625" style="2131" customWidth="1"/>
    <col min="1026" max="1026" width="6.7109375" style="2131" customWidth="1"/>
    <col min="1027" max="1027" width="9.5703125" style="2131" customWidth="1"/>
    <col min="1028" max="1028" width="46.42578125" style="2131" customWidth="1"/>
    <col min="1029" max="1029" width="12.85546875" style="2131" customWidth="1"/>
    <col min="1030" max="1030" width="15.5703125" style="2131" customWidth="1"/>
    <col min="1031" max="1031" width="15.85546875" style="2131" customWidth="1"/>
    <col min="1032" max="1032" width="6.42578125" style="2131" customWidth="1"/>
    <col min="1033" max="1033" width="14.28515625" style="2131" bestFit="1" customWidth="1"/>
    <col min="1034" max="1036" width="14.7109375" style="2131" bestFit="1" customWidth="1"/>
    <col min="1037" max="1280" width="9.140625" style="2131"/>
    <col min="1281" max="1281" width="5.28515625" style="2131" customWidth="1"/>
    <col min="1282" max="1282" width="6.7109375" style="2131" customWidth="1"/>
    <col min="1283" max="1283" width="9.5703125" style="2131" customWidth="1"/>
    <col min="1284" max="1284" width="46.42578125" style="2131" customWidth="1"/>
    <col min="1285" max="1285" width="12.85546875" style="2131" customWidth="1"/>
    <col min="1286" max="1286" width="15.5703125" style="2131" customWidth="1"/>
    <col min="1287" max="1287" width="15.85546875" style="2131" customWidth="1"/>
    <col min="1288" max="1288" width="6.42578125" style="2131" customWidth="1"/>
    <col min="1289" max="1289" width="14.28515625" style="2131" bestFit="1" customWidth="1"/>
    <col min="1290" max="1292" width="14.7109375" style="2131" bestFit="1" customWidth="1"/>
    <col min="1293" max="1536" width="9.140625" style="2131"/>
    <col min="1537" max="1537" width="5.28515625" style="2131" customWidth="1"/>
    <col min="1538" max="1538" width="6.7109375" style="2131" customWidth="1"/>
    <col min="1539" max="1539" width="9.5703125" style="2131" customWidth="1"/>
    <col min="1540" max="1540" width="46.42578125" style="2131" customWidth="1"/>
    <col min="1541" max="1541" width="12.85546875" style="2131" customWidth="1"/>
    <col min="1542" max="1542" width="15.5703125" style="2131" customWidth="1"/>
    <col min="1543" max="1543" width="15.85546875" style="2131" customWidth="1"/>
    <col min="1544" max="1544" width="6.42578125" style="2131" customWidth="1"/>
    <col min="1545" max="1545" width="14.28515625" style="2131" bestFit="1" customWidth="1"/>
    <col min="1546" max="1548" width="14.7109375" style="2131" bestFit="1" customWidth="1"/>
    <col min="1549" max="1792" width="9.140625" style="2131"/>
    <col min="1793" max="1793" width="5.28515625" style="2131" customWidth="1"/>
    <col min="1794" max="1794" width="6.7109375" style="2131" customWidth="1"/>
    <col min="1795" max="1795" width="9.5703125" style="2131" customWidth="1"/>
    <col min="1796" max="1796" width="46.42578125" style="2131" customWidth="1"/>
    <col min="1797" max="1797" width="12.85546875" style="2131" customWidth="1"/>
    <col min="1798" max="1798" width="15.5703125" style="2131" customWidth="1"/>
    <col min="1799" max="1799" width="15.85546875" style="2131" customWidth="1"/>
    <col min="1800" max="1800" width="6.42578125" style="2131" customWidth="1"/>
    <col min="1801" max="1801" width="14.28515625" style="2131" bestFit="1" customWidth="1"/>
    <col min="1802" max="1804" width="14.7109375" style="2131" bestFit="1" customWidth="1"/>
    <col min="1805" max="2048" width="9.140625" style="2131"/>
    <col min="2049" max="2049" width="5.28515625" style="2131" customWidth="1"/>
    <col min="2050" max="2050" width="6.7109375" style="2131" customWidth="1"/>
    <col min="2051" max="2051" width="9.5703125" style="2131" customWidth="1"/>
    <col min="2052" max="2052" width="46.42578125" style="2131" customWidth="1"/>
    <col min="2053" max="2053" width="12.85546875" style="2131" customWidth="1"/>
    <col min="2054" max="2054" width="15.5703125" style="2131" customWidth="1"/>
    <col min="2055" max="2055" width="15.85546875" style="2131" customWidth="1"/>
    <col min="2056" max="2056" width="6.42578125" style="2131" customWidth="1"/>
    <col min="2057" max="2057" width="14.28515625" style="2131" bestFit="1" customWidth="1"/>
    <col min="2058" max="2060" width="14.7109375" style="2131" bestFit="1" customWidth="1"/>
    <col min="2061" max="2304" width="9.140625" style="2131"/>
    <col min="2305" max="2305" width="5.28515625" style="2131" customWidth="1"/>
    <col min="2306" max="2306" width="6.7109375" style="2131" customWidth="1"/>
    <col min="2307" max="2307" width="9.5703125" style="2131" customWidth="1"/>
    <col min="2308" max="2308" width="46.42578125" style="2131" customWidth="1"/>
    <col min="2309" max="2309" width="12.85546875" style="2131" customWidth="1"/>
    <col min="2310" max="2310" width="15.5703125" style="2131" customWidth="1"/>
    <col min="2311" max="2311" width="15.85546875" style="2131" customWidth="1"/>
    <col min="2312" max="2312" width="6.42578125" style="2131" customWidth="1"/>
    <col min="2313" max="2313" width="14.28515625" style="2131" bestFit="1" customWidth="1"/>
    <col min="2314" max="2316" width="14.7109375" style="2131" bestFit="1" customWidth="1"/>
    <col min="2317" max="2560" width="9.140625" style="2131"/>
    <col min="2561" max="2561" width="5.28515625" style="2131" customWidth="1"/>
    <col min="2562" max="2562" width="6.7109375" style="2131" customWidth="1"/>
    <col min="2563" max="2563" width="9.5703125" style="2131" customWidth="1"/>
    <col min="2564" max="2564" width="46.42578125" style="2131" customWidth="1"/>
    <col min="2565" max="2565" width="12.85546875" style="2131" customWidth="1"/>
    <col min="2566" max="2566" width="15.5703125" style="2131" customWidth="1"/>
    <col min="2567" max="2567" width="15.85546875" style="2131" customWidth="1"/>
    <col min="2568" max="2568" width="6.42578125" style="2131" customWidth="1"/>
    <col min="2569" max="2569" width="14.28515625" style="2131" bestFit="1" customWidth="1"/>
    <col min="2570" max="2572" width="14.7109375" style="2131" bestFit="1" customWidth="1"/>
    <col min="2573" max="2816" width="9.140625" style="2131"/>
    <col min="2817" max="2817" width="5.28515625" style="2131" customWidth="1"/>
    <col min="2818" max="2818" width="6.7109375" style="2131" customWidth="1"/>
    <col min="2819" max="2819" width="9.5703125" style="2131" customWidth="1"/>
    <col min="2820" max="2820" width="46.42578125" style="2131" customWidth="1"/>
    <col min="2821" max="2821" width="12.85546875" style="2131" customWidth="1"/>
    <col min="2822" max="2822" width="15.5703125" style="2131" customWidth="1"/>
    <col min="2823" max="2823" width="15.85546875" style="2131" customWidth="1"/>
    <col min="2824" max="2824" width="6.42578125" style="2131" customWidth="1"/>
    <col min="2825" max="2825" width="14.28515625" style="2131" bestFit="1" customWidth="1"/>
    <col min="2826" max="2828" width="14.7109375" style="2131" bestFit="1" customWidth="1"/>
    <col min="2829" max="3072" width="9.140625" style="2131"/>
    <col min="3073" max="3073" width="5.28515625" style="2131" customWidth="1"/>
    <col min="3074" max="3074" width="6.7109375" style="2131" customWidth="1"/>
    <col min="3075" max="3075" width="9.5703125" style="2131" customWidth="1"/>
    <col min="3076" max="3076" width="46.42578125" style="2131" customWidth="1"/>
    <col min="3077" max="3077" width="12.85546875" style="2131" customWidth="1"/>
    <col min="3078" max="3078" width="15.5703125" style="2131" customWidth="1"/>
    <col min="3079" max="3079" width="15.85546875" style="2131" customWidth="1"/>
    <col min="3080" max="3080" width="6.42578125" style="2131" customWidth="1"/>
    <col min="3081" max="3081" width="14.28515625" style="2131" bestFit="1" customWidth="1"/>
    <col min="3082" max="3084" width="14.7109375" style="2131" bestFit="1" customWidth="1"/>
    <col min="3085" max="3328" width="9.140625" style="2131"/>
    <col min="3329" max="3329" width="5.28515625" style="2131" customWidth="1"/>
    <col min="3330" max="3330" width="6.7109375" style="2131" customWidth="1"/>
    <col min="3331" max="3331" width="9.5703125" style="2131" customWidth="1"/>
    <col min="3332" max="3332" width="46.42578125" style="2131" customWidth="1"/>
    <col min="3333" max="3333" width="12.85546875" style="2131" customWidth="1"/>
    <col min="3334" max="3334" width="15.5703125" style="2131" customWidth="1"/>
    <col min="3335" max="3335" width="15.85546875" style="2131" customWidth="1"/>
    <col min="3336" max="3336" width="6.42578125" style="2131" customWidth="1"/>
    <col min="3337" max="3337" width="14.28515625" style="2131" bestFit="1" customWidth="1"/>
    <col min="3338" max="3340" width="14.7109375" style="2131" bestFit="1" customWidth="1"/>
    <col min="3341" max="3584" width="9.140625" style="2131"/>
    <col min="3585" max="3585" width="5.28515625" style="2131" customWidth="1"/>
    <col min="3586" max="3586" width="6.7109375" style="2131" customWidth="1"/>
    <col min="3587" max="3587" width="9.5703125" style="2131" customWidth="1"/>
    <col min="3588" max="3588" width="46.42578125" style="2131" customWidth="1"/>
    <col min="3589" max="3589" width="12.85546875" style="2131" customWidth="1"/>
    <col min="3590" max="3590" width="15.5703125" style="2131" customWidth="1"/>
    <col min="3591" max="3591" width="15.85546875" style="2131" customWidth="1"/>
    <col min="3592" max="3592" width="6.42578125" style="2131" customWidth="1"/>
    <col min="3593" max="3593" width="14.28515625" style="2131" bestFit="1" customWidth="1"/>
    <col min="3594" max="3596" width="14.7109375" style="2131" bestFit="1" customWidth="1"/>
    <col min="3597" max="3840" width="9.140625" style="2131"/>
    <col min="3841" max="3841" width="5.28515625" style="2131" customWidth="1"/>
    <col min="3842" max="3842" width="6.7109375" style="2131" customWidth="1"/>
    <col min="3843" max="3843" width="9.5703125" style="2131" customWidth="1"/>
    <col min="3844" max="3844" width="46.42578125" style="2131" customWidth="1"/>
    <col min="3845" max="3845" width="12.85546875" style="2131" customWidth="1"/>
    <col min="3846" max="3846" width="15.5703125" style="2131" customWidth="1"/>
    <col min="3847" max="3847" width="15.85546875" style="2131" customWidth="1"/>
    <col min="3848" max="3848" width="6.42578125" style="2131" customWidth="1"/>
    <col min="3849" max="3849" width="14.28515625" style="2131" bestFit="1" customWidth="1"/>
    <col min="3850" max="3852" width="14.7109375" style="2131" bestFit="1" customWidth="1"/>
    <col min="3853" max="4096" width="9.140625" style="2131"/>
    <col min="4097" max="4097" width="5.28515625" style="2131" customWidth="1"/>
    <col min="4098" max="4098" width="6.7109375" style="2131" customWidth="1"/>
    <col min="4099" max="4099" width="9.5703125" style="2131" customWidth="1"/>
    <col min="4100" max="4100" width="46.42578125" style="2131" customWidth="1"/>
    <col min="4101" max="4101" width="12.85546875" style="2131" customWidth="1"/>
    <col min="4102" max="4102" width="15.5703125" style="2131" customWidth="1"/>
    <col min="4103" max="4103" width="15.85546875" style="2131" customWidth="1"/>
    <col min="4104" max="4104" width="6.42578125" style="2131" customWidth="1"/>
    <col min="4105" max="4105" width="14.28515625" style="2131" bestFit="1" customWidth="1"/>
    <col min="4106" max="4108" width="14.7109375" style="2131" bestFit="1" customWidth="1"/>
    <col min="4109" max="4352" width="9.140625" style="2131"/>
    <col min="4353" max="4353" width="5.28515625" style="2131" customWidth="1"/>
    <col min="4354" max="4354" width="6.7109375" style="2131" customWidth="1"/>
    <col min="4355" max="4355" width="9.5703125" style="2131" customWidth="1"/>
    <col min="4356" max="4356" width="46.42578125" style="2131" customWidth="1"/>
    <col min="4357" max="4357" width="12.85546875" style="2131" customWidth="1"/>
    <col min="4358" max="4358" width="15.5703125" style="2131" customWidth="1"/>
    <col min="4359" max="4359" width="15.85546875" style="2131" customWidth="1"/>
    <col min="4360" max="4360" width="6.42578125" style="2131" customWidth="1"/>
    <col min="4361" max="4361" width="14.28515625" style="2131" bestFit="1" customWidth="1"/>
    <col min="4362" max="4364" width="14.7109375" style="2131" bestFit="1" customWidth="1"/>
    <col min="4365" max="4608" width="9.140625" style="2131"/>
    <col min="4609" max="4609" width="5.28515625" style="2131" customWidth="1"/>
    <col min="4610" max="4610" width="6.7109375" style="2131" customWidth="1"/>
    <col min="4611" max="4611" width="9.5703125" style="2131" customWidth="1"/>
    <col min="4612" max="4612" width="46.42578125" style="2131" customWidth="1"/>
    <col min="4613" max="4613" width="12.85546875" style="2131" customWidth="1"/>
    <col min="4614" max="4614" width="15.5703125" style="2131" customWidth="1"/>
    <col min="4615" max="4615" width="15.85546875" style="2131" customWidth="1"/>
    <col min="4616" max="4616" width="6.42578125" style="2131" customWidth="1"/>
    <col min="4617" max="4617" width="14.28515625" style="2131" bestFit="1" customWidth="1"/>
    <col min="4618" max="4620" width="14.7109375" style="2131" bestFit="1" customWidth="1"/>
    <col min="4621" max="4864" width="9.140625" style="2131"/>
    <col min="4865" max="4865" width="5.28515625" style="2131" customWidth="1"/>
    <col min="4866" max="4866" width="6.7109375" style="2131" customWidth="1"/>
    <col min="4867" max="4867" width="9.5703125" style="2131" customWidth="1"/>
    <col min="4868" max="4868" width="46.42578125" style="2131" customWidth="1"/>
    <col min="4869" max="4869" width="12.85546875" style="2131" customWidth="1"/>
    <col min="4870" max="4870" width="15.5703125" style="2131" customWidth="1"/>
    <col min="4871" max="4871" width="15.85546875" style="2131" customWidth="1"/>
    <col min="4872" max="4872" width="6.42578125" style="2131" customWidth="1"/>
    <col min="4873" max="4873" width="14.28515625" style="2131" bestFit="1" customWidth="1"/>
    <col min="4874" max="4876" width="14.7109375" style="2131" bestFit="1" customWidth="1"/>
    <col min="4877" max="5120" width="9.140625" style="2131"/>
    <col min="5121" max="5121" width="5.28515625" style="2131" customWidth="1"/>
    <col min="5122" max="5122" width="6.7109375" style="2131" customWidth="1"/>
    <col min="5123" max="5123" width="9.5703125" style="2131" customWidth="1"/>
    <col min="5124" max="5124" width="46.42578125" style="2131" customWidth="1"/>
    <col min="5125" max="5125" width="12.85546875" style="2131" customWidth="1"/>
    <col min="5126" max="5126" width="15.5703125" style="2131" customWidth="1"/>
    <col min="5127" max="5127" width="15.85546875" style="2131" customWidth="1"/>
    <col min="5128" max="5128" width="6.42578125" style="2131" customWidth="1"/>
    <col min="5129" max="5129" width="14.28515625" style="2131" bestFit="1" customWidth="1"/>
    <col min="5130" max="5132" width="14.7109375" style="2131" bestFit="1" customWidth="1"/>
    <col min="5133" max="5376" width="9.140625" style="2131"/>
    <col min="5377" max="5377" width="5.28515625" style="2131" customWidth="1"/>
    <col min="5378" max="5378" width="6.7109375" style="2131" customWidth="1"/>
    <col min="5379" max="5379" width="9.5703125" style="2131" customWidth="1"/>
    <col min="5380" max="5380" width="46.42578125" style="2131" customWidth="1"/>
    <col min="5381" max="5381" width="12.85546875" style="2131" customWidth="1"/>
    <col min="5382" max="5382" width="15.5703125" style="2131" customWidth="1"/>
    <col min="5383" max="5383" width="15.85546875" style="2131" customWidth="1"/>
    <col min="5384" max="5384" width="6.42578125" style="2131" customWidth="1"/>
    <col min="5385" max="5385" width="14.28515625" style="2131" bestFit="1" customWidth="1"/>
    <col min="5386" max="5388" width="14.7109375" style="2131" bestFit="1" customWidth="1"/>
    <col min="5389" max="5632" width="9.140625" style="2131"/>
    <col min="5633" max="5633" width="5.28515625" style="2131" customWidth="1"/>
    <col min="5634" max="5634" width="6.7109375" style="2131" customWidth="1"/>
    <col min="5635" max="5635" width="9.5703125" style="2131" customWidth="1"/>
    <col min="5636" max="5636" width="46.42578125" style="2131" customWidth="1"/>
    <col min="5637" max="5637" width="12.85546875" style="2131" customWidth="1"/>
    <col min="5638" max="5638" width="15.5703125" style="2131" customWidth="1"/>
    <col min="5639" max="5639" width="15.85546875" style="2131" customWidth="1"/>
    <col min="5640" max="5640" width="6.42578125" style="2131" customWidth="1"/>
    <col min="5641" max="5641" width="14.28515625" style="2131" bestFit="1" customWidth="1"/>
    <col min="5642" max="5644" width="14.7109375" style="2131" bestFit="1" customWidth="1"/>
    <col min="5645" max="5888" width="9.140625" style="2131"/>
    <col min="5889" max="5889" width="5.28515625" style="2131" customWidth="1"/>
    <col min="5890" max="5890" width="6.7109375" style="2131" customWidth="1"/>
    <col min="5891" max="5891" width="9.5703125" style="2131" customWidth="1"/>
    <col min="5892" max="5892" width="46.42578125" style="2131" customWidth="1"/>
    <col min="5893" max="5893" width="12.85546875" style="2131" customWidth="1"/>
    <col min="5894" max="5894" width="15.5703125" style="2131" customWidth="1"/>
    <col min="5895" max="5895" width="15.85546875" style="2131" customWidth="1"/>
    <col min="5896" max="5896" width="6.42578125" style="2131" customWidth="1"/>
    <col min="5897" max="5897" width="14.28515625" style="2131" bestFit="1" customWidth="1"/>
    <col min="5898" max="5900" width="14.7109375" style="2131" bestFit="1" customWidth="1"/>
    <col min="5901" max="6144" width="9.140625" style="2131"/>
    <col min="6145" max="6145" width="5.28515625" style="2131" customWidth="1"/>
    <col min="6146" max="6146" width="6.7109375" style="2131" customWidth="1"/>
    <col min="6147" max="6147" width="9.5703125" style="2131" customWidth="1"/>
    <col min="6148" max="6148" width="46.42578125" style="2131" customWidth="1"/>
    <col min="6149" max="6149" width="12.85546875" style="2131" customWidth="1"/>
    <col min="6150" max="6150" width="15.5703125" style="2131" customWidth="1"/>
    <col min="6151" max="6151" width="15.85546875" style="2131" customWidth="1"/>
    <col min="6152" max="6152" width="6.42578125" style="2131" customWidth="1"/>
    <col min="6153" max="6153" width="14.28515625" style="2131" bestFit="1" customWidth="1"/>
    <col min="6154" max="6156" width="14.7109375" style="2131" bestFit="1" customWidth="1"/>
    <col min="6157" max="6400" width="9.140625" style="2131"/>
    <col min="6401" max="6401" width="5.28515625" style="2131" customWidth="1"/>
    <col min="6402" max="6402" width="6.7109375" style="2131" customWidth="1"/>
    <col min="6403" max="6403" width="9.5703125" style="2131" customWidth="1"/>
    <col min="6404" max="6404" width="46.42578125" style="2131" customWidth="1"/>
    <col min="6405" max="6405" width="12.85546875" style="2131" customWidth="1"/>
    <col min="6406" max="6406" width="15.5703125" style="2131" customWidth="1"/>
    <col min="6407" max="6407" width="15.85546875" style="2131" customWidth="1"/>
    <col min="6408" max="6408" width="6.42578125" style="2131" customWidth="1"/>
    <col min="6409" max="6409" width="14.28515625" style="2131" bestFit="1" customWidth="1"/>
    <col min="6410" max="6412" width="14.7109375" style="2131" bestFit="1" customWidth="1"/>
    <col min="6413" max="6656" width="9.140625" style="2131"/>
    <col min="6657" max="6657" width="5.28515625" style="2131" customWidth="1"/>
    <col min="6658" max="6658" width="6.7109375" style="2131" customWidth="1"/>
    <col min="6659" max="6659" width="9.5703125" style="2131" customWidth="1"/>
    <col min="6660" max="6660" width="46.42578125" style="2131" customWidth="1"/>
    <col min="6661" max="6661" width="12.85546875" style="2131" customWidth="1"/>
    <col min="6662" max="6662" width="15.5703125" style="2131" customWidth="1"/>
    <col min="6663" max="6663" width="15.85546875" style="2131" customWidth="1"/>
    <col min="6664" max="6664" width="6.42578125" style="2131" customWidth="1"/>
    <col min="6665" max="6665" width="14.28515625" style="2131" bestFit="1" customWidth="1"/>
    <col min="6666" max="6668" width="14.7109375" style="2131" bestFit="1" customWidth="1"/>
    <col min="6669" max="6912" width="9.140625" style="2131"/>
    <col min="6913" max="6913" width="5.28515625" style="2131" customWidth="1"/>
    <col min="6914" max="6914" width="6.7109375" style="2131" customWidth="1"/>
    <col min="6915" max="6915" width="9.5703125" style="2131" customWidth="1"/>
    <col min="6916" max="6916" width="46.42578125" style="2131" customWidth="1"/>
    <col min="6917" max="6917" width="12.85546875" style="2131" customWidth="1"/>
    <col min="6918" max="6918" width="15.5703125" style="2131" customWidth="1"/>
    <col min="6919" max="6919" width="15.85546875" style="2131" customWidth="1"/>
    <col min="6920" max="6920" width="6.42578125" style="2131" customWidth="1"/>
    <col min="6921" max="6921" width="14.28515625" style="2131" bestFit="1" customWidth="1"/>
    <col min="6922" max="6924" width="14.7109375" style="2131" bestFit="1" customWidth="1"/>
    <col min="6925" max="7168" width="9.140625" style="2131"/>
    <col min="7169" max="7169" width="5.28515625" style="2131" customWidth="1"/>
    <col min="7170" max="7170" width="6.7109375" style="2131" customWidth="1"/>
    <col min="7171" max="7171" width="9.5703125" style="2131" customWidth="1"/>
    <col min="7172" max="7172" width="46.42578125" style="2131" customWidth="1"/>
    <col min="7173" max="7173" width="12.85546875" style="2131" customWidth="1"/>
    <col min="7174" max="7174" width="15.5703125" style="2131" customWidth="1"/>
    <col min="7175" max="7175" width="15.85546875" style="2131" customWidth="1"/>
    <col min="7176" max="7176" width="6.42578125" style="2131" customWidth="1"/>
    <col min="7177" max="7177" width="14.28515625" style="2131" bestFit="1" customWidth="1"/>
    <col min="7178" max="7180" width="14.7109375" style="2131" bestFit="1" customWidth="1"/>
    <col min="7181" max="7424" width="9.140625" style="2131"/>
    <col min="7425" max="7425" width="5.28515625" style="2131" customWidth="1"/>
    <col min="7426" max="7426" width="6.7109375" style="2131" customWidth="1"/>
    <col min="7427" max="7427" width="9.5703125" style="2131" customWidth="1"/>
    <col min="7428" max="7428" width="46.42578125" style="2131" customWidth="1"/>
    <col min="7429" max="7429" width="12.85546875" style="2131" customWidth="1"/>
    <col min="7430" max="7430" width="15.5703125" style="2131" customWidth="1"/>
    <col min="7431" max="7431" width="15.85546875" style="2131" customWidth="1"/>
    <col min="7432" max="7432" width="6.42578125" style="2131" customWidth="1"/>
    <col min="7433" max="7433" width="14.28515625" style="2131" bestFit="1" customWidth="1"/>
    <col min="7434" max="7436" width="14.7109375" style="2131" bestFit="1" customWidth="1"/>
    <col min="7437" max="7680" width="9.140625" style="2131"/>
    <col min="7681" max="7681" width="5.28515625" style="2131" customWidth="1"/>
    <col min="7682" max="7682" width="6.7109375" style="2131" customWidth="1"/>
    <col min="7683" max="7683" width="9.5703125" style="2131" customWidth="1"/>
    <col min="7684" max="7684" width="46.42578125" style="2131" customWidth="1"/>
    <col min="7685" max="7685" width="12.85546875" style="2131" customWidth="1"/>
    <col min="7686" max="7686" width="15.5703125" style="2131" customWidth="1"/>
    <col min="7687" max="7687" width="15.85546875" style="2131" customWidth="1"/>
    <col min="7688" max="7688" width="6.42578125" style="2131" customWidth="1"/>
    <col min="7689" max="7689" width="14.28515625" style="2131" bestFit="1" customWidth="1"/>
    <col min="7690" max="7692" width="14.7109375" style="2131" bestFit="1" customWidth="1"/>
    <col min="7693" max="7936" width="9.140625" style="2131"/>
    <col min="7937" max="7937" width="5.28515625" style="2131" customWidth="1"/>
    <col min="7938" max="7938" width="6.7109375" style="2131" customWidth="1"/>
    <col min="7939" max="7939" width="9.5703125" style="2131" customWidth="1"/>
    <col min="7940" max="7940" width="46.42578125" style="2131" customWidth="1"/>
    <col min="7941" max="7941" width="12.85546875" style="2131" customWidth="1"/>
    <col min="7942" max="7942" width="15.5703125" style="2131" customWidth="1"/>
    <col min="7943" max="7943" width="15.85546875" style="2131" customWidth="1"/>
    <col min="7944" max="7944" width="6.42578125" style="2131" customWidth="1"/>
    <col min="7945" max="7945" width="14.28515625" style="2131" bestFit="1" customWidth="1"/>
    <col min="7946" max="7948" width="14.7109375" style="2131" bestFit="1" customWidth="1"/>
    <col min="7949" max="8192" width="9.140625" style="2131"/>
    <col min="8193" max="8193" width="5.28515625" style="2131" customWidth="1"/>
    <col min="8194" max="8194" width="6.7109375" style="2131" customWidth="1"/>
    <col min="8195" max="8195" width="9.5703125" style="2131" customWidth="1"/>
    <col min="8196" max="8196" width="46.42578125" style="2131" customWidth="1"/>
    <col min="8197" max="8197" width="12.85546875" style="2131" customWidth="1"/>
    <col min="8198" max="8198" width="15.5703125" style="2131" customWidth="1"/>
    <col min="8199" max="8199" width="15.85546875" style="2131" customWidth="1"/>
    <col min="8200" max="8200" width="6.42578125" style="2131" customWidth="1"/>
    <col min="8201" max="8201" width="14.28515625" style="2131" bestFit="1" customWidth="1"/>
    <col min="8202" max="8204" width="14.7109375" style="2131" bestFit="1" customWidth="1"/>
    <col min="8205" max="8448" width="9.140625" style="2131"/>
    <col min="8449" max="8449" width="5.28515625" style="2131" customWidth="1"/>
    <col min="8450" max="8450" width="6.7109375" style="2131" customWidth="1"/>
    <col min="8451" max="8451" width="9.5703125" style="2131" customWidth="1"/>
    <col min="8452" max="8452" width="46.42578125" style="2131" customWidth="1"/>
    <col min="8453" max="8453" width="12.85546875" style="2131" customWidth="1"/>
    <col min="8454" max="8454" width="15.5703125" style="2131" customWidth="1"/>
    <col min="8455" max="8455" width="15.85546875" style="2131" customWidth="1"/>
    <col min="8456" max="8456" width="6.42578125" style="2131" customWidth="1"/>
    <col min="8457" max="8457" width="14.28515625" style="2131" bestFit="1" customWidth="1"/>
    <col min="8458" max="8460" width="14.7109375" style="2131" bestFit="1" customWidth="1"/>
    <col min="8461" max="8704" width="9.140625" style="2131"/>
    <col min="8705" max="8705" width="5.28515625" style="2131" customWidth="1"/>
    <col min="8706" max="8706" width="6.7109375" style="2131" customWidth="1"/>
    <col min="8707" max="8707" width="9.5703125" style="2131" customWidth="1"/>
    <col min="8708" max="8708" width="46.42578125" style="2131" customWidth="1"/>
    <col min="8709" max="8709" width="12.85546875" style="2131" customWidth="1"/>
    <col min="8710" max="8710" width="15.5703125" style="2131" customWidth="1"/>
    <col min="8711" max="8711" width="15.85546875" style="2131" customWidth="1"/>
    <col min="8712" max="8712" width="6.42578125" style="2131" customWidth="1"/>
    <col min="8713" max="8713" width="14.28515625" style="2131" bestFit="1" customWidth="1"/>
    <col min="8714" max="8716" width="14.7109375" style="2131" bestFit="1" customWidth="1"/>
    <col min="8717" max="8960" width="9.140625" style="2131"/>
    <col min="8961" max="8961" width="5.28515625" style="2131" customWidth="1"/>
    <col min="8962" max="8962" width="6.7109375" style="2131" customWidth="1"/>
    <col min="8963" max="8963" width="9.5703125" style="2131" customWidth="1"/>
    <col min="8964" max="8964" width="46.42578125" style="2131" customWidth="1"/>
    <col min="8965" max="8965" width="12.85546875" style="2131" customWidth="1"/>
    <col min="8966" max="8966" width="15.5703125" style="2131" customWidth="1"/>
    <col min="8967" max="8967" width="15.85546875" style="2131" customWidth="1"/>
    <col min="8968" max="8968" width="6.42578125" style="2131" customWidth="1"/>
    <col min="8969" max="8969" width="14.28515625" style="2131" bestFit="1" customWidth="1"/>
    <col min="8970" max="8972" width="14.7109375" style="2131" bestFit="1" customWidth="1"/>
    <col min="8973" max="9216" width="9.140625" style="2131"/>
    <col min="9217" max="9217" width="5.28515625" style="2131" customWidth="1"/>
    <col min="9218" max="9218" width="6.7109375" style="2131" customWidth="1"/>
    <col min="9219" max="9219" width="9.5703125" style="2131" customWidth="1"/>
    <col min="9220" max="9220" width="46.42578125" style="2131" customWidth="1"/>
    <col min="9221" max="9221" width="12.85546875" style="2131" customWidth="1"/>
    <col min="9222" max="9222" width="15.5703125" style="2131" customWidth="1"/>
    <col min="9223" max="9223" width="15.85546875" style="2131" customWidth="1"/>
    <col min="9224" max="9224" width="6.42578125" style="2131" customWidth="1"/>
    <col min="9225" max="9225" width="14.28515625" style="2131" bestFit="1" customWidth="1"/>
    <col min="9226" max="9228" width="14.7109375" style="2131" bestFit="1" customWidth="1"/>
    <col min="9229" max="9472" width="9.140625" style="2131"/>
    <col min="9473" max="9473" width="5.28515625" style="2131" customWidth="1"/>
    <col min="9474" max="9474" width="6.7109375" style="2131" customWidth="1"/>
    <col min="9475" max="9475" width="9.5703125" style="2131" customWidth="1"/>
    <col min="9476" max="9476" width="46.42578125" style="2131" customWidth="1"/>
    <col min="9477" max="9477" width="12.85546875" style="2131" customWidth="1"/>
    <col min="9478" max="9478" width="15.5703125" style="2131" customWidth="1"/>
    <col min="9479" max="9479" width="15.85546875" style="2131" customWidth="1"/>
    <col min="9480" max="9480" width="6.42578125" style="2131" customWidth="1"/>
    <col min="9481" max="9481" width="14.28515625" style="2131" bestFit="1" customWidth="1"/>
    <col min="9482" max="9484" width="14.7109375" style="2131" bestFit="1" customWidth="1"/>
    <col min="9485" max="9728" width="9.140625" style="2131"/>
    <col min="9729" max="9729" width="5.28515625" style="2131" customWidth="1"/>
    <col min="9730" max="9730" width="6.7109375" style="2131" customWidth="1"/>
    <col min="9731" max="9731" width="9.5703125" style="2131" customWidth="1"/>
    <col min="9732" max="9732" width="46.42578125" style="2131" customWidth="1"/>
    <col min="9733" max="9733" width="12.85546875" style="2131" customWidth="1"/>
    <col min="9734" max="9734" width="15.5703125" style="2131" customWidth="1"/>
    <col min="9735" max="9735" width="15.85546875" style="2131" customWidth="1"/>
    <col min="9736" max="9736" width="6.42578125" style="2131" customWidth="1"/>
    <col min="9737" max="9737" width="14.28515625" style="2131" bestFit="1" customWidth="1"/>
    <col min="9738" max="9740" width="14.7109375" style="2131" bestFit="1" customWidth="1"/>
    <col min="9741" max="9984" width="9.140625" style="2131"/>
    <col min="9985" max="9985" width="5.28515625" style="2131" customWidth="1"/>
    <col min="9986" max="9986" width="6.7109375" style="2131" customWidth="1"/>
    <col min="9987" max="9987" width="9.5703125" style="2131" customWidth="1"/>
    <col min="9988" max="9988" width="46.42578125" style="2131" customWidth="1"/>
    <col min="9989" max="9989" width="12.85546875" style="2131" customWidth="1"/>
    <col min="9990" max="9990" width="15.5703125" style="2131" customWidth="1"/>
    <col min="9991" max="9991" width="15.85546875" style="2131" customWidth="1"/>
    <col min="9992" max="9992" width="6.42578125" style="2131" customWidth="1"/>
    <col min="9993" max="9993" width="14.28515625" style="2131" bestFit="1" customWidth="1"/>
    <col min="9994" max="9996" width="14.7109375" style="2131" bestFit="1" customWidth="1"/>
    <col min="9997" max="10240" width="9.140625" style="2131"/>
    <col min="10241" max="10241" width="5.28515625" style="2131" customWidth="1"/>
    <col min="10242" max="10242" width="6.7109375" style="2131" customWidth="1"/>
    <col min="10243" max="10243" width="9.5703125" style="2131" customWidth="1"/>
    <col min="10244" max="10244" width="46.42578125" style="2131" customWidth="1"/>
    <col min="10245" max="10245" width="12.85546875" style="2131" customWidth="1"/>
    <col min="10246" max="10246" width="15.5703125" style="2131" customWidth="1"/>
    <col min="10247" max="10247" width="15.85546875" style="2131" customWidth="1"/>
    <col min="10248" max="10248" width="6.42578125" style="2131" customWidth="1"/>
    <col min="10249" max="10249" width="14.28515625" style="2131" bestFit="1" customWidth="1"/>
    <col min="10250" max="10252" width="14.7109375" style="2131" bestFit="1" customWidth="1"/>
    <col min="10253" max="10496" width="9.140625" style="2131"/>
    <col min="10497" max="10497" width="5.28515625" style="2131" customWidth="1"/>
    <col min="10498" max="10498" width="6.7109375" style="2131" customWidth="1"/>
    <col min="10499" max="10499" width="9.5703125" style="2131" customWidth="1"/>
    <col min="10500" max="10500" width="46.42578125" style="2131" customWidth="1"/>
    <col min="10501" max="10501" width="12.85546875" style="2131" customWidth="1"/>
    <col min="10502" max="10502" width="15.5703125" style="2131" customWidth="1"/>
    <col min="10503" max="10503" width="15.85546875" style="2131" customWidth="1"/>
    <col min="10504" max="10504" width="6.42578125" style="2131" customWidth="1"/>
    <col min="10505" max="10505" width="14.28515625" style="2131" bestFit="1" customWidth="1"/>
    <col min="10506" max="10508" width="14.7109375" style="2131" bestFit="1" customWidth="1"/>
    <col min="10509" max="10752" width="9.140625" style="2131"/>
    <col min="10753" max="10753" width="5.28515625" style="2131" customWidth="1"/>
    <col min="10754" max="10754" width="6.7109375" style="2131" customWidth="1"/>
    <col min="10755" max="10755" width="9.5703125" style="2131" customWidth="1"/>
    <col min="10756" max="10756" width="46.42578125" style="2131" customWidth="1"/>
    <col min="10757" max="10757" width="12.85546875" style="2131" customWidth="1"/>
    <col min="10758" max="10758" width="15.5703125" style="2131" customWidth="1"/>
    <col min="10759" max="10759" width="15.85546875" style="2131" customWidth="1"/>
    <col min="10760" max="10760" width="6.42578125" style="2131" customWidth="1"/>
    <col min="10761" max="10761" width="14.28515625" style="2131" bestFit="1" customWidth="1"/>
    <col min="10762" max="10764" width="14.7109375" style="2131" bestFit="1" customWidth="1"/>
    <col min="10765" max="11008" width="9.140625" style="2131"/>
    <col min="11009" max="11009" width="5.28515625" style="2131" customWidth="1"/>
    <col min="11010" max="11010" width="6.7109375" style="2131" customWidth="1"/>
    <col min="11011" max="11011" width="9.5703125" style="2131" customWidth="1"/>
    <col min="11012" max="11012" width="46.42578125" style="2131" customWidth="1"/>
    <col min="11013" max="11013" width="12.85546875" style="2131" customWidth="1"/>
    <col min="11014" max="11014" width="15.5703125" style="2131" customWidth="1"/>
    <col min="11015" max="11015" width="15.85546875" style="2131" customWidth="1"/>
    <col min="11016" max="11016" width="6.42578125" style="2131" customWidth="1"/>
    <col min="11017" max="11017" width="14.28515625" style="2131" bestFit="1" customWidth="1"/>
    <col min="11018" max="11020" width="14.7109375" style="2131" bestFit="1" customWidth="1"/>
    <col min="11021" max="11264" width="9.140625" style="2131"/>
    <col min="11265" max="11265" width="5.28515625" style="2131" customWidth="1"/>
    <col min="11266" max="11266" width="6.7109375" style="2131" customWidth="1"/>
    <col min="11267" max="11267" width="9.5703125" style="2131" customWidth="1"/>
    <col min="11268" max="11268" width="46.42578125" style="2131" customWidth="1"/>
    <col min="11269" max="11269" width="12.85546875" style="2131" customWidth="1"/>
    <col min="11270" max="11270" width="15.5703125" style="2131" customWidth="1"/>
    <col min="11271" max="11271" width="15.85546875" style="2131" customWidth="1"/>
    <col min="11272" max="11272" width="6.42578125" style="2131" customWidth="1"/>
    <col min="11273" max="11273" width="14.28515625" style="2131" bestFit="1" customWidth="1"/>
    <col min="11274" max="11276" width="14.7109375" style="2131" bestFit="1" customWidth="1"/>
    <col min="11277" max="11520" width="9.140625" style="2131"/>
    <col min="11521" max="11521" width="5.28515625" style="2131" customWidth="1"/>
    <col min="11522" max="11522" width="6.7109375" style="2131" customWidth="1"/>
    <col min="11523" max="11523" width="9.5703125" style="2131" customWidth="1"/>
    <col min="11524" max="11524" width="46.42578125" style="2131" customWidth="1"/>
    <col min="11525" max="11525" width="12.85546875" style="2131" customWidth="1"/>
    <col min="11526" max="11526" width="15.5703125" style="2131" customWidth="1"/>
    <col min="11527" max="11527" width="15.85546875" style="2131" customWidth="1"/>
    <col min="11528" max="11528" width="6.42578125" style="2131" customWidth="1"/>
    <col min="11529" max="11529" width="14.28515625" style="2131" bestFit="1" customWidth="1"/>
    <col min="11530" max="11532" width="14.7109375" style="2131" bestFit="1" customWidth="1"/>
    <col min="11533" max="11776" width="9.140625" style="2131"/>
    <col min="11777" max="11777" width="5.28515625" style="2131" customWidth="1"/>
    <col min="11778" max="11778" width="6.7109375" style="2131" customWidth="1"/>
    <col min="11779" max="11779" width="9.5703125" style="2131" customWidth="1"/>
    <col min="11780" max="11780" width="46.42578125" style="2131" customWidth="1"/>
    <col min="11781" max="11781" width="12.85546875" style="2131" customWidth="1"/>
    <col min="11782" max="11782" width="15.5703125" style="2131" customWidth="1"/>
    <col min="11783" max="11783" width="15.85546875" style="2131" customWidth="1"/>
    <col min="11784" max="11784" width="6.42578125" style="2131" customWidth="1"/>
    <col min="11785" max="11785" width="14.28515625" style="2131" bestFit="1" customWidth="1"/>
    <col min="11786" max="11788" width="14.7109375" style="2131" bestFit="1" customWidth="1"/>
    <col min="11789" max="12032" width="9.140625" style="2131"/>
    <col min="12033" max="12033" width="5.28515625" style="2131" customWidth="1"/>
    <col min="12034" max="12034" width="6.7109375" style="2131" customWidth="1"/>
    <col min="12035" max="12035" width="9.5703125" style="2131" customWidth="1"/>
    <col min="12036" max="12036" width="46.42578125" style="2131" customWidth="1"/>
    <col min="12037" max="12037" width="12.85546875" style="2131" customWidth="1"/>
    <col min="12038" max="12038" width="15.5703125" style="2131" customWidth="1"/>
    <col min="12039" max="12039" width="15.85546875" style="2131" customWidth="1"/>
    <col min="12040" max="12040" width="6.42578125" style="2131" customWidth="1"/>
    <col min="12041" max="12041" width="14.28515625" style="2131" bestFit="1" customWidth="1"/>
    <col min="12042" max="12044" width="14.7109375" style="2131" bestFit="1" customWidth="1"/>
    <col min="12045" max="12288" width="9.140625" style="2131"/>
    <col min="12289" max="12289" width="5.28515625" style="2131" customWidth="1"/>
    <col min="12290" max="12290" width="6.7109375" style="2131" customWidth="1"/>
    <col min="12291" max="12291" width="9.5703125" style="2131" customWidth="1"/>
    <col min="12292" max="12292" width="46.42578125" style="2131" customWidth="1"/>
    <col min="12293" max="12293" width="12.85546875" style="2131" customWidth="1"/>
    <col min="12294" max="12294" width="15.5703125" style="2131" customWidth="1"/>
    <col min="12295" max="12295" width="15.85546875" style="2131" customWidth="1"/>
    <col min="12296" max="12296" width="6.42578125" style="2131" customWidth="1"/>
    <col min="12297" max="12297" width="14.28515625" style="2131" bestFit="1" customWidth="1"/>
    <col min="12298" max="12300" width="14.7109375" style="2131" bestFit="1" customWidth="1"/>
    <col min="12301" max="12544" width="9.140625" style="2131"/>
    <col min="12545" max="12545" width="5.28515625" style="2131" customWidth="1"/>
    <col min="12546" max="12546" width="6.7109375" style="2131" customWidth="1"/>
    <col min="12547" max="12547" width="9.5703125" style="2131" customWidth="1"/>
    <col min="12548" max="12548" width="46.42578125" style="2131" customWidth="1"/>
    <col min="12549" max="12549" width="12.85546875" style="2131" customWidth="1"/>
    <col min="12550" max="12550" width="15.5703125" style="2131" customWidth="1"/>
    <col min="12551" max="12551" width="15.85546875" style="2131" customWidth="1"/>
    <col min="12552" max="12552" width="6.42578125" style="2131" customWidth="1"/>
    <col min="12553" max="12553" width="14.28515625" style="2131" bestFit="1" customWidth="1"/>
    <col min="12554" max="12556" width="14.7109375" style="2131" bestFit="1" customWidth="1"/>
    <col min="12557" max="12800" width="9.140625" style="2131"/>
    <col min="12801" max="12801" width="5.28515625" style="2131" customWidth="1"/>
    <col min="12802" max="12802" width="6.7109375" style="2131" customWidth="1"/>
    <col min="12803" max="12803" width="9.5703125" style="2131" customWidth="1"/>
    <col min="12804" max="12804" width="46.42578125" style="2131" customWidth="1"/>
    <col min="12805" max="12805" width="12.85546875" style="2131" customWidth="1"/>
    <col min="12806" max="12806" width="15.5703125" style="2131" customWidth="1"/>
    <col min="12807" max="12807" width="15.85546875" style="2131" customWidth="1"/>
    <col min="12808" max="12808" width="6.42578125" style="2131" customWidth="1"/>
    <col min="12809" max="12809" width="14.28515625" style="2131" bestFit="1" customWidth="1"/>
    <col min="12810" max="12812" width="14.7109375" style="2131" bestFit="1" customWidth="1"/>
    <col min="12813" max="13056" width="9.140625" style="2131"/>
    <col min="13057" max="13057" width="5.28515625" style="2131" customWidth="1"/>
    <col min="13058" max="13058" width="6.7109375" style="2131" customWidth="1"/>
    <col min="13059" max="13059" width="9.5703125" style="2131" customWidth="1"/>
    <col min="13060" max="13060" width="46.42578125" style="2131" customWidth="1"/>
    <col min="13061" max="13061" width="12.85546875" style="2131" customWidth="1"/>
    <col min="13062" max="13062" width="15.5703125" style="2131" customWidth="1"/>
    <col min="13063" max="13063" width="15.85546875" style="2131" customWidth="1"/>
    <col min="13064" max="13064" width="6.42578125" style="2131" customWidth="1"/>
    <col min="13065" max="13065" width="14.28515625" style="2131" bestFit="1" customWidth="1"/>
    <col min="13066" max="13068" width="14.7109375" style="2131" bestFit="1" customWidth="1"/>
    <col min="13069" max="13312" width="9.140625" style="2131"/>
    <col min="13313" max="13313" width="5.28515625" style="2131" customWidth="1"/>
    <col min="13314" max="13314" width="6.7109375" style="2131" customWidth="1"/>
    <col min="13315" max="13315" width="9.5703125" style="2131" customWidth="1"/>
    <col min="13316" max="13316" width="46.42578125" style="2131" customWidth="1"/>
    <col min="13317" max="13317" width="12.85546875" style="2131" customWidth="1"/>
    <col min="13318" max="13318" width="15.5703125" style="2131" customWidth="1"/>
    <col min="13319" max="13319" width="15.85546875" style="2131" customWidth="1"/>
    <col min="13320" max="13320" width="6.42578125" style="2131" customWidth="1"/>
    <col min="13321" max="13321" width="14.28515625" style="2131" bestFit="1" customWidth="1"/>
    <col min="13322" max="13324" width="14.7109375" style="2131" bestFit="1" customWidth="1"/>
    <col min="13325" max="13568" width="9.140625" style="2131"/>
    <col min="13569" max="13569" width="5.28515625" style="2131" customWidth="1"/>
    <col min="13570" max="13570" width="6.7109375" style="2131" customWidth="1"/>
    <col min="13571" max="13571" width="9.5703125" style="2131" customWidth="1"/>
    <col min="13572" max="13572" width="46.42578125" style="2131" customWidth="1"/>
    <col min="13573" max="13573" width="12.85546875" style="2131" customWidth="1"/>
    <col min="13574" max="13574" width="15.5703125" style="2131" customWidth="1"/>
    <col min="13575" max="13575" width="15.85546875" style="2131" customWidth="1"/>
    <col min="13576" max="13576" width="6.42578125" style="2131" customWidth="1"/>
    <col min="13577" max="13577" width="14.28515625" style="2131" bestFit="1" customWidth="1"/>
    <col min="13578" max="13580" width="14.7109375" style="2131" bestFit="1" customWidth="1"/>
    <col min="13581" max="13824" width="9.140625" style="2131"/>
    <col min="13825" max="13825" width="5.28515625" style="2131" customWidth="1"/>
    <col min="13826" max="13826" width="6.7109375" style="2131" customWidth="1"/>
    <col min="13827" max="13827" width="9.5703125" style="2131" customWidth="1"/>
    <col min="13828" max="13828" width="46.42578125" style="2131" customWidth="1"/>
    <col min="13829" max="13829" width="12.85546875" style="2131" customWidth="1"/>
    <col min="13830" max="13830" width="15.5703125" style="2131" customWidth="1"/>
    <col min="13831" max="13831" width="15.85546875" style="2131" customWidth="1"/>
    <col min="13832" max="13832" width="6.42578125" style="2131" customWidth="1"/>
    <col min="13833" max="13833" width="14.28515625" style="2131" bestFit="1" customWidth="1"/>
    <col min="13834" max="13836" width="14.7109375" style="2131" bestFit="1" customWidth="1"/>
    <col min="13837" max="14080" width="9.140625" style="2131"/>
    <col min="14081" max="14081" width="5.28515625" style="2131" customWidth="1"/>
    <col min="14082" max="14082" width="6.7109375" style="2131" customWidth="1"/>
    <col min="14083" max="14083" width="9.5703125" style="2131" customWidth="1"/>
    <col min="14084" max="14084" width="46.42578125" style="2131" customWidth="1"/>
    <col min="14085" max="14085" width="12.85546875" style="2131" customWidth="1"/>
    <col min="14086" max="14086" width="15.5703125" style="2131" customWidth="1"/>
    <col min="14087" max="14087" width="15.85546875" style="2131" customWidth="1"/>
    <col min="14088" max="14088" width="6.42578125" style="2131" customWidth="1"/>
    <col min="14089" max="14089" width="14.28515625" style="2131" bestFit="1" customWidth="1"/>
    <col min="14090" max="14092" width="14.7109375" style="2131" bestFit="1" customWidth="1"/>
    <col min="14093" max="14336" width="9.140625" style="2131"/>
    <col min="14337" max="14337" width="5.28515625" style="2131" customWidth="1"/>
    <col min="14338" max="14338" width="6.7109375" style="2131" customWidth="1"/>
    <col min="14339" max="14339" width="9.5703125" style="2131" customWidth="1"/>
    <col min="14340" max="14340" width="46.42578125" style="2131" customWidth="1"/>
    <col min="14341" max="14341" width="12.85546875" style="2131" customWidth="1"/>
    <col min="14342" max="14342" width="15.5703125" style="2131" customWidth="1"/>
    <col min="14343" max="14343" width="15.85546875" style="2131" customWidth="1"/>
    <col min="14344" max="14344" width="6.42578125" style="2131" customWidth="1"/>
    <col min="14345" max="14345" width="14.28515625" style="2131" bestFit="1" customWidth="1"/>
    <col min="14346" max="14348" width="14.7109375" style="2131" bestFit="1" customWidth="1"/>
    <col min="14349" max="14592" width="9.140625" style="2131"/>
    <col min="14593" max="14593" width="5.28515625" style="2131" customWidth="1"/>
    <col min="14594" max="14594" width="6.7109375" style="2131" customWidth="1"/>
    <col min="14595" max="14595" width="9.5703125" style="2131" customWidth="1"/>
    <col min="14596" max="14596" width="46.42578125" style="2131" customWidth="1"/>
    <col min="14597" max="14597" width="12.85546875" style="2131" customWidth="1"/>
    <col min="14598" max="14598" width="15.5703125" style="2131" customWidth="1"/>
    <col min="14599" max="14599" width="15.85546875" style="2131" customWidth="1"/>
    <col min="14600" max="14600" width="6.42578125" style="2131" customWidth="1"/>
    <col min="14601" max="14601" width="14.28515625" style="2131" bestFit="1" customWidth="1"/>
    <col min="14602" max="14604" width="14.7109375" style="2131" bestFit="1" customWidth="1"/>
    <col min="14605" max="14848" width="9.140625" style="2131"/>
    <col min="14849" max="14849" width="5.28515625" style="2131" customWidth="1"/>
    <col min="14850" max="14850" width="6.7109375" style="2131" customWidth="1"/>
    <col min="14851" max="14851" width="9.5703125" style="2131" customWidth="1"/>
    <col min="14852" max="14852" width="46.42578125" style="2131" customWidth="1"/>
    <col min="14853" max="14853" width="12.85546875" style="2131" customWidth="1"/>
    <col min="14854" max="14854" width="15.5703125" style="2131" customWidth="1"/>
    <col min="14855" max="14855" width="15.85546875" style="2131" customWidth="1"/>
    <col min="14856" max="14856" width="6.42578125" style="2131" customWidth="1"/>
    <col min="14857" max="14857" width="14.28515625" style="2131" bestFit="1" customWidth="1"/>
    <col min="14858" max="14860" width="14.7109375" style="2131" bestFit="1" customWidth="1"/>
    <col min="14861" max="15104" width="9.140625" style="2131"/>
    <col min="15105" max="15105" width="5.28515625" style="2131" customWidth="1"/>
    <col min="15106" max="15106" width="6.7109375" style="2131" customWidth="1"/>
    <col min="15107" max="15107" width="9.5703125" style="2131" customWidth="1"/>
    <col min="15108" max="15108" width="46.42578125" style="2131" customWidth="1"/>
    <col min="15109" max="15109" width="12.85546875" style="2131" customWidth="1"/>
    <col min="15110" max="15110" width="15.5703125" style="2131" customWidth="1"/>
    <col min="15111" max="15111" width="15.85546875" style="2131" customWidth="1"/>
    <col min="15112" max="15112" width="6.42578125" style="2131" customWidth="1"/>
    <col min="15113" max="15113" width="14.28515625" style="2131" bestFit="1" customWidth="1"/>
    <col min="15114" max="15116" width="14.7109375" style="2131" bestFit="1" customWidth="1"/>
    <col min="15117" max="15360" width="9.140625" style="2131"/>
    <col min="15361" max="15361" width="5.28515625" style="2131" customWidth="1"/>
    <col min="15362" max="15362" width="6.7109375" style="2131" customWidth="1"/>
    <col min="15363" max="15363" width="9.5703125" style="2131" customWidth="1"/>
    <col min="15364" max="15364" width="46.42578125" style="2131" customWidth="1"/>
    <col min="15365" max="15365" width="12.85546875" style="2131" customWidth="1"/>
    <col min="15366" max="15366" width="15.5703125" style="2131" customWidth="1"/>
    <col min="15367" max="15367" width="15.85546875" style="2131" customWidth="1"/>
    <col min="15368" max="15368" width="6.42578125" style="2131" customWidth="1"/>
    <col min="15369" max="15369" width="14.28515625" style="2131" bestFit="1" customWidth="1"/>
    <col min="15370" max="15372" width="14.7109375" style="2131" bestFit="1" customWidth="1"/>
    <col min="15373" max="15616" width="9.140625" style="2131"/>
    <col min="15617" max="15617" width="5.28515625" style="2131" customWidth="1"/>
    <col min="15618" max="15618" width="6.7109375" style="2131" customWidth="1"/>
    <col min="15619" max="15619" width="9.5703125" style="2131" customWidth="1"/>
    <col min="15620" max="15620" width="46.42578125" style="2131" customWidth="1"/>
    <col min="15621" max="15621" width="12.85546875" style="2131" customWidth="1"/>
    <col min="15622" max="15622" width="15.5703125" style="2131" customWidth="1"/>
    <col min="15623" max="15623" width="15.85546875" style="2131" customWidth="1"/>
    <col min="15624" max="15624" width="6.42578125" style="2131" customWidth="1"/>
    <col min="15625" max="15625" width="14.28515625" style="2131" bestFit="1" customWidth="1"/>
    <col min="15626" max="15628" width="14.7109375" style="2131" bestFit="1" customWidth="1"/>
    <col min="15629" max="15872" width="9.140625" style="2131"/>
    <col min="15873" max="15873" width="5.28515625" style="2131" customWidth="1"/>
    <col min="15874" max="15874" width="6.7109375" style="2131" customWidth="1"/>
    <col min="15875" max="15875" width="9.5703125" style="2131" customWidth="1"/>
    <col min="15876" max="15876" width="46.42578125" style="2131" customWidth="1"/>
    <col min="15877" max="15877" width="12.85546875" style="2131" customWidth="1"/>
    <col min="15878" max="15878" width="15.5703125" style="2131" customWidth="1"/>
    <col min="15879" max="15879" width="15.85546875" style="2131" customWidth="1"/>
    <col min="15880" max="15880" width="6.42578125" style="2131" customWidth="1"/>
    <col min="15881" max="15881" width="14.28515625" style="2131" bestFit="1" customWidth="1"/>
    <col min="15882" max="15884" width="14.7109375" style="2131" bestFit="1" customWidth="1"/>
    <col min="15885" max="16128" width="9.140625" style="2131"/>
    <col min="16129" max="16129" width="5.28515625" style="2131" customWidth="1"/>
    <col min="16130" max="16130" width="6.7109375" style="2131" customWidth="1"/>
    <col min="16131" max="16131" width="9.5703125" style="2131" customWidth="1"/>
    <col min="16132" max="16132" width="46.42578125" style="2131" customWidth="1"/>
    <col min="16133" max="16133" width="12.85546875" style="2131" customWidth="1"/>
    <col min="16134" max="16134" width="15.5703125" style="2131" customWidth="1"/>
    <col min="16135" max="16135" width="15.85546875" style="2131" customWidth="1"/>
    <col min="16136" max="16136" width="6.42578125" style="2131" customWidth="1"/>
    <col min="16137" max="16137" width="14.28515625" style="2131" bestFit="1" customWidth="1"/>
    <col min="16138" max="16140" width="14.7109375" style="2131" bestFit="1" customWidth="1"/>
    <col min="16141" max="16384" width="9.140625" style="2131"/>
  </cols>
  <sheetData>
    <row r="1" spans="1:8" ht="19.5" customHeight="1" thickBot="1" x14ac:dyDescent="0.3">
      <c r="A1" s="1944" t="s">
        <v>1180</v>
      </c>
      <c r="B1" s="1943"/>
      <c r="C1" s="2126"/>
      <c r="D1" s="1941"/>
      <c r="E1" s="1940"/>
      <c r="F1" s="1941"/>
      <c r="G1" s="2250"/>
      <c r="H1" s="1944"/>
    </row>
    <row r="2" spans="1:8" ht="18" x14ac:dyDescent="0.25">
      <c r="A2" s="2135"/>
      <c r="B2" s="2168"/>
      <c r="C2" s="2168"/>
      <c r="D2" s="2168"/>
      <c r="E2" s="2168"/>
      <c r="F2" s="2168"/>
      <c r="G2" s="2168"/>
      <c r="H2" s="2222" t="s">
        <v>1181</v>
      </c>
    </row>
    <row r="3" spans="1:8" ht="18" x14ac:dyDescent="0.25">
      <c r="A3" s="1939" t="s">
        <v>404</v>
      </c>
      <c r="B3" s="2168"/>
      <c r="C3" s="1970" t="s">
        <v>1736</v>
      </c>
      <c r="D3" s="2168"/>
      <c r="E3" s="2168"/>
      <c r="F3" s="2168"/>
      <c r="G3" s="2168"/>
      <c r="H3" s="2222"/>
    </row>
    <row r="4" spans="1:8" ht="18" x14ac:dyDescent="0.25">
      <c r="A4" s="2135"/>
      <c r="B4" s="2168"/>
      <c r="C4" s="1969" t="s">
        <v>1735</v>
      </c>
      <c r="D4" s="2168"/>
      <c r="E4" s="2168"/>
      <c r="F4" s="2168"/>
      <c r="G4" s="2168"/>
      <c r="H4" s="2222"/>
    </row>
    <row r="5" spans="1:8" ht="18" x14ac:dyDescent="0.25">
      <c r="A5" s="2134" t="s">
        <v>326</v>
      </c>
      <c r="B5" s="2168"/>
      <c r="C5" s="2168"/>
      <c r="D5" s="2168"/>
      <c r="E5" s="2168"/>
      <c r="F5" s="2168"/>
      <c r="G5" s="2168"/>
      <c r="H5" s="2222"/>
    </row>
    <row r="6" spans="1:8" ht="18" x14ac:dyDescent="0.25">
      <c r="A6" s="2134"/>
      <c r="B6" s="2168"/>
      <c r="C6" s="2168"/>
      <c r="D6" s="2168"/>
      <c r="E6" s="2168"/>
      <c r="F6" s="2168"/>
      <c r="G6" s="2168"/>
      <c r="H6" s="2222"/>
    </row>
    <row r="7" spans="1:8" ht="18" x14ac:dyDescent="0.25">
      <c r="A7" s="2134"/>
      <c r="B7" s="2168"/>
      <c r="C7" s="2168"/>
      <c r="D7" s="2168"/>
      <c r="E7" s="2168"/>
      <c r="F7" s="2168"/>
      <c r="G7" s="2168"/>
      <c r="H7" s="2222"/>
    </row>
    <row r="8" spans="1:8" ht="15" x14ac:dyDescent="0.25">
      <c r="A8" s="2332" t="s">
        <v>327</v>
      </c>
      <c r="B8" s="2198"/>
      <c r="C8" s="2198"/>
      <c r="D8" s="2198"/>
    </row>
    <row r="9" spans="1:8" ht="15.75" thickBot="1" x14ac:dyDescent="0.3">
      <c r="A9" s="2333" t="s">
        <v>328</v>
      </c>
      <c r="B9" s="2335"/>
      <c r="C9" s="2335"/>
      <c r="H9" s="2240" t="s">
        <v>179</v>
      </c>
    </row>
    <row r="10" spans="1:8" s="1849" customFormat="1" ht="25.5" thickTop="1" thickBot="1" x14ac:dyDescent="0.25">
      <c r="A10" s="2138" t="s">
        <v>180</v>
      </c>
      <c r="B10" s="2139" t="s">
        <v>847</v>
      </c>
      <c r="C10" s="2139" t="s">
        <v>414</v>
      </c>
      <c r="D10" s="2140" t="s">
        <v>182</v>
      </c>
      <c r="E10" s="2171" t="s">
        <v>700</v>
      </c>
      <c r="F10" s="2171" t="s">
        <v>701</v>
      </c>
      <c r="G10" s="2172" t="s">
        <v>986</v>
      </c>
      <c r="H10" s="2173" t="s">
        <v>987</v>
      </c>
    </row>
    <row r="11" spans="1:8" s="1849" customFormat="1" ht="13.5" thickTop="1" thickBot="1" x14ac:dyDescent="0.25">
      <c r="A11" s="1854">
        <v>1</v>
      </c>
      <c r="B11" s="1853">
        <v>2</v>
      </c>
      <c r="C11" s="1853">
        <v>3</v>
      </c>
      <c r="D11" s="1853">
        <v>4</v>
      </c>
      <c r="E11" s="1852">
        <v>5</v>
      </c>
      <c r="F11" s="1852">
        <v>6</v>
      </c>
      <c r="G11" s="2223">
        <v>7</v>
      </c>
      <c r="H11" s="2251" t="s">
        <v>61</v>
      </c>
    </row>
    <row r="12" spans="1:8" s="2259" customFormat="1" ht="15.75" thickTop="1" x14ac:dyDescent="0.2">
      <c r="A12" s="2246">
        <v>3636</v>
      </c>
      <c r="B12" s="2253">
        <v>5011</v>
      </c>
      <c r="C12" s="2254">
        <v>38100880</v>
      </c>
      <c r="D12" s="2174" t="s">
        <v>225</v>
      </c>
      <c r="E12" s="2184">
        <v>99</v>
      </c>
      <c r="F12" s="2184">
        <v>114</v>
      </c>
      <c r="G12" s="2184">
        <v>114</v>
      </c>
      <c r="H12" s="2156">
        <f>G12/F12*100</f>
        <v>100</v>
      </c>
    </row>
    <row r="13" spans="1:8" s="2259" customFormat="1" ht="15" hidden="1" x14ac:dyDescent="0.2">
      <c r="A13" s="2246">
        <v>3636</v>
      </c>
      <c r="B13" s="2253">
        <v>5011</v>
      </c>
      <c r="C13" s="2254">
        <v>38100882</v>
      </c>
      <c r="D13" s="2174" t="s">
        <v>225</v>
      </c>
      <c r="E13" s="2184">
        <v>0</v>
      </c>
      <c r="F13" s="2184">
        <v>0</v>
      </c>
      <c r="G13" s="2184">
        <v>0</v>
      </c>
      <c r="H13" s="2156">
        <v>0</v>
      </c>
    </row>
    <row r="14" spans="1:8" s="2259" customFormat="1" ht="15" customHeight="1" x14ac:dyDescent="0.2">
      <c r="A14" s="2246">
        <v>3636</v>
      </c>
      <c r="B14" s="2253">
        <v>5011</v>
      </c>
      <c r="C14" s="2254">
        <v>38500881</v>
      </c>
      <c r="D14" s="2174" t="s">
        <v>225</v>
      </c>
      <c r="E14" s="2184">
        <v>561</v>
      </c>
      <c r="F14" s="2184">
        <v>647</v>
      </c>
      <c r="G14" s="2184">
        <v>647</v>
      </c>
      <c r="H14" s="2156">
        <f>G14/F14*100</f>
        <v>100</v>
      </c>
    </row>
    <row r="15" spans="1:8" s="2259" customFormat="1" ht="15" hidden="1" customHeight="1" x14ac:dyDescent="0.2">
      <c r="A15" s="2246">
        <v>3636</v>
      </c>
      <c r="B15" s="2253">
        <v>5021</v>
      </c>
      <c r="C15" s="2254">
        <v>38100880</v>
      </c>
      <c r="D15" s="2174" t="s">
        <v>427</v>
      </c>
      <c r="E15" s="2184">
        <v>0</v>
      </c>
      <c r="F15" s="2184">
        <v>0</v>
      </c>
      <c r="G15" s="2184">
        <v>0</v>
      </c>
      <c r="H15" s="2156" t="e">
        <f>G15/F15*100</f>
        <v>#DIV/0!</v>
      </c>
    </row>
    <row r="16" spans="1:8" s="2259" customFormat="1" ht="15" hidden="1" customHeight="1" x14ac:dyDescent="0.2">
      <c r="A16" s="2246">
        <v>3636</v>
      </c>
      <c r="B16" s="2253">
        <v>5021</v>
      </c>
      <c r="C16" s="2254">
        <v>38100882</v>
      </c>
      <c r="D16" s="2174" t="s">
        <v>427</v>
      </c>
      <c r="E16" s="2184">
        <v>0</v>
      </c>
      <c r="F16" s="2184">
        <v>0</v>
      </c>
      <c r="G16" s="2184">
        <v>0</v>
      </c>
      <c r="H16" s="2156">
        <v>0</v>
      </c>
    </row>
    <row r="17" spans="1:8" s="2259" customFormat="1" ht="15" hidden="1" customHeight="1" x14ac:dyDescent="0.2">
      <c r="A17" s="2246">
        <v>3636</v>
      </c>
      <c r="B17" s="2253">
        <v>5021</v>
      </c>
      <c r="C17" s="2254">
        <v>38500881</v>
      </c>
      <c r="D17" s="2174" t="s">
        <v>427</v>
      </c>
      <c r="E17" s="2184">
        <v>0</v>
      </c>
      <c r="F17" s="2184">
        <v>0</v>
      </c>
      <c r="G17" s="2184">
        <v>0</v>
      </c>
      <c r="H17" s="2156" t="e">
        <f>G17/F17*100</f>
        <v>#DIV/0!</v>
      </c>
    </row>
    <row r="18" spans="1:8" s="2259" customFormat="1" ht="31.5" customHeight="1" x14ac:dyDescent="0.2">
      <c r="A18" s="2246">
        <v>3636</v>
      </c>
      <c r="B18" s="2253">
        <v>5031</v>
      </c>
      <c r="C18" s="2254">
        <v>38100880</v>
      </c>
      <c r="D18" s="2174" t="s">
        <v>1459</v>
      </c>
      <c r="E18" s="2184">
        <v>25</v>
      </c>
      <c r="F18" s="2184">
        <v>28</v>
      </c>
      <c r="G18" s="2184">
        <v>28</v>
      </c>
      <c r="H18" s="2156">
        <f>G18/F18*100</f>
        <v>100</v>
      </c>
    </row>
    <row r="19" spans="1:8" s="2259" customFormat="1" ht="30" hidden="1" customHeight="1" x14ac:dyDescent="0.2">
      <c r="A19" s="2246">
        <v>3636</v>
      </c>
      <c r="B19" s="2253">
        <v>5031</v>
      </c>
      <c r="C19" s="2254">
        <v>38100882</v>
      </c>
      <c r="D19" s="2174" t="s">
        <v>1459</v>
      </c>
      <c r="E19" s="2184">
        <v>0</v>
      </c>
      <c r="F19" s="2184">
        <v>0</v>
      </c>
      <c r="G19" s="2184">
        <v>0</v>
      </c>
      <c r="H19" s="2156">
        <v>0</v>
      </c>
    </row>
    <row r="20" spans="1:8" s="2259" customFormat="1" ht="30" customHeight="1" x14ac:dyDescent="0.2">
      <c r="A20" s="2246">
        <v>3636</v>
      </c>
      <c r="B20" s="2253">
        <v>5031</v>
      </c>
      <c r="C20" s="2254">
        <v>38500881</v>
      </c>
      <c r="D20" s="2174" t="s">
        <v>1459</v>
      </c>
      <c r="E20" s="2184">
        <v>140</v>
      </c>
      <c r="F20" s="2184">
        <v>162</v>
      </c>
      <c r="G20" s="2184">
        <v>162</v>
      </c>
      <c r="H20" s="2156">
        <f>G20/F20*100</f>
        <v>100</v>
      </c>
    </row>
    <row r="21" spans="1:8" s="2259" customFormat="1" ht="30" customHeight="1" x14ac:dyDescent="0.2">
      <c r="A21" s="2246">
        <v>3636</v>
      </c>
      <c r="B21" s="2253">
        <v>5032</v>
      </c>
      <c r="C21" s="2254">
        <v>38100880</v>
      </c>
      <c r="D21" s="2174" t="s">
        <v>1322</v>
      </c>
      <c r="E21" s="2184">
        <v>9</v>
      </c>
      <c r="F21" s="2184">
        <v>10</v>
      </c>
      <c r="G21" s="2184">
        <v>10</v>
      </c>
      <c r="H21" s="2156">
        <f>G21/F21*100</f>
        <v>100</v>
      </c>
    </row>
    <row r="22" spans="1:8" s="2259" customFormat="1" ht="30" hidden="1" customHeight="1" x14ac:dyDescent="0.2">
      <c r="A22" s="2246">
        <v>3636</v>
      </c>
      <c r="B22" s="2253">
        <v>5032</v>
      </c>
      <c r="C22" s="2254">
        <v>38100882</v>
      </c>
      <c r="D22" s="2174" t="s">
        <v>1322</v>
      </c>
      <c r="E22" s="2184">
        <v>0</v>
      </c>
      <c r="F22" s="2184">
        <v>0</v>
      </c>
      <c r="G22" s="2184">
        <v>0</v>
      </c>
      <c r="H22" s="2156">
        <v>0</v>
      </c>
    </row>
    <row r="23" spans="1:8" s="2259" customFormat="1" ht="30" customHeight="1" x14ac:dyDescent="0.2">
      <c r="A23" s="2246">
        <v>3636</v>
      </c>
      <c r="B23" s="2253">
        <v>5032</v>
      </c>
      <c r="C23" s="2254">
        <v>38500881</v>
      </c>
      <c r="D23" s="2174" t="s">
        <v>1322</v>
      </c>
      <c r="E23" s="2184">
        <v>51</v>
      </c>
      <c r="F23" s="2184">
        <v>58</v>
      </c>
      <c r="G23" s="2184">
        <v>58</v>
      </c>
      <c r="H23" s="2156">
        <f>G23/F23*100</f>
        <v>100</v>
      </c>
    </row>
    <row r="24" spans="1:8" s="2259" customFormat="1" ht="17.25" hidden="1" customHeight="1" x14ac:dyDescent="0.2">
      <c r="A24" s="2246">
        <v>3636</v>
      </c>
      <c r="B24" s="2253">
        <v>5136</v>
      </c>
      <c r="C24" s="2254">
        <v>38100880</v>
      </c>
      <c r="D24" s="2174" t="s">
        <v>676</v>
      </c>
      <c r="E24" s="2184">
        <v>0</v>
      </c>
      <c r="F24" s="2184">
        <v>0</v>
      </c>
      <c r="G24" s="2184">
        <v>0</v>
      </c>
      <c r="H24" s="2156" t="e">
        <f>G24/F24*100</f>
        <v>#DIV/0!</v>
      </c>
    </row>
    <row r="25" spans="1:8" s="2259" customFormat="1" ht="17.25" hidden="1" customHeight="1" x14ac:dyDescent="0.2">
      <c r="A25" s="2246">
        <v>3636</v>
      </c>
      <c r="B25" s="2253">
        <v>5136</v>
      </c>
      <c r="C25" s="2254">
        <v>38500881</v>
      </c>
      <c r="D25" s="2174" t="s">
        <v>676</v>
      </c>
      <c r="E25" s="2184">
        <v>0</v>
      </c>
      <c r="F25" s="2184">
        <v>0</v>
      </c>
      <c r="G25" s="2184">
        <v>0</v>
      </c>
      <c r="H25" s="2156" t="e">
        <f>G25/F25*100</f>
        <v>#DIV/0!</v>
      </c>
    </row>
    <row r="26" spans="1:8" s="2259" customFormat="1" ht="15.75" customHeight="1" x14ac:dyDescent="0.2">
      <c r="A26" s="2246">
        <v>3636</v>
      </c>
      <c r="B26" s="2253">
        <v>5139</v>
      </c>
      <c r="C26" s="2254">
        <v>38100880</v>
      </c>
      <c r="D26" s="2174" t="s">
        <v>295</v>
      </c>
      <c r="E26" s="2184">
        <v>10</v>
      </c>
      <c r="F26" s="2184">
        <v>3</v>
      </c>
      <c r="G26" s="2184">
        <v>3</v>
      </c>
      <c r="H26" s="2156">
        <f>G26/F26*100</f>
        <v>100</v>
      </c>
    </row>
    <row r="27" spans="1:8" s="2259" customFormat="1" ht="15" x14ac:dyDescent="0.2">
      <c r="A27" s="2246">
        <v>3636</v>
      </c>
      <c r="B27" s="2253">
        <v>5139</v>
      </c>
      <c r="C27" s="2254">
        <v>38500881</v>
      </c>
      <c r="D27" s="2174" t="s">
        <v>295</v>
      </c>
      <c r="E27" s="2184">
        <v>60</v>
      </c>
      <c r="F27" s="2184">
        <v>16</v>
      </c>
      <c r="G27" s="2184">
        <v>16</v>
      </c>
      <c r="H27" s="2156">
        <v>0</v>
      </c>
    </row>
    <row r="28" spans="1:8" s="2259" customFormat="1" ht="15" hidden="1" x14ac:dyDescent="0.2">
      <c r="A28" s="2246">
        <v>3636</v>
      </c>
      <c r="B28" s="2253">
        <v>5139</v>
      </c>
      <c r="C28" s="2254">
        <v>38500881</v>
      </c>
      <c r="D28" s="2174" t="s">
        <v>295</v>
      </c>
      <c r="E28" s="2184">
        <v>0</v>
      </c>
      <c r="F28" s="2184">
        <v>0</v>
      </c>
      <c r="G28" s="2184">
        <v>0</v>
      </c>
      <c r="H28" s="2156" t="e">
        <f>G28/F28*100</f>
        <v>#DIV/0!</v>
      </c>
    </row>
    <row r="29" spans="1:8" s="2259" customFormat="1" ht="15" x14ac:dyDescent="0.2">
      <c r="A29" s="2246">
        <v>3636</v>
      </c>
      <c r="B29" s="2253">
        <v>5162</v>
      </c>
      <c r="C29" s="2254">
        <v>38100880</v>
      </c>
      <c r="D29" s="2174" t="s">
        <v>967</v>
      </c>
      <c r="E29" s="2184">
        <v>1</v>
      </c>
      <c r="F29" s="2184">
        <v>0</v>
      </c>
      <c r="G29" s="2184">
        <v>0</v>
      </c>
      <c r="H29" s="2156">
        <v>0</v>
      </c>
    </row>
    <row r="30" spans="1:8" s="2259" customFormat="1" ht="15" hidden="1" x14ac:dyDescent="0.2">
      <c r="A30" s="2246">
        <v>3636</v>
      </c>
      <c r="B30" s="2253">
        <v>5162</v>
      </c>
      <c r="C30" s="2254">
        <v>38100882</v>
      </c>
      <c r="D30" s="2174" t="s">
        <v>967</v>
      </c>
      <c r="E30" s="2184">
        <v>0</v>
      </c>
      <c r="F30" s="2184">
        <v>0</v>
      </c>
      <c r="G30" s="2184">
        <v>0</v>
      </c>
      <c r="H30" s="2156">
        <v>0</v>
      </c>
    </row>
    <row r="31" spans="1:8" s="2185" customFormat="1" ht="15" x14ac:dyDescent="0.2">
      <c r="A31" s="2246">
        <v>3636</v>
      </c>
      <c r="B31" s="2257">
        <v>5162</v>
      </c>
      <c r="C31" s="2254">
        <v>38500881</v>
      </c>
      <c r="D31" s="2174" t="s">
        <v>967</v>
      </c>
      <c r="E31" s="2184">
        <v>2</v>
      </c>
      <c r="F31" s="2184">
        <v>1</v>
      </c>
      <c r="G31" s="2184">
        <v>1</v>
      </c>
      <c r="H31" s="2156">
        <f>G31/F31*100</f>
        <v>100</v>
      </c>
    </row>
    <row r="32" spans="1:8" s="2185" customFormat="1" ht="15" x14ac:dyDescent="0.2">
      <c r="A32" s="2246">
        <v>3636</v>
      </c>
      <c r="B32" s="2257">
        <v>5163</v>
      </c>
      <c r="C32" s="2254">
        <v>38100880</v>
      </c>
      <c r="D32" s="2174" t="s">
        <v>997</v>
      </c>
      <c r="E32" s="2184">
        <v>1</v>
      </c>
      <c r="F32" s="2184">
        <v>0</v>
      </c>
      <c r="G32" s="2184">
        <v>0</v>
      </c>
      <c r="H32" s="2156">
        <v>0</v>
      </c>
    </row>
    <row r="33" spans="1:8" ht="17.25" hidden="1" customHeight="1" x14ac:dyDescent="0.2">
      <c r="A33" s="2246">
        <v>3636</v>
      </c>
      <c r="B33" s="2257">
        <v>5163</v>
      </c>
      <c r="C33" s="2254">
        <v>38100882</v>
      </c>
      <c r="D33" s="2174" t="s">
        <v>997</v>
      </c>
      <c r="E33" s="2184">
        <v>0</v>
      </c>
      <c r="F33" s="2184">
        <v>0</v>
      </c>
      <c r="G33" s="2184">
        <v>0</v>
      </c>
      <c r="H33" s="2156">
        <v>0</v>
      </c>
    </row>
    <row r="34" spans="1:8" ht="17.25" customHeight="1" x14ac:dyDescent="0.2">
      <c r="A34" s="2246">
        <v>3636</v>
      </c>
      <c r="B34" s="2257">
        <v>5163</v>
      </c>
      <c r="C34" s="2254">
        <v>38500881</v>
      </c>
      <c r="D34" s="2174" t="s">
        <v>997</v>
      </c>
      <c r="E34" s="2184">
        <v>2</v>
      </c>
      <c r="F34" s="2184">
        <v>1</v>
      </c>
      <c r="G34" s="2184">
        <v>1</v>
      </c>
      <c r="H34" s="2156">
        <f>G34/F34*100</f>
        <v>100</v>
      </c>
    </row>
    <row r="35" spans="1:8" ht="17.25" customHeight="1" x14ac:dyDescent="0.2">
      <c r="A35" s="2246">
        <v>3636</v>
      </c>
      <c r="B35" s="2257">
        <v>5164</v>
      </c>
      <c r="C35" s="2254">
        <v>38100880</v>
      </c>
      <c r="D35" s="2174" t="s">
        <v>188</v>
      </c>
      <c r="E35" s="2184">
        <v>8</v>
      </c>
      <c r="F35" s="2184">
        <v>2</v>
      </c>
      <c r="G35" s="2184">
        <v>2</v>
      </c>
      <c r="H35" s="2156">
        <f>G35/F35*100</f>
        <v>100</v>
      </c>
    </row>
    <row r="36" spans="1:8" ht="17.25" hidden="1" customHeight="1" x14ac:dyDescent="0.2">
      <c r="A36" s="2246">
        <v>3636</v>
      </c>
      <c r="B36" s="2257">
        <v>5164</v>
      </c>
      <c r="C36" s="2254">
        <v>38100882</v>
      </c>
      <c r="D36" s="2174" t="s">
        <v>188</v>
      </c>
      <c r="E36" s="2184">
        <v>0</v>
      </c>
      <c r="F36" s="2184">
        <v>0</v>
      </c>
      <c r="G36" s="2184">
        <v>0</v>
      </c>
      <c r="H36" s="2156">
        <v>0</v>
      </c>
    </row>
    <row r="37" spans="1:8" ht="17.25" customHeight="1" x14ac:dyDescent="0.2">
      <c r="A37" s="2246">
        <v>3636</v>
      </c>
      <c r="B37" s="2257">
        <v>5164</v>
      </c>
      <c r="C37" s="2254">
        <v>38500881</v>
      </c>
      <c r="D37" s="2174" t="s">
        <v>188</v>
      </c>
      <c r="E37" s="2184">
        <v>42</v>
      </c>
      <c r="F37" s="2184">
        <v>10</v>
      </c>
      <c r="G37" s="2184">
        <v>10</v>
      </c>
      <c r="H37" s="2156">
        <f>G37/F37*100</f>
        <v>100</v>
      </c>
    </row>
    <row r="38" spans="1:8" ht="17.25" customHeight="1" x14ac:dyDescent="0.2">
      <c r="A38" s="2246">
        <v>3636</v>
      </c>
      <c r="B38" s="2257">
        <v>5166</v>
      </c>
      <c r="C38" s="2254">
        <v>38100880</v>
      </c>
      <c r="D38" s="2174" t="s">
        <v>677</v>
      </c>
      <c r="E38" s="2184">
        <v>300</v>
      </c>
      <c r="F38" s="2184">
        <v>0</v>
      </c>
      <c r="G38" s="2184">
        <v>0</v>
      </c>
      <c r="H38" s="2156">
        <v>0</v>
      </c>
    </row>
    <row r="39" spans="1:8" ht="17.25" hidden="1" customHeight="1" x14ac:dyDescent="0.2">
      <c r="A39" s="2246">
        <v>3636</v>
      </c>
      <c r="B39" s="2257">
        <v>5166</v>
      </c>
      <c r="C39" s="2254">
        <v>38100882</v>
      </c>
      <c r="D39" s="2174" t="s">
        <v>677</v>
      </c>
      <c r="E39" s="2184">
        <v>0</v>
      </c>
      <c r="F39" s="2184">
        <v>0</v>
      </c>
      <c r="G39" s="2184">
        <v>0</v>
      </c>
      <c r="H39" s="2156">
        <v>0</v>
      </c>
    </row>
    <row r="40" spans="1:8" ht="17.25" customHeight="1" x14ac:dyDescent="0.2">
      <c r="A40" s="2246">
        <v>3636</v>
      </c>
      <c r="B40" s="2257">
        <v>5166</v>
      </c>
      <c r="C40" s="2254">
        <v>38500881</v>
      </c>
      <c r="D40" s="2174" t="s">
        <v>677</v>
      </c>
      <c r="E40" s="2184">
        <v>1700</v>
      </c>
      <c r="F40" s="2184">
        <v>0</v>
      </c>
      <c r="G40" s="2184">
        <v>0</v>
      </c>
      <c r="H40" s="2156">
        <v>0</v>
      </c>
    </row>
    <row r="41" spans="1:8" ht="17.25" customHeight="1" x14ac:dyDescent="0.2">
      <c r="A41" s="2246">
        <v>3636</v>
      </c>
      <c r="B41" s="2257">
        <v>5167</v>
      </c>
      <c r="C41" s="2254">
        <v>38100880</v>
      </c>
      <c r="D41" s="2174" t="s">
        <v>329</v>
      </c>
      <c r="E41" s="2184">
        <v>22</v>
      </c>
      <c r="F41" s="2184">
        <v>4</v>
      </c>
      <c r="G41" s="2184">
        <v>4</v>
      </c>
      <c r="H41" s="2156">
        <f>G41/F41*100</f>
        <v>100</v>
      </c>
    </row>
    <row r="42" spans="1:8" ht="17.25" hidden="1" customHeight="1" x14ac:dyDescent="0.2">
      <c r="A42" s="2246">
        <v>3636</v>
      </c>
      <c r="B42" s="2257">
        <v>5167</v>
      </c>
      <c r="C42" s="2254">
        <v>38100882</v>
      </c>
      <c r="D42" s="2174" t="s">
        <v>329</v>
      </c>
      <c r="E42" s="2184">
        <v>0</v>
      </c>
      <c r="F42" s="2184">
        <v>0</v>
      </c>
      <c r="G42" s="2184">
        <v>0</v>
      </c>
      <c r="H42" s="2156">
        <v>0</v>
      </c>
    </row>
    <row r="43" spans="1:8" ht="17.25" customHeight="1" x14ac:dyDescent="0.2">
      <c r="A43" s="2246">
        <v>3636</v>
      </c>
      <c r="B43" s="2257">
        <v>5167</v>
      </c>
      <c r="C43" s="2254">
        <v>38500881</v>
      </c>
      <c r="D43" s="2174" t="s">
        <v>329</v>
      </c>
      <c r="E43" s="2184">
        <v>128</v>
      </c>
      <c r="F43" s="2184">
        <v>22</v>
      </c>
      <c r="G43" s="2184">
        <v>22</v>
      </c>
      <c r="H43" s="2156">
        <f>G43/F43*100</f>
        <v>100</v>
      </c>
    </row>
    <row r="44" spans="1:8" ht="17.25" customHeight="1" x14ac:dyDescent="0.2">
      <c r="A44" s="2246">
        <v>3636</v>
      </c>
      <c r="B44" s="2257">
        <v>5169</v>
      </c>
      <c r="C44" s="2254">
        <v>38100880</v>
      </c>
      <c r="D44" s="2174" t="s">
        <v>955</v>
      </c>
      <c r="E44" s="2184">
        <v>0</v>
      </c>
      <c r="F44" s="2184">
        <v>20</v>
      </c>
      <c r="G44" s="2184">
        <v>20</v>
      </c>
      <c r="H44" s="2156">
        <f>G44/F44*100</f>
        <v>100</v>
      </c>
    </row>
    <row r="45" spans="1:8" ht="17.25" customHeight="1" x14ac:dyDescent="0.2">
      <c r="A45" s="2246">
        <v>3636</v>
      </c>
      <c r="B45" s="2257">
        <v>5169</v>
      </c>
      <c r="C45" s="2254">
        <v>38100881</v>
      </c>
      <c r="D45" s="2174" t="s">
        <v>955</v>
      </c>
      <c r="E45" s="2184">
        <v>37</v>
      </c>
      <c r="F45" s="2184">
        <v>0</v>
      </c>
      <c r="G45" s="2184">
        <v>0</v>
      </c>
      <c r="H45" s="2156">
        <v>0</v>
      </c>
    </row>
    <row r="46" spans="1:8" ht="17.25" customHeight="1" x14ac:dyDescent="0.2">
      <c r="A46" s="2246">
        <v>3636</v>
      </c>
      <c r="B46" s="2257">
        <v>5169</v>
      </c>
      <c r="C46" s="2254">
        <v>38500881</v>
      </c>
      <c r="D46" s="2174" t="s">
        <v>955</v>
      </c>
      <c r="E46" s="2184">
        <v>207</v>
      </c>
      <c r="F46" s="2184">
        <v>112</v>
      </c>
      <c r="G46" s="2184">
        <v>112</v>
      </c>
      <c r="H46" s="2156">
        <f>G46/F46*100</f>
        <v>100</v>
      </c>
    </row>
    <row r="47" spans="1:8" ht="17.25" customHeight="1" x14ac:dyDescent="0.2">
      <c r="A47" s="2246">
        <v>3636</v>
      </c>
      <c r="B47" s="2257">
        <v>5173</v>
      </c>
      <c r="C47" s="2254">
        <v>38100880</v>
      </c>
      <c r="D47" s="2174" t="s">
        <v>1296</v>
      </c>
      <c r="E47" s="2184">
        <v>5</v>
      </c>
      <c r="F47" s="2184">
        <v>0</v>
      </c>
      <c r="G47" s="2184">
        <v>0</v>
      </c>
      <c r="H47" s="2156">
        <v>0</v>
      </c>
    </row>
    <row r="48" spans="1:8" ht="17.25" hidden="1" customHeight="1" x14ac:dyDescent="0.2">
      <c r="A48" s="2246">
        <v>3636</v>
      </c>
      <c r="B48" s="2257">
        <v>5173</v>
      </c>
      <c r="C48" s="2254">
        <v>38100882</v>
      </c>
      <c r="D48" s="2174" t="s">
        <v>1296</v>
      </c>
      <c r="E48" s="2184">
        <v>0</v>
      </c>
      <c r="F48" s="2184">
        <v>0</v>
      </c>
      <c r="G48" s="2184">
        <v>0</v>
      </c>
      <c r="H48" s="2156">
        <v>0</v>
      </c>
    </row>
    <row r="49" spans="1:12" ht="17.25" customHeight="1" x14ac:dyDescent="0.2">
      <c r="A49" s="2246">
        <v>3636</v>
      </c>
      <c r="B49" s="2257">
        <v>5173</v>
      </c>
      <c r="C49" s="2254">
        <v>38500881</v>
      </c>
      <c r="D49" s="2174" t="s">
        <v>1296</v>
      </c>
      <c r="E49" s="2184">
        <v>25</v>
      </c>
      <c r="F49" s="2184">
        <v>1</v>
      </c>
      <c r="G49" s="2184">
        <v>1</v>
      </c>
      <c r="H49" s="2156">
        <f>G49/F49*100</f>
        <v>100</v>
      </c>
    </row>
    <row r="50" spans="1:12" ht="17.25" customHeight="1" x14ac:dyDescent="0.2">
      <c r="A50" s="2246">
        <v>3636</v>
      </c>
      <c r="B50" s="2257">
        <v>5175</v>
      </c>
      <c r="C50" s="2254">
        <v>38100880</v>
      </c>
      <c r="D50" s="2174" t="s">
        <v>740</v>
      </c>
      <c r="E50" s="2184">
        <v>8</v>
      </c>
      <c r="F50" s="2184">
        <v>5</v>
      </c>
      <c r="G50" s="2184">
        <v>5</v>
      </c>
      <c r="H50" s="2156">
        <f>G50/F50*100</f>
        <v>100</v>
      </c>
    </row>
    <row r="51" spans="1:12" ht="17.25" hidden="1" customHeight="1" x14ac:dyDescent="0.2">
      <c r="A51" s="2246">
        <v>3636</v>
      </c>
      <c r="B51" s="2257">
        <v>5175</v>
      </c>
      <c r="C51" s="2254">
        <v>38100882</v>
      </c>
      <c r="D51" s="2174" t="s">
        <v>740</v>
      </c>
      <c r="E51" s="2184">
        <v>0</v>
      </c>
      <c r="F51" s="2184">
        <v>0</v>
      </c>
      <c r="G51" s="2184">
        <v>0</v>
      </c>
      <c r="H51" s="2156">
        <v>0</v>
      </c>
    </row>
    <row r="52" spans="1:12" ht="17.25" customHeight="1" x14ac:dyDescent="0.2">
      <c r="A52" s="2246">
        <v>3636</v>
      </c>
      <c r="B52" s="2257">
        <v>5175</v>
      </c>
      <c r="C52" s="2254">
        <v>38500881</v>
      </c>
      <c r="D52" s="2174" t="s">
        <v>740</v>
      </c>
      <c r="E52" s="2184">
        <v>47</v>
      </c>
      <c r="F52" s="2184">
        <v>31</v>
      </c>
      <c r="G52" s="2184">
        <v>31</v>
      </c>
      <c r="H52" s="2156">
        <f>G52/F52*100</f>
        <v>100</v>
      </c>
    </row>
    <row r="53" spans="1:12" ht="15" customHeight="1" x14ac:dyDescent="0.2">
      <c r="A53" s="2246">
        <v>3636</v>
      </c>
      <c r="B53" s="2253">
        <v>5176</v>
      </c>
      <c r="C53" s="2254">
        <v>38100880</v>
      </c>
      <c r="D53" s="2174" t="s">
        <v>1402</v>
      </c>
      <c r="E53" s="2184">
        <v>2</v>
      </c>
      <c r="F53" s="2184">
        <v>0</v>
      </c>
      <c r="G53" s="2184">
        <v>0</v>
      </c>
      <c r="H53" s="2156">
        <v>0</v>
      </c>
    </row>
    <row r="54" spans="1:12" ht="15" customHeight="1" x14ac:dyDescent="0.2">
      <c r="A54" s="2246">
        <v>3636</v>
      </c>
      <c r="B54" s="2253">
        <v>5176</v>
      </c>
      <c r="C54" s="2254">
        <v>38500881</v>
      </c>
      <c r="D54" s="2174" t="s">
        <v>1402</v>
      </c>
      <c r="E54" s="2184">
        <v>8</v>
      </c>
      <c r="F54" s="2184">
        <v>0</v>
      </c>
      <c r="G54" s="2184">
        <v>0</v>
      </c>
      <c r="H54" s="2156">
        <v>0</v>
      </c>
    </row>
    <row r="55" spans="1:12" ht="15" customHeight="1" x14ac:dyDescent="0.2">
      <c r="A55" s="2246">
        <v>3636</v>
      </c>
      <c r="B55" s="2253">
        <v>6111</v>
      </c>
      <c r="C55" s="2254">
        <v>38100880</v>
      </c>
      <c r="D55" s="2174" t="s">
        <v>1002</v>
      </c>
      <c r="E55" s="2184">
        <v>75</v>
      </c>
      <c r="F55" s="2184">
        <v>75</v>
      </c>
      <c r="G55" s="2184">
        <v>75</v>
      </c>
      <c r="H55" s="2156">
        <f>G55/F55*100</f>
        <v>100</v>
      </c>
    </row>
    <row r="56" spans="1:12" ht="15" hidden="1" customHeight="1" x14ac:dyDescent="0.2">
      <c r="A56" s="2246">
        <v>3636</v>
      </c>
      <c r="B56" s="2253">
        <v>6111</v>
      </c>
      <c r="C56" s="2254">
        <v>38100882</v>
      </c>
      <c r="D56" s="2174" t="s">
        <v>1002</v>
      </c>
      <c r="E56" s="2184">
        <v>0</v>
      </c>
      <c r="F56" s="2184">
        <v>0</v>
      </c>
      <c r="G56" s="2184">
        <v>0</v>
      </c>
      <c r="H56" s="2156">
        <v>0</v>
      </c>
    </row>
    <row r="57" spans="1:12" s="2185" customFormat="1" ht="15" customHeight="1" x14ac:dyDescent="0.2">
      <c r="A57" s="2246">
        <v>3636</v>
      </c>
      <c r="B57" s="2253">
        <v>6111</v>
      </c>
      <c r="C57" s="2254">
        <v>38500881</v>
      </c>
      <c r="D57" s="2174" t="s">
        <v>1002</v>
      </c>
      <c r="E57" s="2184">
        <v>425</v>
      </c>
      <c r="F57" s="2184">
        <v>425</v>
      </c>
      <c r="G57" s="2184">
        <v>425</v>
      </c>
      <c r="H57" s="2156">
        <f>G57/F57*100</f>
        <v>100</v>
      </c>
    </row>
    <row r="58" spans="1:12" s="2185" customFormat="1" ht="15" x14ac:dyDescent="0.2">
      <c r="A58" s="2246">
        <v>3636</v>
      </c>
      <c r="B58" s="2253">
        <v>5901</v>
      </c>
      <c r="C58" s="2254">
        <v>0</v>
      </c>
      <c r="D58" s="2174" t="s">
        <v>670</v>
      </c>
      <c r="E58" s="2184">
        <v>5000</v>
      </c>
      <c r="F58" s="2184">
        <v>0</v>
      </c>
      <c r="G58" s="2184">
        <v>0</v>
      </c>
      <c r="H58" s="2156">
        <v>0</v>
      </c>
    </row>
    <row r="59" spans="1:12" s="2185" customFormat="1" ht="15" customHeight="1" thickBot="1" x14ac:dyDescent="0.25">
      <c r="A59" s="2246">
        <v>6330</v>
      </c>
      <c r="B59" s="2253">
        <v>5345</v>
      </c>
      <c r="C59" s="2254">
        <v>0</v>
      </c>
      <c r="D59" s="2174" t="s">
        <v>853</v>
      </c>
      <c r="E59" s="2184">
        <v>0</v>
      </c>
      <c r="F59" s="2184">
        <v>0</v>
      </c>
      <c r="G59" s="2184">
        <v>2520</v>
      </c>
      <c r="H59" s="2163">
        <v>0</v>
      </c>
    </row>
    <row r="60" spans="1:12" s="2164" customFormat="1" ht="16.5" thickTop="1" thickBot="1" x14ac:dyDescent="0.3">
      <c r="A60" s="2806" t="s">
        <v>849</v>
      </c>
      <c r="B60" s="2807"/>
      <c r="C60" s="2807"/>
      <c r="D60" s="2807"/>
      <c r="E60" s="2152">
        <f>SUM(E12:E59)</f>
        <v>9000</v>
      </c>
      <c r="F60" s="2152">
        <f>SUM(F12:F59)</f>
        <v>1747</v>
      </c>
      <c r="G60" s="2152">
        <f>SUM(G12:G59)</f>
        <v>4267</v>
      </c>
      <c r="H60" s="2163">
        <f>G60/F60*100</f>
        <v>244.24728105323413</v>
      </c>
      <c r="I60" s="2262"/>
    </row>
    <row r="61" spans="1:12" ht="13.5" thickTop="1" x14ac:dyDescent="0.2">
      <c r="I61" s="2165"/>
    </row>
    <row r="62" spans="1:12" x14ac:dyDescent="0.2">
      <c r="I62" s="2165"/>
    </row>
    <row r="64" spans="1:12" ht="16.5" x14ac:dyDescent="0.25">
      <c r="A64" s="2206" t="s">
        <v>508</v>
      </c>
      <c r="B64" s="2207"/>
      <c r="C64" s="2208"/>
      <c r="D64" s="2209"/>
      <c r="E64" s="2210">
        <f>SUM(E65:E67)</f>
        <v>9000</v>
      </c>
      <c r="F64" s="2210">
        <f>F65+F66+F67+F68</f>
        <v>1747</v>
      </c>
      <c r="G64" s="2210">
        <f>G65+G66+G67+G68</f>
        <v>4267</v>
      </c>
      <c r="H64" s="2232">
        <f>G64/F64*100</f>
        <v>244.24728105323413</v>
      </c>
      <c r="J64" s="2212">
        <f>J65+J66+J67</f>
        <v>9000000</v>
      </c>
      <c r="K64" s="2212">
        <f>K65+K66+K67</f>
        <v>1746994.18</v>
      </c>
      <c r="L64" s="2212">
        <f>L65+L66+L67</f>
        <v>4266894.1100000003</v>
      </c>
    </row>
    <row r="65" spans="1:12" ht="15" x14ac:dyDescent="0.2">
      <c r="A65" s="1810" t="s">
        <v>288</v>
      </c>
      <c r="B65" s="1813"/>
      <c r="C65" s="1808"/>
      <c r="D65" s="2213"/>
      <c r="E65" s="1811">
        <f>E12+E13+E14+E15+E16+E17+E18+E19+E20+E21+E22+E23+E24+E25+E26+E27+E28+E29+E30+E31+E32+E33+E34+E35+E36+E37+E38+E39+E40+E41+E42+E43+E44+E45+E46+E47+E48+E49+E50+E51+E52+E53+E54+E58</f>
        <v>8500</v>
      </c>
      <c r="F65" s="1811">
        <f>F12+F13+F14+F15+F16+F17+F18+F19+F20+F21+F22+F23+F24+F25+F26+F27+F28+F29+F30+F31+F32+F33+F34+F35+F36+F37+F38+F39+F40+F41+F42+F43+F44+F45+F46+F47+F48+F49+F50+F51+F52+F53+F54+F58</f>
        <v>1247</v>
      </c>
      <c r="G65" s="1811">
        <f>G12+G13+G14+G15+G16+G17+G18+G19+G20+G21+G22+G23+G24+G25+G26+G27+G28+G29+G30+G31+G32+G33+G34+G35+G36+G37+G38+G39+G40+G41+G42+G43+G44+G45+G46+G47+G48+G49+G50+G51+G52+G53+G54+G58</f>
        <v>1247</v>
      </c>
      <c r="H65" s="2231">
        <f>G65/F65*100</f>
        <v>100</v>
      </c>
      <c r="J65" s="2214">
        <v>8500000</v>
      </c>
      <c r="K65" s="2214">
        <v>1246994.18</v>
      </c>
      <c r="L65" s="2214">
        <v>1246999.18</v>
      </c>
    </row>
    <row r="66" spans="1:12" ht="15" x14ac:dyDescent="0.2">
      <c r="A66" s="1810" t="s">
        <v>289</v>
      </c>
      <c r="B66" s="1809"/>
      <c r="C66" s="1808"/>
      <c r="D66" s="2215"/>
      <c r="E66" s="1811">
        <f>E55+E56+E57</f>
        <v>500</v>
      </c>
      <c r="F66" s="1811">
        <f>F55+F56+F57</f>
        <v>500</v>
      </c>
      <c r="G66" s="1811">
        <f>G55+G56+G57</f>
        <v>500</v>
      </c>
      <c r="H66" s="2231">
        <v>0</v>
      </c>
      <c r="J66" s="2214">
        <v>500000</v>
      </c>
      <c r="K66" s="2214">
        <v>500000</v>
      </c>
      <c r="L66" s="2214">
        <v>500000</v>
      </c>
    </row>
    <row r="67" spans="1:12" ht="15" x14ac:dyDescent="0.2">
      <c r="A67" s="1810" t="s">
        <v>509</v>
      </c>
      <c r="B67" s="1809"/>
      <c r="C67" s="1808"/>
      <c r="D67" s="2215"/>
      <c r="E67" s="1811">
        <f>E59</f>
        <v>0</v>
      </c>
      <c r="F67" s="1811">
        <f>F59</f>
        <v>0</v>
      </c>
      <c r="G67" s="1811">
        <f>G59</f>
        <v>2520</v>
      </c>
      <c r="H67" s="2231">
        <v>0</v>
      </c>
      <c r="J67" s="2214">
        <v>0</v>
      </c>
      <c r="K67" s="2214">
        <v>0</v>
      </c>
      <c r="L67" s="2214">
        <v>2519894.9300000002</v>
      </c>
    </row>
    <row r="68" spans="1:12" ht="15" x14ac:dyDescent="0.2">
      <c r="A68" s="1810"/>
      <c r="B68" s="1809"/>
      <c r="C68" s="1808"/>
      <c r="D68" s="2215"/>
      <c r="E68" s="1811"/>
      <c r="F68" s="1811"/>
      <c r="G68" s="1811"/>
      <c r="H68" s="1807"/>
    </row>
    <row r="69" spans="1:12" ht="46.5" customHeight="1" thickBot="1" x14ac:dyDescent="0.4">
      <c r="A69" s="2800" t="s">
        <v>327</v>
      </c>
      <c r="B69" s="2801"/>
      <c r="C69" s="2801"/>
      <c r="D69" s="2801"/>
      <c r="E69" s="1801">
        <f>SUM(E64)</f>
        <v>9000</v>
      </c>
      <c r="F69" s="1801">
        <f>SUM(F64)</f>
        <v>1747</v>
      </c>
      <c r="G69" s="1801">
        <f>SUM(G64)</f>
        <v>4267</v>
      </c>
      <c r="H69" s="1800">
        <f>(G69/F69)*100</f>
        <v>244.24728105323413</v>
      </c>
    </row>
    <row r="70" spans="1:12" ht="13.5" thickTop="1" x14ac:dyDescent="0.2"/>
    <row r="189" spans="1:5" ht="13.5" thickBot="1" x14ac:dyDescent="0.25">
      <c r="A189" s="2179"/>
      <c r="B189" s="2179"/>
      <c r="C189" s="2179"/>
      <c r="D189" s="2264"/>
      <c r="E189" s="2265"/>
    </row>
    <row r="190" spans="1:5" ht="13.5" thickTop="1" x14ac:dyDescent="0.2">
      <c r="A190" s="2204"/>
      <c r="B190" s="2204"/>
      <c r="C190" s="2204"/>
      <c r="D190" s="2193"/>
      <c r="E190" s="2266"/>
    </row>
    <row r="191" spans="1:5" x14ac:dyDescent="0.2">
      <c r="D191" s="2131" t="e">
        <f>#REF!+#REF!</f>
        <v>#REF!</v>
      </c>
    </row>
  </sheetData>
  <mergeCells count="2">
    <mergeCell ref="A60:D60"/>
    <mergeCell ref="A69:D69"/>
  </mergeCells>
  <pageMargins left="0.98425196850393704" right="0.78740157480314965" top="0.98425196850393704" bottom="0.98425196850393704" header="0.51181102362204722" footer="0.51181102362204722"/>
  <pageSetup paperSize="9" scale="66" firstPageNumber="167" orientation="portrait" useFirstPageNumber="1" r:id="rId1"/>
  <headerFooter alignWithMargins="0">
    <oddFooter xml:space="preserve">&amp;L&amp;"Arial,Kurzíva"Zastupitelstvo Olomouckého kraje 28. 6. 2013
6.- Závěrečný  účet Olomuckého kraje za rok 2012
Příloha č. 3: Plnění rozpočtu výdajů Olomouckého kraje k 31.12.2012&amp;R&amp;"Arial,Kurzíva"Strana &amp;P (Celkem 484)
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2"/>
  </sheetPr>
  <dimension ref="A1:H35"/>
  <sheetViews>
    <sheetView showGridLines="0" topLeftCell="A13" workbookViewId="0">
      <selection activeCell="J25" sqref="J25"/>
    </sheetView>
  </sheetViews>
  <sheetFormatPr defaultRowHeight="12.75" x14ac:dyDescent="0.2"/>
  <cols>
    <col min="1" max="1" width="4.7109375" style="318" customWidth="1"/>
    <col min="2" max="2" width="6.7109375" style="318" customWidth="1"/>
    <col min="3" max="3" width="9" style="318" bestFit="1" customWidth="1"/>
    <col min="4" max="4" width="46.42578125" customWidth="1"/>
    <col min="5" max="5" width="13.85546875" style="327" customWidth="1"/>
    <col min="6" max="6" width="16.85546875" style="327" customWidth="1"/>
    <col min="7" max="7" width="13.85546875" style="327" customWidth="1"/>
    <col min="8" max="8" width="7" customWidth="1"/>
  </cols>
  <sheetData>
    <row r="1" spans="1:8" ht="18.75" thickBot="1" x14ac:dyDescent="0.3">
      <c r="A1" s="412" t="s">
        <v>387</v>
      </c>
      <c r="B1" s="413"/>
      <c r="C1" s="413"/>
      <c r="D1" s="413"/>
      <c r="E1" s="413"/>
      <c r="F1" s="311"/>
      <c r="G1" s="311"/>
    </row>
    <row r="2" spans="1:8" ht="18" x14ac:dyDescent="0.25">
      <c r="B2" s="311"/>
      <c r="C2" s="311"/>
      <c r="D2" s="311"/>
      <c r="E2" s="311"/>
      <c r="F2" s="311"/>
      <c r="G2" s="311"/>
      <c r="H2" s="326" t="s">
        <v>1373</v>
      </c>
    </row>
    <row r="3" spans="1:8" s="120" customFormat="1" ht="16.5" customHeight="1" x14ac:dyDescent="0.25">
      <c r="A3" s="67" t="s">
        <v>404</v>
      </c>
      <c r="B3" s="28"/>
      <c r="C3" s="143" t="s">
        <v>42</v>
      </c>
      <c r="D3" s="394"/>
      <c r="F3" s="404"/>
    </row>
    <row r="4" spans="1:8" s="120" customFormat="1" ht="12.75" customHeight="1" x14ac:dyDescent="0.25">
      <c r="A4" s="6"/>
      <c r="B4" s="28"/>
      <c r="C4" s="143" t="s">
        <v>43</v>
      </c>
      <c r="D4" s="394"/>
      <c r="F4" s="404"/>
    </row>
    <row r="5" spans="1:8" ht="18" x14ac:dyDescent="0.25">
      <c r="A5" s="353" t="s">
        <v>1372</v>
      </c>
      <c r="B5" s="311"/>
      <c r="C5" s="311"/>
      <c r="D5" s="311"/>
      <c r="E5" s="311"/>
      <c r="F5" s="311"/>
      <c r="G5" s="311"/>
      <c r="H5" s="326"/>
    </row>
    <row r="6" spans="1:8" ht="18" x14ac:dyDescent="0.25">
      <c r="A6" s="325" t="s">
        <v>386</v>
      </c>
      <c r="B6" s="311"/>
      <c r="C6" s="311"/>
      <c r="D6" s="311"/>
      <c r="E6" s="311"/>
      <c r="F6" s="311"/>
      <c r="G6" s="311"/>
      <c r="H6" s="326"/>
    </row>
    <row r="7" spans="1:8" ht="18" x14ac:dyDescent="0.25">
      <c r="A7" s="325"/>
      <c r="B7" s="311"/>
      <c r="C7" s="311"/>
      <c r="D7" s="311"/>
      <c r="E7" s="311"/>
      <c r="F7" s="311"/>
      <c r="G7" s="311"/>
      <c r="H7" s="326"/>
    </row>
    <row r="8" spans="1:8" ht="13.5" thickBot="1" x14ac:dyDescent="0.25">
      <c r="H8" s="344" t="s">
        <v>1379</v>
      </c>
    </row>
    <row r="9" spans="1:8" s="323" customFormat="1" ht="25.5" thickTop="1" thickBot="1" x14ac:dyDescent="0.25">
      <c r="A9" s="328" t="s">
        <v>180</v>
      </c>
      <c r="B9" s="329" t="s">
        <v>847</v>
      </c>
      <c r="C9" s="329" t="s">
        <v>414</v>
      </c>
      <c r="D9" s="330" t="s">
        <v>182</v>
      </c>
      <c r="E9" s="331" t="s">
        <v>700</v>
      </c>
      <c r="F9" s="331" t="s">
        <v>701</v>
      </c>
      <c r="G9" s="332" t="s">
        <v>986</v>
      </c>
      <c r="H9" s="333" t="s">
        <v>987</v>
      </c>
    </row>
    <row r="10" spans="1:8" s="355" customFormat="1" thickTop="1" thickBot="1" x14ac:dyDescent="0.25">
      <c r="A10" s="319">
        <v>1</v>
      </c>
      <c r="B10" s="320">
        <v>2</v>
      </c>
      <c r="C10" s="320">
        <v>3</v>
      </c>
      <c r="D10" s="320">
        <v>5</v>
      </c>
      <c r="E10" s="321">
        <v>6</v>
      </c>
      <c r="F10" s="321">
        <v>7</v>
      </c>
      <c r="G10" s="322">
        <v>8</v>
      </c>
      <c r="H10" s="324" t="s">
        <v>848</v>
      </c>
    </row>
    <row r="11" spans="1:8" s="311" customFormat="1" ht="15.75" thickTop="1" x14ac:dyDescent="0.25">
      <c r="A11" s="334">
        <v>3636</v>
      </c>
      <c r="B11" s="335">
        <v>5011</v>
      </c>
      <c r="C11" s="405">
        <v>6500801</v>
      </c>
      <c r="D11" s="390" t="s">
        <v>225</v>
      </c>
      <c r="E11" s="408"/>
      <c r="F11" s="408">
        <v>190</v>
      </c>
      <c r="G11" s="409">
        <v>164</v>
      </c>
      <c r="H11" s="430">
        <f>G11/F11*100</f>
        <v>86.31578947368422</v>
      </c>
    </row>
    <row r="12" spans="1:8" ht="15" x14ac:dyDescent="0.2">
      <c r="A12" s="347">
        <v>3636</v>
      </c>
      <c r="B12" s="345">
        <v>5019</v>
      </c>
      <c r="C12" s="395">
        <v>6500801</v>
      </c>
      <c r="D12" s="389" t="s">
        <v>1381</v>
      </c>
      <c r="E12" s="406"/>
      <c r="F12" s="406">
        <v>790</v>
      </c>
      <c r="G12" s="407">
        <v>749</v>
      </c>
      <c r="H12" s="410">
        <f t="shared" ref="H12:H23" si="0">G12/F12*100</f>
        <v>94.810126582278471</v>
      </c>
    </row>
    <row r="13" spans="1:8" ht="15" x14ac:dyDescent="0.2">
      <c r="A13" s="347">
        <v>3636</v>
      </c>
      <c r="B13" s="345">
        <v>5021</v>
      </c>
      <c r="C13" s="395">
        <v>6500801</v>
      </c>
      <c r="D13" s="389" t="s">
        <v>427</v>
      </c>
      <c r="E13" s="406"/>
      <c r="F13" s="406">
        <v>400</v>
      </c>
      <c r="G13" s="407">
        <v>367</v>
      </c>
      <c r="H13" s="410">
        <f t="shared" si="0"/>
        <v>91.75</v>
      </c>
    </row>
    <row r="14" spans="1:8" ht="30" x14ac:dyDescent="0.2">
      <c r="A14" s="347">
        <v>3636</v>
      </c>
      <c r="B14" s="345">
        <v>5031</v>
      </c>
      <c r="C14" s="395">
        <v>6500801</v>
      </c>
      <c r="D14" s="389" t="s">
        <v>1321</v>
      </c>
      <c r="E14" s="406"/>
      <c r="F14" s="406">
        <v>113</v>
      </c>
      <c r="G14" s="407">
        <v>43</v>
      </c>
      <c r="H14" s="410">
        <f t="shared" si="0"/>
        <v>38.053097345132741</v>
      </c>
    </row>
    <row r="15" spans="1:8" ht="30" x14ac:dyDescent="0.2">
      <c r="A15" s="347">
        <v>3636</v>
      </c>
      <c r="B15" s="345">
        <v>5032</v>
      </c>
      <c r="C15" s="395">
        <v>6500801</v>
      </c>
      <c r="D15" s="389" t="s">
        <v>1322</v>
      </c>
      <c r="E15" s="406"/>
      <c r="F15" s="406">
        <v>44</v>
      </c>
      <c r="G15" s="407">
        <v>15</v>
      </c>
      <c r="H15" s="410">
        <f t="shared" si="0"/>
        <v>34.090909090909086</v>
      </c>
    </row>
    <row r="16" spans="1:8" ht="30" x14ac:dyDescent="0.2">
      <c r="A16" s="347">
        <v>3636</v>
      </c>
      <c r="B16" s="345">
        <v>5039</v>
      </c>
      <c r="C16" s="395">
        <v>6500801</v>
      </c>
      <c r="D16" s="389" t="s">
        <v>1313</v>
      </c>
      <c r="E16" s="406"/>
      <c r="F16" s="406">
        <v>238</v>
      </c>
      <c r="G16" s="407">
        <v>0</v>
      </c>
      <c r="H16" s="410">
        <f t="shared" si="0"/>
        <v>0</v>
      </c>
    </row>
    <row r="17" spans="1:8" ht="15" x14ac:dyDescent="0.2">
      <c r="A17" s="347">
        <v>3636</v>
      </c>
      <c r="B17" s="345">
        <v>5139</v>
      </c>
      <c r="C17" s="395">
        <v>6500800</v>
      </c>
      <c r="D17" s="389" t="s">
        <v>851</v>
      </c>
      <c r="E17" s="406"/>
      <c r="F17" s="406">
        <v>30</v>
      </c>
      <c r="G17" s="407">
        <v>19</v>
      </c>
      <c r="H17" s="410">
        <f t="shared" si="0"/>
        <v>63.333333333333329</v>
      </c>
    </row>
    <row r="18" spans="1:8" ht="15" x14ac:dyDescent="0.2">
      <c r="A18" s="347">
        <v>3636</v>
      </c>
      <c r="B18" s="345">
        <v>5163</v>
      </c>
      <c r="C18" s="395">
        <v>6500800</v>
      </c>
      <c r="D18" s="389" t="s">
        <v>997</v>
      </c>
      <c r="E18" s="406"/>
      <c r="F18" s="406">
        <v>1</v>
      </c>
      <c r="G18" s="407">
        <v>1</v>
      </c>
      <c r="H18" s="410">
        <f t="shared" si="0"/>
        <v>100</v>
      </c>
    </row>
    <row r="19" spans="1:8" ht="15" x14ac:dyDescent="0.2">
      <c r="A19" s="347">
        <v>3636</v>
      </c>
      <c r="B19" s="345">
        <v>5164</v>
      </c>
      <c r="C19" s="395">
        <v>6500801</v>
      </c>
      <c r="D19" s="389" t="s">
        <v>188</v>
      </c>
      <c r="E19" s="406"/>
      <c r="F19" s="406">
        <v>25</v>
      </c>
      <c r="G19" s="407">
        <v>24</v>
      </c>
      <c r="H19" s="410">
        <f t="shared" si="0"/>
        <v>96</v>
      </c>
    </row>
    <row r="20" spans="1:8" ht="15" x14ac:dyDescent="0.2">
      <c r="A20" s="347">
        <v>3636</v>
      </c>
      <c r="B20" s="345">
        <v>5169</v>
      </c>
      <c r="C20" s="395">
        <v>6500801</v>
      </c>
      <c r="D20" s="389" t="s">
        <v>955</v>
      </c>
      <c r="E20" s="406"/>
      <c r="F20" s="406">
        <v>1403</v>
      </c>
      <c r="G20" s="407">
        <v>1170</v>
      </c>
      <c r="H20" s="410">
        <f t="shared" si="0"/>
        <v>83.392729864575912</v>
      </c>
    </row>
    <row r="21" spans="1:8" ht="15" x14ac:dyDescent="0.2">
      <c r="A21" s="347">
        <v>3636</v>
      </c>
      <c r="B21" s="345">
        <v>5169</v>
      </c>
      <c r="C21" s="395">
        <v>6500802</v>
      </c>
      <c r="D21" s="389" t="s">
        <v>955</v>
      </c>
      <c r="E21" s="406"/>
      <c r="F21" s="406">
        <v>453</v>
      </c>
      <c r="G21" s="407">
        <v>453</v>
      </c>
      <c r="H21" s="410">
        <f t="shared" si="0"/>
        <v>100</v>
      </c>
    </row>
    <row r="22" spans="1:8" ht="15" x14ac:dyDescent="0.2">
      <c r="A22" s="347">
        <v>3636</v>
      </c>
      <c r="B22" s="345">
        <v>5173</v>
      </c>
      <c r="C22" s="395">
        <v>6500800</v>
      </c>
      <c r="D22" s="389" t="s">
        <v>1296</v>
      </c>
      <c r="E22" s="406"/>
      <c r="F22" s="406">
        <v>3</v>
      </c>
      <c r="G22" s="407">
        <v>0</v>
      </c>
      <c r="H22" s="410">
        <f t="shared" si="0"/>
        <v>0</v>
      </c>
    </row>
    <row r="23" spans="1:8" ht="15" x14ac:dyDescent="0.2">
      <c r="A23" s="347">
        <v>3636</v>
      </c>
      <c r="B23" s="345">
        <v>5175</v>
      </c>
      <c r="C23" s="395">
        <v>6500800</v>
      </c>
      <c r="D23" s="389" t="s">
        <v>740</v>
      </c>
      <c r="E23" s="406"/>
      <c r="F23" s="406">
        <v>30</v>
      </c>
      <c r="G23" s="407">
        <v>22</v>
      </c>
      <c r="H23" s="410">
        <f t="shared" si="0"/>
        <v>73.333333333333329</v>
      </c>
    </row>
    <row r="24" spans="1:8" s="348" customFormat="1" ht="15.75" thickBot="1" x14ac:dyDescent="0.25">
      <c r="A24" s="347">
        <v>6330</v>
      </c>
      <c r="B24" s="345">
        <v>5345</v>
      </c>
      <c r="C24" s="345"/>
      <c r="D24" s="389" t="s">
        <v>853</v>
      </c>
      <c r="E24" s="406"/>
      <c r="F24" s="406"/>
      <c r="G24" s="407">
        <v>3602</v>
      </c>
      <c r="H24" s="411"/>
    </row>
    <row r="25" spans="1:8" s="69" customFormat="1" ht="16.5" thickTop="1" thickBot="1" x14ac:dyDescent="0.3">
      <c r="A25" s="2823" t="s">
        <v>849</v>
      </c>
      <c r="B25" s="2824"/>
      <c r="C25" s="2824"/>
      <c r="D25" s="2824"/>
      <c r="E25" s="336">
        <f>SUM(E11:E24)</f>
        <v>0</v>
      </c>
      <c r="F25" s="336">
        <f>SUM(F11:F24)</f>
        <v>3720</v>
      </c>
      <c r="G25" s="396">
        <f>SUM(G11:G24)</f>
        <v>6629</v>
      </c>
      <c r="H25" s="354">
        <f>G25/F25*100</f>
        <v>178.19892473118279</v>
      </c>
    </row>
    <row r="26" spans="1:8" s="340" customFormat="1" ht="15.75" thickTop="1" x14ac:dyDescent="0.25">
      <c r="A26" s="337" t="s">
        <v>850</v>
      </c>
      <c r="B26" s="338"/>
      <c r="C26" s="338"/>
      <c r="D26" s="339"/>
      <c r="E26" s="387"/>
      <c r="F26" s="387"/>
      <c r="G26" s="387">
        <f>SUM(G24)</f>
        <v>3602</v>
      </c>
      <c r="H26" s="375"/>
    </row>
    <row r="27" spans="1:8" s="340" customFormat="1" ht="15.75" thickBot="1" x14ac:dyDescent="0.3">
      <c r="A27" s="341" t="s">
        <v>855</v>
      </c>
      <c r="B27" s="342"/>
      <c r="C27" s="342"/>
      <c r="D27" s="343"/>
      <c r="E27" s="388">
        <f>E25-E26</f>
        <v>0</v>
      </c>
      <c r="F27" s="388">
        <f>F25-F26</f>
        <v>3720</v>
      </c>
      <c r="G27" s="388">
        <f>G25-G26</f>
        <v>3027</v>
      </c>
      <c r="H27" s="376">
        <f>G27/F27*100</f>
        <v>81.370967741935488</v>
      </c>
    </row>
    <row r="28" spans="1:8" s="340" customFormat="1" ht="15.75" thickTop="1" x14ac:dyDescent="0.25">
      <c r="A28" s="338"/>
      <c r="B28" s="338"/>
      <c r="C28" s="338"/>
      <c r="D28" s="338"/>
      <c r="E28" s="351"/>
      <c r="F28" s="351"/>
      <c r="G28" s="351"/>
      <c r="H28" s="346"/>
    </row>
    <row r="29" spans="1:8" s="401" customFormat="1" ht="16.5" x14ac:dyDescent="0.25">
      <c r="A29" s="397" t="s">
        <v>508</v>
      </c>
      <c r="B29" s="398"/>
      <c r="C29" s="399"/>
      <c r="D29" s="400"/>
      <c r="E29" s="100">
        <f>SUM(E30:E32)</f>
        <v>0</v>
      </c>
      <c r="F29" s="100">
        <f>F30+F31+F32+F33</f>
        <v>3720</v>
      </c>
      <c r="G29" s="100">
        <f>G30+G31+G32+G33</f>
        <v>6629</v>
      </c>
      <c r="H29" s="431">
        <f>G29/F29*100</f>
        <v>178.19892473118279</v>
      </c>
    </row>
    <row r="30" spans="1:8" s="66" customFormat="1" ht="15" x14ac:dyDescent="0.2">
      <c r="A30" s="260" t="s">
        <v>288</v>
      </c>
      <c r="B30" s="102"/>
      <c r="C30" s="171"/>
      <c r="D30" s="104"/>
      <c r="E30" s="262">
        <f>SUM(E11:E23)</f>
        <v>0</v>
      </c>
      <c r="F30" s="262">
        <f>SUM(F11:F23)</f>
        <v>3720</v>
      </c>
      <c r="G30" s="262">
        <f>SUM(G11:G23)</f>
        <v>3027</v>
      </c>
      <c r="H30" s="432">
        <f>G30/F30*100</f>
        <v>81.370967741935488</v>
      </c>
    </row>
    <row r="31" spans="1:8" s="66" customFormat="1" ht="15" x14ac:dyDescent="0.2">
      <c r="A31" s="260" t="s">
        <v>289</v>
      </c>
      <c r="B31" s="101"/>
      <c r="C31" s="171"/>
      <c r="D31" s="106"/>
      <c r="E31" s="262">
        <v>0</v>
      </c>
      <c r="F31" s="262">
        <v>0</v>
      </c>
      <c r="G31" s="262">
        <v>0</v>
      </c>
      <c r="H31" s="302">
        <v>0</v>
      </c>
    </row>
    <row r="32" spans="1:8" s="66" customFormat="1" ht="15" x14ac:dyDescent="0.2">
      <c r="A32" s="260" t="s">
        <v>509</v>
      </c>
      <c r="B32" s="101"/>
      <c r="C32" s="171"/>
      <c r="D32" s="106"/>
      <c r="E32" s="262">
        <f>SUM(E24)</f>
        <v>0</v>
      </c>
      <c r="F32" s="262">
        <f>SUM(F24)</f>
        <v>0</v>
      </c>
      <c r="G32" s="262">
        <f>SUM(G24)</f>
        <v>3602</v>
      </c>
      <c r="H32" s="302">
        <v>0</v>
      </c>
    </row>
    <row r="33" spans="1:8" s="66" customFormat="1" ht="15" x14ac:dyDescent="0.2">
      <c r="A33" s="260"/>
      <c r="B33" s="101"/>
      <c r="C33" s="171"/>
      <c r="D33" s="106"/>
      <c r="E33" s="262"/>
      <c r="F33" s="262"/>
      <c r="G33" s="262"/>
      <c r="H33" s="303"/>
    </row>
    <row r="34" spans="1:8" s="58" customFormat="1" ht="52.5" customHeight="1" thickBot="1" x14ac:dyDescent="0.4">
      <c r="A34" s="2727" t="s">
        <v>1371</v>
      </c>
      <c r="B34" s="2822"/>
      <c r="C34" s="2822"/>
      <c r="D34" s="2822"/>
      <c r="E34" s="44">
        <f>SUM(E29)</f>
        <v>0</v>
      </c>
      <c r="F34" s="44">
        <f>SUM(F29)</f>
        <v>3720</v>
      </c>
      <c r="G34" s="44">
        <f>SUM(G29)</f>
        <v>6629</v>
      </c>
      <c r="H34" s="371">
        <f>(G34/F34)*100</f>
        <v>178.19892473118279</v>
      </c>
    </row>
    <row r="35" spans="1:8" ht="13.5" thickTop="1" x14ac:dyDescent="0.2"/>
  </sheetData>
  <mergeCells count="2">
    <mergeCell ref="A34:D34"/>
    <mergeCell ref="A25:D25"/>
  </mergeCells>
  <phoneticPr fontId="33" type="noConversion"/>
  <pageMargins left="0.78740157480314965" right="0.78740157480314965" top="0.98425196850393704" bottom="0.98425196850393704" header="0.51181102362204722" footer="0.51181102362204722"/>
  <pageSetup paperSize="9" scale="70" firstPageNumber="136" orientation="portrait" useFirstPageNumber="1" r:id="rId1"/>
  <headerFooter alignWithMargins="0">
    <oddFooter xml:space="preserve">&amp;L&amp;"Arial,Kurzíva"Zastupitelstvo Olomouckého kraje 21.4.2008
5. - Rozpočet Olomouckého kraje 2007- závěrečný účet
Příloha č. 3:Plnění rozpočtu výdajů Olomouckého kraje k 31.12.2007
&amp;R&amp;"Arial,Kurzíva"Strana &amp;P (celkem 414)
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219"/>
  <sheetViews>
    <sheetView view="pageBreakPreview" topLeftCell="A193" zoomScaleNormal="100" zoomScaleSheetLayoutView="100" workbookViewId="0">
      <selection activeCell="C208" sqref="C208"/>
    </sheetView>
  </sheetViews>
  <sheetFormatPr defaultRowHeight="12.75" x14ac:dyDescent="0.2"/>
  <cols>
    <col min="1" max="1" width="4.7109375" style="2345" customWidth="1"/>
    <col min="2" max="2" width="6.7109375" style="2345" customWidth="1"/>
    <col min="3" max="3" width="8.85546875" style="2345" customWidth="1"/>
    <col min="4" max="4" width="47.85546875" style="2345" customWidth="1"/>
    <col min="5" max="5" width="12.85546875" style="2345" customWidth="1"/>
    <col min="6" max="6" width="15.5703125" style="2345" customWidth="1"/>
    <col min="7" max="7" width="15.85546875" style="2345" customWidth="1"/>
    <col min="8" max="8" width="9.140625" style="2345" customWidth="1"/>
    <col min="9" max="10" width="9.140625" style="2345"/>
    <col min="11" max="11" width="18.85546875" style="2345" customWidth="1"/>
    <col min="12" max="12" width="17.7109375" style="2345" customWidth="1"/>
    <col min="13" max="256" width="9.140625" style="2345"/>
    <col min="257" max="257" width="4.7109375" style="2345" customWidth="1"/>
    <col min="258" max="258" width="6.7109375" style="2345" customWidth="1"/>
    <col min="259" max="259" width="8.85546875" style="2345" customWidth="1"/>
    <col min="260" max="260" width="47.85546875" style="2345" customWidth="1"/>
    <col min="261" max="261" width="12.85546875" style="2345" customWidth="1"/>
    <col min="262" max="262" width="15.5703125" style="2345" customWidth="1"/>
    <col min="263" max="263" width="15.85546875" style="2345" customWidth="1"/>
    <col min="264" max="264" width="6.42578125" style="2345" customWidth="1"/>
    <col min="265" max="266" width="9.140625" style="2345"/>
    <col min="267" max="267" width="18.85546875" style="2345" customWidth="1"/>
    <col min="268" max="268" width="17.7109375" style="2345" customWidth="1"/>
    <col min="269" max="512" width="9.140625" style="2345"/>
    <col min="513" max="513" width="4.7109375" style="2345" customWidth="1"/>
    <col min="514" max="514" width="6.7109375" style="2345" customWidth="1"/>
    <col min="515" max="515" width="8.85546875" style="2345" customWidth="1"/>
    <col min="516" max="516" width="47.85546875" style="2345" customWidth="1"/>
    <col min="517" max="517" width="12.85546875" style="2345" customWidth="1"/>
    <col min="518" max="518" width="15.5703125" style="2345" customWidth="1"/>
    <col min="519" max="519" width="15.85546875" style="2345" customWidth="1"/>
    <col min="520" max="520" width="6.42578125" style="2345" customWidth="1"/>
    <col min="521" max="522" width="9.140625" style="2345"/>
    <col min="523" max="523" width="18.85546875" style="2345" customWidth="1"/>
    <col min="524" max="524" width="17.7109375" style="2345" customWidth="1"/>
    <col min="525" max="768" width="9.140625" style="2345"/>
    <col min="769" max="769" width="4.7109375" style="2345" customWidth="1"/>
    <col min="770" max="770" width="6.7109375" style="2345" customWidth="1"/>
    <col min="771" max="771" width="8.85546875" style="2345" customWidth="1"/>
    <col min="772" max="772" width="47.85546875" style="2345" customWidth="1"/>
    <col min="773" max="773" width="12.85546875" style="2345" customWidth="1"/>
    <col min="774" max="774" width="15.5703125" style="2345" customWidth="1"/>
    <col min="775" max="775" width="15.85546875" style="2345" customWidth="1"/>
    <col min="776" max="776" width="6.42578125" style="2345" customWidth="1"/>
    <col min="777" max="778" width="9.140625" style="2345"/>
    <col min="779" max="779" width="18.85546875" style="2345" customWidth="1"/>
    <col min="780" max="780" width="17.7109375" style="2345" customWidth="1"/>
    <col min="781" max="1024" width="9.140625" style="2345"/>
    <col min="1025" max="1025" width="4.7109375" style="2345" customWidth="1"/>
    <col min="1026" max="1026" width="6.7109375" style="2345" customWidth="1"/>
    <col min="1027" max="1027" width="8.85546875" style="2345" customWidth="1"/>
    <col min="1028" max="1028" width="47.85546875" style="2345" customWidth="1"/>
    <col min="1029" max="1029" width="12.85546875" style="2345" customWidth="1"/>
    <col min="1030" max="1030" width="15.5703125" style="2345" customWidth="1"/>
    <col min="1031" max="1031" width="15.85546875" style="2345" customWidth="1"/>
    <col min="1032" max="1032" width="6.42578125" style="2345" customWidth="1"/>
    <col min="1033" max="1034" width="9.140625" style="2345"/>
    <col min="1035" max="1035" width="18.85546875" style="2345" customWidth="1"/>
    <col min="1036" max="1036" width="17.7109375" style="2345" customWidth="1"/>
    <col min="1037" max="1280" width="9.140625" style="2345"/>
    <col min="1281" max="1281" width="4.7109375" style="2345" customWidth="1"/>
    <col min="1282" max="1282" width="6.7109375" style="2345" customWidth="1"/>
    <col min="1283" max="1283" width="8.85546875" style="2345" customWidth="1"/>
    <col min="1284" max="1284" width="47.85546875" style="2345" customWidth="1"/>
    <col min="1285" max="1285" width="12.85546875" style="2345" customWidth="1"/>
    <col min="1286" max="1286" width="15.5703125" style="2345" customWidth="1"/>
    <col min="1287" max="1287" width="15.85546875" style="2345" customWidth="1"/>
    <col min="1288" max="1288" width="6.42578125" style="2345" customWidth="1"/>
    <col min="1289" max="1290" width="9.140625" style="2345"/>
    <col min="1291" max="1291" width="18.85546875" style="2345" customWidth="1"/>
    <col min="1292" max="1292" width="17.7109375" style="2345" customWidth="1"/>
    <col min="1293" max="1536" width="9.140625" style="2345"/>
    <col min="1537" max="1537" width="4.7109375" style="2345" customWidth="1"/>
    <col min="1538" max="1538" width="6.7109375" style="2345" customWidth="1"/>
    <col min="1539" max="1539" width="8.85546875" style="2345" customWidth="1"/>
    <col min="1540" max="1540" width="47.85546875" style="2345" customWidth="1"/>
    <col min="1541" max="1541" width="12.85546875" style="2345" customWidth="1"/>
    <col min="1542" max="1542" width="15.5703125" style="2345" customWidth="1"/>
    <col min="1543" max="1543" width="15.85546875" style="2345" customWidth="1"/>
    <col min="1544" max="1544" width="6.42578125" style="2345" customWidth="1"/>
    <col min="1545" max="1546" width="9.140625" style="2345"/>
    <col min="1547" max="1547" width="18.85546875" style="2345" customWidth="1"/>
    <col min="1548" max="1548" width="17.7109375" style="2345" customWidth="1"/>
    <col min="1549" max="1792" width="9.140625" style="2345"/>
    <col min="1793" max="1793" width="4.7109375" style="2345" customWidth="1"/>
    <col min="1794" max="1794" width="6.7109375" style="2345" customWidth="1"/>
    <col min="1795" max="1795" width="8.85546875" style="2345" customWidth="1"/>
    <col min="1796" max="1796" width="47.85546875" style="2345" customWidth="1"/>
    <col min="1797" max="1797" width="12.85546875" style="2345" customWidth="1"/>
    <col min="1798" max="1798" width="15.5703125" style="2345" customWidth="1"/>
    <col min="1799" max="1799" width="15.85546875" style="2345" customWidth="1"/>
    <col min="1800" max="1800" width="6.42578125" style="2345" customWidth="1"/>
    <col min="1801" max="1802" width="9.140625" style="2345"/>
    <col min="1803" max="1803" width="18.85546875" style="2345" customWidth="1"/>
    <col min="1804" max="1804" width="17.7109375" style="2345" customWidth="1"/>
    <col min="1805" max="2048" width="9.140625" style="2345"/>
    <col min="2049" max="2049" width="4.7109375" style="2345" customWidth="1"/>
    <col min="2050" max="2050" width="6.7109375" style="2345" customWidth="1"/>
    <col min="2051" max="2051" width="8.85546875" style="2345" customWidth="1"/>
    <col min="2052" max="2052" width="47.85546875" style="2345" customWidth="1"/>
    <col min="2053" max="2053" width="12.85546875" style="2345" customWidth="1"/>
    <col min="2054" max="2054" width="15.5703125" style="2345" customWidth="1"/>
    <col min="2055" max="2055" width="15.85546875" style="2345" customWidth="1"/>
    <col min="2056" max="2056" width="6.42578125" style="2345" customWidth="1"/>
    <col min="2057" max="2058" width="9.140625" style="2345"/>
    <col min="2059" max="2059" width="18.85546875" style="2345" customWidth="1"/>
    <col min="2060" max="2060" width="17.7109375" style="2345" customWidth="1"/>
    <col min="2061" max="2304" width="9.140625" style="2345"/>
    <col min="2305" max="2305" width="4.7109375" style="2345" customWidth="1"/>
    <col min="2306" max="2306" width="6.7109375" style="2345" customWidth="1"/>
    <col min="2307" max="2307" width="8.85546875" style="2345" customWidth="1"/>
    <col min="2308" max="2308" width="47.85546875" style="2345" customWidth="1"/>
    <col min="2309" max="2309" width="12.85546875" style="2345" customWidth="1"/>
    <col min="2310" max="2310" width="15.5703125" style="2345" customWidth="1"/>
    <col min="2311" max="2311" width="15.85546875" style="2345" customWidth="1"/>
    <col min="2312" max="2312" width="6.42578125" style="2345" customWidth="1"/>
    <col min="2313" max="2314" width="9.140625" style="2345"/>
    <col min="2315" max="2315" width="18.85546875" style="2345" customWidth="1"/>
    <col min="2316" max="2316" width="17.7109375" style="2345" customWidth="1"/>
    <col min="2317" max="2560" width="9.140625" style="2345"/>
    <col min="2561" max="2561" width="4.7109375" style="2345" customWidth="1"/>
    <col min="2562" max="2562" width="6.7109375" style="2345" customWidth="1"/>
    <col min="2563" max="2563" width="8.85546875" style="2345" customWidth="1"/>
    <col min="2564" max="2564" width="47.85546875" style="2345" customWidth="1"/>
    <col min="2565" max="2565" width="12.85546875" style="2345" customWidth="1"/>
    <col min="2566" max="2566" width="15.5703125" style="2345" customWidth="1"/>
    <col min="2567" max="2567" width="15.85546875" style="2345" customWidth="1"/>
    <col min="2568" max="2568" width="6.42578125" style="2345" customWidth="1"/>
    <col min="2569" max="2570" width="9.140625" style="2345"/>
    <col min="2571" max="2571" width="18.85546875" style="2345" customWidth="1"/>
    <col min="2572" max="2572" width="17.7109375" style="2345" customWidth="1"/>
    <col min="2573" max="2816" width="9.140625" style="2345"/>
    <col min="2817" max="2817" width="4.7109375" style="2345" customWidth="1"/>
    <col min="2818" max="2818" width="6.7109375" style="2345" customWidth="1"/>
    <col min="2819" max="2819" width="8.85546875" style="2345" customWidth="1"/>
    <col min="2820" max="2820" width="47.85546875" style="2345" customWidth="1"/>
    <col min="2821" max="2821" width="12.85546875" style="2345" customWidth="1"/>
    <col min="2822" max="2822" width="15.5703125" style="2345" customWidth="1"/>
    <col min="2823" max="2823" width="15.85546875" style="2345" customWidth="1"/>
    <col min="2824" max="2824" width="6.42578125" style="2345" customWidth="1"/>
    <col min="2825" max="2826" width="9.140625" style="2345"/>
    <col min="2827" max="2827" width="18.85546875" style="2345" customWidth="1"/>
    <col min="2828" max="2828" width="17.7109375" style="2345" customWidth="1"/>
    <col min="2829" max="3072" width="9.140625" style="2345"/>
    <col min="3073" max="3073" width="4.7109375" style="2345" customWidth="1"/>
    <col min="3074" max="3074" width="6.7109375" style="2345" customWidth="1"/>
    <col min="3075" max="3075" width="8.85546875" style="2345" customWidth="1"/>
    <col min="3076" max="3076" width="47.85546875" style="2345" customWidth="1"/>
    <col min="3077" max="3077" width="12.85546875" style="2345" customWidth="1"/>
    <col min="3078" max="3078" width="15.5703125" style="2345" customWidth="1"/>
    <col min="3079" max="3079" width="15.85546875" style="2345" customWidth="1"/>
    <col min="3080" max="3080" width="6.42578125" style="2345" customWidth="1"/>
    <col min="3081" max="3082" width="9.140625" style="2345"/>
    <col min="3083" max="3083" width="18.85546875" style="2345" customWidth="1"/>
    <col min="3084" max="3084" width="17.7109375" style="2345" customWidth="1"/>
    <col min="3085" max="3328" width="9.140625" style="2345"/>
    <col min="3329" max="3329" width="4.7109375" style="2345" customWidth="1"/>
    <col min="3330" max="3330" width="6.7109375" style="2345" customWidth="1"/>
    <col min="3331" max="3331" width="8.85546875" style="2345" customWidth="1"/>
    <col min="3332" max="3332" width="47.85546875" style="2345" customWidth="1"/>
    <col min="3333" max="3333" width="12.85546875" style="2345" customWidth="1"/>
    <col min="3334" max="3334" width="15.5703125" style="2345" customWidth="1"/>
    <col min="3335" max="3335" width="15.85546875" style="2345" customWidth="1"/>
    <col min="3336" max="3336" width="6.42578125" style="2345" customWidth="1"/>
    <col min="3337" max="3338" width="9.140625" style="2345"/>
    <col min="3339" max="3339" width="18.85546875" style="2345" customWidth="1"/>
    <col min="3340" max="3340" width="17.7109375" style="2345" customWidth="1"/>
    <col min="3341" max="3584" width="9.140625" style="2345"/>
    <col min="3585" max="3585" width="4.7109375" style="2345" customWidth="1"/>
    <col min="3586" max="3586" width="6.7109375" style="2345" customWidth="1"/>
    <col min="3587" max="3587" width="8.85546875" style="2345" customWidth="1"/>
    <col min="3588" max="3588" width="47.85546875" style="2345" customWidth="1"/>
    <col min="3589" max="3589" width="12.85546875" style="2345" customWidth="1"/>
    <col min="3590" max="3590" width="15.5703125" style="2345" customWidth="1"/>
    <col min="3591" max="3591" width="15.85546875" style="2345" customWidth="1"/>
    <col min="3592" max="3592" width="6.42578125" style="2345" customWidth="1"/>
    <col min="3593" max="3594" width="9.140625" style="2345"/>
    <col min="3595" max="3595" width="18.85546875" style="2345" customWidth="1"/>
    <col min="3596" max="3596" width="17.7109375" style="2345" customWidth="1"/>
    <col min="3597" max="3840" width="9.140625" style="2345"/>
    <col min="3841" max="3841" width="4.7109375" style="2345" customWidth="1"/>
    <col min="3842" max="3842" width="6.7109375" style="2345" customWidth="1"/>
    <col min="3843" max="3843" width="8.85546875" style="2345" customWidth="1"/>
    <col min="3844" max="3844" width="47.85546875" style="2345" customWidth="1"/>
    <col min="3845" max="3845" width="12.85546875" style="2345" customWidth="1"/>
    <col min="3846" max="3846" width="15.5703125" style="2345" customWidth="1"/>
    <col min="3847" max="3847" width="15.85546875" style="2345" customWidth="1"/>
    <col min="3848" max="3848" width="6.42578125" style="2345" customWidth="1"/>
    <col min="3849" max="3850" width="9.140625" style="2345"/>
    <col min="3851" max="3851" width="18.85546875" style="2345" customWidth="1"/>
    <col min="3852" max="3852" width="17.7109375" style="2345" customWidth="1"/>
    <col min="3853" max="4096" width="9.140625" style="2345"/>
    <col min="4097" max="4097" width="4.7109375" style="2345" customWidth="1"/>
    <col min="4098" max="4098" width="6.7109375" style="2345" customWidth="1"/>
    <col min="4099" max="4099" width="8.85546875" style="2345" customWidth="1"/>
    <col min="4100" max="4100" width="47.85546875" style="2345" customWidth="1"/>
    <col min="4101" max="4101" width="12.85546875" style="2345" customWidth="1"/>
    <col min="4102" max="4102" width="15.5703125" style="2345" customWidth="1"/>
    <col min="4103" max="4103" width="15.85546875" style="2345" customWidth="1"/>
    <col min="4104" max="4104" width="6.42578125" style="2345" customWidth="1"/>
    <col min="4105" max="4106" width="9.140625" style="2345"/>
    <col min="4107" max="4107" width="18.85546875" style="2345" customWidth="1"/>
    <col min="4108" max="4108" width="17.7109375" style="2345" customWidth="1"/>
    <col min="4109" max="4352" width="9.140625" style="2345"/>
    <col min="4353" max="4353" width="4.7109375" style="2345" customWidth="1"/>
    <col min="4354" max="4354" width="6.7109375" style="2345" customWidth="1"/>
    <col min="4355" max="4355" width="8.85546875" style="2345" customWidth="1"/>
    <col min="4356" max="4356" width="47.85546875" style="2345" customWidth="1"/>
    <col min="4357" max="4357" width="12.85546875" style="2345" customWidth="1"/>
    <col min="4358" max="4358" width="15.5703125" style="2345" customWidth="1"/>
    <col min="4359" max="4359" width="15.85546875" style="2345" customWidth="1"/>
    <col min="4360" max="4360" width="6.42578125" style="2345" customWidth="1"/>
    <col min="4361" max="4362" width="9.140625" style="2345"/>
    <col min="4363" max="4363" width="18.85546875" style="2345" customWidth="1"/>
    <col min="4364" max="4364" width="17.7109375" style="2345" customWidth="1"/>
    <col min="4365" max="4608" width="9.140625" style="2345"/>
    <col min="4609" max="4609" width="4.7109375" style="2345" customWidth="1"/>
    <col min="4610" max="4610" width="6.7109375" style="2345" customWidth="1"/>
    <col min="4611" max="4611" width="8.85546875" style="2345" customWidth="1"/>
    <col min="4612" max="4612" width="47.85546875" style="2345" customWidth="1"/>
    <col min="4613" max="4613" width="12.85546875" style="2345" customWidth="1"/>
    <col min="4614" max="4614" width="15.5703125" style="2345" customWidth="1"/>
    <col min="4615" max="4615" width="15.85546875" style="2345" customWidth="1"/>
    <col min="4616" max="4616" width="6.42578125" style="2345" customWidth="1"/>
    <col min="4617" max="4618" width="9.140625" style="2345"/>
    <col min="4619" max="4619" width="18.85546875" style="2345" customWidth="1"/>
    <col min="4620" max="4620" width="17.7109375" style="2345" customWidth="1"/>
    <col min="4621" max="4864" width="9.140625" style="2345"/>
    <col min="4865" max="4865" width="4.7109375" style="2345" customWidth="1"/>
    <col min="4866" max="4866" width="6.7109375" style="2345" customWidth="1"/>
    <col min="4867" max="4867" width="8.85546875" style="2345" customWidth="1"/>
    <col min="4868" max="4868" width="47.85546875" style="2345" customWidth="1"/>
    <col min="4869" max="4869" width="12.85546875" style="2345" customWidth="1"/>
    <col min="4870" max="4870" width="15.5703125" style="2345" customWidth="1"/>
    <col min="4871" max="4871" width="15.85546875" style="2345" customWidth="1"/>
    <col min="4872" max="4872" width="6.42578125" style="2345" customWidth="1"/>
    <col min="4873" max="4874" width="9.140625" style="2345"/>
    <col min="4875" max="4875" width="18.85546875" style="2345" customWidth="1"/>
    <col min="4876" max="4876" width="17.7109375" style="2345" customWidth="1"/>
    <col min="4877" max="5120" width="9.140625" style="2345"/>
    <col min="5121" max="5121" width="4.7109375" style="2345" customWidth="1"/>
    <col min="5122" max="5122" width="6.7109375" style="2345" customWidth="1"/>
    <col min="5123" max="5123" width="8.85546875" style="2345" customWidth="1"/>
    <col min="5124" max="5124" width="47.85546875" style="2345" customWidth="1"/>
    <col min="5125" max="5125" width="12.85546875" style="2345" customWidth="1"/>
    <col min="5126" max="5126" width="15.5703125" style="2345" customWidth="1"/>
    <col min="5127" max="5127" width="15.85546875" style="2345" customWidth="1"/>
    <col min="5128" max="5128" width="6.42578125" style="2345" customWidth="1"/>
    <col min="5129" max="5130" width="9.140625" style="2345"/>
    <col min="5131" max="5131" width="18.85546875" style="2345" customWidth="1"/>
    <col min="5132" max="5132" width="17.7109375" style="2345" customWidth="1"/>
    <col min="5133" max="5376" width="9.140625" style="2345"/>
    <col min="5377" max="5377" width="4.7109375" style="2345" customWidth="1"/>
    <col min="5378" max="5378" width="6.7109375" style="2345" customWidth="1"/>
    <col min="5379" max="5379" width="8.85546875" style="2345" customWidth="1"/>
    <col min="5380" max="5380" width="47.85546875" style="2345" customWidth="1"/>
    <col min="5381" max="5381" width="12.85546875" style="2345" customWidth="1"/>
    <col min="5382" max="5382" width="15.5703125" style="2345" customWidth="1"/>
    <col min="5383" max="5383" width="15.85546875" style="2345" customWidth="1"/>
    <col min="5384" max="5384" width="6.42578125" style="2345" customWidth="1"/>
    <col min="5385" max="5386" width="9.140625" style="2345"/>
    <col min="5387" max="5387" width="18.85546875" style="2345" customWidth="1"/>
    <col min="5388" max="5388" width="17.7109375" style="2345" customWidth="1"/>
    <col min="5389" max="5632" width="9.140625" style="2345"/>
    <col min="5633" max="5633" width="4.7109375" style="2345" customWidth="1"/>
    <col min="5634" max="5634" width="6.7109375" style="2345" customWidth="1"/>
    <col min="5635" max="5635" width="8.85546875" style="2345" customWidth="1"/>
    <col min="5636" max="5636" width="47.85546875" style="2345" customWidth="1"/>
    <col min="5637" max="5637" width="12.85546875" style="2345" customWidth="1"/>
    <col min="5638" max="5638" width="15.5703125" style="2345" customWidth="1"/>
    <col min="5639" max="5639" width="15.85546875" style="2345" customWidth="1"/>
    <col min="5640" max="5640" width="6.42578125" style="2345" customWidth="1"/>
    <col min="5641" max="5642" width="9.140625" style="2345"/>
    <col min="5643" max="5643" width="18.85546875" style="2345" customWidth="1"/>
    <col min="5644" max="5644" width="17.7109375" style="2345" customWidth="1"/>
    <col min="5645" max="5888" width="9.140625" style="2345"/>
    <col min="5889" max="5889" width="4.7109375" style="2345" customWidth="1"/>
    <col min="5890" max="5890" width="6.7109375" style="2345" customWidth="1"/>
    <col min="5891" max="5891" width="8.85546875" style="2345" customWidth="1"/>
    <col min="5892" max="5892" width="47.85546875" style="2345" customWidth="1"/>
    <col min="5893" max="5893" width="12.85546875" style="2345" customWidth="1"/>
    <col min="5894" max="5894" width="15.5703125" style="2345" customWidth="1"/>
    <col min="5895" max="5895" width="15.85546875" style="2345" customWidth="1"/>
    <col min="5896" max="5896" width="6.42578125" style="2345" customWidth="1"/>
    <col min="5897" max="5898" width="9.140625" style="2345"/>
    <col min="5899" max="5899" width="18.85546875" style="2345" customWidth="1"/>
    <col min="5900" max="5900" width="17.7109375" style="2345" customWidth="1"/>
    <col min="5901" max="6144" width="9.140625" style="2345"/>
    <col min="6145" max="6145" width="4.7109375" style="2345" customWidth="1"/>
    <col min="6146" max="6146" width="6.7109375" style="2345" customWidth="1"/>
    <col min="6147" max="6147" width="8.85546875" style="2345" customWidth="1"/>
    <col min="6148" max="6148" width="47.85546875" style="2345" customWidth="1"/>
    <col min="6149" max="6149" width="12.85546875" style="2345" customWidth="1"/>
    <col min="6150" max="6150" width="15.5703125" style="2345" customWidth="1"/>
    <col min="6151" max="6151" width="15.85546875" style="2345" customWidth="1"/>
    <col min="6152" max="6152" width="6.42578125" style="2345" customWidth="1"/>
    <col min="6153" max="6154" width="9.140625" style="2345"/>
    <col min="6155" max="6155" width="18.85546875" style="2345" customWidth="1"/>
    <col min="6156" max="6156" width="17.7109375" style="2345" customWidth="1"/>
    <col min="6157" max="6400" width="9.140625" style="2345"/>
    <col min="6401" max="6401" width="4.7109375" style="2345" customWidth="1"/>
    <col min="6402" max="6402" width="6.7109375" style="2345" customWidth="1"/>
    <col min="6403" max="6403" width="8.85546875" style="2345" customWidth="1"/>
    <col min="6404" max="6404" width="47.85546875" style="2345" customWidth="1"/>
    <col min="6405" max="6405" width="12.85546875" style="2345" customWidth="1"/>
    <col min="6406" max="6406" width="15.5703125" style="2345" customWidth="1"/>
    <col min="6407" max="6407" width="15.85546875" style="2345" customWidth="1"/>
    <col min="6408" max="6408" width="6.42578125" style="2345" customWidth="1"/>
    <col min="6409" max="6410" width="9.140625" style="2345"/>
    <col min="6411" max="6411" width="18.85546875" style="2345" customWidth="1"/>
    <col min="6412" max="6412" width="17.7109375" style="2345" customWidth="1"/>
    <col min="6413" max="6656" width="9.140625" style="2345"/>
    <col min="6657" max="6657" width="4.7109375" style="2345" customWidth="1"/>
    <col min="6658" max="6658" width="6.7109375" style="2345" customWidth="1"/>
    <col min="6659" max="6659" width="8.85546875" style="2345" customWidth="1"/>
    <col min="6660" max="6660" width="47.85546875" style="2345" customWidth="1"/>
    <col min="6661" max="6661" width="12.85546875" style="2345" customWidth="1"/>
    <col min="6662" max="6662" width="15.5703125" style="2345" customWidth="1"/>
    <col min="6663" max="6663" width="15.85546875" style="2345" customWidth="1"/>
    <col min="6664" max="6664" width="6.42578125" style="2345" customWidth="1"/>
    <col min="6665" max="6666" width="9.140625" style="2345"/>
    <col min="6667" max="6667" width="18.85546875" style="2345" customWidth="1"/>
    <col min="6668" max="6668" width="17.7109375" style="2345" customWidth="1"/>
    <col min="6669" max="6912" width="9.140625" style="2345"/>
    <col min="6913" max="6913" width="4.7109375" style="2345" customWidth="1"/>
    <col min="6914" max="6914" width="6.7109375" style="2345" customWidth="1"/>
    <col min="6915" max="6915" width="8.85546875" style="2345" customWidth="1"/>
    <col min="6916" max="6916" width="47.85546875" style="2345" customWidth="1"/>
    <col min="6917" max="6917" width="12.85546875" style="2345" customWidth="1"/>
    <col min="6918" max="6918" width="15.5703125" style="2345" customWidth="1"/>
    <col min="6919" max="6919" width="15.85546875" style="2345" customWidth="1"/>
    <col min="6920" max="6920" width="6.42578125" style="2345" customWidth="1"/>
    <col min="6921" max="6922" width="9.140625" style="2345"/>
    <col min="6923" max="6923" width="18.85546875" style="2345" customWidth="1"/>
    <col min="6924" max="6924" width="17.7109375" style="2345" customWidth="1"/>
    <col min="6925" max="7168" width="9.140625" style="2345"/>
    <col min="7169" max="7169" width="4.7109375" style="2345" customWidth="1"/>
    <col min="7170" max="7170" width="6.7109375" style="2345" customWidth="1"/>
    <col min="7171" max="7171" width="8.85546875" style="2345" customWidth="1"/>
    <col min="7172" max="7172" width="47.85546875" style="2345" customWidth="1"/>
    <col min="7173" max="7173" width="12.85546875" style="2345" customWidth="1"/>
    <col min="7174" max="7174" width="15.5703125" style="2345" customWidth="1"/>
    <col min="7175" max="7175" width="15.85546875" style="2345" customWidth="1"/>
    <col min="7176" max="7176" width="6.42578125" style="2345" customWidth="1"/>
    <col min="7177" max="7178" width="9.140625" style="2345"/>
    <col min="7179" max="7179" width="18.85546875" style="2345" customWidth="1"/>
    <col min="7180" max="7180" width="17.7109375" style="2345" customWidth="1"/>
    <col min="7181" max="7424" width="9.140625" style="2345"/>
    <col min="7425" max="7425" width="4.7109375" style="2345" customWidth="1"/>
    <col min="7426" max="7426" width="6.7109375" style="2345" customWidth="1"/>
    <col min="7427" max="7427" width="8.85546875" style="2345" customWidth="1"/>
    <col min="7428" max="7428" width="47.85546875" style="2345" customWidth="1"/>
    <col min="7429" max="7429" width="12.85546875" style="2345" customWidth="1"/>
    <col min="7430" max="7430" width="15.5703125" style="2345" customWidth="1"/>
    <col min="7431" max="7431" width="15.85546875" style="2345" customWidth="1"/>
    <col min="7432" max="7432" width="6.42578125" style="2345" customWidth="1"/>
    <col min="7433" max="7434" width="9.140625" style="2345"/>
    <col min="7435" max="7435" width="18.85546875" style="2345" customWidth="1"/>
    <col min="7436" max="7436" width="17.7109375" style="2345" customWidth="1"/>
    <col min="7437" max="7680" width="9.140625" style="2345"/>
    <col min="7681" max="7681" width="4.7109375" style="2345" customWidth="1"/>
    <col min="7682" max="7682" width="6.7109375" style="2345" customWidth="1"/>
    <col min="7683" max="7683" width="8.85546875" style="2345" customWidth="1"/>
    <col min="7684" max="7684" width="47.85546875" style="2345" customWidth="1"/>
    <col min="7685" max="7685" width="12.85546875" style="2345" customWidth="1"/>
    <col min="7686" max="7686" width="15.5703125" style="2345" customWidth="1"/>
    <col min="7687" max="7687" width="15.85546875" style="2345" customWidth="1"/>
    <col min="7688" max="7688" width="6.42578125" style="2345" customWidth="1"/>
    <col min="7689" max="7690" width="9.140625" style="2345"/>
    <col min="7691" max="7691" width="18.85546875" style="2345" customWidth="1"/>
    <col min="7692" max="7692" width="17.7109375" style="2345" customWidth="1"/>
    <col min="7693" max="7936" width="9.140625" style="2345"/>
    <col min="7937" max="7937" width="4.7109375" style="2345" customWidth="1"/>
    <col min="7938" max="7938" width="6.7109375" style="2345" customWidth="1"/>
    <col min="7939" max="7939" width="8.85546875" style="2345" customWidth="1"/>
    <col min="7940" max="7940" width="47.85546875" style="2345" customWidth="1"/>
    <col min="7941" max="7941" width="12.85546875" style="2345" customWidth="1"/>
    <col min="7942" max="7942" width="15.5703125" style="2345" customWidth="1"/>
    <col min="7943" max="7943" width="15.85546875" style="2345" customWidth="1"/>
    <col min="7944" max="7944" width="6.42578125" style="2345" customWidth="1"/>
    <col min="7945" max="7946" width="9.140625" style="2345"/>
    <col min="7947" max="7947" width="18.85546875" style="2345" customWidth="1"/>
    <col min="7948" max="7948" width="17.7109375" style="2345" customWidth="1"/>
    <col min="7949" max="8192" width="9.140625" style="2345"/>
    <col min="8193" max="8193" width="4.7109375" style="2345" customWidth="1"/>
    <col min="8194" max="8194" width="6.7109375" style="2345" customWidth="1"/>
    <col min="8195" max="8195" width="8.85546875" style="2345" customWidth="1"/>
    <col min="8196" max="8196" width="47.85546875" style="2345" customWidth="1"/>
    <col min="8197" max="8197" width="12.85546875" style="2345" customWidth="1"/>
    <col min="8198" max="8198" width="15.5703125" style="2345" customWidth="1"/>
    <col min="8199" max="8199" width="15.85546875" style="2345" customWidth="1"/>
    <col min="8200" max="8200" width="6.42578125" style="2345" customWidth="1"/>
    <col min="8201" max="8202" width="9.140625" style="2345"/>
    <col min="8203" max="8203" width="18.85546875" style="2345" customWidth="1"/>
    <col min="8204" max="8204" width="17.7109375" style="2345" customWidth="1"/>
    <col min="8205" max="8448" width="9.140625" style="2345"/>
    <col min="8449" max="8449" width="4.7109375" style="2345" customWidth="1"/>
    <col min="8450" max="8450" width="6.7109375" style="2345" customWidth="1"/>
    <col min="8451" max="8451" width="8.85546875" style="2345" customWidth="1"/>
    <col min="8452" max="8452" width="47.85546875" style="2345" customWidth="1"/>
    <col min="8453" max="8453" width="12.85546875" style="2345" customWidth="1"/>
    <col min="8454" max="8454" width="15.5703125" style="2345" customWidth="1"/>
    <col min="8455" max="8455" width="15.85546875" style="2345" customWidth="1"/>
    <col min="8456" max="8456" width="6.42578125" style="2345" customWidth="1"/>
    <col min="8457" max="8458" width="9.140625" style="2345"/>
    <col min="8459" max="8459" width="18.85546875" style="2345" customWidth="1"/>
    <col min="8460" max="8460" width="17.7109375" style="2345" customWidth="1"/>
    <col min="8461" max="8704" width="9.140625" style="2345"/>
    <col min="8705" max="8705" width="4.7109375" style="2345" customWidth="1"/>
    <col min="8706" max="8706" width="6.7109375" style="2345" customWidth="1"/>
    <col min="8707" max="8707" width="8.85546875" style="2345" customWidth="1"/>
    <col min="8708" max="8708" width="47.85546875" style="2345" customWidth="1"/>
    <col min="8709" max="8709" width="12.85546875" style="2345" customWidth="1"/>
    <col min="8710" max="8710" width="15.5703125" style="2345" customWidth="1"/>
    <col min="8711" max="8711" width="15.85546875" style="2345" customWidth="1"/>
    <col min="8712" max="8712" width="6.42578125" style="2345" customWidth="1"/>
    <col min="8713" max="8714" width="9.140625" style="2345"/>
    <col min="8715" max="8715" width="18.85546875" style="2345" customWidth="1"/>
    <col min="8716" max="8716" width="17.7109375" style="2345" customWidth="1"/>
    <col min="8717" max="8960" width="9.140625" style="2345"/>
    <col min="8961" max="8961" width="4.7109375" style="2345" customWidth="1"/>
    <col min="8962" max="8962" width="6.7109375" style="2345" customWidth="1"/>
    <col min="8963" max="8963" width="8.85546875" style="2345" customWidth="1"/>
    <col min="8964" max="8964" width="47.85546875" style="2345" customWidth="1"/>
    <col min="8965" max="8965" width="12.85546875" style="2345" customWidth="1"/>
    <col min="8966" max="8966" width="15.5703125" style="2345" customWidth="1"/>
    <col min="8967" max="8967" width="15.85546875" style="2345" customWidth="1"/>
    <col min="8968" max="8968" width="6.42578125" style="2345" customWidth="1"/>
    <col min="8969" max="8970" width="9.140625" style="2345"/>
    <col min="8971" max="8971" width="18.85546875" style="2345" customWidth="1"/>
    <col min="8972" max="8972" width="17.7109375" style="2345" customWidth="1"/>
    <col min="8973" max="9216" width="9.140625" style="2345"/>
    <col min="9217" max="9217" width="4.7109375" style="2345" customWidth="1"/>
    <col min="9218" max="9218" width="6.7109375" style="2345" customWidth="1"/>
    <col min="9219" max="9219" width="8.85546875" style="2345" customWidth="1"/>
    <col min="9220" max="9220" width="47.85546875" style="2345" customWidth="1"/>
    <col min="9221" max="9221" width="12.85546875" style="2345" customWidth="1"/>
    <col min="9222" max="9222" width="15.5703125" style="2345" customWidth="1"/>
    <col min="9223" max="9223" width="15.85546875" style="2345" customWidth="1"/>
    <col min="9224" max="9224" width="6.42578125" style="2345" customWidth="1"/>
    <col min="9225" max="9226" width="9.140625" style="2345"/>
    <col min="9227" max="9227" width="18.85546875" style="2345" customWidth="1"/>
    <col min="9228" max="9228" width="17.7109375" style="2345" customWidth="1"/>
    <col min="9229" max="9472" width="9.140625" style="2345"/>
    <col min="9473" max="9473" width="4.7109375" style="2345" customWidth="1"/>
    <col min="9474" max="9474" width="6.7109375" style="2345" customWidth="1"/>
    <col min="9475" max="9475" width="8.85546875" style="2345" customWidth="1"/>
    <col min="9476" max="9476" width="47.85546875" style="2345" customWidth="1"/>
    <col min="9477" max="9477" width="12.85546875" style="2345" customWidth="1"/>
    <col min="9478" max="9478" width="15.5703125" style="2345" customWidth="1"/>
    <col min="9479" max="9479" width="15.85546875" style="2345" customWidth="1"/>
    <col min="9480" max="9480" width="6.42578125" style="2345" customWidth="1"/>
    <col min="9481" max="9482" width="9.140625" style="2345"/>
    <col min="9483" max="9483" width="18.85546875" style="2345" customWidth="1"/>
    <col min="9484" max="9484" width="17.7109375" style="2345" customWidth="1"/>
    <col min="9485" max="9728" width="9.140625" style="2345"/>
    <col min="9729" max="9729" width="4.7109375" style="2345" customWidth="1"/>
    <col min="9730" max="9730" width="6.7109375" style="2345" customWidth="1"/>
    <col min="9731" max="9731" width="8.85546875" style="2345" customWidth="1"/>
    <col min="9732" max="9732" width="47.85546875" style="2345" customWidth="1"/>
    <col min="9733" max="9733" width="12.85546875" style="2345" customWidth="1"/>
    <col min="9734" max="9734" width="15.5703125" style="2345" customWidth="1"/>
    <col min="9735" max="9735" width="15.85546875" style="2345" customWidth="1"/>
    <col min="9736" max="9736" width="6.42578125" style="2345" customWidth="1"/>
    <col min="9737" max="9738" width="9.140625" style="2345"/>
    <col min="9739" max="9739" width="18.85546875" style="2345" customWidth="1"/>
    <col min="9740" max="9740" width="17.7109375" style="2345" customWidth="1"/>
    <col min="9741" max="9984" width="9.140625" style="2345"/>
    <col min="9985" max="9985" width="4.7109375" style="2345" customWidth="1"/>
    <col min="9986" max="9986" width="6.7109375" style="2345" customWidth="1"/>
    <col min="9987" max="9987" width="8.85546875" style="2345" customWidth="1"/>
    <col min="9988" max="9988" width="47.85546875" style="2345" customWidth="1"/>
    <col min="9989" max="9989" width="12.85546875" style="2345" customWidth="1"/>
    <col min="9990" max="9990" width="15.5703125" style="2345" customWidth="1"/>
    <col min="9991" max="9991" width="15.85546875" style="2345" customWidth="1"/>
    <col min="9992" max="9992" width="6.42578125" style="2345" customWidth="1"/>
    <col min="9993" max="9994" width="9.140625" style="2345"/>
    <col min="9995" max="9995" width="18.85546875" style="2345" customWidth="1"/>
    <col min="9996" max="9996" width="17.7109375" style="2345" customWidth="1"/>
    <col min="9997" max="10240" width="9.140625" style="2345"/>
    <col min="10241" max="10241" width="4.7109375" style="2345" customWidth="1"/>
    <col min="10242" max="10242" width="6.7109375" style="2345" customWidth="1"/>
    <col min="10243" max="10243" width="8.85546875" style="2345" customWidth="1"/>
    <col min="10244" max="10244" width="47.85546875" style="2345" customWidth="1"/>
    <col min="10245" max="10245" width="12.85546875" style="2345" customWidth="1"/>
    <col min="10246" max="10246" width="15.5703125" style="2345" customWidth="1"/>
    <col min="10247" max="10247" width="15.85546875" style="2345" customWidth="1"/>
    <col min="10248" max="10248" width="6.42578125" style="2345" customWidth="1"/>
    <col min="10249" max="10250" width="9.140625" style="2345"/>
    <col min="10251" max="10251" width="18.85546875" style="2345" customWidth="1"/>
    <col min="10252" max="10252" width="17.7109375" style="2345" customWidth="1"/>
    <col min="10253" max="10496" width="9.140625" style="2345"/>
    <col min="10497" max="10497" width="4.7109375" style="2345" customWidth="1"/>
    <col min="10498" max="10498" width="6.7109375" style="2345" customWidth="1"/>
    <col min="10499" max="10499" width="8.85546875" style="2345" customWidth="1"/>
    <col min="10500" max="10500" width="47.85546875" style="2345" customWidth="1"/>
    <col min="10501" max="10501" width="12.85546875" style="2345" customWidth="1"/>
    <col min="10502" max="10502" width="15.5703125" style="2345" customWidth="1"/>
    <col min="10503" max="10503" width="15.85546875" style="2345" customWidth="1"/>
    <col min="10504" max="10504" width="6.42578125" style="2345" customWidth="1"/>
    <col min="10505" max="10506" width="9.140625" style="2345"/>
    <col min="10507" max="10507" width="18.85546875" style="2345" customWidth="1"/>
    <col min="10508" max="10508" width="17.7109375" style="2345" customWidth="1"/>
    <col min="10509" max="10752" width="9.140625" style="2345"/>
    <col min="10753" max="10753" width="4.7109375" style="2345" customWidth="1"/>
    <col min="10754" max="10754" width="6.7109375" style="2345" customWidth="1"/>
    <col min="10755" max="10755" width="8.85546875" style="2345" customWidth="1"/>
    <col min="10756" max="10756" width="47.85546875" style="2345" customWidth="1"/>
    <col min="10757" max="10757" width="12.85546875" style="2345" customWidth="1"/>
    <col min="10758" max="10758" width="15.5703125" style="2345" customWidth="1"/>
    <col min="10759" max="10759" width="15.85546875" style="2345" customWidth="1"/>
    <col min="10760" max="10760" width="6.42578125" style="2345" customWidth="1"/>
    <col min="10761" max="10762" width="9.140625" style="2345"/>
    <col min="10763" max="10763" width="18.85546875" style="2345" customWidth="1"/>
    <col min="10764" max="10764" width="17.7109375" style="2345" customWidth="1"/>
    <col min="10765" max="11008" width="9.140625" style="2345"/>
    <col min="11009" max="11009" width="4.7109375" style="2345" customWidth="1"/>
    <col min="11010" max="11010" width="6.7109375" style="2345" customWidth="1"/>
    <col min="11011" max="11011" width="8.85546875" style="2345" customWidth="1"/>
    <col min="11012" max="11012" width="47.85546875" style="2345" customWidth="1"/>
    <col min="11013" max="11013" width="12.85546875" style="2345" customWidth="1"/>
    <col min="11014" max="11014" width="15.5703125" style="2345" customWidth="1"/>
    <col min="11015" max="11015" width="15.85546875" style="2345" customWidth="1"/>
    <col min="11016" max="11016" width="6.42578125" style="2345" customWidth="1"/>
    <col min="11017" max="11018" width="9.140625" style="2345"/>
    <col min="11019" max="11019" width="18.85546875" style="2345" customWidth="1"/>
    <col min="11020" max="11020" width="17.7109375" style="2345" customWidth="1"/>
    <col min="11021" max="11264" width="9.140625" style="2345"/>
    <col min="11265" max="11265" width="4.7109375" style="2345" customWidth="1"/>
    <col min="11266" max="11266" width="6.7109375" style="2345" customWidth="1"/>
    <col min="11267" max="11267" width="8.85546875" style="2345" customWidth="1"/>
    <col min="11268" max="11268" width="47.85546875" style="2345" customWidth="1"/>
    <col min="11269" max="11269" width="12.85546875" style="2345" customWidth="1"/>
    <col min="11270" max="11270" width="15.5703125" style="2345" customWidth="1"/>
    <col min="11271" max="11271" width="15.85546875" style="2345" customWidth="1"/>
    <col min="11272" max="11272" width="6.42578125" style="2345" customWidth="1"/>
    <col min="11273" max="11274" width="9.140625" style="2345"/>
    <col min="11275" max="11275" width="18.85546875" style="2345" customWidth="1"/>
    <col min="11276" max="11276" width="17.7109375" style="2345" customWidth="1"/>
    <col min="11277" max="11520" width="9.140625" style="2345"/>
    <col min="11521" max="11521" width="4.7109375" style="2345" customWidth="1"/>
    <col min="11522" max="11522" width="6.7109375" style="2345" customWidth="1"/>
    <col min="11523" max="11523" width="8.85546875" style="2345" customWidth="1"/>
    <col min="11524" max="11524" width="47.85546875" style="2345" customWidth="1"/>
    <col min="11525" max="11525" width="12.85546875" style="2345" customWidth="1"/>
    <col min="11526" max="11526" width="15.5703125" style="2345" customWidth="1"/>
    <col min="11527" max="11527" width="15.85546875" style="2345" customWidth="1"/>
    <col min="11528" max="11528" width="6.42578125" style="2345" customWidth="1"/>
    <col min="11529" max="11530" width="9.140625" style="2345"/>
    <col min="11531" max="11531" width="18.85546875" style="2345" customWidth="1"/>
    <col min="11532" max="11532" width="17.7109375" style="2345" customWidth="1"/>
    <col min="11533" max="11776" width="9.140625" style="2345"/>
    <col min="11777" max="11777" width="4.7109375" style="2345" customWidth="1"/>
    <col min="11778" max="11778" width="6.7109375" style="2345" customWidth="1"/>
    <col min="11779" max="11779" width="8.85546875" style="2345" customWidth="1"/>
    <col min="11780" max="11780" width="47.85546875" style="2345" customWidth="1"/>
    <col min="11781" max="11781" width="12.85546875" style="2345" customWidth="1"/>
    <col min="11782" max="11782" width="15.5703125" style="2345" customWidth="1"/>
    <col min="11783" max="11783" width="15.85546875" style="2345" customWidth="1"/>
    <col min="11784" max="11784" width="6.42578125" style="2345" customWidth="1"/>
    <col min="11785" max="11786" width="9.140625" style="2345"/>
    <col min="11787" max="11787" width="18.85546875" style="2345" customWidth="1"/>
    <col min="11788" max="11788" width="17.7109375" style="2345" customWidth="1"/>
    <col min="11789" max="12032" width="9.140625" style="2345"/>
    <col min="12033" max="12033" width="4.7109375" style="2345" customWidth="1"/>
    <col min="12034" max="12034" width="6.7109375" style="2345" customWidth="1"/>
    <col min="12035" max="12035" width="8.85546875" style="2345" customWidth="1"/>
    <col min="12036" max="12036" width="47.85546875" style="2345" customWidth="1"/>
    <col min="12037" max="12037" width="12.85546875" style="2345" customWidth="1"/>
    <col min="12038" max="12038" width="15.5703125" style="2345" customWidth="1"/>
    <col min="12039" max="12039" width="15.85546875" style="2345" customWidth="1"/>
    <col min="12040" max="12040" width="6.42578125" style="2345" customWidth="1"/>
    <col min="12041" max="12042" width="9.140625" style="2345"/>
    <col min="12043" max="12043" width="18.85546875" style="2345" customWidth="1"/>
    <col min="12044" max="12044" width="17.7109375" style="2345" customWidth="1"/>
    <col min="12045" max="12288" width="9.140625" style="2345"/>
    <col min="12289" max="12289" width="4.7109375" style="2345" customWidth="1"/>
    <col min="12290" max="12290" width="6.7109375" style="2345" customWidth="1"/>
    <col min="12291" max="12291" width="8.85546875" style="2345" customWidth="1"/>
    <col min="12292" max="12292" width="47.85546875" style="2345" customWidth="1"/>
    <col min="12293" max="12293" width="12.85546875" style="2345" customWidth="1"/>
    <col min="12294" max="12294" width="15.5703125" style="2345" customWidth="1"/>
    <col min="12295" max="12295" width="15.85546875" style="2345" customWidth="1"/>
    <col min="12296" max="12296" width="6.42578125" style="2345" customWidth="1"/>
    <col min="12297" max="12298" width="9.140625" style="2345"/>
    <col min="12299" max="12299" width="18.85546875" style="2345" customWidth="1"/>
    <col min="12300" max="12300" width="17.7109375" style="2345" customWidth="1"/>
    <col min="12301" max="12544" width="9.140625" style="2345"/>
    <col min="12545" max="12545" width="4.7109375" style="2345" customWidth="1"/>
    <col min="12546" max="12546" width="6.7109375" style="2345" customWidth="1"/>
    <col min="12547" max="12547" width="8.85546875" style="2345" customWidth="1"/>
    <col min="12548" max="12548" width="47.85546875" style="2345" customWidth="1"/>
    <col min="12549" max="12549" width="12.85546875" style="2345" customWidth="1"/>
    <col min="12550" max="12550" width="15.5703125" style="2345" customWidth="1"/>
    <col min="12551" max="12551" width="15.85546875" style="2345" customWidth="1"/>
    <col min="12552" max="12552" width="6.42578125" style="2345" customWidth="1"/>
    <col min="12553" max="12554" width="9.140625" style="2345"/>
    <col min="12555" max="12555" width="18.85546875" style="2345" customWidth="1"/>
    <col min="12556" max="12556" width="17.7109375" style="2345" customWidth="1"/>
    <col min="12557" max="12800" width="9.140625" style="2345"/>
    <col min="12801" max="12801" width="4.7109375" style="2345" customWidth="1"/>
    <col min="12802" max="12802" width="6.7109375" style="2345" customWidth="1"/>
    <col min="12803" max="12803" width="8.85546875" style="2345" customWidth="1"/>
    <col min="12804" max="12804" width="47.85546875" style="2345" customWidth="1"/>
    <col min="12805" max="12805" width="12.85546875" style="2345" customWidth="1"/>
    <col min="12806" max="12806" width="15.5703125" style="2345" customWidth="1"/>
    <col min="12807" max="12807" width="15.85546875" style="2345" customWidth="1"/>
    <col min="12808" max="12808" width="6.42578125" style="2345" customWidth="1"/>
    <col min="12809" max="12810" width="9.140625" style="2345"/>
    <col min="12811" max="12811" width="18.85546875" style="2345" customWidth="1"/>
    <col min="12812" max="12812" width="17.7109375" style="2345" customWidth="1"/>
    <col min="12813" max="13056" width="9.140625" style="2345"/>
    <col min="13057" max="13057" width="4.7109375" style="2345" customWidth="1"/>
    <col min="13058" max="13058" width="6.7109375" style="2345" customWidth="1"/>
    <col min="13059" max="13059" width="8.85546875" style="2345" customWidth="1"/>
    <col min="13060" max="13060" width="47.85546875" style="2345" customWidth="1"/>
    <col min="13061" max="13061" width="12.85546875" style="2345" customWidth="1"/>
    <col min="13062" max="13062" width="15.5703125" style="2345" customWidth="1"/>
    <col min="13063" max="13063" width="15.85546875" style="2345" customWidth="1"/>
    <col min="13064" max="13064" width="6.42578125" style="2345" customWidth="1"/>
    <col min="13065" max="13066" width="9.140625" style="2345"/>
    <col min="13067" max="13067" width="18.85546875" style="2345" customWidth="1"/>
    <col min="13068" max="13068" width="17.7109375" style="2345" customWidth="1"/>
    <col min="13069" max="13312" width="9.140625" style="2345"/>
    <col min="13313" max="13313" width="4.7109375" style="2345" customWidth="1"/>
    <col min="13314" max="13314" width="6.7109375" style="2345" customWidth="1"/>
    <col min="13315" max="13315" width="8.85546875" style="2345" customWidth="1"/>
    <col min="13316" max="13316" width="47.85546875" style="2345" customWidth="1"/>
    <col min="13317" max="13317" width="12.85546875" style="2345" customWidth="1"/>
    <col min="13318" max="13318" width="15.5703125" style="2345" customWidth="1"/>
    <col min="13319" max="13319" width="15.85546875" style="2345" customWidth="1"/>
    <col min="13320" max="13320" width="6.42578125" style="2345" customWidth="1"/>
    <col min="13321" max="13322" width="9.140625" style="2345"/>
    <col min="13323" max="13323" width="18.85546875" style="2345" customWidth="1"/>
    <col min="13324" max="13324" width="17.7109375" style="2345" customWidth="1"/>
    <col min="13325" max="13568" width="9.140625" style="2345"/>
    <col min="13569" max="13569" width="4.7109375" style="2345" customWidth="1"/>
    <col min="13570" max="13570" width="6.7109375" style="2345" customWidth="1"/>
    <col min="13571" max="13571" width="8.85546875" style="2345" customWidth="1"/>
    <col min="13572" max="13572" width="47.85546875" style="2345" customWidth="1"/>
    <col min="13573" max="13573" width="12.85546875" style="2345" customWidth="1"/>
    <col min="13574" max="13574" width="15.5703125" style="2345" customWidth="1"/>
    <col min="13575" max="13575" width="15.85546875" style="2345" customWidth="1"/>
    <col min="13576" max="13576" width="6.42578125" style="2345" customWidth="1"/>
    <col min="13577" max="13578" width="9.140625" style="2345"/>
    <col min="13579" max="13579" width="18.85546875" style="2345" customWidth="1"/>
    <col min="13580" max="13580" width="17.7109375" style="2345" customWidth="1"/>
    <col min="13581" max="13824" width="9.140625" style="2345"/>
    <col min="13825" max="13825" width="4.7109375" style="2345" customWidth="1"/>
    <col min="13826" max="13826" width="6.7109375" style="2345" customWidth="1"/>
    <col min="13827" max="13827" width="8.85546875" style="2345" customWidth="1"/>
    <col min="13828" max="13828" width="47.85546875" style="2345" customWidth="1"/>
    <col min="13829" max="13829" width="12.85546875" style="2345" customWidth="1"/>
    <col min="13830" max="13830" width="15.5703125" style="2345" customWidth="1"/>
    <col min="13831" max="13831" width="15.85546875" style="2345" customWidth="1"/>
    <col min="13832" max="13832" width="6.42578125" style="2345" customWidth="1"/>
    <col min="13833" max="13834" width="9.140625" style="2345"/>
    <col min="13835" max="13835" width="18.85546875" style="2345" customWidth="1"/>
    <col min="13836" max="13836" width="17.7109375" style="2345" customWidth="1"/>
    <col min="13837" max="14080" width="9.140625" style="2345"/>
    <col min="14081" max="14081" width="4.7109375" style="2345" customWidth="1"/>
    <col min="14082" max="14082" width="6.7109375" style="2345" customWidth="1"/>
    <col min="14083" max="14083" width="8.85546875" style="2345" customWidth="1"/>
    <col min="14084" max="14084" width="47.85546875" style="2345" customWidth="1"/>
    <col min="14085" max="14085" width="12.85546875" style="2345" customWidth="1"/>
    <col min="14086" max="14086" width="15.5703125" style="2345" customWidth="1"/>
    <col min="14087" max="14087" width="15.85546875" style="2345" customWidth="1"/>
    <col min="14088" max="14088" width="6.42578125" style="2345" customWidth="1"/>
    <col min="14089" max="14090" width="9.140625" style="2345"/>
    <col min="14091" max="14091" width="18.85546875" style="2345" customWidth="1"/>
    <col min="14092" max="14092" width="17.7109375" style="2345" customWidth="1"/>
    <col min="14093" max="14336" width="9.140625" style="2345"/>
    <col min="14337" max="14337" width="4.7109375" style="2345" customWidth="1"/>
    <col min="14338" max="14338" width="6.7109375" style="2345" customWidth="1"/>
    <col min="14339" max="14339" width="8.85546875" style="2345" customWidth="1"/>
    <col min="14340" max="14340" width="47.85546875" style="2345" customWidth="1"/>
    <col min="14341" max="14341" width="12.85546875" style="2345" customWidth="1"/>
    <col min="14342" max="14342" width="15.5703125" style="2345" customWidth="1"/>
    <col min="14343" max="14343" width="15.85546875" style="2345" customWidth="1"/>
    <col min="14344" max="14344" width="6.42578125" style="2345" customWidth="1"/>
    <col min="14345" max="14346" width="9.140625" style="2345"/>
    <col min="14347" max="14347" width="18.85546875" style="2345" customWidth="1"/>
    <col min="14348" max="14348" width="17.7109375" style="2345" customWidth="1"/>
    <col min="14349" max="14592" width="9.140625" style="2345"/>
    <col min="14593" max="14593" width="4.7109375" style="2345" customWidth="1"/>
    <col min="14594" max="14594" width="6.7109375" style="2345" customWidth="1"/>
    <col min="14595" max="14595" width="8.85546875" style="2345" customWidth="1"/>
    <col min="14596" max="14596" width="47.85546875" style="2345" customWidth="1"/>
    <col min="14597" max="14597" width="12.85546875" style="2345" customWidth="1"/>
    <col min="14598" max="14598" width="15.5703125" style="2345" customWidth="1"/>
    <col min="14599" max="14599" width="15.85546875" style="2345" customWidth="1"/>
    <col min="14600" max="14600" width="6.42578125" style="2345" customWidth="1"/>
    <col min="14601" max="14602" width="9.140625" style="2345"/>
    <col min="14603" max="14603" width="18.85546875" style="2345" customWidth="1"/>
    <col min="14604" max="14604" width="17.7109375" style="2345" customWidth="1"/>
    <col min="14605" max="14848" width="9.140625" style="2345"/>
    <col min="14849" max="14849" width="4.7109375" style="2345" customWidth="1"/>
    <col min="14850" max="14850" width="6.7109375" style="2345" customWidth="1"/>
    <col min="14851" max="14851" width="8.85546875" style="2345" customWidth="1"/>
    <col min="14852" max="14852" width="47.85546875" style="2345" customWidth="1"/>
    <col min="14853" max="14853" width="12.85546875" style="2345" customWidth="1"/>
    <col min="14854" max="14854" width="15.5703125" style="2345" customWidth="1"/>
    <col min="14855" max="14855" width="15.85546875" style="2345" customWidth="1"/>
    <col min="14856" max="14856" width="6.42578125" style="2345" customWidth="1"/>
    <col min="14857" max="14858" width="9.140625" style="2345"/>
    <col min="14859" max="14859" width="18.85546875" style="2345" customWidth="1"/>
    <col min="14860" max="14860" width="17.7109375" style="2345" customWidth="1"/>
    <col min="14861" max="15104" width="9.140625" style="2345"/>
    <col min="15105" max="15105" width="4.7109375" style="2345" customWidth="1"/>
    <col min="15106" max="15106" width="6.7109375" style="2345" customWidth="1"/>
    <col min="15107" max="15107" width="8.85546875" style="2345" customWidth="1"/>
    <col min="15108" max="15108" width="47.85546875" style="2345" customWidth="1"/>
    <col min="15109" max="15109" width="12.85546875" style="2345" customWidth="1"/>
    <col min="15110" max="15110" width="15.5703125" style="2345" customWidth="1"/>
    <col min="15111" max="15111" width="15.85546875" style="2345" customWidth="1"/>
    <col min="15112" max="15112" width="6.42578125" style="2345" customWidth="1"/>
    <col min="15113" max="15114" width="9.140625" style="2345"/>
    <col min="15115" max="15115" width="18.85546875" style="2345" customWidth="1"/>
    <col min="15116" max="15116" width="17.7109375" style="2345" customWidth="1"/>
    <col min="15117" max="15360" width="9.140625" style="2345"/>
    <col min="15361" max="15361" width="4.7109375" style="2345" customWidth="1"/>
    <col min="15362" max="15362" width="6.7109375" style="2345" customWidth="1"/>
    <col min="15363" max="15363" width="8.85546875" style="2345" customWidth="1"/>
    <col min="15364" max="15364" width="47.85546875" style="2345" customWidth="1"/>
    <col min="15365" max="15365" width="12.85546875" style="2345" customWidth="1"/>
    <col min="15366" max="15366" width="15.5703125" style="2345" customWidth="1"/>
    <col min="15367" max="15367" width="15.85546875" style="2345" customWidth="1"/>
    <col min="15368" max="15368" width="6.42578125" style="2345" customWidth="1"/>
    <col min="15369" max="15370" width="9.140625" style="2345"/>
    <col min="15371" max="15371" width="18.85546875" style="2345" customWidth="1"/>
    <col min="15372" max="15372" width="17.7109375" style="2345" customWidth="1"/>
    <col min="15373" max="15616" width="9.140625" style="2345"/>
    <col min="15617" max="15617" width="4.7109375" style="2345" customWidth="1"/>
    <col min="15618" max="15618" width="6.7109375" style="2345" customWidth="1"/>
    <col min="15619" max="15619" width="8.85546875" style="2345" customWidth="1"/>
    <col min="15620" max="15620" width="47.85546875" style="2345" customWidth="1"/>
    <col min="15621" max="15621" width="12.85546875" style="2345" customWidth="1"/>
    <col min="15622" max="15622" width="15.5703125" style="2345" customWidth="1"/>
    <col min="15623" max="15623" width="15.85546875" style="2345" customWidth="1"/>
    <col min="15624" max="15624" width="6.42578125" style="2345" customWidth="1"/>
    <col min="15625" max="15626" width="9.140625" style="2345"/>
    <col min="15627" max="15627" width="18.85546875" style="2345" customWidth="1"/>
    <col min="15628" max="15628" width="17.7109375" style="2345" customWidth="1"/>
    <col min="15629" max="15872" width="9.140625" style="2345"/>
    <col min="15873" max="15873" width="4.7109375" style="2345" customWidth="1"/>
    <col min="15874" max="15874" width="6.7109375" style="2345" customWidth="1"/>
    <col min="15875" max="15875" width="8.85546875" style="2345" customWidth="1"/>
    <col min="15876" max="15876" width="47.85546875" style="2345" customWidth="1"/>
    <col min="15877" max="15877" width="12.85546875" style="2345" customWidth="1"/>
    <col min="15878" max="15878" width="15.5703125" style="2345" customWidth="1"/>
    <col min="15879" max="15879" width="15.85546875" style="2345" customWidth="1"/>
    <col min="15880" max="15880" width="6.42578125" style="2345" customWidth="1"/>
    <col min="15881" max="15882" width="9.140625" style="2345"/>
    <col min="15883" max="15883" width="18.85546875" style="2345" customWidth="1"/>
    <col min="15884" max="15884" width="17.7109375" style="2345" customWidth="1"/>
    <col min="15885" max="16128" width="9.140625" style="2345"/>
    <col min="16129" max="16129" width="4.7109375" style="2345" customWidth="1"/>
    <col min="16130" max="16130" width="6.7109375" style="2345" customWidth="1"/>
    <col min="16131" max="16131" width="8.85546875" style="2345" customWidth="1"/>
    <col min="16132" max="16132" width="47.85546875" style="2345" customWidth="1"/>
    <col min="16133" max="16133" width="12.85546875" style="2345" customWidth="1"/>
    <col min="16134" max="16134" width="15.5703125" style="2345" customWidth="1"/>
    <col min="16135" max="16135" width="15.85546875" style="2345" customWidth="1"/>
    <col min="16136" max="16136" width="6.42578125" style="2345" customWidth="1"/>
    <col min="16137" max="16138" width="9.140625" style="2345"/>
    <col min="16139" max="16139" width="18.85546875" style="2345" customWidth="1"/>
    <col min="16140" max="16140" width="17.7109375" style="2345" customWidth="1"/>
    <col min="16141" max="16384" width="9.140625" style="2345"/>
  </cols>
  <sheetData>
    <row r="1" spans="1:8" ht="18.75" thickBot="1" x14ac:dyDescent="0.3">
      <c r="A1" s="2339" t="s">
        <v>1598</v>
      </c>
      <c r="B1" s="2340"/>
      <c r="C1" s="2341"/>
      <c r="D1" s="2342"/>
      <c r="E1" s="2343"/>
      <c r="F1" s="2342"/>
      <c r="G1" s="2344"/>
      <c r="H1" s="2339"/>
    </row>
    <row r="2" spans="1:8" ht="18" x14ac:dyDescent="0.25">
      <c r="A2" s="2346"/>
      <c r="B2" s="2347"/>
      <c r="C2" s="2347"/>
      <c r="D2" s="2347"/>
      <c r="E2" s="2347"/>
      <c r="F2" s="2347"/>
      <c r="G2" s="2347"/>
      <c r="H2" s="2348" t="s">
        <v>1597</v>
      </c>
    </row>
    <row r="3" spans="1:8" ht="18" x14ac:dyDescent="0.25">
      <c r="A3" s="2349" t="s">
        <v>404</v>
      </c>
      <c r="B3" s="2347"/>
      <c r="C3" s="2350" t="s">
        <v>379</v>
      </c>
      <c r="D3" s="2347"/>
      <c r="E3" s="2347"/>
      <c r="F3" s="2347"/>
      <c r="G3" s="2347"/>
      <c r="H3" s="2348"/>
    </row>
    <row r="4" spans="1:8" ht="18" x14ac:dyDescent="0.25">
      <c r="A4" s="2346"/>
      <c r="B4" s="2347"/>
      <c r="C4" s="2350" t="s">
        <v>380</v>
      </c>
      <c r="D4" s="2347"/>
      <c r="E4" s="2347"/>
      <c r="F4" s="2347"/>
      <c r="G4" s="2347"/>
      <c r="H4" s="2348"/>
    </row>
    <row r="5" spans="1:8" ht="18" x14ac:dyDescent="0.25">
      <c r="A5" s="2351" t="s">
        <v>1596</v>
      </c>
      <c r="B5" s="2347"/>
      <c r="C5" s="2347"/>
      <c r="D5" s="2347"/>
      <c r="E5" s="2347"/>
      <c r="F5" s="2347"/>
      <c r="G5" s="2347"/>
      <c r="H5" s="2348"/>
    </row>
    <row r="6" spans="1:8" x14ac:dyDescent="0.2">
      <c r="A6" s="2352"/>
      <c r="B6" s="2352"/>
      <c r="C6" s="2352"/>
      <c r="E6" s="2353"/>
      <c r="F6" s="2353"/>
      <c r="G6" s="2353"/>
    </row>
    <row r="7" spans="1:8" ht="15.75" thickBot="1" x14ac:dyDescent="0.3">
      <c r="A7" s="2338" t="s">
        <v>273</v>
      </c>
      <c r="B7" s="2352"/>
      <c r="C7" s="2352"/>
      <c r="E7" s="2353"/>
      <c r="F7" s="2353"/>
      <c r="G7" s="2353"/>
      <c r="H7" s="2354" t="s">
        <v>179</v>
      </c>
    </row>
    <row r="8" spans="1:8" ht="25.5" thickTop="1" thickBot="1" x14ac:dyDescent="0.25">
      <c r="A8" s="2355" t="s">
        <v>180</v>
      </c>
      <c r="B8" s="2356" t="s">
        <v>847</v>
      </c>
      <c r="C8" s="2356" t="s">
        <v>414</v>
      </c>
      <c r="D8" s="2357" t="s">
        <v>182</v>
      </c>
      <c r="E8" s="2358" t="s">
        <v>700</v>
      </c>
      <c r="F8" s="2358" t="s">
        <v>701</v>
      </c>
      <c r="G8" s="2359" t="s">
        <v>986</v>
      </c>
      <c r="H8" s="2360" t="s">
        <v>987</v>
      </c>
    </row>
    <row r="9" spans="1:8" ht="14.25" thickTop="1" thickBot="1" x14ac:dyDescent="0.25">
      <c r="A9" s="2361">
        <v>1</v>
      </c>
      <c r="B9" s="2362">
        <v>2</v>
      </c>
      <c r="C9" s="2362">
        <v>3</v>
      </c>
      <c r="D9" s="2362">
        <v>4</v>
      </c>
      <c r="E9" s="2363">
        <v>5</v>
      </c>
      <c r="F9" s="2363">
        <v>6</v>
      </c>
      <c r="G9" s="2364">
        <v>7</v>
      </c>
      <c r="H9" s="2365" t="s">
        <v>61</v>
      </c>
    </row>
    <row r="10" spans="1:8" ht="45.75" hidden="1" thickTop="1" x14ac:dyDescent="0.2">
      <c r="A10" s="2366">
        <v>3299</v>
      </c>
      <c r="B10" s="2367">
        <v>5213</v>
      </c>
      <c r="C10" s="2367">
        <v>32133006</v>
      </c>
      <c r="D10" s="2368" t="s">
        <v>1417</v>
      </c>
      <c r="E10" s="2369">
        <v>0</v>
      </c>
      <c r="F10" s="2369">
        <v>0</v>
      </c>
      <c r="G10" s="2369">
        <v>0</v>
      </c>
      <c r="H10" s="2370" t="e">
        <f t="shared" ref="H10:H27" si="0">G10/F10*100</f>
        <v>#DIV/0!</v>
      </c>
    </row>
    <row r="11" spans="1:8" ht="45.75" hidden="1" thickTop="1" x14ac:dyDescent="0.2">
      <c r="A11" s="2371">
        <v>3299</v>
      </c>
      <c r="B11" s="2372">
        <v>5213</v>
      </c>
      <c r="C11" s="2372">
        <v>32533006</v>
      </c>
      <c r="D11" s="2373" t="s">
        <v>1417</v>
      </c>
      <c r="E11" s="2374">
        <v>0</v>
      </c>
      <c r="F11" s="2374">
        <v>0</v>
      </c>
      <c r="G11" s="2374">
        <v>0</v>
      </c>
      <c r="H11" s="2375" t="e">
        <f t="shared" si="0"/>
        <v>#DIV/0!</v>
      </c>
    </row>
    <row r="12" spans="1:8" ht="30.75" thickTop="1" x14ac:dyDescent="0.2">
      <c r="A12" s="2371">
        <v>3299</v>
      </c>
      <c r="B12" s="2372">
        <v>5221</v>
      </c>
      <c r="C12" s="2372">
        <v>32133030</v>
      </c>
      <c r="D12" s="2373" t="s">
        <v>1477</v>
      </c>
      <c r="E12" s="2374">
        <v>0</v>
      </c>
      <c r="F12" s="2374">
        <v>183</v>
      </c>
      <c r="G12" s="2374">
        <v>94</v>
      </c>
      <c r="H12" s="2375">
        <f t="shared" si="0"/>
        <v>51.366120218579233</v>
      </c>
    </row>
    <row r="13" spans="1:8" ht="30" x14ac:dyDescent="0.2">
      <c r="A13" s="2371">
        <v>3299</v>
      </c>
      <c r="B13" s="2372">
        <v>5221</v>
      </c>
      <c r="C13" s="2372">
        <v>32533030</v>
      </c>
      <c r="D13" s="2373" t="s">
        <v>1477</v>
      </c>
      <c r="E13" s="2374">
        <v>0</v>
      </c>
      <c r="F13" s="2374">
        <v>1037</v>
      </c>
      <c r="G13" s="2374">
        <v>532</v>
      </c>
      <c r="H13" s="2375">
        <f t="shared" si="0"/>
        <v>51.301832208293149</v>
      </c>
    </row>
    <row r="14" spans="1:8" ht="31.5" customHeight="1" x14ac:dyDescent="0.2">
      <c r="A14" s="2371">
        <v>3299</v>
      </c>
      <c r="B14" s="2372">
        <v>5229</v>
      </c>
      <c r="C14" s="2372">
        <v>32133030</v>
      </c>
      <c r="D14" s="2373" t="s">
        <v>1090</v>
      </c>
      <c r="E14" s="2374">
        <v>0</v>
      </c>
      <c r="F14" s="2374">
        <v>310</v>
      </c>
      <c r="G14" s="2374">
        <v>240</v>
      </c>
      <c r="H14" s="2375">
        <f t="shared" si="0"/>
        <v>77.41935483870968</v>
      </c>
    </row>
    <row r="15" spans="1:8" ht="30" x14ac:dyDescent="0.2">
      <c r="A15" s="2371">
        <v>3299</v>
      </c>
      <c r="B15" s="2372">
        <v>5229</v>
      </c>
      <c r="C15" s="2372">
        <v>32533030</v>
      </c>
      <c r="D15" s="2373" t="s">
        <v>1090</v>
      </c>
      <c r="E15" s="2374">
        <v>0</v>
      </c>
      <c r="F15" s="2374">
        <v>1760</v>
      </c>
      <c r="G15" s="2374">
        <v>1361</v>
      </c>
      <c r="H15" s="2375">
        <f t="shared" si="0"/>
        <v>77.329545454545453</v>
      </c>
    </row>
    <row r="16" spans="1:8" ht="15" hidden="1" x14ac:dyDescent="0.2">
      <c r="A16" s="2371">
        <v>3299</v>
      </c>
      <c r="B16" s="2372">
        <v>5332</v>
      </c>
      <c r="C16" s="2376">
        <v>32133006</v>
      </c>
      <c r="D16" s="2373" t="s">
        <v>687</v>
      </c>
      <c r="E16" s="2374">
        <v>0</v>
      </c>
      <c r="F16" s="2374">
        <v>0</v>
      </c>
      <c r="G16" s="2374">
        <v>0</v>
      </c>
      <c r="H16" s="2375" t="e">
        <f t="shared" si="0"/>
        <v>#DIV/0!</v>
      </c>
    </row>
    <row r="17" spans="1:9" ht="15" hidden="1" x14ac:dyDescent="0.2">
      <c r="A17" s="2371">
        <v>3299</v>
      </c>
      <c r="B17" s="2372">
        <v>5332</v>
      </c>
      <c r="C17" s="2376">
        <v>32533006</v>
      </c>
      <c r="D17" s="2373" t="s">
        <v>687</v>
      </c>
      <c r="E17" s="2374">
        <v>0</v>
      </c>
      <c r="F17" s="2374">
        <v>0</v>
      </c>
      <c r="G17" s="2374">
        <v>0</v>
      </c>
      <c r="H17" s="2375" t="e">
        <f t="shared" si="0"/>
        <v>#DIV/0!</v>
      </c>
    </row>
    <row r="18" spans="1:9" ht="15" customHeight="1" x14ac:dyDescent="0.2">
      <c r="A18" s="2371">
        <v>3299</v>
      </c>
      <c r="B18" s="2372">
        <v>5901</v>
      </c>
      <c r="C18" s="2376">
        <v>32133030</v>
      </c>
      <c r="D18" s="2373" t="s">
        <v>670</v>
      </c>
      <c r="E18" s="2374">
        <v>0</v>
      </c>
      <c r="F18" s="2374">
        <v>1560</v>
      </c>
      <c r="G18" s="2374">
        <v>0</v>
      </c>
      <c r="H18" s="2375">
        <f t="shared" si="0"/>
        <v>0</v>
      </c>
    </row>
    <row r="19" spans="1:9" ht="15" customHeight="1" x14ac:dyDescent="0.2">
      <c r="A19" s="2371">
        <v>3299</v>
      </c>
      <c r="B19" s="2372">
        <v>5901</v>
      </c>
      <c r="C19" s="2376">
        <v>32533030</v>
      </c>
      <c r="D19" s="2373" t="s">
        <v>670</v>
      </c>
      <c r="E19" s="2374">
        <v>0</v>
      </c>
      <c r="F19" s="2374">
        <v>8841</v>
      </c>
      <c r="G19" s="2374">
        <v>0</v>
      </c>
      <c r="H19" s="2375">
        <f t="shared" si="0"/>
        <v>0</v>
      </c>
    </row>
    <row r="20" spans="1:9" ht="30" hidden="1" customHeight="1" x14ac:dyDescent="0.2">
      <c r="A20" s="2371">
        <v>3299</v>
      </c>
      <c r="B20" s="2372">
        <v>6313</v>
      </c>
      <c r="C20" s="2376">
        <v>32133006</v>
      </c>
      <c r="D20" s="2373" t="s">
        <v>613</v>
      </c>
      <c r="E20" s="2374">
        <v>0</v>
      </c>
      <c r="F20" s="2374">
        <v>0</v>
      </c>
      <c r="G20" s="2374">
        <v>0</v>
      </c>
      <c r="H20" s="2375" t="e">
        <f t="shared" si="0"/>
        <v>#DIV/0!</v>
      </c>
    </row>
    <row r="21" spans="1:9" ht="30" hidden="1" customHeight="1" x14ac:dyDescent="0.2">
      <c r="A21" s="2371">
        <v>3299</v>
      </c>
      <c r="B21" s="2372">
        <v>6313</v>
      </c>
      <c r="C21" s="2376">
        <v>32533006</v>
      </c>
      <c r="D21" s="2373" t="s">
        <v>613</v>
      </c>
      <c r="E21" s="2374">
        <v>0</v>
      </c>
      <c r="F21" s="2374">
        <v>0</v>
      </c>
      <c r="G21" s="2374">
        <v>0</v>
      </c>
      <c r="H21" s="2375" t="e">
        <f t="shared" si="0"/>
        <v>#DIV/0!</v>
      </c>
    </row>
    <row r="22" spans="1:9" ht="30" hidden="1" customHeight="1" x14ac:dyDescent="0.2">
      <c r="A22" s="2371">
        <v>3299</v>
      </c>
      <c r="B22" s="2372">
        <v>6323</v>
      </c>
      <c r="C22" s="2376">
        <v>32133006</v>
      </c>
      <c r="D22" s="2373" t="s">
        <v>614</v>
      </c>
      <c r="E22" s="2374">
        <v>0</v>
      </c>
      <c r="F22" s="2374">
        <v>0</v>
      </c>
      <c r="G22" s="2374">
        <v>0</v>
      </c>
      <c r="H22" s="2375" t="e">
        <f t="shared" si="0"/>
        <v>#DIV/0!</v>
      </c>
    </row>
    <row r="23" spans="1:9" ht="30" hidden="1" customHeight="1" x14ac:dyDescent="0.2">
      <c r="A23" s="2371">
        <v>3299</v>
      </c>
      <c r="B23" s="2372">
        <v>6323</v>
      </c>
      <c r="C23" s="2376">
        <v>32533006</v>
      </c>
      <c r="D23" s="2373" t="s">
        <v>614</v>
      </c>
      <c r="E23" s="2374">
        <v>0</v>
      </c>
      <c r="F23" s="2374">
        <v>0</v>
      </c>
      <c r="G23" s="2374">
        <v>0</v>
      </c>
      <c r="H23" s="2375" t="e">
        <f t="shared" si="0"/>
        <v>#DIV/0!</v>
      </c>
    </row>
    <row r="24" spans="1:9" ht="15" customHeight="1" x14ac:dyDescent="0.2">
      <c r="A24" s="2371">
        <v>3636</v>
      </c>
      <c r="B24" s="2372">
        <v>6901</v>
      </c>
      <c r="C24" s="2376">
        <v>32133926</v>
      </c>
      <c r="D24" s="2373" t="s">
        <v>468</v>
      </c>
      <c r="E24" s="2374">
        <v>0</v>
      </c>
      <c r="F24" s="2374">
        <v>11</v>
      </c>
      <c r="G24" s="2374">
        <v>0</v>
      </c>
      <c r="H24" s="2375">
        <f t="shared" si="0"/>
        <v>0</v>
      </c>
    </row>
    <row r="25" spans="1:9" ht="15" customHeight="1" thickBot="1" x14ac:dyDescent="0.25">
      <c r="A25" s="2371">
        <v>3636</v>
      </c>
      <c r="B25" s="2372">
        <v>6901</v>
      </c>
      <c r="C25" s="2376">
        <v>32533926</v>
      </c>
      <c r="D25" s="2373" t="s">
        <v>468</v>
      </c>
      <c r="E25" s="2374">
        <v>0</v>
      </c>
      <c r="F25" s="2374">
        <v>60</v>
      </c>
      <c r="G25" s="2374">
        <v>0</v>
      </c>
      <c r="H25" s="2375">
        <f t="shared" si="0"/>
        <v>0</v>
      </c>
    </row>
    <row r="26" spans="1:9" ht="15" hidden="1" customHeight="1" thickBot="1" x14ac:dyDescent="0.25">
      <c r="A26" s="2371">
        <v>6402</v>
      </c>
      <c r="B26" s="2372">
        <v>5363</v>
      </c>
      <c r="C26" s="2376">
        <v>19</v>
      </c>
      <c r="D26" s="2373" t="s">
        <v>615</v>
      </c>
      <c r="E26" s="2374">
        <v>0</v>
      </c>
      <c r="F26" s="2374">
        <v>0</v>
      </c>
      <c r="G26" s="2374">
        <v>0</v>
      </c>
      <c r="H26" s="2377" t="e">
        <f t="shared" si="0"/>
        <v>#DIV/0!</v>
      </c>
    </row>
    <row r="27" spans="1:9" ht="16.5" thickTop="1" thickBot="1" x14ac:dyDescent="0.3">
      <c r="A27" s="2825" t="s">
        <v>849</v>
      </c>
      <c r="B27" s="2826"/>
      <c r="C27" s="2826"/>
      <c r="D27" s="2826"/>
      <c r="E27" s="2378">
        <f>SUM(E10:E25)</f>
        <v>0</v>
      </c>
      <c r="F27" s="2378">
        <f>SUM(F10:F26)</f>
        <v>13762</v>
      </c>
      <c r="G27" s="2378">
        <f>SUM(G10:G26)</f>
        <v>2227</v>
      </c>
      <c r="H27" s="2379">
        <f t="shared" si="0"/>
        <v>16.182240953349805</v>
      </c>
    </row>
    <row r="28" spans="1:9" ht="13.5" thickTop="1" x14ac:dyDescent="0.2"/>
    <row r="30" spans="1:9" ht="15" x14ac:dyDescent="0.25">
      <c r="A30" s="2338" t="s">
        <v>1951</v>
      </c>
      <c r="B30" s="2352"/>
      <c r="C30" s="2352"/>
      <c r="D30" s="2352"/>
      <c r="F30" s="2353"/>
      <c r="G30" s="2353"/>
      <c r="H30" s="2353"/>
      <c r="I30" s="2353"/>
    </row>
    <row r="31" spans="1:9" ht="15.75" thickBot="1" x14ac:dyDescent="0.3">
      <c r="A31" s="2338" t="s">
        <v>1842</v>
      </c>
      <c r="B31" s="2352"/>
      <c r="C31" s="2352"/>
      <c r="D31" s="2352"/>
      <c r="F31" s="2353"/>
      <c r="G31" s="2353"/>
      <c r="H31" s="2354" t="s">
        <v>179</v>
      </c>
      <c r="I31" s="2353"/>
    </row>
    <row r="32" spans="1:9" ht="25.5" thickTop="1" thickBot="1" x14ac:dyDescent="0.25">
      <c r="A32" s="2355" t="s">
        <v>180</v>
      </c>
      <c r="B32" s="2356" t="s">
        <v>847</v>
      </c>
      <c r="C32" s="2356" t="s">
        <v>414</v>
      </c>
      <c r="D32" s="2357" t="s">
        <v>182</v>
      </c>
      <c r="E32" s="2358" t="s">
        <v>700</v>
      </c>
      <c r="F32" s="2358" t="s">
        <v>701</v>
      </c>
      <c r="G32" s="2359" t="s">
        <v>986</v>
      </c>
      <c r="H32" s="2360" t="s">
        <v>987</v>
      </c>
      <c r="I32" s="2353"/>
    </row>
    <row r="33" spans="1:9" ht="14.25" thickTop="1" thickBot="1" x14ac:dyDescent="0.25">
      <c r="A33" s="2361">
        <v>1</v>
      </c>
      <c r="B33" s="2362">
        <v>2</v>
      </c>
      <c r="C33" s="2362">
        <v>3</v>
      </c>
      <c r="D33" s="2362">
        <v>5</v>
      </c>
      <c r="E33" s="2363">
        <v>6</v>
      </c>
      <c r="F33" s="2363">
        <v>7</v>
      </c>
      <c r="G33" s="2364">
        <v>8</v>
      </c>
      <c r="H33" s="2380" t="s">
        <v>848</v>
      </c>
      <c r="I33" s="2353"/>
    </row>
    <row r="34" spans="1:9" ht="30.75" thickTop="1" x14ac:dyDescent="0.2">
      <c r="A34" s="2371">
        <v>3299</v>
      </c>
      <c r="B34" s="2372">
        <v>5336</v>
      </c>
      <c r="C34" s="2372">
        <v>32133030</v>
      </c>
      <c r="D34" s="2373" t="s">
        <v>1419</v>
      </c>
      <c r="E34" s="2369">
        <v>0</v>
      </c>
      <c r="F34" s="2369">
        <v>108</v>
      </c>
      <c r="G34" s="2381">
        <v>48</v>
      </c>
      <c r="H34" s="2370">
        <f>G34/F34*100</f>
        <v>44.444444444444443</v>
      </c>
      <c r="I34" s="2353"/>
    </row>
    <row r="35" spans="1:9" ht="30" x14ac:dyDescent="0.2">
      <c r="A35" s="2371">
        <v>3299</v>
      </c>
      <c r="B35" s="2372">
        <v>5336</v>
      </c>
      <c r="C35" s="2372">
        <v>32533030</v>
      </c>
      <c r="D35" s="2373" t="s">
        <v>1419</v>
      </c>
      <c r="E35" s="2374">
        <v>0</v>
      </c>
      <c r="F35" s="2374">
        <v>612</v>
      </c>
      <c r="G35" s="2382">
        <v>275</v>
      </c>
      <c r="H35" s="2375">
        <f>G35/F35*100</f>
        <v>44.934640522875817</v>
      </c>
      <c r="I35" s="2353"/>
    </row>
    <row r="36" spans="1:9" ht="30" x14ac:dyDescent="0.2">
      <c r="A36" s="2371">
        <v>3299</v>
      </c>
      <c r="B36" s="2372">
        <v>6351</v>
      </c>
      <c r="C36" s="2372">
        <v>32133926</v>
      </c>
      <c r="D36" s="2373" t="s">
        <v>1433</v>
      </c>
      <c r="E36" s="2374">
        <v>0</v>
      </c>
      <c r="F36" s="2374">
        <v>9</v>
      </c>
      <c r="G36" s="2382">
        <v>9</v>
      </c>
      <c r="H36" s="2375">
        <f>G36/F36*100</f>
        <v>100</v>
      </c>
      <c r="I36" s="2353"/>
    </row>
    <row r="37" spans="1:9" ht="30.75" thickBot="1" x14ac:dyDescent="0.25">
      <c r="A37" s="2371">
        <v>3299</v>
      </c>
      <c r="B37" s="2372">
        <v>6351</v>
      </c>
      <c r="C37" s="2372">
        <v>32533926</v>
      </c>
      <c r="D37" s="2373" t="s">
        <v>1433</v>
      </c>
      <c r="E37" s="2374">
        <v>0</v>
      </c>
      <c r="F37" s="2374">
        <v>51</v>
      </c>
      <c r="G37" s="2382">
        <v>51</v>
      </c>
      <c r="H37" s="2375">
        <f>G37/F37*100</f>
        <v>100</v>
      </c>
      <c r="I37" s="2353"/>
    </row>
    <row r="38" spans="1:9" ht="16.5" thickTop="1" thickBot="1" x14ac:dyDescent="0.3">
      <c r="A38" s="2383" t="s">
        <v>849</v>
      </c>
      <c r="B38" s="2384"/>
      <c r="C38" s="2384"/>
      <c r="D38" s="2385"/>
      <c r="E38" s="2378">
        <f>SUM(E34:E37)</f>
        <v>0</v>
      </c>
      <c r="F38" s="2378">
        <f>SUM(F34:F37)</f>
        <v>780</v>
      </c>
      <c r="G38" s="2378">
        <f>SUM(G34:G37)</f>
        <v>383</v>
      </c>
      <c r="H38" s="2379">
        <f>G38/F38*100</f>
        <v>49.102564102564102</v>
      </c>
      <c r="I38" s="2353"/>
    </row>
    <row r="39" spans="1:9" ht="13.5" thickTop="1" x14ac:dyDescent="0.2">
      <c r="A39" s="2352"/>
      <c r="B39" s="2352"/>
      <c r="C39" s="2352"/>
      <c r="E39" s="2353"/>
      <c r="F39" s="2353"/>
      <c r="G39" s="2353"/>
      <c r="I39" s="2353"/>
    </row>
    <row r="40" spans="1:9" ht="15" x14ac:dyDescent="0.25">
      <c r="A40" s="2338" t="s">
        <v>1843</v>
      </c>
      <c r="B40" s="2352"/>
      <c r="C40" s="2352"/>
      <c r="D40" s="2352"/>
      <c r="F40" s="2353"/>
      <c r="G40" s="2353"/>
      <c r="H40" s="2353"/>
      <c r="I40" s="2353"/>
    </row>
    <row r="41" spans="1:9" ht="15.75" thickBot="1" x14ac:dyDescent="0.3">
      <c r="A41" s="2338" t="s">
        <v>1422</v>
      </c>
      <c r="B41" s="2352"/>
      <c r="C41" s="2352"/>
      <c r="D41" s="2352"/>
      <c r="F41" s="2353"/>
      <c r="G41" s="2353"/>
      <c r="H41" s="2354" t="s">
        <v>179</v>
      </c>
      <c r="I41" s="2353"/>
    </row>
    <row r="42" spans="1:9" ht="25.5" thickTop="1" thickBot="1" x14ac:dyDescent="0.25">
      <c r="A42" s="2355" t="s">
        <v>180</v>
      </c>
      <c r="B42" s="2356" t="s">
        <v>847</v>
      </c>
      <c r="C42" s="2356" t="s">
        <v>414</v>
      </c>
      <c r="D42" s="2357" t="s">
        <v>182</v>
      </c>
      <c r="E42" s="2358" t="s">
        <v>700</v>
      </c>
      <c r="F42" s="2358" t="s">
        <v>701</v>
      </c>
      <c r="G42" s="2359" t="s">
        <v>986</v>
      </c>
      <c r="H42" s="2360" t="s">
        <v>987</v>
      </c>
      <c r="I42" s="2353"/>
    </row>
    <row r="43" spans="1:9" ht="14.25" thickTop="1" thickBot="1" x14ac:dyDescent="0.25">
      <c r="A43" s="2361">
        <v>1</v>
      </c>
      <c r="B43" s="2362">
        <v>2</v>
      </c>
      <c r="C43" s="2362">
        <v>3</v>
      </c>
      <c r="D43" s="2362">
        <v>5</v>
      </c>
      <c r="E43" s="2363">
        <v>6</v>
      </c>
      <c r="F43" s="2363">
        <v>7</v>
      </c>
      <c r="G43" s="2364">
        <v>8</v>
      </c>
      <c r="H43" s="2380" t="s">
        <v>848</v>
      </c>
      <c r="I43" s="2353"/>
    </row>
    <row r="44" spans="1:9" ht="30.75" thickTop="1" x14ac:dyDescent="0.2">
      <c r="A44" s="2371">
        <v>3299</v>
      </c>
      <c r="B44" s="2372">
        <v>5336</v>
      </c>
      <c r="C44" s="2372">
        <v>32133030</v>
      </c>
      <c r="D44" s="2373" t="s">
        <v>1419</v>
      </c>
      <c r="E44" s="2369">
        <v>0</v>
      </c>
      <c r="F44" s="2369">
        <v>354</v>
      </c>
      <c r="G44" s="2381">
        <v>215</v>
      </c>
      <c r="H44" s="2370">
        <f>G44/F44*100</f>
        <v>60.734463276836159</v>
      </c>
      <c r="I44" s="2353"/>
    </row>
    <row r="45" spans="1:9" ht="30.75" thickBot="1" x14ac:dyDescent="0.25">
      <c r="A45" s="2371">
        <v>3299</v>
      </c>
      <c r="B45" s="2372">
        <v>5336</v>
      </c>
      <c r="C45" s="2372">
        <v>32533030</v>
      </c>
      <c r="D45" s="2373" t="s">
        <v>1419</v>
      </c>
      <c r="E45" s="2374">
        <v>0</v>
      </c>
      <c r="F45" s="2374">
        <v>2006</v>
      </c>
      <c r="G45" s="2382">
        <v>1219</v>
      </c>
      <c r="H45" s="2375">
        <f>G45/F45*100</f>
        <v>60.767696909272182</v>
      </c>
      <c r="I45" s="2353"/>
    </row>
    <row r="46" spans="1:9" ht="30.75" hidden="1" thickBot="1" x14ac:dyDescent="0.25">
      <c r="A46" s="2371">
        <v>3299</v>
      </c>
      <c r="B46" s="2372">
        <v>6351</v>
      </c>
      <c r="C46" s="2372">
        <v>32133006</v>
      </c>
      <c r="D46" s="2373" t="s">
        <v>1433</v>
      </c>
      <c r="E46" s="2374">
        <v>0</v>
      </c>
      <c r="F46" s="2374">
        <v>0</v>
      </c>
      <c r="G46" s="2382">
        <v>0</v>
      </c>
      <c r="H46" s="2375" t="e">
        <f>G46/F46*100</f>
        <v>#DIV/0!</v>
      </c>
      <c r="I46" s="2353"/>
    </row>
    <row r="47" spans="1:9" ht="30.75" hidden="1" thickBot="1" x14ac:dyDescent="0.25">
      <c r="A47" s="2371">
        <v>3299</v>
      </c>
      <c r="B47" s="2372">
        <v>6351</v>
      </c>
      <c r="C47" s="2372">
        <v>32533006</v>
      </c>
      <c r="D47" s="2373" t="s">
        <v>1433</v>
      </c>
      <c r="E47" s="2374">
        <v>0</v>
      </c>
      <c r="F47" s="2374">
        <v>0</v>
      </c>
      <c r="G47" s="2382">
        <v>0</v>
      </c>
      <c r="H47" s="2375" t="e">
        <f>G47/F47*100</f>
        <v>#DIV/0!</v>
      </c>
      <c r="I47" s="2353"/>
    </row>
    <row r="48" spans="1:9" ht="16.5" thickTop="1" thickBot="1" x14ac:dyDescent="0.3">
      <c r="A48" s="2383" t="s">
        <v>849</v>
      </c>
      <c r="B48" s="2384"/>
      <c r="C48" s="2384"/>
      <c r="D48" s="2385"/>
      <c r="E48" s="2378">
        <f>SUM(E44:E47)</f>
        <v>0</v>
      </c>
      <c r="F48" s="2378">
        <f>SUM(F44:F47)</f>
        <v>2360</v>
      </c>
      <c r="G48" s="2378">
        <f>SUM(G44:G47)</f>
        <v>1434</v>
      </c>
      <c r="H48" s="2379">
        <f>G48/F48*100</f>
        <v>60.762711864406782</v>
      </c>
      <c r="I48" s="2353"/>
    </row>
    <row r="49" spans="1:9" ht="13.5" thickTop="1" x14ac:dyDescent="0.2">
      <c r="A49" s="2352"/>
      <c r="B49" s="2352"/>
      <c r="C49" s="2352"/>
      <c r="E49" s="2353"/>
      <c r="F49" s="2353"/>
      <c r="G49" s="2353"/>
      <c r="I49" s="2353"/>
    </row>
    <row r="50" spans="1:9" ht="15" x14ac:dyDescent="0.25">
      <c r="A50" s="2338" t="s">
        <v>1844</v>
      </c>
      <c r="B50" s="2352"/>
      <c r="C50" s="2352"/>
      <c r="D50" s="2352"/>
      <c r="F50" s="2353"/>
      <c r="G50" s="2353"/>
      <c r="H50" s="2353"/>
      <c r="I50" s="2353"/>
    </row>
    <row r="51" spans="1:9" ht="15.75" thickBot="1" x14ac:dyDescent="0.3">
      <c r="A51" s="2338" t="s">
        <v>1426</v>
      </c>
      <c r="B51" s="2352"/>
      <c r="C51" s="2352"/>
      <c r="D51" s="2352"/>
      <c r="F51" s="2353"/>
      <c r="G51" s="2353"/>
      <c r="H51" s="2354" t="s">
        <v>179</v>
      </c>
      <c r="I51" s="2353"/>
    </row>
    <row r="52" spans="1:9" ht="25.5" thickTop="1" thickBot="1" x14ac:dyDescent="0.25">
      <c r="A52" s="2355" t="s">
        <v>180</v>
      </c>
      <c r="B52" s="2356" t="s">
        <v>847</v>
      </c>
      <c r="C52" s="2356" t="s">
        <v>414</v>
      </c>
      <c r="D52" s="2357" t="s">
        <v>182</v>
      </c>
      <c r="E52" s="2358" t="s">
        <v>700</v>
      </c>
      <c r="F52" s="2358" t="s">
        <v>701</v>
      </c>
      <c r="G52" s="2359" t="s">
        <v>986</v>
      </c>
      <c r="H52" s="2360" t="s">
        <v>987</v>
      </c>
      <c r="I52" s="2353"/>
    </row>
    <row r="53" spans="1:9" ht="14.25" thickTop="1" thickBot="1" x14ac:dyDescent="0.25">
      <c r="A53" s="2361">
        <v>1</v>
      </c>
      <c r="B53" s="2362">
        <v>2</v>
      </c>
      <c r="C53" s="2362">
        <v>3</v>
      </c>
      <c r="D53" s="2362">
        <v>5</v>
      </c>
      <c r="E53" s="2363">
        <v>6</v>
      </c>
      <c r="F53" s="2363">
        <v>7</v>
      </c>
      <c r="G53" s="2364">
        <v>8</v>
      </c>
      <c r="H53" s="2380" t="s">
        <v>848</v>
      </c>
      <c r="I53" s="2353"/>
    </row>
    <row r="54" spans="1:9" ht="30.75" thickTop="1" x14ac:dyDescent="0.2">
      <c r="A54" s="2371">
        <v>3299</v>
      </c>
      <c r="B54" s="2372">
        <v>5336</v>
      </c>
      <c r="C54" s="2372">
        <v>32133030</v>
      </c>
      <c r="D54" s="2373" t="s">
        <v>1419</v>
      </c>
      <c r="E54" s="2369">
        <v>0</v>
      </c>
      <c r="F54" s="2369">
        <v>114</v>
      </c>
      <c r="G54" s="2381">
        <v>67</v>
      </c>
      <c r="H54" s="2370">
        <f>G54/F54*100</f>
        <v>58.771929824561411</v>
      </c>
      <c r="I54" s="2353"/>
    </row>
    <row r="55" spans="1:9" ht="30.75" thickBot="1" x14ac:dyDescent="0.25">
      <c r="A55" s="2371">
        <v>3299</v>
      </c>
      <c r="B55" s="2372">
        <v>5336</v>
      </c>
      <c r="C55" s="2372">
        <v>32533030</v>
      </c>
      <c r="D55" s="2373" t="s">
        <v>1419</v>
      </c>
      <c r="E55" s="2374">
        <v>0</v>
      </c>
      <c r="F55" s="2374">
        <v>646</v>
      </c>
      <c r="G55" s="2382">
        <v>378</v>
      </c>
      <c r="H55" s="2375">
        <f>G55/F55*100</f>
        <v>58.513931888544889</v>
      </c>
      <c r="I55" s="2353"/>
    </row>
    <row r="56" spans="1:9" ht="30.75" hidden="1" thickBot="1" x14ac:dyDescent="0.25">
      <c r="A56" s="2371">
        <v>3299</v>
      </c>
      <c r="B56" s="2372">
        <v>6351</v>
      </c>
      <c r="C56" s="2372">
        <v>32133006</v>
      </c>
      <c r="D56" s="2373" t="s">
        <v>1433</v>
      </c>
      <c r="E56" s="2374">
        <v>0</v>
      </c>
      <c r="F56" s="2374">
        <v>0</v>
      </c>
      <c r="G56" s="2382">
        <v>0</v>
      </c>
      <c r="H56" s="2375" t="e">
        <f>G56/F56*100</f>
        <v>#DIV/0!</v>
      </c>
      <c r="I56" s="2353"/>
    </row>
    <row r="57" spans="1:9" ht="30.75" hidden="1" thickBot="1" x14ac:dyDescent="0.25">
      <c r="A57" s="2371">
        <v>3299</v>
      </c>
      <c r="B57" s="2372">
        <v>6351</v>
      </c>
      <c r="C57" s="2372">
        <v>32533006</v>
      </c>
      <c r="D57" s="2373" t="s">
        <v>1433</v>
      </c>
      <c r="E57" s="2374">
        <v>0</v>
      </c>
      <c r="F57" s="2374">
        <v>0</v>
      </c>
      <c r="G57" s="2382">
        <v>0</v>
      </c>
      <c r="H57" s="2375" t="e">
        <f>G57/F57*100</f>
        <v>#DIV/0!</v>
      </c>
      <c r="I57" s="2353"/>
    </row>
    <row r="58" spans="1:9" ht="16.5" thickTop="1" thickBot="1" x14ac:dyDescent="0.3">
      <c r="A58" s="2383" t="s">
        <v>849</v>
      </c>
      <c r="B58" s="2384"/>
      <c r="C58" s="2384"/>
      <c r="D58" s="2385"/>
      <c r="E58" s="2378">
        <f>SUM(E54:E57)</f>
        <v>0</v>
      </c>
      <c r="F58" s="2378">
        <f>SUM(F54:F57)</f>
        <v>760</v>
      </c>
      <c r="G58" s="2378">
        <f>SUM(G54:G57)</f>
        <v>445</v>
      </c>
      <c r="H58" s="2379">
        <f>G58/F58*100</f>
        <v>58.55263157894737</v>
      </c>
      <c r="I58" s="2353"/>
    </row>
    <row r="59" spans="1:9" ht="13.5" thickTop="1" x14ac:dyDescent="0.2">
      <c r="A59" s="2352"/>
      <c r="B59" s="2352"/>
      <c r="C59" s="2352"/>
      <c r="E59" s="2353"/>
      <c r="F59" s="2353"/>
      <c r="G59" s="2353"/>
      <c r="I59" s="2353"/>
    </row>
    <row r="60" spans="1:9" ht="15" x14ac:dyDescent="0.25">
      <c r="A60" s="2338" t="s">
        <v>1130</v>
      </c>
      <c r="B60" s="2352"/>
      <c r="C60" s="2352"/>
      <c r="D60" s="2352"/>
      <c r="F60" s="2353"/>
      <c r="G60" s="2353"/>
      <c r="H60" s="2353"/>
      <c r="I60" s="2353"/>
    </row>
    <row r="61" spans="1:9" ht="15.75" thickBot="1" x14ac:dyDescent="0.3">
      <c r="A61" s="2338" t="s">
        <v>1428</v>
      </c>
      <c r="B61" s="2352"/>
      <c r="C61" s="2352"/>
      <c r="D61" s="2352"/>
      <c r="F61" s="2353"/>
      <c r="G61" s="2353"/>
      <c r="H61" s="2354" t="s">
        <v>179</v>
      </c>
      <c r="I61" s="2353"/>
    </row>
    <row r="62" spans="1:9" ht="25.5" thickTop="1" thickBot="1" x14ac:dyDescent="0.25">
      <c r="A62" s="2355" t="s">
        <v>180</v>
      </c>
      <c r="B62" s="2356" t="s">
        <v>847</v>
      </c>
      <c r="C62" s="2356" t="s">
        <v>414</v>
      </c>
      <c r="D62" s="2357" t="s">
        <v>182</v>
      </c>
      <c r="E62" s="2358" t="s">
        <v>700</v>
      </c>
      <c r="F62" s="2358" t="s">
        <v>701</v>
      </c>
      <c r="G62" s="2359" t="s">
        <v>986</v>
      </c>
      <c r="H62" s="2360" t="s">
        <v>987</v>
      </c>
      <c r="I62" s="2353"/>
    </row>
    <row r="63" spans="1:9" ht="14.25" thickTop="1" thickBot="1" x14ac:dyDescent="0.25">
      <c r="A63" s="2361">
        <v>1</v>
      </c>
      <c r="B63" s="2362">
        <v>2</v>
      </c>
      <c r="C63" s="2362">
        <v>3</v>
      </c>
      <c r="D63" s="2362">
        <v>5</v>
      </c>
      <c r="E63" s="2363">
        <v>6</v>
      </c>
      <c r="F63" s="2363">
        <v>7</v>
      </c>
      <c r="G63" s="2364">
        <v>8</v>
      </c>
      <c r="H63" s="2380" t="s">
        <v>848</v>
      </c>
      <c r="I63" s="2353"/>
    </row>
    <row r="64" spans="1:9" ht="30.75" thickTop="1" x14ac:dyDescent="0.2">
      <c r="A64" s="2371">
        <v>3299</v>
      </c>
      <c r="B64" s="2372">
        <v>5336</v>
      </c>
      <c r="C64" s="2372">
        <v>32133030</v>
      </c>
      <c r="D64" s="2373" t="s">
        <v>1419</v>
      </c>
      <c r="E64" s="2369">
        <v>0</v>
      </c>
      <c r="F64" s="2369">
        <v>651</v>
      </c>
      <c r="G64" s="2381">
        <v>375</v>
      </c>
      <c r="H64" s="2370">
        <f>G64/F64*100</f>
        <v>57.603686635944698</v>
      </c>
      <c r="I64" s="2353"/>
    </row>
    <row r="65" spans="1:9" ht="30.75" thickBot="1" x14ac:dyDescent="0.25">
      <c r="A65" s="2371">
        <v>3299</v>
      </c>
      <c r="B65" s="2372">
        <v>5336</v>
      </c>
      <c r="C65" s="2372">
        <v>32533030</v>
      </c>
      <c r="D65" s="2373" t="s">
        <v>1419</v>
      </c>
      <c r="E65" s="2374">
        <v>0</v>
      </c>
      <c r="F65" s="2374">
        <v>3689</v>
      </c>
      <c r="G65" s="2382">
        <v>2124</v>
      </c>
      <c r="H65" s="2375">
        <f>G65/F65*100</f>
        <v>57.576579018704251</v>
      </c>
      <c r="I65" s="2353"/>
    </row>
    <row r="66" spans="1:9" ht="30.75" hidden="1" thickBot="1" x14ac:dyDescent="0.25">
      <c r="A66" s="2371">
        <v>3299</v>
      </c>
      <c r="B66" s="2372">
        <v>6351</v>
      </c>
      <c r="C66" s="2372">
        <v>32133006</v>
      </c>
      <c r="D66" s="2373" t="s">
        <v>1433</v>
      </c>
      <c r="E66" s="2374">
        <v>0</v>
      </c>
      <c r="F66" s="2374">
        <v>0</v>
      </c>
      <c r="G66" s="2382">
        <v>0</v>
      </c>
      <c r="H66" s="2375" t="e">
        <f>G66/F66*100</f>
        <v>#DIV/0!</v>
      </c>
      <c r="I66" s="2353"/>
    </row>
    <row r="67" spans="1:9" ht="30.75" hidden="1" thickBot="1" x14ac:dyDescent="0.25">
      <c r="A67" s="2371">
        <v>3299</v>
      </c>
      <c r="B67" s="2372">
        <v>6351</v>
      </c>
      <c r="C67" s="2372">
        <v>32533006</v>
      </c>
      <c r="D67" s="2373" t="s">
        <v>1433</v>
      </c>
      <c r="E67" s="2374">
        <v>0</v>
      </c>
      <c r="F67" s="2374">
        <v>0</v>
      </c>
      <c r="G67" s="2382">
        <v>0</v>
      </c>
      <c r="H67" s="2375" t="e">
        <f>G67/F67*100</f>
        <v>#DIV/0!</v>
      </c>
      <c r="I67" s="2353"/>
    </row>
    <row r="68" spans="1:9" ht="16.5" thickTop="1" thickBot="1" x14ac:dyDescent="0.3">
      <c r="A68" s="2383" t="s">
        <v>849</v>
      </c>
      <c r="B68" s="2384"/>
      <c r="C68" s="2384"/>
      <c r="D68" s="2385"/>
      <c r="E68" s="2378">
        <f>SUM(E64:E67)</f>
        <v>0</v>
      </c>
      <c r="F68" s="2378">
        <f>SUM(F64:F67)</f>
        <v>4340</v>
      </c>
      <c r="G68" s="2378">
        <f>SUM(G64:G67)</f>
        <v>2499</v>
      </c>
      <c r="H68" s="2379">
        <f>G68/F68*100</f>
        <v>57.58064516129032</v>
      </c>
      <c r="I68" s="2353"/>
    </row>
    <row r="69" spans="1:9" ht="13.5" thickTop="1" x14ac:dyDescent="0.2">
      <c r="A69" s="2352"/>
      <c r="B69" s="2352"/>
      <c r="C69" s="2352"/>
      <c r="E69" s="2353"/>
      <c r="F69" s="2353"/>
      <c r="G69" s="2353"/>
      <c r="I69" s="2353"/>
    </row>
    <row r="70" spans="1:9" ht="15" x14ac:dyDescent="0.25">
      <c r="A70" s="2338" t="s">
        <v>1944</v>
      </c>
      <c r="B70" s="2352"/>
      <c r="C70" s="2352"/>
      <c r="D70" s="2352"/>
      <c r="F70" s="2353"/>
      <c r="G70" s="2353"/>
      <c r="H70" s="2353"/>
      <c r="I70" s="2353"/>
    </row>
    <row r="71" spans="1:9" ht="15.75" thickBot="1" x14ac:dyDescent="0.3">
      <c r="A71" s="2338" t="s">
        <v>1114</v>
      </c>
      <c r="B71" s="2352"/>
      <c r="C71" s="2352"/>
      <c r="D71" s="2352"/>
      <c r="F71" s="2353"/>
      <c r="G71" s="2353"/>
      <c r="H71" s="2354" t="s">
        <v>179</v>
      </c>
      <c r="I71" s="2353"/>
    </row>
    <row r="72" spans="1:9" ht="25.5" thickTop="1" thickBot="1" x14ac:dyDescent="0.25">
      <c r="A72" s="2355" t="s">
        <v>180</v>
      </c>
      <c r="B72" s="2356" t="s">
        <v>847</v>
      </c>
      <c r="C72" s="2356" t="s">
        <v>414</v>
      </c>
      <c r="D72" s="2357" t="s">
        <v>182</v>
      </c>
      <c r="E72" s="2358" t="s">
        <v>700</v>
      </c>
      <c r="F72" s="2358" t="s">
        <v>701</v>
      </c>
      <c r="G72" s="2359" t="s">
        <v>986</v>
      </c>
      <c r="H72" s="2360" t="s">
        <v>987</v>
      </c>
      <c r="I72" s="2353"/>
    </row>
    <row r="73" spans="1:9" ht="14.25" thickTop="1" thickBot="1" x14ac:dyDescent="0.25">
      <c r="A73" s="2361">
        <v>1</v>
      </c>
      <c r="B73" s="2362">
        <v>2</v>
      </c>
      <c r="C73" s="2362">
        <v>3</v>
      </c>
      <c r="D73" s="2362">
        <v>5</v>
      </c>
      <c r="E73" s="2363">
        <v>6</v>
      </c>
      <c r="F73" s="2363">
        <v>7</v>
      </c>
      <c r="G73" s="2364">
        <v>8</v>
      </c>
      <c r="H73" s="2380" t="s">
        <v>848</v>
      </c>
      <c r="I73" s="2353"/>
    </row>
    <row r="74" spans="1:9" ht="30.75" thickTop="1" x14ac:dyDescent="0.2">
      <c r="A74" s="2371">
        <v>3299</v>
      </c>
      <c r="B74" s="2372">
        <v>5336</v>
      </c>
      <c r="C74" s="2372">
        <v>32133030</v>
      </c>
      <c r="D74" s="2373" t="s">
        <v>1419</v>
      </c>
      <c r="E74" s="2369">
        <v>0</v>
      </c>
      <c r="F74" s="2369">
        <v>256</v>
      </c>
      <c r="G74" s="2381">
        <v>70</v>
      </c>
      <c r="H74" s="2370">
        <f>G74/F74*100</f>
        <v>27.34375</v>
      </c>
      <c r="I74" s="2353"/>
    </row>
    <row r="75" spans="1:9" ht="30" x14ac:dyDescent="0.2">
      <c r="A75" s="2371">
        <v>3299</v>
      </c>
      <c r="B75" s="2372">
        <v>5336</v>
      </c>
      <c r="C75" s="2372">
        <v>32533030</v>
      </c>
      <c r="D75" s="2373" t="s">
        <v>1419</v>
      </c>
      <c r="E75" s="2374">
        <v>0</v>
      </c>
      <c r="F75" s="2374">
        <v>1454</v>
      </c>
      <c r="G75" s="2382">
        <v>398</v>
      </c>
      <c r="H75" s="2375">
        <f>G75/F75*100</f>
        <v>27.372764786795052</v>
      </c>
      <c r="I75" s="2353"/>
    </row>
    <row r="76" spans="1:9" ht="30" x14ac:dyDescent="0.2">
      <c r="A76" s="2371">
        <v>3299</v>
      </c>
      <c r="B76" s="2372">
        <v>6351</v>
      </c>
      <c r="C76" s="2372">
        <v>32133926</v>
      </c>
      <c r="D76" s="2373" t="s">
        <v>1433</v>
      </c>
      <c r="E76" s="2374">
        <v>0</v>
      </c>
      <c r="F76" s="2374">
        <v>90</v>
      </c>
      <c r="G76" s="2382">
        <v>90</v>
      </c>
      <c r="H76" s="2375">
        <f>G76/F76*100</f>
        <v>100</v>
      </c>
      <c r="I76" s="2353"/>
    </row>
    <row r="77" spans="1:9" ht="30.75" thickBot="1" x14ac:dyDescent="0.25">
      <c r="A77" s="2371">
        <v>3299</v>
      </c>
      <c r="B77" s="2372">
        <v>6351</v>
      </c>
      <c r="C77" s="2372">
        <v>32533926</v>
      </c>
      <c r="D77" s="2373" t="s">
        <v>1433</v>
      </c>
      <c r="E77" s="2374">
        <v>0</v>
      </c>
      <c r="F77" s="2374">
        <v>510</v>
      </c>
      <c r="G77" s="2382">
        <v>510</v>
      </c>
      <c r="H77" s="2375">
        <f>G77/F77*100</f>
        <v>100</v>
      </c>
      <c r="I77" s="2353"/>
    </row>
    <row r="78" spans="1:9" ht="16.5" thickTop="1" thickBot="1" x14ac:dyDescent="0.3">
      <c r="A78" s="2383" t="s">
        <v>849</v>
      </c>
      <c r="B78" s="2384"/>
      <c r="C78" s="2384"/>
      <c r="D78" s="2385"/>
      <c r="E78" s="2378">
        <f>SUM(E74:E77)</f>
        <v>0</v>
      </c>
      <c r="F78" s="2378">
        <f>SUM(F74:F77)</f>
        <v>2310</v>
      </c>
      <c r="G78" s="2378">
        <f>SUM(G74:G77)</f>
        <v>1068</v>
      </c>
      <c r="H78" s="2379">
        <f>G78/F78*100</f>
        <v>46.233766233766232</v>
      </c>
      <c r="I78" s="2353"/>
    </row>
    <row r="79" spans="1:9" ht="13.5" thickTop="1" x14ac:dyDescent="0.2"/>
    <row r="80" spans="1:9" ht="15" x14ac:dyDescent="0.25">
      <c r="A80" s="2338" t="s">
        <v>1845</v>
      </c>
      <c r="B80" s="2352"/>
      <c r="C80" s="2352"/>
      <c r="D80" s="2352"/>
      <c r="F80" s="2353"/>
      <c r="G80" s="2353"/>
      <c r="H80" s="2353"/>
      <c r="I80" s="2353"/>
    </row>
    <row r="81" spans="1:9" ht="15.75" thickBot="1" x14ac:dyDescent="0.3">
      <c r="A81" s="2338" t="s">
        <v>620</v>
      </c>
      <c r="B81" s="2352"/>
      <c r="C81" s="2352"/>
      <c r="D81" s="2352"/>
      <c r="F81" s="2353"/>
      <c r="G81" s="2353"/>
      <c r="H81" s="2354" t="s">
        <v>179</v>
      </c>
      <c r="I81" s="2353"/>
    </row>
    <row r="82" spans="1:9" ht="25.5" thickTop="1" thickBot="1" x14ac:dyDescent="0.25">
      <c r="A82" s="2355" t="s">
        <v>180</v>
      </c>
      <c r="B82" s="2356" t="s">
        <v>847</v>
      </c>
      <c r="C82" s="2356" t="s">
        <v>414</v>
      </c>
      <c r="D82" s="2357" t="s">
        <v>182</v>
      </c>
      <c r="E82" s="2358" t="s">
        <v>700</v>
      </c>
      <c r="F82" s="2358" t="s">
        <v>701</v>
      </c>
      <c r="G82" s="2359" t="s">
        <v>986</v>
      </c>
      <c r="H82" s="2360" t="s">
        <v>987</v>
      </c>
      <c r="I82" s="2353"/>
    </row>
    <row r="83" spans="1:9" ht="14.25" thickTop="1" thickBot="1" x14ac:dyDescent="0.25">
      <c r="A83" s="2361">
        <v>1</v>
      </c>
      <c r="B83" s="2362">
        <v>2</v>
      </c>
      <c r="C83" s="2362">
        <v>3</v>
      </c>
      <c r="D83" s="2362">
        <v>5</v>
      </c>
      <c r="E83" s="2363">
        <v>6</v>
      </c>
      <c r="F83" s="2363">
        <v>7</v>
      </c>
      <c r="G83" s="2364">
        <v>8</v>
      </c>
      <c r="H83" s="2380" t="s">
        <v>848</v>
      </c>
      <c r="I83" s="2353"/>
    </row>
    <row r="84" spans="1:9" ht="30.75" thickTop="1" x14ac:dyDescent="0.2">
      <c r="A84" s="2371">
        <v>3299</v>
      </c>
      <c r="B84" s="2372">
        <v>5336</v>
      </c>
      <c r="C84" s="2372">
        <v>32133030</v>
      </c>
      <c r="D84" s="2373" t="s">
        <v>1419</v>
      </c>
      <c r="E84" s="2369">
        <v>0</v>
      </c>
      <c r="F84" s="2369">
        <v>222</v>
      </c>
      <c r="G84" s="2381">
        <v>128</v>
      </c>
      <c r="H84" s="2370">
        <f>G84/F84*100</f>
        <v>57.657657657657658</v>
      </c>
      <c r="I84" s="2353"/>
    </row>
    <row r="85" spans="1:9" ht="30.75" thickBot="1" x14ac:dyDescent="0.25">
      <c r="A85" s="2371">
        <v>3299</v>
      </c>
      <c r="B85" s="2372">
        <v>5336</v>
      </c>
      <c r="C85" s="2372">
        <v>32533030</v>
      </c>
      <c r="D85" s="2373" t="s">
        <v>1419</v>
      </c>
      <c r="E85" s="2374">
        <v>0</v>
      </c>
      <c r="F85" s="2374">
        <v>1258</v>
      </c>
      <c r="G85" s="2382">
        <v>727</v>
      </c>
      <c r="H85" s="2375">
        <f>G85/F85*100</f>
        <v>57.790143084260734</v>
      </c>
      <c r="I85" s="2353"/>
    </row>
    <row r="86" spans="1:9" ht="30.75" hidden="1" thickBot="1" x14ac:dyDescent="0.25">
      <c r="A86" s="2371">
        <v>3299</v>
      </c>
      <c r="B86" s="2372">
        <v>6351</v>
      </c>
      <c r="C86" s="2372">
        <v>32133006</v>
      </c>
      <c r="D86" s="2373" t="s">
        <v>1433</v>
      </c>
      <c r="E86" s="2374">
        <v>0</v>
      </c>
      <c r="F86" s="2374">
        <v>0</v>
      </c>
      <c r="G86" s="2382">
        <v>0</v>
      </c>
      <c r="H86" s="2375" t="e">
        <f>G86/F86*100</f>
        <v>#DIV/0!</v>
      </c>
      <c r="I86" s="2353"/>
    </row>
    <row r="87" spans="1:9" ht="30.75" hidden="1" thickBot="1" x14ac:dyDescent="0.25">
      <c r="A87" s="2371">
        <v>3299</v>
      </c>
      <c r="B87" s="2372">
        <v>6351</v>
      </c>
      <c r="C87" s="2372">
        <v>32533006</v>
      </c>
      <c r="D87" s="2373" t="s">
        <v>1433</v>
      </c>
      <c r="E87" s="2374">
        <v>0</v>
      </c>
      <c r="F87" s="2374">
        <v>0</v>
      </c>
      <c r="G87" s="2382">
        <v>0</v>
      </c>
      <c r="H87" s="2375" t="e">
        <f>G87/F87*100</f>
        <v>#DIV/0!</v>
      </c>
      <c r="I87" s="2353"/>
    </row>
    <row r="88" spans="1:9" ht="16.5" thickTop="1" thickBot="1" x14ac:dyDescent="0.3">
      <c r="A88" s="2383" t="s">
        <v>849</v>
      </c>
      <c r="B88" s="2384"/>
      <c r="C88" s="2384"/>
      <c r="D88" s="2385"/>
      <c r="E88" s="2378">
        <f>SUM(E84:E87)</f>
        <v>0</v>
      </c>
      <c r="F88" s="2378">
        <f>SUM(F84:F87)</f>
        <v>1480</v>
      </c>
      <c r="G88" s="2378">
        <f>SUM(G84:G87)</f>
        <v>855</v>
      </c>
      <c r="H88" s="2379">
        <f>G88/F88*100</f>
        <v>57.770270270270274</v>
      </c>
      <c r="I88" s="2353"/>
    </row>
    <row r="89" spans="1:9" ht="13.5" thickTop="1" x14ac:dyDescent="0.2"/>
    <row r="90" spans="1:9" ht="15" x14ac:dyDescent="0.25">
      <c r="A90" s="2338" t="s">
        <v>1356</v>
      </c>
      <c r="B90" s="2352"/>
      <c r="C90" s="2352"/>
      <c r="D90" s="2352"/>
      <c r="F90" s="2353"/>
      <c r="G90" s="2353"/>
      <c r="H90" s="2353"/>
      <c r="I90" s="2353"/>
    </row>
    <row r="91" spans="1:9" ht="15.75" thickBot="1" x14ac:dyDescent="0.3">
      <c r="A91" s="2338" t="s">
        <v>208</v>
      </c>
      <c r="B91" s="2352"/>
      <c r="C91" s="2352"/>
      <c r="D91" s="2352"/>
      <c r="F91" s="2353"/>
      <c r="G91" s="2353"/>
      <c r="H91" s="2354" t="s">
        <v>179</v>
      </c>
      <c r="I91" s="2353"/>
    </row>
    <row r="92" spans="1:9" ht="25.5" thickTop="1" thickBot="1" x14ac:dyDescent="0.25">
      <c r="A92" s="2355" t="s">
        <v>180</v>
      </c>
      <c r="B92" s="2356" t="s">
        <v>847</v>
      </c>
      <c r="C92" s="2356" t="s">
        <v>414</v>
      </c>
      <c r="D92" s="2357" t="s">
        <v>182</v>
      </c>
      <c r="E92" s="2358" t="s">
        <v>700</v>
      </c>
      <c r="F92" s="2358" t="s">
        <v>701</v>
      </c>
      <c r="G92" s="2359" t="s">
        <v>986</v>
      </c>
      <c r="H92" s="2360" t="s">
        <v>987</v>
      </c>
      <c r="I92" s="2353"/>
    </row>
    <row r="93" spans="1:9" ht="14.25" thickTop="1" thickBot="1" x14ac:dyDescent="0.25">
      <c r="A93" s="2361">
        <v>1</v>
      </c>
      <c r="B93" s="2362">
        <v>2</v>
      </c>
      <c r="C93" s="2362">
        <v>3</v>
      </c>
      <c r="D93" s="2362">
        <v>5</v>
      </c>
      <c r="E93" s="2363">
        <v>6</v>
      </c>
      <c r="F93" s="2363">
        <v>7</v>
      </c>
      <c r="G93" s="2364">
        <v>8</v>
      </c>
      <c r="H93" s="2380" t="s">
        <v>848</v>
      </c>
      <c r="I93" s="2353"/>
    </row>
    <row r="94" spans="1:9" ht="30.75" thickTop="1" x14ac:dyDescent="0.2">
      <c r="A94" s="2371">
        <v>3299</v>
      </c>
      <c r="B94" s="2372">
        <v>5336</v>
      </c>
      <c r="C94" s="2372">
        <v>32133030</v>
      </c>
      <c r="D94" s="2373" t="s">
        <v>1419</v>
      </c>
      <c r="E94" s="2369">
        <v>0</v>
      </c>
      <c r="F94" s="2369">
        <v>135</v>
      </c>
      <c r="G94" s="2381">
        <v>55</v>
      </c>
      <c r="H94" s="2370">
        <f>G94/F94*100</f>
        <v>40.74074074074074</v>
      </c>
      <c r="I94" s="2353"/>
    </row>
    <row r="95" spans="1:9" ht="30" x14ac:dyDescent="0.2">
      <c r="A95" s="2371">
        <v>3299</v>
      </c>
      <c r="B95" s="2372">
        <v>5336</v>
      </c>
      <c r="C95" s="2372">
        <v>32533030</v>
      </c>
      <c r="D95" s="2373" t="s">
        <v>1419</v>
      </c>
      <c r="E95" s="2374">
        <v>0</v>
      </c>
      <c r="F95" s="2374">
        <v>765</v>
      </c>
      <c r="G95" s="2382">
        <v>315</v>
      </c>
      <c r="H95" s="2375">
        <f>G95/F95*100</f>
        <v>41.17647058823529</v>
      </c>
      <c r="I95" s="2353"/>
    </row>
    <row r="96" spans="1:9" ht="30" x14ac:dyDescent="0.2">
      <c r="A96" s="2371">
        <v>3299</v>
      </c>
      <c r="B96" s="2372">
        <v>6351</v>
      </c>
      <c r="C96" s="2372">
        <v>32133926</v>
      </c>
      <c r="D96" s="2373" t="s">
        <v>1433</v>
      </c>
      <c r="E96" s="2374">
        <v>0</v>
      </c>
      <c r="F96" s="2374">
        <v>27</v>
      </c>
      <c r="G96" s="2382">
        <v>27</v>
      </c>
      <c r="H96" s="2375">
        <f>G96/F96*100</f>
        <v>100</v>
      </c>
      <c r="I96" s="2353"/>
    </row>
    <row r="97" spans="1:9" ht="30.75" thickBot="1" x14ac:dyDescent="0.25">
      <c r="A97" s="2371">
        <v>3299</v>
      </c>
      <c r="B97" s="2372">
        <v>6351</v>
      </c>
      <c r="C97" s="2372">
        <v>32533926</v>
      </c>
      <c r="D97" s="2373" t="s">
        <v>1433</v>
      </c>
      <c r="E97" s="2374">
        <v>0</v>
      </c>
      <c r="F97" s="2374">
        <v>153</v>
      </c>
      <c r="G97" s="2382">
        <v>153</v>
      </c>
      <c r="H97" s="2375">
        <f>G97/F97*100</f>
        <v>100</v>
      </c>
      <c r="I97" s="2353"/>
    </row>
    <row r="98" spans="1:9" ht="16.5" thickTop="1" thickBot="1" x14ac:dyDescent="0.3">
      <c r="A98" s="2383" t="s">
        <v>849</v>
      </c>
      <c r="B98" s="2384"/>
      <c r="C98" s="2384"/>
      <c r="D98" s="2385"/>
      <c r="E98" s="2378">
        <f>SUM(E94:E97)</f>
        <v>0</v>
      </c>
      <c r="F98" s="2378">
        <f>SUM(F94:F97)</f>
        <v>1080</v>
      </c>
      <c r="G98" s="2378">
        <f>SUM(G94:G97)</f>
        <v>550</v>
      </c>
      <c r="H98" s="2379">
        <f>G98/F98*100</f>
        <v>50.925925925925931</v>
      </c>
      <c r="I98" s="2353"/>
    </row>
    <row r="99" spans="1:9" ht="13.5" thickTop="1" x14ac:dyDescent="0.2"/>
    <row r="100" spans="1:9" ht="15" x14ac:dyDescent="0.25">
      <c r="A100" s="2338" t="s">
        <v>52</v>
      </c>
      <c r="B100" s="2352"/>
      <c r="C100" s="2352"/>
      <c r="D100" s="2352"/>
      <c r="F100" s="2353"/>
      <c r="G100" s="2353"/>
      <c r="H100" s="2353"/>
      <c r="I100" s="2353"/>
    </row>
    <row r="101" spans="1:9" ht="15.75" thickBot="1" x14ac:dyDescent="0.3">
      <c r="A101" s="2338" t="s">
        <v>621</v>
      </c>
      <c r="B101" s="2352"/>
      <c r="C101" s="2352"/>
      <c r="D101" s="2352"/>
      <c r="F101" s="2353"/>
      <c r="G101" s="2353"/>
      <c r="H101" s="2354" t="s">
        <v>179</v>
      </c>
      <c r="I101" s="2353"/>
    </row>
    <row r="102" spans="1:9" ht="25.5" thickTop="1" thickBot="1" x14ac:dyDescent="0.25">
      <c r="A102" s="2355" t="s">
        <v>180</v>
      </c>
      <c r="B102" s="2356" t="s">
        <v>847</v>
      </c>
      <c r="C102" s="2356" t="s">
        <v>414</v>
      </c>
      <c r="D102" s="2357" t="s">
        <v>182</v>
      </c>
      <c r="E102" s="2358" t="s">
        <v>700</v>
      </c>
      <c r="F102" s="2358" t="s">
        <v>701</v>
      </c>
      <c r="G102" s="2359" t="s">
        <v>986</v>
      </c>
      <c r="H102" s="2360" t="s">
        <v>987</v>
      </c>
      <c r="I102" s="2353"/>
    </row>
    <row r="103" spans="1:9" ht="14.25" thickTop="1" thickBot="1" x14ac:dyDescent="0.25">
      <c r="A103" s="2361">
        <v>1</v>
      </c>
      <c r="B103" s="2362">
        <v>2</v>
      </c>
      <c r="C103" s="2362">
        <v>3</v>
      </c>
      <c r="D103" s="2362">
        <v>5</v>
      </c>
      <c r="E103" s="2363">
        <v>6</v>
      </c>
      <c r="F103" s="2363">
        <v>7</v>
      </c>
      <c r="G103" s="2364">
        <v>8</v>
      </c>
      <c r="H103" s="2380" t="s">
        <v>848</v>
      </c>
      <c r="I103" s="2353"/>
    </row>
    <row r="104" spans="1:9" ht="30.75" thickTop="1" x14ac:dyDescent="0.2">
      <c r="A104" s="2371">
        <v>3299</v>
      </c>
      <c r="B104" s="2372">
        <v>5336</v>
      </c>
      <c r="C104" s="2372">
        <v>32133030</v>
      </c>
      <c r="D104" s="2373" t="s">
        <v>1419</v>
      </c>
      <c r="E104" s="2369">
        <v>0</v>
      </c>
      <c r="F104" s="2369">
        <v>294</v>
      </c>
      <c r="G104" s="2381">
        <v>209</v>
      </c>
      <c r="H104" s="2370">
        <f>G104/F104*100</f>
        <v>71.088435374149668</v>
      </c>
      <c r="I104" s="2353"/>
    </row>
    <row r="105" spans="1:9" ht="30" x14ac:dyDescent="0.2">
      <c r="A105" s="2371">
        <v>3299</v>
      </c>
      <c r="B105" s="2372">
        <v>5336</v>
      </c>
      <c r="C105" s="2372">
        <v>32533030</v>
      </c>
      <c r="D105" s="2373" t="s">
        <v>1419</v>
      </c>
      <c r="E105" s="2374">
        <v>0</v>
      </c>
      <c r="F105" s="2374">
        <v>1666</v>
      </c>
      <c r="G105" s="2382">
        <v>1180</v>
      </c>
      <c r="H105" s="2375">
        <f>G105/F105*100</f>
        <v>70.828331332533011</v>
      </c>
      <c r="I105" s="2353"/>
    </row>
    <row r="106" spans="1:9" ht="30" x14ac:dyDescent="0.2">
      <c r="A106" s="2371">
        <v>3299</v>
      </c>
      <c r="B106" s="2372">
        <v>6351</v>
      </c>
      <c r="C106" s="2372">
        <v>32133926</v>
      </c>
      <c r="D106" s="2373" t="s">
        <v>1433</v>
      </c>
      <c r="E106" s="2374">
        <v>0</v>
      </c>
      <c r="F106" s="2374">
        <v>50</v>
      </c>
      <c r="G106" s="2382">
        <v>50</v>
      </c>
      <c r="H106" s="2375">
        <f>G106/F106*100</f>
        <v>100</v>
      </c>
      <c r="I106" s="2353"/>
    </row>
    <row r="107" spans="1:9" ht="30.75" thickBot="1" x14ac:dyDescent="0.25">
      <c r="A107" s="2371">
        <v>3299</v>
      </c>
      <c r="B107" s="2372">
        <v>6351</v>
      </c>
      <c r="C107" s="2372">
        <v>32533926</v>
      </c>
      <c r="D107" s="2373" t="s">
        <v>1433</v>
      </c>
      <c r="E107" s="2374">
        <v>0</v>
      </c>
      <c r="F107" s="2374">
        <v>285</v>
      </c>
      <c r="G107" s="2382">
        <v>285</v>
      </c>
      <c r="H107" s="2375">
        <f>G107/F107*100</f>
        <v>100</v>
      </c>
      <c r="I107" s="2353"/>
    </row>
    <row r="108" spans="1:9" ht="16.5" thickTop="1" thickBot="1" x14ac:dyDescent="0.3">
      <c r="A108" s="2383" t="s">
        <v>849</v>
      </c>
      <c r="B108" s="2384"/>
      <c r="C108" s="2384"/>
      <c r="D108" s="2385"/>
      <c r="E108" s="2378">
        <f>SUM(E104:E107)</f>
        <v>0</v>
      </c>
      <c r="F108" s="2378">
        <f>SUM(F104:F107)</f>
        <v>2295</v>
      </c>
      <c r="G108" s="2378">
        <f>SUM(G104:G107)</f>
        <v>1724</v>
      </c>
      <c r="H108" s="2379">
        <f>G108/F108*100</f>
        <v>75.119825708061001</v>
      </c>
      <c r="I108" s="2353"/>
    </row>
    <row r="109" spans="1:9" ht="13.5" thickTop="1" x14ac:dyDescent="0.2"/>
    <row r="110" spans="1:9" ht="15" x14ac:dyDescent="0.25">
      <c r="A110" s="2338" t="s">
        <v>1952</v>
      </c>
      <c r="B110" s="2352"/>
      <c r="C110" s="2352"/>
      <c r="D110" s="2352"/>
      <c r="F110" s="2353"/>
      <c r="G110" s="2353"/>
      <c r="H110" s="2353"/>
      <c r="I110" s="2353"/>
    </row>
    <row r="111" spans="1:9" ht="15.75" thickBot="1" x14ac:dyDescent="0.3">
      <c r="A111" s="2338" t="s">
        <v>1846</v>
      </c>
      <c r="B111" s="2352"/>
      <c r="C111" s="2352"/>
      <c r="D111" s="2352"/>
      <c r="F111" s="2353"/>
      <c r="G111" s="2353"/>
      <c r="H111" s="2354" t="s">
        <v>179</v>
      </c>
      <c r="I111" s="2353"/>
    </row>
    <row r="112" spans="1:9" ht="25.5" thickTop="1" thickBot="1" x14ac:dyDescent="0.25">
      <c r="A112" s="2355" t="s">
        <v>180</v>
      </c>
      <c r="B112" s="2356" t="s">
        <v>847</v>
      </c>
      <c r="C112" s="2356" t="s">
        <v>414</v>
      </c>
      <c r="D112" s="2357" t="s">
        <v>182</v>
      </c>
      <c r="E112" s="2358" t="s">
        <v>700</v>
      </c>
      <c r="F112" s="2358" t="s">
        <v>701</v>
      </c>
      <c r="G112" s="2359" t="s">
        <v>986</v>
      </c>
      <c r="H112" s="2360" t="s">
        <v>987</v>
      </c>
      <c r="I112" s="2353"/>
    </row>
    <row r="113" spans="1:9" ht="14.25" thickTop="1" thickBot="1" x14ac:dyDescent="0.25">
      <c r="A113" s="2361">
        <v>1</v>
      </c>
      <c r="B113" s="2362">
        <v>2</v>
      </c>
      <c r="C113" s="2362">
        <v>3</v>
      </c>
      <c r="D113" s="2362">
        <v>5</v>
      </c>
      <c r="E113" s="2363">
        <v>6</v>
      </c>
      <c r="F113" s="2363">
        <v>7</v>
      </c>
      <c r="G113" s="2364">
        <v>8</v>
      </c>
      <c r="H113" s="2380" t="s">
        <v>848</v>
      </c>
      <c r="I113" s="2353"/>
    </row>
    <row r="114" spans="1:9" ht="30.75" thickTop="1" x14ac:dyDescent="0.2">
      <c r="A114" s="2371">
        <v>3299</v>
      </c>
      <c r="B114" s="2372">
        <v>5336</v>
      </c>
      <c r="C114" s="2372">
        <v>32133030</v>
      </c>
      <c r="D114" s="2373" t="s">
        <v>1419</v>
      </c>
      <c r="E114" s="2369">
        <v>0</v>
      </c>
      <c r="F114" s="2369">
        <v>323</v>
      </c>
      <c r="G114" s="2381">
        <v>119</v>
      </c>
      <c r="H114" s="2370">
        <f>G114/F114*100</f>
        <v>36.84210526315789</v>
      </c>
      <c r="I114" s="2353"/>
    </row>
    <row r="115" spans="1:9" ht="30" x14ac:dyDescent="0.2">
      <c r="A115" s="2371">
        <v>3299</v>
      </c>
      <c r="B115" s="2372">
        <v>5336</v>
      </c>
      <c r="C115" s="2372">
        <v>32533030</v>
      </c>
      <c r="D115" s="2373" t="s">
        <v>1419</v>
      </c>
      <c r="E115" s="2374">
        <v>0</v>
      </c>
      <c r="F115" s="2374">
        <v>1828</v>
      </c>
      <c r="G115" s="2382">
        <v>677</v>
      </c>
      <c r="H115" s="2375">
        <f>G115/F115*100</f>
        <v>37.035010940919037</v>
      </c>
      <c r="I115" s="2353"/>
    </row>
    <row r="116" spans="1:9" ht="30" x14ac:dyDescent="0.2">
      <c r="A116" s="2371">
        <v>3299</v>
      </c>
      <c r="B116" s="2372">
        <v>6351</v>
      </c>
      <c r="C116" s="2372">
        <v>32133926</v>
      </c>
      <c r="D116" s="2373" t="s">
        <v>1433</v>
      </c>
      <c r="E116" s="2374">
        <v>0</v>
      </c>
      <c r="F116" s="2374">
        <v>115</v>
      </c>
      <c r="G116" s="2382">
        <v>115</v>
      </c>
      <c r="H116" s="2375">
        <f>G116/F116*100</f>
        <v>100</v>
      </c>
      <c r="I116" s="2353"/>
    </row>
    <row r="117" spans="1:9" ht="30.75" thickBot="1" x14ac:dyDescent="0.25">
      <c r="A117" s="2371">
        <v>3299</v>
      </c>
      <c r="B117" s="2372">
        <v>6351</v>
      </c>
      <c r="C117" s="2372">
        <v>32533926</v>
      </c>
      <c r="D117" s="2373" t="s">
        <v>1433</v>
      </c>
      <c r="E117" s="2374">
        <v>0</v>
      </c>
      <c r="F117" s="2374">
        <v>653</v>
      </c>
      <c r="G117" s="2382">
        <v>653</v>
      </c>
      <c r="H117" s="2375">
        <f>G117/F117*100</f>
        <v>100</v>
      </c>
      <c r="I117" s="2353"/>
    </row>
    <row r="118" spans="1:9" ht="16.5" thickTop="1" thickBot="1" x14ac:dyDescent="0.3">
      <c r="A118" s="2383" t="s">
        <v>849</v>
      </c>
      <c r="B118" s="2384"/>
      <c r="C118" s="2384"/>
      <c r="D118" s="2385"/>
      <c r="E118" s="2378">
        <f>SUM(E114:E117)</f>
        <v>0</v>
      </c>
      <c r="F118" s="2378">
        <f>SUM(F114:F117)</f>
        <v>2919</v>
      </c>
      <c r="G118" s="2378">
        <f>SUM(G114:G117)</f>
        <v>1564</v>
      </c>
      <c r="H118" s="2379">
        <f>G118/F118*100</f>
        <v>53.579993148338467</v>
      </c>
      <c r="I118" s="2353"/>
    </row>
    <row r="119" spans="1:9" ht="13.5" thickTop="1" x14ac:dyDescent="0.2"/>
    <row r="120" spans="1:9" ht="15" x14ac:dyDescent="0.25">
      <c r="A120" s="2338" t="s">
        <v>627</v>
      </c>
      <c r="B120" s="2352"/>
      <c r="C120" s="2352"/>
      <c r="D120" s="2352"/>
      <c r="F120" s="2353"/>
      <c r="G120" s="2353"/>
      <c r="H120" s="2353"/>
      <c r="I120" s="2353"/>
    </row>
    <row r="121" spans="1:9" ht="15.75" thickBot="1" x14ac:dyDescent="0.3">
      <c r="A121" s="2338" t="s">
        <v>628</v>
      </c>
      <c r="B121" s="2352"/>
      <c r="C121" s="2352"/>
      <c r="D121" s="2352"/>
      <c r="F121" s="2353"/>
      <c r="G121" s="2353"/>
      <c r="H121" s="2354" t="s">
        <v>179</v>
      </c>
      <c r="I121" s="2353"/>
    </row>
    <row r="122" spans="1:9" ht="25.5" thickTop="1" thickBot="1" x14ac:dyDescent="0.25">
      <c r="A122" s="2355" t="s">
        <v>180</v>
      </c>
      <c r="B122" s="2356" t="s">
        <v>847</v>
      </c>
      <c r="C122" s="2356" t="s">
        <v>414</v>
      </c>
      <c r="D122" s="2357" t="s">
        <v>182</v>
      </c>
      <c r="E122" s="2358" t="s">
        <v>700</v>
      </c>
      <c r="F122" s="2358" t="s">
        <v>701</v>
      </c>
      <c r="G122" s="2359" t="s">
        <v>986</v>
      </c>
      <c r="H122" s="2360" t="s">
        <v>987</v>
      </c>
      <c r="I122" s="2353"/>
    </row>
    <row r="123" spans="1:9" ht="14.25" thickTop="1" thickBot="1" x14ac:dyDescent="0.25">
      <c r="A123" s="2361">
        <v>1</v>
      </c>
      <c r="B123" s="2362">
        <v>2</v>
      </c>
      <c r="C123" s="2362">
        <v>3</v>
      </c>
      <c r="D123" s="2362">
        <v>5</v>
      </c>
      <c r="E123" s="2363">
        <v>6</v>
      </c>
      <c r="F123" s="2363">
        <v>7</v>
      </c>
      <c r="G123" s="2364">
        <v>8</v>
      </c>
      <c r="H123" s="2380" t="s">
        <v>848</v>
      </c>
      <c r="I123" s="2353"/>
    </row>
    <row r="124" spans="1:9" ht="30.75" thickTop="1" x14ac:dyDescent="0.2">
      <c r="A124" s="2371">
        <v>3299</v>
      </c>
      <c r="B124" s="2372">
        <v>5336</v>
      </c>
      <c r="C124" s="2372">
        <v>32133030</v>
      </c>
      <c r="D124" s="2373" t="s">
        <v>1419</v>
      </c>
      <c r="E124" s="2369">
        <v>0</v>
      </c>
      <c r="F124" s="2369">
        <v>348</v>
      </c>
      <c r="G124" s="2381">
        <v>177</v>
      </c>
      <c r="H124" s="2370">
        <f>G124/F124*100</f>
        <v>50.862068965517238</v>
      </c>
      <c r="I124" s="2353"/>
    </row>
    <row r="125" spans="1:9" ht="30.75" thickBot="1" x14ac:dyDescent="0.25">
      <c r="A125" s="2371">
        <v>3299</v>
      </c>
      <c r="B125" s="2372">
        <v>5336</v>
      </c>
      <c r="C125" s="2372">
        <v>32533030</v>
      </c>
      <c r="D125" s="2373" t="s">
        <v>1419</v>
      </c>
      <c r="E125" s="2374">
        <v>0</v>
      </c>
      <c r="F125" s="2374">
        <v>1972</v>
      </c>
      <c r="G125" s="2382">
        <v>1002</v>
      </c>
      <c r="H125" s="2375">
        <f>G125/F125*100</f>
        <v>50.811359026369175</v>
      </c>
      <c r="I125" s="2353"/>
    </row>
    <row r="126" spans="1:9" ht="30.75" hidden="1" thickBot="1" x14ac:dyDescent="0.25">
      <c r="A126" s="2371">
        <v>3299</v>
      </c>
      <c r="B126" s="2372">
        <v>6351</v>
      </c>
      <c r="C126" s="2372">
        <v>32133006</v>
      </c>
      <c r="D126" s="2373" t="s">
        <v>1433</v>
      </c>
      <c r="E126" s="2374">
        <v>0</v>
      </c>
      <c r="F126" s="2374">
        <v>0</v>
      </c>
      <c r="G126" s="2382">
        <v>0</v>
      </c>
      <c r="H126" s="2375" t="e">
        <f>G126/F126*100</f>
        <v>#DIV/0!</v>
      </c>
      <c r="I126" s="2353"/>
    </row>
    <row r="127" spans="1:9" ht="30.75" hidden="1" thickBot="1" x14ac:dyDescent="0.25">
      <c r="A127" s="2371">
        <v>3299</v>
      </c>
      <c r="B127" s="2372">
        <v>6351</v>
      </c>
      <c r="C127" s="2372">
        <v>32533006</v>
      </c>
      <c r="D127" s="2373" t="s">
        <v>1433</v>
      </c>
      <c r="E127" s="2374">
        <v>0</v>
      </c>
      <c r="F127" s="2374">
        <v>0</v>
      </c>
      <c r="G127" s="2382">
        <v>0</v>
      </c>
      <c r="H127" s="2375" t="e">
        <f>G127/F127*100</f>
        <v>#DIV/0!</v>
      </c>
      <c r="I127" s="2353"/>
    </row>
    <row r="128" spans="1:9" ht="16.5" thickTop="1" thickBot="1" x14ac:dyDescent="0.3">
      <c r="A128" s="2383" t="s">
        <v>849</v>
      </c>
      <c r="B128" s="2384"/>
      <c r="C128" s="2384"/>
      <c r="D128" s="2385"/>
      <c r="E128" s="2378">
        <f>SUM(E124:E127)</f>
        <v>0</v>
      </c>
      <c r="F128" s="2378">
        <f>SUM(F124:F127)</f>
        <v>2320</v>
      </c>
      <c r="G128" s="2378">
        <f>SUM(G124:G127)</f>
        <v>1179</v>
      </c>
      <c r="H128" s="2379">
        <f>G128/F128*100</f>
        <v>50.818965517241374</v>
      </c>
      <c r="I128" s="2353"/>
    </row>
    <row r="129" spans="1:9" ht="13.5" thickTop="1" x14ac:dyDescent="0.2"/>
    <row r="130" spans="1:9" ht="15" x14ac:dyDescent="0.25">
      <c r="A130" s="2338" t="s">
        <v>1669</v>
      </c>
      <c r="B130" s="2352"/>
      <c r="C130" s="2352"/>
      <c r="D130" s="2352"/>
      <c r="F130" s="2353"/>
      <c r="G130" s="2353"/>
      <c r="H130" s="2353"/>
      <c r="I130" s="2353"/>
    </row>
    <row r="131" spans="1:9" ht="15.75" thickBot="1" x14ac:dyDescent="0.3">
      <c r="A131" s="2338" t="s">
        <v>1847</v>
      </c>
      <c r="B131" s="2352"/>
      <c r="C131" s="2352"/>
      <c r="D131" s="2352"/>
      <c r="F131" s="2353"/>
      <c r="G131" s="2353"/>
      <c r="H131" s="2354" t="s">
        <v>179</v>
      </c>
      <c r="I131" s="2353"/>
    </row>
    <row r="132" spans="1:9" ht="25.5" thickTop="1" thickBot="1" x14ac:dyDescent="0.25">
      <c r="A132" s="2355" t="s">
        <v>180</v>
      </c>
      <c r="B132" s="2356" t="s">
        <v>847</v>
      </c>
      <c r="C132" s="2356" t="s">
        <v>414</v>
      </c>
      <c r="D132" s="2357" t="s">
        <v>182</v>
      </c>
      <c r="E132" s="2358" t="s">
        <v>700</v>
      </c>
      <c r="F132" s="2358" t="s">
        <v>701</v>
      </c>
      <c r="G132" s="2359" t="s">
        <v>986</v>
      </c>
      <c r="H132" s="2360" t="s">
        <v>987</v>
      </c>
      <c r="I132" s="2353"/>
    </row>
    <row r="133" spans="1:9" ht="14.25" thickTop="1" thickBot="1" x14ac:dyDescent="0.25">
      <c r="A133" s="2361">
        <v>1</v>
      </c>
      <c r="B133" s="2362">
        <v>2</v>
      </c>
      <c r="C133" s="2362">
        <v>3</v>
      </c>
      <c r="D133" s="2362">
        <v>5</v>
      </c>
      <c r="E133" s="2363">
        <v>6</v>
      </c>
      <c r="F133" s="2363">
        <v>7</v>
      </c>
      <c r="G133" s="2364">
        <v>8</v>
      </c>
      <c r="H133" s="2380" t="s">
        <v>848</v>
      </c>
      <c r="I133" s="2353"/>
    </row>
    <row r="134" spans="1:9" ht="30.75" thickTop="1" x14ac:dyDescent="0.2">
      <c r="A134" s="2371">
        <v>3299</v>
      </c>
      <c r="B134" s="2372">
        <v>5336</v>
      </c>
      <c r="C134" s="2372">
        <v>32133030</v>
      </c>
      <c r="D134" s="2373" t="s">
        <v>1419</v>
      </c>
      <c r="E134" s="2369">
        <v>0</v>
      </c>
      <c r="F134" s="2369">
        <v>418</v>
      </c>
      <c r="G134" s="2381">
        <v>216</v>
      </c>
      <c r="H134" s="2370">
        <f>G134/F134*100</f>
        <v>51.674641148325364</v>
      </c>
      <c r="I134" s="2353"/>
    </row>
    <row r="135" spans="1:9" ht="30.75" thickBot="1" x14ac:dyDescent="0.25">
      <c r="A135" s="2371">
        <v>3299</v>
      </c>
      <c r="B135" s="2372">
        <v>5336</v>
      </c>
      <c r="C135" s="2372">
        <v>32533030</v>
      </c>
      <c r="D135" s="2373" t="s">
        <v>1419</v>
      </c>
      <c r="E135" s="2374">
        <v>0</v>
      </c>
      <c r="F135" s="2374">
        <v>2372</v>
      </c>
      <c r="G135" s="2382">
        <v>1224</v>
      </c>
      <c r="H135" s="2375">
        <f>G135/F135*100</f>
        <v>51.602023608768974</v>
      </c>
      <c r="I135" s="2353"/>
    </row>
    <row r="136" spans="1:9" ht="30.75" hidden="1" thickBot="1" x14ac:dyDescent="0.25">
      <c r="A136" s="2371">
        <v>3299</v>
      </c>
      <c r="B136" s="2372">
        <v>6351</v>
      </c>
      <c r="C136" s="2372">
        <v>32133006</v>
      </c>
      <c r="D136" s="2373" t="s">
        <v>1433</v>
      </c>
      <c r="E136" s="2374">
        <v>0</v>
      </c>
      <c r="F136" s="2374">
        <v>0</v>
      </c>
      <c r="G136" s="2382">
        <v>0</v>
      </c>
      <c r="H136" s="2375" t="e">
        <f>G136/F136*100</f>
        <v>#DIV/0!</v>
      </c>
      <c r="I136" s="2353"/>
    </row>
    <row r="137" spans="1:9" ht="30.75" hidden="1" thickBot="1" x14ac:dyDescent="0.25">
      <c r="A137" s="2371">
        <v>3299</v>
      </c>
      <c r="B137" s="2372">
        <v>6351</v>
      </c>
      <c r="C137" s="2372">
        <v>32533006</v>
      </c>
      <c r="D137" s="2373" t="s">
        <v>1433</v>
      </c>
      <c r="E137" s="2374">
        <v>0</v>
      </c>
      <c r="F137" s="2374">
        <v>0</v>
      </c>
      <c r="G137" s="2382">
        <v>0</v>
      </c>
      <c r="H137" s="2375" t="e">
        <f>G137/F137*100</f>
        <v>#DIV/0!</v>
      </c>
      <c r="I137" s="2353"/>
    </row>
    <row r="138" spans="1:9" ht="16.5" thickTop="1" thickBot="1" x14ac:dyDescent="0.3">
      <c r="A138" s="2383" t="s">
        <v>849</v>
      </c>
      <c r="B138" s="2384"/>
      <c r="C138" s="2384"/>
      <c r="D138" s="2385"/>
      <c r="E138" s="2378">
        <f>SUM(E134:E137)</f>
        <v>0</v>
      </c>
      <c r="F138" s="2378">
        <f>SUM(F134:F137)</f>
        <v>2790</v>
      </c>
      <c r="G138" s="2378">
        <f>SUM(G134:G137)</f>
        <v>1440</v>
      </c>
      <c r="H138" s="2379">
        <f>G138/F138*100</f>
        <v>51.612903225806448</v>
      </c>
      <c r="I138" s="2353"/>
    </row>
    <row r="139" spans="1:9" ht="13.5" thickTop="1" x14ac:dyDescent="0.2"/>
    <row r="140" spans="1:9" ht="15" x14ac:dyDescent="0.25">
      <c r="A140" s="2338" t="s">
        <v>1848</v>
      </c>
      <c r="B140" s="2352"/>
      <c r="C140" s="2352"/>
      <c r="D140" s="2352"/>
      <c r="F140" s="2353"/>
      <c r="G140" s="2353"/>
      <c r="H140" s="2353"/>
      <c r="I140" s="2353"/>
    </row>
    <row r="141" spans="1:9" ht="15.75" thickBot="1" x14ac:dyDescent="0.3">
      <c r="A141" s="2338" t="s">
        <v>631</v>
      </c>
      <c r="B141" s="2352"/>
      <c r="C141" s="2352"/>
      <c r="D141" s="2352"/>
      <c r="F141" s="2353"/>
      <c r="G141" s="2353"/>
      <c r="H141" s="2354" t="s">
        <v>179</v>
      </c>
      <c r="I141" s="2353"/>
    </row>
    <row r="142" spans="1:9" ht="25.5" thickTop="1" thickBot="1" x14ac:dyDescent="0.25">
      <c r="A142" s="2355" t="s">
        <v>180</v>
      </c>
      <c r="B142" s="2356" t="s">
        <v>847</v>
      </c>
      <c r="C142" s="2356" t="s">
        <v>414</v>
      </c>
      <c r="D142" s="2357" t="s">
        <v>182</v>
      </c>
      <c r="E142" s="2358" t="s">
        <v>700</v>
      </c>
      <c r="F142" s="2358" t="s">
        <v>701</v>
      </c>
      <c r="G142" s="2359" t="s">
        <v>986</v>
      </c>
      <c r="H142" s="2360" t="s">
        <v>987</v>
      </c>
      <c r="I142" s="2353"/>
    </row>
    <row r="143" spans="1:9" ht="14.25" thickTop="1" thickBot="1" x14ac:dyDescent="0.25">
      <c r="A143" s="2361">
        <v>1</v>
      </c>
      <c r="B143" s="2362">
        <v>2</v>
      </c>
      <c r="C143" s="2362">
        <v>3</v>
      </c>
      <c r="D143" s="2362">
        <v>5</v>
      </c>
      <c r="E143" s="2363">
        <v>6</v>
      </c>
      <c r="F143" s="2363">
        <v>7</v>
      </c>
      <c r="G143" s="2364">
        <v>8</v>
      </c>
      <c r="H143" s="2380" t="s">
        <v>848</v>
      </c>
      <c r="I143" s="2353"/>
    </row>
    <row r="144" spans="1:9" ht="30.75" thickTop="1" x14ac:dyDescent="0.2">
      <c r="A144" s="2371">
        <v>3299</v>
      </c>
      <c r="B144" s="2372">
        <v>5336</v>
      </c>
      <c r="C144" s="2372">
        <v>32133030</v>
      </c>
      <c r="D144" s="2373" t="s">
        <v>1419</v>
      </c>
      <c r="E144" s="2369">
        <v>0</v>
      </c>
      <c r="F144" s="2369">
        <v>210</v>
      </c>
      <c r="G144" s="2381">
        <v>144</v>
      </c>
      <c r="H144" s="2370">
        <f>G144/F144*100</f>
        <v>68.571428571428569</v>
      </c>
      <c r="I144" s="2353"/>
    </row>
    <row r="145" spans="1:9" ht="30" x14ac:dyDescent="0.2">
      <c r="A145" s="2371">
        <v>3299</v>
      </c>
      <c r="B145" s="2372">
        <v>5336</v>
      </c>
      <c r="C145" s="2372">
        <v>32533030</v>
      </c>
      <c r="D145" s="2373" t="s">
        <v>1419</v>
      </c>
      <c r="E145" s="2374">
        <v>0</v>
      </c>
      <c r="F145" s="2374">
        <v>1190</v>
      </c>
      <c r="G145" s="2382">
        <v>813</v>
      </c>
      <c r="H145" s="2375">
        <f>G145/F145*100</f>
        <v>68.319327731092443</v>
      </c>
      <c r="I145" s="2353"/>
    </row>
    <row r="146" spans="1:9" ht="30" x14ac:dyDescent="0.2">
      <c r="A146" s="2371">
        <v>3299</v>
      </c>
      <c r="B146" s="2372">
        <v>6351</v>
      </c>
      <c r="C146" s="2372">
        <v>32133926</v>
      </c>
      <c r="D146" s="2373" t="s">
        <v>1433</v>
      </c>
      <c r="E146" s="2374">
        <v>0</v>
      </c>
      <c r="F146" s="2374">
        <v>78</v>
      </c>
      <c r="G146" s="2382">
        <v>0</v>
      </c>
      <c r="H146" s="2375">
        <f>G146/F146*100</f>
        <v>0</v>
      </c>
      <c r="I146" s="2353"/>
    </row>
    <row r="147" spans="1:9" ht="30.75" thickBot="1" x14ac:dyDescent="0.25">
      <c r="A147" s="2371">
        <v>3299</v>
      </c>
      <c r="B147" s="2372">
        <v>6351</v>
      </c>
      <c r="C147" s="2372">
        <v>32533926</v>
      </c>
      <c r="D147" s="2373" t="s">
        <v>1433</v>
      </c>
      <c r="E147" s="2374">
        <v>0</v>
      </c>
      <c r="F147" s="2374">
        <v>439</v>
      </c>
      <c r="G147" s="2382">
        <v>0</v>
      </c>
      <c r="H147" s="2375">
        <f>G147/F147*100</f>
        <v>0</v>
      </c>
      <c r="I147" s="2353"/>
    </row>
    <row r="148" spans="1:9" ht="16.5" thickTop="1" thickBot="1" x14ac:dyDescent="0.3">
      <c r="A148" s="2383" t="s">
        <v>849</v>
      </c>
      <c r="B148" s="2384"/>
      <c r="C148" s="2384"/>
      <c r="D148" s="2385"/>
      <c r="E148" s="2378">
        <f>SUM(E144:E147)</f>
        <v>0</v>
      </c>
      <c r="F148" s="2378">
        <f>SUM(F144:F147)</f>
        <v>1917</v>
      </c>
      <c r="G148" s="2378">
        <f>SUM(G144:G147)</f>
        <v>957</v>
      </c>
      <c r="H148" s="2379">
        <f>G148/F148*100</f>
        <v>49.921752738654149</v>
      </c>
      <c r="I148" s="2353"/>
    </row>
    <row r="149" spans="1:9" ht="13.5" thickTop="1" x14ac:dyDescent="0.2"/>
    <row r="150" spans="1:9" ht="15" x14ac:dyDescent="0.25">
      <c r="A150" s="2338" t="s">
        <v>1117</v>
      </c>
      <c r="B150" s="2352"/>
      <c r="C150" s="2352"/>
      <c r="D150" s="2352"/>
      <c r="F150" s="2353"/>
      <c r="G150" s="2353"/>
      <c r="H150" s="2353"/>
      <c r="I150" s="2353"/>
    </row>
    <row r="151" spans="1:9" ht="15.75" thickBot="1" x14ac:dyDescent="0.3">
      <c r="A151" s="2338" t="s">
        <v>1118</v>
      </c>
      <c r="B151" s="2352"/>
      <c r="C151" s="2352"/>
      <c r="D151" s="2352"/>
      <c r="F151" s="2353"/>
      <c r="G151" s="2353"/>
      <c r="H151" s="2354" t="s">
        <v>179</v>
      </c>
      <c r="I151" s="2353"/>
    </row>
    <row r="152" spans="1:9" ht="25.5" thickTop="1" thickBot="1" x14ac:dyDescent="0.25">
      <c r="A152" s="2355" t="s">
        <v>180</v>
      </c>
      <c r="B152" s="2356" t="s">
        <v>847</v>
      </c>
      <c r="C152" s="2356" t="s">
        <v>414</v>
      </c>
      <c r="D152" s="2357" t="s">
        <v>182</v>
      </c>
      <c r="E152" s="2358" t="s">
        <v>700</v>
      </c>
      <c r="F152" s="2358" t="s">
        <v>701</v>
      </c>
      <c r="G152" s="2359" t="s">
        <v>986</v>
      </c>
      <c r="H152" s="2360" t="s">
        <v>987</v>
      </c>
      <c r="I152" s="2353"/>
    </row>
    <row r="153" spans="1:9" ht="14.25" thickTop="1" thickBot="1" x14ac:dyDescent="0.25">
      <c r="A153" s="2361">
        <v>1</v>
      </c>
      <c r="B153" s="2362">
        <v>2</v>
      </c>
      <c r="C153" s="2362">
        <v>3</v>
      </c>
      <c r="D153" s="2362">
        <v>5</v>
      </c>
      <c r="E153" s="2363">
        <v>6</v>
      </c>
      <c r="F153" s="2363">
        <v>7</v>
      </c>
      <c r="G153" s="2364">
        <v>8</v>
      </c>
      <c r="H153" s="2380" t="s">
        <v>848</v>
      </c>
      <c r="I153" s="2353"/>
    </row>
    <row r="154" spans="1:9" ht="30.75" thickTop="1" x14ac:dyDescent="0.2">
      <c r="A154" s="2371">
        <v>3299</v>
      </c>
      <c r="B154" s="2372">
        <v>5336</v>
      </c>
      <c r="C154" s="2372">
        <v>32133030</v>
      </c>
      <c r="D154" s="2373" t="s">
        <v>1419</v>
      </c>
      <c r="E154" s="2369">
        <v>0</v>
      </c>
      <c r="F154" s="2369">
        <v>493</v>
      </c>
      <c r="G154" s="2381">
        <v>457</v>
      </c>
      <c r="H154" s="2370">
        <f>G154/F154*100</f>
        <v>92.697768762677484</v>
      </c>
      <c r="I154" s="2353"/>
    </row>
    <row r="155" spans="1:9" ht="30.75" thickBot="1" x14ac:dyDescent="0.25">
      <c r="A155" s="2371">
        <v>3299</v>
      </c>
      <c r="B155" s="2372">
        <v>5336</v>
      </c>
      <c r="C155" s="2372">
        <v>32533030</v>
      </c>
      <c r="D155" s="2373" t="s">
        <v>1419</v>
      </c>
      <c r="E155" s="2374">
        <v>0</v>
      </c>
      <c r="F155" s="2374">
        <v>2797</v>
      </c>
      <c r="G155" s="2382">
        <v>2588</v>
      </c>
      <c r="H155" s="2375">
        <f>G155/F155*100</f>
        <v>92.527708258848762</v>
      </c>
      <c r="I155" s="2353"/>
    </row>
    <row r="156" spans="1:9" ht="30.75" hidden="1" thickBot="1" x14ac:dyDescent="0.25">
      <c r="A156" s="2371">
        <v>3299</v>
      </c>
      <c r="B156" s="2372">
        <v>6351</v>
      </c>
      <c r="C156" s="2372">
        <v>32133006</v>
      </c>
      <c r="D156" s="2373" t="s">
        <v>1433</v>
      </c>
      <c r="E156" s="2374">
        <v>0</v>
      </c>
      <c r="F156" s="2374">
        <v>0</v>
      </c>
      <c r="G156" s="2382">
        <v>0</v>
      </c>
      <c r="H156" s="2375" t="e">
        <f>G156/F156*100</f>
        <v>#DIV/0!</v>
      </c>
      <c r="I156" s="2353"/>
    </row>
    <row r="157" spans="1:9" ht="30.75" hidden="1" thickBot="1" x14ac:dyDescent="0.25">
      <c r="A157" s="2371">
        <v>3299</v>
      </c>
      <c r="B157" s="2372">
        <v>6351</v>
      </c>
      <c r="C157" s="2372">
        <v>32533006</v>
      </c>
      <c r="D157" s="2373" t="s">
        <v>1433</v>
      </c>
      <c r="E157" s="2374">
        <v>0</v>
      </c>
      <c r="F157" s="2374">
        <v>0</v>
      </c>
      <c r="G157" s="2382">
        <v>0</v>
      </c>
      <c r="H157" s="2375" t="e">
        <f>G157/F157*100</f>
        <v>#DIV/0!</v>
      </c>
      <c r="I157" s="2353"/>
    </row>
    <row r="158" spans="1:9" ht="16.5" thickTop="1" thickBot="1" x14ac:dyDescent="0.3">
      <c r="A158" s="2383" t="s">
        <v>849</v>
      </c>
      <c r="B158" s="2384"/>
      <c r="C158" s="2384"/>
      <c r="D158" s="2385"/>
      <c r="E158" s="2378">
        <f>SUM(E154:E157)</f>
        <v>0</v>
      </c>
      <c r="F158" s="2378">
        <f>SUM(F154:F157)</f>
        <v>3290</v>
      </c>
      <c r="G158" s="2378">
        <f>SUM(G154:G157)</f>
        <v>3045</v>
      </c>
      <c r="H158" s="2379">
        <f>G158/F158*100</f>
        <v>92.553191489361694</v>
      </c>
      <c r="I158" s="2353"/>
    </row>
    <row r="159" spans="1:9" ht="13.5" thickTop="1" x14ac:dyDescent="0.2"/>
    <row r="160" spans="1:9" ht="15" customHeight="1" x14ac:dyDescent="0.25">
      <c r="A160" s="2338" t="s">
        <v>1122</v>
      </c>
      <c r="B160" s="2352"/>
      <c r="C160" s="2352"/>
      <c r="D160" s="2352"/>
      <c r="F160" s="2353"/>
      <c r="G160" s="2353"/>
      <c r="H160" s="2353"/>
      <c r="I160" s="2353"/>
    </row>
    <row r="161" spans="1:9" ht="15" customHeight="1" thickBot="1" x14ac:dyDescent="0.3">
      <c r="A161" s="2338" t="s">
        <v>1087</v>
      </c>
      <c r="B161" s="2352"/>
      <c r="C161" s="2352"/>
      <c r="D161" s="2352"/>
      <c r="F161" s="2353"/>
      <c r="G161" s="2353"/>
      <c r="H161" s="2354" t="s">
        <v>179</v>
      </c>
      <c r="I161" s="2353"/>
    </row>
    <row r="162" spans="1:9" ht="25.5" customHeight="1" thickTop="1" thickBot="1" x14ac:dyDescent="0.25">
      <c r="A162" s="2355" t="s">
        <v>180</v>
      </c>
      <c r="B162" s="2356" t="s">
        <v>847</v>
      </c>
      <c r="C162" s="2356" t="s">
        <v>414</v>
      </c>
      <c r="D162" s="2357" t="s">
        <v>182</v>
      </c>
      <c r="E162" s="2358" t="s">
        <v>700</v>
      </c>
      <c r="F162" s="2358" t="s">
        <v>701</v>
      </c>
      <c r="G162" s="2359" t="s">
        <v>986</v>
      </c>
      <c r="H162" s="2360" t="s">
        <v>987</v>
      </c>
      <c r="I162" s="2353"/>
    </row>
    <row r="163" spans="1:9" ht="15" customHeight="1" thickTop="1" thickBot="1" x14ac:dyDescent="0.25">
      <c r="A163" s="2361">
        <v>1</v>
      </c>
      <c r="B163" s="2362">
        <v>2</v>
      </c>
      <c r="C163" s="2362">
        <v>3</v>
      </c>
      <c r="D163" s="2362">
        <v>5</v>
      </c>
      <c r="E163" s="2363">
        <v>6</v>
      </c>
      <c r="F163" s="2363">
        <v>7</v>
      </c>
      <c r="G163" s="2364">
        <v>8</v>
      </c>
      <c r="H163" s="2380" t="s">
        <v>848</v>
      </c>
      <c r="I163" s="2353"/>
    </row>
    <row r="164" spans="1:9" ht="42.75" customHeight="1" thickTop="1" x14ac:dyDescent="0.2">
      <c r="A164" s="2371">
        <v>3299</v>
      </c>
      <c r="B164" s="2372">
        <v>5213</v>
      </c>
      <c r="C164" s="2372">
        <v>32133030</v>
      </c>
      <c r="D164" s="2373" t="s">
        <v>1121</v>
      </c>
      <c r="E164" s="2369">
        <v>0</v>
      </c>
      <c r="F164" s="2369">
        <v>292</v>
      </c>
      <c r="G164" s="2381">
        <v>144</v>
      </c>
      <c r="H164" s="2370">
        <f>G164/F164*100</f>
        <v>49.315068493150683</v>
      </c>
      <c r="I164" s="2353"/>
    </row>
    <row r="165" spans="1:9" ht="47.25" customHeight="1" thickBot="1" x14ac:dyDescent="0.25">
      <c r="A165" s="2371">
        <v>3299</v>
      </c>
      <c r="B165" s="2372">
        <v>5213</v>
      </c>
      <c r="C165" s="2372">
        <v>32533030</v>
      </c>
      <c r="D165" s="2373" t="s">
        <v>1121</v>
      </c>
      <c r="E165" s="2374">
        <v>0</v>
      </c>
      <c r="F165" s="2374">
        <v>1654</v>
      </c>
      <c r="G165" s="2382">
        <v>812</v>
      </c>
      <c r="H165" s="2375">
        <f>G165/F165*100</f>
        <v>49.09310761789601</v>
      </c>
      <c r="I165" s="2353"/>
    </row>
    <row r="166" spans="1:9" ht="47.25" hidden="1" customHeight="1" x14ac:dyDescent="0.2">
      <c r="A166" s="2386">
        <v>3299</v>
      </c>
      <c r="B166" s="2387">
        <v>6313</v>
      </c>
      <c r="C166" s="2372">
        <v>32133006</v>
      </c>
      <c r="D166" s="2388" t="s">
        <v>1123</v>
      </c>
      <c r="E166" s="2374">
        <v>0</v>
      </c>
      <c r="F166" s="2374">
        <v>0</v>
      </c>
      <c r="G166" s="2382">
        <v>0</v>
      </c>
      <c r="H166" s="2375" t="e">
        <f>G166/F166*100</f>
        <v>#DIV/0!</v>
      </c>
      <c r="I166" s="2353"/>
    </row>
    <row r="167" spans="1:9" ht="47.25" hidden="1" customHeight="1" x14ac:dyDescent="0.2">
      <c r="A167" s="2386">
        <v>3299</v>
      </c>
      <c r="B167" s="2389">
        <v>6313</v>
      </c>
      <c r="C167" s="2390">
        <v>32533006</v>
      </c>
      <c r="D167" s="2391" t="s">
        <v>1123</v>
      </c>
      <c r="E167" s="2374">
        <v>0</v>
      </c>
      <c r="F167" s="2374">
        <v>0</v>
      </c>
      <c r="G167" s="2382">
        <v>0</v>
      </c>
      <c r="H167" s="2375" t="e">
        <f>G167/F167*100</f>
        <v>#DIV/0!</v>
      </c>
      <c r="I167" s="2353"/>
    </row>
    <row r="168" spans="1:9" ht="16.5" customHeight="1" thickTop="1" thickBot="1" x14ac:dyDescent="0.3">
      <c r="A168" s="2383" t="s">
        <v>849</v>
      </c>
      <c r="B168" s="2384"/>
      <c r="C168" s="2384"/>
      <c r="D168" s="2385"/>
      <c r="E168" s="2378">
        <f>SUM(E164:E165)</f>
        <v>0</v>
      </c>
      <c r="F168" s="2378">
        <f>SUM(F164:F167)</f>
        <v>1946</v>
      </c>
      <c r="G168" s="2378">
        <f>SUM(G164:G167)</f>
        <v>956</v>
      </c>
      <c r="H168" s="2379">
        <f>G168/F168*100</f>
        <v>49.126413155190136</v>
      </c>
      <c r="I168" s="2353"/>
    </row>
    <row r="169" spans="1:9" ht="13.5" thickTop="1" x14ac:dyDescent="0.2"/>
    <row r="170" spans="1:9" ht="15" customHeight="1" x14ac:dyDescent="0.25">
      <c r="A170" s="2338" t="s">
        <v>1849</v>
      </c>
      <c r="B170" s="2352"/>
      <c r="C170" s="2352"/>
      <c r="D170" s="2352"/>
      <c r="F170" s="2353"/>
      <c r="G170" s="2353"/>
      <c r="H170" s="2353"/>
      <c r="I170" s="2353"/>
    </row>
    <row r="171" spans="1:9" ht="15" customHeight="1" thickBot="1" x14ac:dyDescent="0.3">
      <c r="A171" s="2338" t="s">
        <v>1088</v>
      </c>
      <c r="B171" s="2352"/>
      <c r="C171" s="2352"/>
      <c r="D171" s="2352"/>
      <c r="F171" s="2353"/>
      <c r="G171" s="2353"/>
      <c r="H171" s="2354" t="s">
        <v>179</v>
      </c>
      <c r="I171" s="2353"/>
    </row>
    <row r="172" spans="1:9" ht="25.5" customHeight="1" thickTop="1" thickBot="1" x14ac:dyDescent="0.25">
      <c r="A172" s="2355" t="s">
        <v>180</v>
      </c>
      <c r="B172" s="2356" t="s">
        <v>847</v>
      </c>
      <c r="C172" s="2356" t="s">
        <v>414</v>
      </c>
      <c r="D172" s="2357" t="s">
        <v>182</v>
      </c>
      <c r="E172" s="2358" t="s">
        <v>700</v>
      </c>
      <c r="F172" s="2358" t="s">
        <v>701</v>
      </c>
      <c r="G172" s="2359" t="s">
        <v>986</v>
      </c>
      <c r="H172" s="2360" t="s">
        <v>987</v>
      </c>
      <c r="I172" s="2353"/>
    </row>
    <row r="173" spans="1:9" ht="15" customHeight="1" thickTop="1" thickBot="1" x14ac:dyDescent="0.25">
      <c r="A173" s="2361">
        <v>1</v>
      </c>
      <c r="B173" s="2362">
        <v>2</v>
      </c>
      <c r="C173" s="2362">
        <v>3</v>
      </c>
      <c r="D173" s="2362">
        <v>5</v>
      </c>
      <c r="E173" s="2363">
        <v>6</v>
      </c>
      <c r="F173" s="2363">
        <v>7</v>
      </c>
      <c r="G173" s="2364">
        <v>8</v>
      </c>
      <c r="H173" s="2380" t="s">
        <v>848</v>
      </c>
      <c r="I173" s="2353"/>
    </row>
    <row r="174" spans="1:9" ht="42.75" customHeight="1" thickTop="1" x14ac:dyDescent="0.2">
      <c r="A174" s="2371">
        <v>3299</v>
      </c>
      <c r="B174" s="2372">
        <v>5213</v>
      </c>
      <c r="C174" s="2372">
        <v>32133030</v>
      </c>
      <c r="D174" s="2373" t="s">
        <v>1121</v>
      </c>
      <c r="E174" s="2369">
        <v>0</v>
      </c>
      <c r="F174" s="2369">
        <v>241</v>
      </c>
      <c r="G174" s="2381">
        <v>238</v>
      </c>
      <c r="H174" s="2370">
        <f>G174/F174*100</f>
        <v>98.755186721991706</v>
      </c>
      <c r="I174" s="2353"/>
    </row>
    <row r="175" spans="1:9" ht="47.25" customHeight="1" thickBot="1" x14ac:dyDescent="0.25">
      <c r="A175" s="2371">
        <v>3299</v>
      </c>
      <c r="B175" s="2372">
        <v>5213</v>
      </c>
      <c r="C175" s="2372">
        <v>32533030</v>
      </c>
      <c r="D175" s="2373" t="s">
        <v>1121</v>
      </c>
      <c r="E175" s="2374">
        <v>0</v>
      </c>
      <c r="F175" s="2374">
        <v>1369</v>
      </c>
      <c r="G175" s="2382">
        <v>1347</v>
      </c>
      <c r="H175" s="2375">
        <f>G175/F175*100</f>
        <v>98.392987582176772</v>
      </c>
      <c r="I175" s="2353"/>
    </row>
    <row r="176" spans="1:9" ht="47.25" hidden="1" customHeight="1" x14ac:dyDescent="0.2">
      <c r="A176" s="2386">
        <v>3299</v>
      </c>
      <c r="B176" s="2387">
        <v>6313</v>
      </c>
      <c r="C176" s="2372">
        <v>32133006</v>
      </c>
      <c r="D176" s="2388" t="s">
        <v>1123</v>
      </c>
      <c r="E176" s="2374">
        <v>0</v>
      </c>
      <c r="F176" s="2374">
        <v>0</v>
      </c>
      <c r="G176" s="2382">
        <v>0</v>
      </c>
      <c r="H176" s="2375" t="e">
        <f>G176/F176*100</f>
        <v>#DIV/0!</v>
      </c>
      <c r="I176" s="2353"/>
    </row>
    <row r="177" spans="1:9" ht="47.25" hidden="1" customHeight="1" x14ac:dyDescent="0.2">
      <c r="A177" s="2386">
        <v>3299</v>
      </c>
      <c r="B177" s="2389">
        <v>6313</v>
      </c>
      <c r="C177" s="2390">
        <v>32533006</v>
      </c>
      <c r="D177" s="2391" t="s">
        <v>1123</v>
      </c>
      <c r="E177" s="2374">
        <v>0</v>
      </c>
      <c r="F177" s="2374">
        <v>0</v>
      </c>
      <c r="G177" s="2382">
        <v>0</v>
      </c>
      <c r="H177" s="2375" t="e">
        <f>G177/F177*100</f>
        <v>#DIV/0!</v>
      </c>
      <c r="I177" s="2353"/>
    </row>
    <row r="178" spans="1:9" ht="16.5" customHeight="1" thickTop="1" thickBot="1" x14ac:dyDescent="0.3">
      <c r="A178" s="2383" t="s">
        <v>849</v>
      </c>
      <c r="B178" s="2384"/>
      <c r="C178" s="2384"/>
      <c r="D178" s="2385"/>
      <c r="E178" s="2378">
        <f>SUM(E174:E175)</f>
        <v>0</v>
      </c>
      <c r="F178" s="2378">
        <f>SUM(F174:F177)</f>
        <v>1610</v>
      </c>
      <c r="G178" s="2378">
        <f>SUM(G174:G177)</f>
        <v>1585</v>
      </c>
      <c r="H178" s="2379">
        <f>G178/F178*100</f>
        <v>98.447204968944106</v>
      </c>
      <c r="I178" s="2353"/>
    </row>
    <row r="179" spans="1:9" ht="13.5" thickTop="1" x14ac:dyDescent="0.2"/>
    <row r="180" spans="1:9" ht="15" x14ac:dyDescent="0.25">
      <c r="A180" s="2338" t="s">
        <v>1850</v>
      </c>
      <c r="B180" s="2352"/>
      <c r="C180" s="2352"/>
      <c r="D180" s="2352"/>
      <c r="F180" s="2353"/>
      <c r="G180" s="2353"/>
      <c r="H180" s="2353"/>
      <c r="I180" s="2353"/>
    </row>
    <row r="181" spans="1:9" ht="15.75" thickBot="1" x14ac:dyDescent="0.3">
      <c r="A181" s="2338" t="s">
        <v>1851</v>
      </c>
      <c r="B181" s="2352"/>
      <c r="C181" s="2352"/>
      <c r="D181" s="2352"/>
      <c r="F181" s="2353"/>
      <c r="G181" s="2353"/>
      <c r="H181" s="2354" t="s">
        <v>179</v>
      </c>
      <c r="I181" s="2353"/>
    </row>
    <row r="182" spans="1:9" ht="25.5" thickTop="1" thickBot="1" x14ac:dyDescent="0.25">
      <c r="A182" s="2355" t="s">
        <v>180</v>
      </c>
      <c r="B182" s="2356" t="s">
        <v>847</v>
      </c>
      <c r="C182" s="2356" t="s">
        <v>414</v>
      </c>
      <c r="D182" s="2357" t="s">
        <v>182</v>
      </c>
      <c r="E182" s="2358" t="s">
        <v>700</v>
      </c>
      <c r="F182" s="2358" t="s">
        <v>701</v>
      </c>
      <c r="G182" s="2359" t="s">
        <v>986</v>
      </c>
      <c r="H182" s="2360" t="s">
        <v>987</v>
      </c>
      <c r="I182" s="2353"/>
    </row>
    <row r="183" spans="1:9" ht="14.25" thickTop="1" thickBot="1" x14ac:dyDescent="0.25">
      <c r="A183" s="2361">
        <v>1</v>
      </c>
      <c r="B183" s="2362">
        <v>2</v>
      </c>
      <c r="C183" s="2362">
        <v>3</v>
      </c>
      <c r="D183" s="2362">
        <v>5</v>
      </c>
      <c r="E183" s="2363">
        <v>6</v>
      </c>
      <c r="F183" s="2363">
        <v>7</v>
      </c>
      <c r="G183" s="2364">
        <v>8</v>
      </c>
      <c r="H183" s="2380" t="s">
        <v>848</v>
      </c>
      <c r="I183" s="2353"/>
    </row>
    <row r="184" spans="1:9" ht="15.75" thickTop="1" x14ac:dyDescent="0.25">
      <c r="A184" s="2392">
        <v>3299</v>
      </c>
      <c r="B184" s="2393">
        <v>5321</v>
      </c>
      <c r="C184" s="2393">
        <v>32133030</v>
      </c>
      <c r="D184" s="2394" t="s">
        <v>1349</v>
      </c>
      <c r="E184" s="2369">
        <v>0</v>
      </c>
      <c r="F184" s="2369">
        <v>235</v>
      </c>
      <c r="G184" s="2381">
        <v>137</v>
      </c>
      <c r="H184" s="2370">
        <f>G184/F184*100</f>
        <v>58.297872340425528</v>
      </c>
      <c r="I184" s="2353"/>
    </row>
    <row r="185" spans="1:9" ht="15" x14ac:dyDescent="0.25">
      <c r="A185" s="2392">
        <v>3299</v>
      </c>
      <c r="B185" s="2393">
        <v>5321</v>
      </c>
      <c r="C185" s="2393">
        <v>32533030</v>
      </c>
      <c r="D185" s="2395" t="s">
        <v>1349</v>
      </c>
      <c r="E185" s="2374">
        <v>0</v>
      </c>
      <c r="F185" s="2374">
        <v>1335</v>
      </c>
      <c r="G185" s="2382">
        <v>773</v>
      </c>
      <c r="H185" s="2375">
        <f>G185/F185*100</f>
        <v>57.902621722846433</v>
      </c>
      <c r="I185" s="2353"/>
    </row>
    <row r="186" spans="1:9" ht="15" x14ac:dyDescent="0.25">
      <c r="A186" s="2392">
        <v>3299</v>
      </c>
      <c r="B186" s="2393">
        <v>6341</v>
      </c>
      <c r="C186" s="2393">
        <v>32133926</v>
      </c>
      <c r="D186" s="2394" t="s">
        <v>271</v>
      </c>
      <c r="E186" s="2374">
        <v>0</v>
      </c>
      <c r="F186" s="2374">
        <v>28</v>
      </c>
      <c r="G186" s="2382">
        <v>28</v>
      </c>
      <c r="H186" s="2375">
        <f>G186/F186*100</f>
        <v>100</v>
      </c>
      <c r="I186" s="2353"/>
    </row>
    <row r="187" spans="1:9" ht="15.75" thickBot="1" x14ac:dyDescent="0.3">
      <c r="A187" s="2396">
        <v>3299</v>
      </c>
      <c r="B187" s="2397">
        <v>6341</v>
      </c>
      <c r="C187" s="2397">
        <v>32533926</v>
      </c>
      <c r="D187" s="2394" t="s">
        <v>271</v>
      </c>
      <c r="E187" s="2374">
        <v>0</v>
      </c>
      <c r="F187" s="2374">
        <v>160</v>
      </c>
      <c r="G187" s="2382">
        <v>160</v>
      </c>
      <c r="H187" s="2375">
        <f>G187/F187*100</f>
        <v>100</v>
      </c>
      <c r="I187" s="2353"/>
    </row>
    <row r="188" spans="1:9" ht="16.5" thickTop="1" thickBot="1" x14ac:dyDescent="0.3">
      <c r="A188" s="2383" t="s">
        <v>849</v>
      </c>
      <c r="B188" s="2384"/>
      <c r="C188" s="2384"/>
      <c r="D188" s="2385"/>
      <c r="E188" s="2378">
        <f>SUM(E184:E187)</f>
        <v>0</v>
      </c>
      <c r="F188" s="2378">
        <f>SUM(F184:F187)</f>
        <v>1758</v>
      </c>
      <c r="G188" s="2378">
        <f>SUM(G184:G187)</f>
        <v>1098</v>
      </c>
      <c r="H188" s="2379">
        <f>G188/F188*100</f>
        <v>62.457337883959042</v>
      </c>
      <c r="I188" s="2353"/>
    </row>
    <row r="189" spans="1:9" ht="13.5" thickTop="1" x14ac:dyDescent="0.2"/>
    <row r="190" spans="1:9" ht="15" x14ac:dyDescent="0.25">
      <c r="A190" s="2338" t="s">
        <v>1852</v>
      </c>
      <c r="B190" s="2352"/>
      <c r="C190" s="2352"/>
      <c r="D190" s="2352"/>
      <c r="F190" s="2353"/>
      <c r="G190" s="2353"/>
      <c r="H190" s="2353"/>
      <c r="I190" s="2353"/>
    </row>
    <row r="191" spans="1:9" ht="15.75" thickBot="1" x14ac:dyDescent="0.3">
      <c r="A191" s="2338" t="s">
        <v>1853</v>
      </c>
      <c r="B191" s="2352"/>
      <c r="C191" s="2352"/>
      <c r="D191" s="2352"/>
      <c r="F191" s="2353"/>
      <c r="G191" s="2353"/>
      <c r="H191" s="2354" t="s">
        <v>179</v>
      </c>
      <c r="I191" s="2353"/>
    </row>
    <row r="192" spans="1:9" ht="25.5" thickTop="1" thickBot="1" x14ac:dyDescent="0.25">
      <c r="A192" s="2355" t="s">
        <v>180</v>
      </c>
      <c r="B192" s="2356" t="s">
        <v>847</v>
      </c>
      <c r="C192" s="2356" t="s">
        <v>414</v>
      </c>
      <c r="D192" s="2357" t="s">
        <v>182</v>
      </c>
      <c r="E192" s="2358" t="s">
        <v>700</v>
      </c>
      <c r="F192" s="2358" t="s">
        <v>701</v>
      </c>
      <c r="G192" s="2359" t="s">
        <v>986</v>
      </c>
      <c r="H192" s="2360" t="s">
        <v>987</v>
      </c>
      <c r="I192" s="2353"/>
    </row>
    <row r="193" spans="1:9" ht="14.25" thickTop="1" thickBot="1" x14ac:dyDescent="0.25">
      <c r="A193" s="2361">
        <v>1</v>
      </c>
      <c r="B193" s="2362">
        <v>2</v>
      </c>
      <c r="C193" s="2362">
        <v>3</v>
      </c>
      <c r="D193" s="2362">
        <v>5</v>
      </c>
      <c r="E193" s="2363">
        <v>6</v>
      </c>
      <c r="F193" s="2363">
        <v>7</v>
      </c>
      <c r="G193" s="2364">
        <v>8</v>
      </c>
      <c r="H193" s="2380" t="s">
        <v>848</v>
      </c>
      <c r="I193" s="2353"/>
    </row>
    <row r="194" spans="1:9" ht="15.75" thickTop="1" x14ac:dyDescent="0.25">
      <c r="A194" s="2392">
        <v>3299</v>
      </c>
      <c r="B194" s="2393">
        <v>5321</v>
      </c>
      <c r="C194" s="2393">
        <v>32133030</v>
      </c>
      <c r="D194" s="2394" t="s">
        <v>1349</v>
      </c>
      <c r="E194" s="2369">
        <v>0</v>
      </c>
      <c r="F194" s="2369">
        <v>241</v>
      </c>
      <c r="G194" s="2381">
        <v>198</v>
      </c>
      <c r="H194" s="2370">
        <f>G194/F194*100</f>
        <v>82.15767634854771</v>
      </c>
      <c r="I194" s="2353"/>
    </row>
    <row r="195" spans="1:9" ht="15" x14ac:dyDescent="0.25">
      <c r="A195" s="2392">
        <v>3299</v>
      </c>
      <c r="B195" s="2393">
        <v>5321</v>
      </c>
      <c r="C195" s="2393">
        <v>32533030</v>
      </c>
      <c r="D195" s="2395" t="s">
        <v>1349</v>
      </c>
      <c r="E195" s="2374">
        <v>0</v>
      </c>
      <c r="F195" s="2374">
        <v>1369</v>
      </c>
      <c r="G195" s="2382">
        <v>1122</v>
      </c>
      <c r="H195" s="2375">
        <f>G195/F195*100</f>
        <v>81.957633308984654</v>
      </c>
      <c r="I195" s="2353"/>
    </row>
    <row r="196" spans="1:9" ht="15" x14ac:dyDescent="0.25">
      <c r="A196" s="2392">
        <v>3299</v>
      </c>
      <c r="B196" s="2393">
        <v>6341</v>
      </c>
      <c r="C196" s="2393">
        <v>32133926</v>
      </c>
      <c r="D196" s="2394" t="s">
        <v>271</v>
      </c>
      <c r="E196" s="2374">
        <v>0</v>
      </c>
      <c r="F196" s="2374">
        <v>42</v>
      </c>
      <c r="G196" s="2382">
        <v>42</v>
      </c>
      <c r="H196" s="2375">
        <f>G196/F196*100</f>
        <v>100</v>
      </c>
      <c r="I196" s="2353"/>
    </row>
    <row r="197" spans="1:9" ht="15.75" thickBot="1" x14ac:dyDescent="0.3">
      <c r="A197" s="2396">
        <v>3299</v>
      </c>
      <c r="B197" s="2397">
        <v>6341</v>
      </c>
      <c r="C197" s="2397">
        <v>32533926</v>
      </c>
      <c r="D197" s="2394" t="s">
        <v>271</v>
      </c>
      <c r="E197" s="2374">
        <v>0</v>
      </c>
      <c r="F197" s="2374">
        <v>236</v>
      </c>
      <c r="G197" s="2382">
        <v>236</v>
      </c>
      <c r="H197" s="2375">
        <f>G197/F197*100</f>
        <v>100</v>
      </c>
      <c r="I197" s="2353"/>
    </row>
    <row r="198" spans="1:9" ht="16.5" thickTop="1" thickBot="1" x14ac:dyDescent="0.3">
      <c r="A198" s="2383" t="s">
        <v>849</v>
      </c>
      <c r="B198" s="2384"/>
      <c r="C198" s="2384"/>
      <c r="D198" s="2385"/>
      <c r="E198" s="2378">
        <f>SUM(E194:E197)</f>
        <v>0</v>
      </c>
      <c r="F198" s="2378">
        <f>SUM(F194:F197)</f>
        <v>1888</v>
      </c>
      <c r="G198" s="2378">
        <f>SUM(G194:G197)</f>
        <v>1598</v>
      </c>
      <c r="H198" s="2379">
        <f>G198/F198*100</f>
        <v>84.639830508474574</v>
      </c>
      <c r="I198" s="2353"/>
    </row>
    <row r="199" spans="1:9" ht="13.5" thickTop="1" x14ac:dyDescent="0.2"/>
    <row r="200" spans="1:9" ht="15" x14ac:dyDescent="0.25">
      <c r="A200" s="2338" t="s">
        <v>1854</v>
      </c>
      <c r="B200" s="2352"/>
      <c r="C200" s="2352"/>
      <c r="D200" s="2352"/>
      <c r="F200" s="2353"/>
      <c r="G200" s="2353"/>
      <c r="H200" s="2353"/>
      <c r="I200" s="2353"/>
    </row>
    <row r="201" spans="1:9" ht="15.75" thickBot="1" x14ac:dyDescent="0.3">
      <c r="A201" s="2338" t="s">
        <v>1855</v>
      </c>
      <c r="B201" s="2352"/>
      <c r="C201" s="2352"/>
      <c r="D201" s="2352"/>
      <c r="F201" s="2353"/>
      <c r="G201" s="2353"/>
      <c r="H201" s="2354" t="s">
        <v>179</v>
      </c>
      <c r="I201" s="2353"/>
    </row>
    <row r="202" spans="1:9" ht="25.5" thickTop="1" thickBot="1" x14ac:dyDescent="0.25">
      <c r="A202" s="2355" t="s">
        <v>180</v>
      </c>
      <c r="B202" s="2356" t="s">
        <v>847</v>
      </c>
      <c r="C202" s="2356" t="s">
        <v>414</v>
      </c>
      <c r="D202" s="2357" t="s">
        <v>182</v>
      </c>
      <c r="E202" s="2358" t="s">
        <v>700</v>
      </c>
      <c r="F202" s="2358" t="s">
        <v>701</v>
      </c>
      <c r="G202" s="2359" t="s">
        <v>986</v>
      </c>
      <c r="H202" s="2360" t="s">
        <v>987</v>
      </c>
      <c r="I202" s="2353"/>
    </row>
    <row r="203" spans="1:9" ht="14.25" thickTop="1" thickBot="1" x14ac:dyDescent="0.25">
      <c r="A203" s="2361">
        <v>1</v>
      </c>
      <c r="B203" s="2362">
        <v>2</v>
      </c>
      <c r="C203" s="2362">
        <v>3</v>
      </c>
      <c r="D203" s="2362">
        <v>5</v>
      </c>
      <c r="E203" s="2363">
        <v>6</v>
      </c>
      <c r="F203" s="2363">
        <v>7</v>
      </c>
      <c r="G203" s="2364">
        <v>8</v>
      </c>
      <c r="H203" s="2380" t="s">
        <v>848</v>
      </c>
      <c r="I203" s="2353"/>
    </row>
    <row r="204" spans="1:9" ht="30.75" thickTop="1" x14ac:dyDescent="0.25">
      <c r="A204" s="2371">
        <v>3299</v>
      </c>
      <c r="B204" s="2372">
        <v>5221</v>
      </c>
      <c r="C204" s="2372">
        <v>32133030</v>
      </c>
      <c r="D204" s="2398" t="s">
        <v>1477</v>
      </c>
      <c r="E204" s="2369">
        <v>0</v>
      </c>
      <c r="F204" s="2369">
        <v>75</v>
      </c>
      <c r="G204" s="2381">
        <v>0</v>
      </c>
      <c r="H204" s="2370">
        <f>G204/F204*100</f>
        <v>0</v>
      </c>
      <c r="I204" s="2353"/>
    </row>
    <row r="205" spans="1:9" ht="15" x14ac:dyDescent="0.25">
      <c r="A205" s="2392">
        <v>3299</v>
      </c>
      <c r="B205" s="2393">
        <v>5321</v>
      </c>
      <c r="C205" s="2393">
        <v>32133030</v>
      </c>
      <c r="D205" s="2395" t="s">
        <v>1349</v>
      </c>
      <c r="E205" s="2374">
        <v>0</v>
      </c>
      <c r="F205" s="2374">
        <v>150</v>
      </c>
      <c r="G205" s="2382">
        <v>135</v>
      </c>
      <c r="H205" s="2375">
        <f>G205/F205*100</f>
        <v>90</v>
      </c>
      <c r="I205" s="2353"/>
    </row>
    <row r="206" spans="1:9" ht="15.75" thickBot="1" x14ac:dyDescent="0.3">
      <c r="A206" s="2392">
        <v>3299</v>
      </c>
      <c r="B206" s="2393">
        <v>5321</v>
      </c>
      <c r="C206" s="2393">
        <v>32533030</v>
      </c>
      <c r="D206" s="2395" t="s">
        <v>1349</v>
      </c>
      <c r="E206" s="2374">
        <v>0</v>
      </c>
      <c r="F206" s="2374">
        <v>1275</v>
      </c>
      <c r="G206" s="2382">
        <v>766</v>
      </c>
      <c r="H206" s="2375">
        <f>G206/F206*100</f>
        <v>60.078431372549026</v>
      </c>
      <c r="I206" s="2353"/>
    </row>
    <row r="207" spans="1:9" ht="15.75" hidden="1" thickBot="1" x14ac:dyDescent="0.3">
      <c r="A207" s="2396">
        <v>3299</v>
      </c>
      <c r="B207" s="2397">
        <v>6341</v>
      </c>
      <c r="C207" s="2397">
        <v>32533926</v>
      </c>
      <c r="D207" s="2394" t="s">
        <v>271</v>
      </c>
      <c r="E207" s="2374">
        <v>0</v>
      </c>
      <c r="F207" s="2374">
        <v>0</v>
      </c>
      <c r="G207" s="2382">
        <v>0</v>
      </c>
      <c r="H207" s="2375" t="e">
        <f>G207/F207*100</f>
        <v>#DIV/0!</v>
      </c>
      <c r="I207" s="2353"/>
    </row>
    <row r="208" spans="1:9" ht="16.5" thickTop="1" thickBot="1" x14ac:dyDescent="0.3">
      <c r="A208" s="2383" t="s">
        <v>849</v>
      </c>
      <c r="B208" s="2384"/>
      <c r="C208" s="2384"/>
      <c r="D208" s="2385"/>
      <c r="E208" s="2378">
        <f>SUM(E204:E207)</f>
        <v>0</v>
      </c>
      <c r="F208" s="2378">
        <f>SUM(F204:F207)</f>
        <v>1500</v>
      </c>
      <c r="G208" s="2378">
        <f>SUM(G204:G207)</f>
        <v>901</v>
      </c>
      <c r="H208" s="2379">
        <f>G208/F208*100</f>
        <v>60.06666666666667</v>
      </c>
      <c r="I208" s="2353"/>
    </row>
    <row r="209" spans="1:12" ht="13.5" thickTop="1" x14ac:dyDescent="0.2"/>
    <row r="213" spans="1:12" ht="16.5" x14ac:dyDescent="0.25">
      <c r="A213" s="2399" t="s">
        <v>508</v>
      </c>
      <c r="B213" s="2400"/>
      <c r="C213" s="2401"/>
      <c r="D213" s="2402"/>
      <c r="E213" s="2403">
        <f>SUM(E214:E216)</f>
        <v>0</v>
      </c>
      <c r="F213" s="2403">
        <f>F214+F215+F216+F217</f>
        <v>51105</v>
      </c>
      <c r="G213" s="2403">
        <f>G214+G215+G216+G217</f>
        <v>25508</v>
      </c>
      <c r="H213" s="2404">
        <f>G213/F213*100</f>
        <v>49.912924371392229</v>
      </c>
      <c r="J213" s="2405">
        <f>J214+J215+J216</f>
        <v>0</v>
      </c>
      <c r="K213" s="2405">
        <f>K214+K215+K216</f>
        <v>51104988.289999999</v>
      </c>
      <c r="L213" s="2405">
        <f>L214+L215+L216</f>
        <v>25508179.219999999</v>
      </c>
    </row>
    <row r="214" spans="1:12" ht="15" x14ac:dyDescent="0.2">
      <c r="A214" s="2406" t="s">
        <v>288</v>
      </c>
      <c r="B214" s="2407"/>
      <c r="C214" s="2408"/>
      <c r="D214" s="2409"/>
      <c r="E214" s="2410">
        <f>E12+E13+E14+E15+E18+E19+E34+E35+E44+E45+E54+E55+E64+E65+E74+E75+E84+E85+E94+E95+E104+E105+E114+E115+E124+E125+E134+E135+E144+E145+E154+E155+E164+E165+E174+E175+E184+E185+E194+E195+E204+E205+E206</f>
        <v>0</v>
      </c>
      <c r="F214" s="2410">
        <f>F12+F13+F14+F15+F18+F19+F34+F35+F44+F45+F54+F55+F64+F65+F74+F75+F84+F85+F94+F95+F104+F105+F114+F115+F124+F125+F134+F135+F144+F145+F154+F155+F164+F165+F174+F175+F184+F185+F194+F195+F204+F205+F206</f>
        <v>48108</v>
      </c>
      <c r="G214" s="2410">
        <f>G12+G13+G14+G15+G18+G19+G34+G35+G44+G45+G54+G55+G64+G65+G74+G75+G84+G85+G94+G95+G104+G105+G114+G115+G124+G125+G134+G135+G144+G145+G154+G155+G164+G165+G174+G175+G184+G185+G194+G195+G204+G205+G206</f>
        <v>23099</v>
      </c>
      <c r="H214" s="2411">
        <f>G214/F214*100</f>
        <v>48.014883179512765</v>
      </c>
      <c r="J214" s="2412">
        <v>0</v>
      </c>
      <c r="K214" s="2412">
        <v>48106652.289999999</v>
      </c>
      <c r="L214" s="2412">
        <v>23097942.91</v>
      </c>
    </row>
    <row r="215" spans="1:12" ht="15" x14ac:dyDescent="0.2">
      <c r="A215" s="2406" t="s">
        <v>289</v>
      </c>
      <c r="B215" s="2413"/>
      <c r="C215" s="2408"/>
      <c r="D215" s="2414"/>
      <c r="E215" s="2410">
        <f>E24+E25+E36+E37+E76+E77+E96+E97+E106+E107+E116+E117+E146+E147+E186+E187+E196+E197</f>
        <v>0</v>
      </c>
      <c r="F215" s="2410">
        <f>F24+F25+F36+F37+F76+F77+F96+F97+F106+F107+F116+F117+F146+F147+F186+F187+F196+F197</f>
        <v>2997</v>
      </c>
      <c r="G215" s="2410">
        <f>G24+G25+G36+G37+G76+G77+G96+G97+G106+G107+G116+G117+G146+G147+G186+G187+G196+G197</f>
        <v>2409</v>
      </c>
      <c r="H215" s="2411">
        <f>G215/F215*100</f>
        <v>80.380380380380373</v>
      </c>
      <c r="J215" s="2412">
        <v>0</v>
      </c>
      <c r="K215" s="2412">
        <v>2998336</v>
      </c>
      <c r="L215" s="2412">
        <v>2410236.31</v>
      </c>
    </row>
    <row r="216" spans="1:12" ht="15" x14ac:dyDescent="0.2">
      <c r="A216" s="2406" t="s">
        <v>509</v>
      </c>
      <c r="B216" s="2413"/>
      <c r="C216" s="2408"/>
      <c r="D216" s="2414"/>
      <c r="E216" s="2410">
        <v>0</v>
      </c>
      <c r="F216" s="2410">
        <v>0</v>
      </c>
      <c r="G216" s="2410">
        <v>0</v>
      </c>
      <c r="H216" s="2411">
        <v>0</v>
      </c>
      <c r="J216" s="2412">
        <v>0</v>
      </c>
      <c r="K216" s="2412">
        <v>0</v>
      </c>
      <c r="L216" s="2412">
        <v>0</v>
      </c>
    </row>
    <row r="217" spans="1:12" ht="15" x14ac:dyDescent="0.2">
      <c r="A217" s="2406"/>
      <c r="B217" s="2413"/>
      <c r="C217" s="2408"/>
      <c r="D217" s="2414"/>
      <c r="E217" s="2410"/>
      <c r="F217" s="2410"/>
      <c r="G217" s="2410"/>
      <c r="H217" s="2415"/>
    </row>
    <row r="218" spans="1:12" ht="57.75" customHeight="1" thickBot="1" x14ac:dyDescent="0.4">
      <c r="A218" s="2819" t="s">
        <v>1620</v>
      </c>
      <c r="B218" s="2820"/>
      <c r="C218" s="2820"/>
      <c r="D218" s="2820"/>
      <c r="E218" s="2416">
        <f>SUM(E213)</f>
        <v>0</v>
      </c>
      <c r="F218" s="2416">
        <f>SUM(F213)</f>
        <v>51105</v>
      </c>
      <c r="G218" s="2416">
        <f>SUM(G213)</f>
        <v>25508</v>
      </c>
      <c r="H218" s="2417">
        <f>(G218/F218)*100</f>
        <v>49.912924371392229</v>
      </c>
    </row>
    <row r="219" spans="1:12" ht="13.5" thickTop="1" x14ac:dyDescent="0.2"/>
  </sheetData>
  <mergeCells count="2">
    <mergeCell ref="A27:D27"/>
    <mergeCell ref="A218:D218"/>
  </mergeCells>
  <pageMargins left="0.70866141732283472" right="0.70866141732283472" top="0.78740157480314965" bottom="0.78740157480314965" header="0.31496062992125984" footer="0.31496062992125984"/>
  <pageSetup paperSize="9" scale="70" firstPageNumber="168" orientation="portrait" useFirstPageNumber="1" r:id="rId1"/>
  <headerFooter>
    <oddFooter xml:space="preserve">&amp;L&amp;"Arial,Kurzíva"Zastupitelstvo Olomouckého kraje 28. 6. 2013
6.- Závěrečný  účet Olomuckého kraje za rok 2012
Příloha č. 3: Plnění rozpočtu výdajů Olomouckého kraje k 31.12.2012&amp;R&amp;"Arial,Kurzíva"Strana &amp;P (Celkem 484)
</oddFooter>
  </headerFooter>
  <rowBreaks count="3" manualBreakCount="3">
    <brk id="59" max="7" man="1"/>
    <brk id="109" max="7" man="1"/>
    <brk id="159" max="7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107"/>
  <sheetViews>
    <sheetView view="pageBreakPreview" topLeftCell="A112" zoomScaleNormal="100" zoomScaleSheetLayoutView="100" workbookViewId="0">
      <selection activeCell="C94" sqref="C94"/>
    </sheetView>
  </sheetViews>
  <sheetFormatPr defaultRowHeight="12.75" x14ac:dyDescent="0.2"/>
  <cols>
    <col min="1" max="1" width="5.5703125" style="2345" customWidth="1"/>
    <col min="2" max="2" width="6.7109375" style="2345" customWidth="1"/>
    <col min="3" max="3" width="8.85546875" style="2345" customWidth="1"/>
    <col min="4" max="4" width="47.85546875" style="2345" customWidth="1"/>
    <col min="5" max="5" width="12.85546875" style="2345" customWidth="1"/>
    <col min="6" max="6" width="15.5703125" style="2345" customWidth="1"/>
    <col min="7" max="7" width="15.85546875" style="2345" customWidth="1"/>
    <col min="8" max="8" width="8.42578125" style="2345" customWidth="1"/>
    <col min="9" max="11" width="9.140625" style="2345"/>
    <col min="12" max="12" width="18.42578125" style="2345" customWidth="1"/>
    <col min="13" max="13" width="16" style="2345" bestFit="1" customWidth="1"/>
    <col min="14" max="256" width="9.140625" style="2345"/>
    <col min="257" max="257" width="4.7109375" style="2345" customWidth="1"/>
    <col min="258" max="258" width="6.7109375" style="2345" customWidth="1"/>
    <col min="259" max="259" width="8.85546875" style="2345" customWidth="1"/>
    <col min="260" max="260" width="47.85546875" style="2345" customWidth="1"/>
    <col min="261" max="261" width="12.85546875" style="2345" customWidth="1"/>
    <col min="262" max="262" width="15.5703125" style="2345" customWidth="1"/>
    <col min="263" max="263" width="15.85546875" style="2345" customWidth="1"/>
    <col min="264" max="264" width="6.42578125" style="2345" customWidth="1"/>
    <col min="265" max="267" width="9.140625" style="2345"/>
    <col min="268" max="268" width="18.42578125" style="2345" customWidth="1"/>
    <col min="269" max="269" width="16" style="2345" bestFit="1" customWidth="1"/>
    <col min="270" max="512" width="9.140625" style="2345"/>
    <col min="513" max="513" width="4.7109375" style="2345" customWidth="1"/>
    <col min="514" max="514" width="6.7109375" style="2345" customWidth="1"/>
    <col min="515" max="515" width="8.85546875" style="2345" customWidth="1"/>
    <col min="516" max="516" width="47.85546875" style="2345" customWidth="1"/>
    <col min="517" max="517" width="12.85546875" style="2345" customWidth="1"/>
    <col min="518" max="518" width="15.5703125" style="2345" customWidth="1"/>
    <col min="519" max="519" width="15.85546875" style="2345" customWidth="1"/>
    <col min="520" max="520" width="6.42578125" style="2345" customWidth="1"/>
    <col min="521" max="523" width="9.140625" style="2345"/>
    <col min="524" max="524" width="18.42578125" style="2345" customWidth="1"/>
    <col min="525" max="525" width="16" style="2345" bestFit="1" customWidth="1"/>
    <col min="526" max="768" width="9.140625" style="2345"/>
    <col min="769" max="769" width="4.7109375" style="2345" customWidth="1"/>
    <col min="770" max="770" width="6.7109375" style="2345" customWidth="1"/>
    <col min="771" max="771" width="8.85546875" style="2345" customWidth="1"/>
    <col min="772" max="772" width="47.85546875" style="2345" customWidth="1"/>
    <col min="773" max="773" width="12.85546875" style="2345" customWidth="1"/>
    <col min="774" max="774" width="15.5703125" style="2345" customWidth="1"/>
    <col min="775" max="775" width="15.85546875" style="2345" customWidth="1"/>
    <col min="776" max="776" width="6.42578125" style="2345" customWidth="1"/>
    <col min="777" max="779" width="9.140625" style="2345"/>
    <col min="780" max="780" width="18.42578125" style="2345" customWidth="1"/>
    <col min="781" max="781" width="16" style="2345" bestFit="1" customWidth="1"/>
    <col min="782" max="1024" width="9.140625" style="2345"/>
    <col min="1025" max="1025" width="4.7109375" style="2345" customWidth="1"/>
    <col min="1026" max="1026" width="6.7109375" style="2345" customWidth="1"/>
    <col min="1027" max="1027" width="8.85546875" style="2345" customWidth="1"/>
    <col min="1028" max="1028" width="47.85546875" style="2345" customWidth="1"/>
    <col min="1029" max="1029" width="12.85546875" style="2345" customWidth="1"/>
    <col min="1030" max="1030" width="15.5703125" style="2345" customWidth="1"/>
    <col min="1031" max="1031" width="15.85546875" style="2345" customWidth="1"/>
    <col min="1032" max="1032" width="6.42578125" style="2345" customWidth="1"/>
    <col min="1033" max="1035" width="9.140625" style="2345"/>
    <col min="1036" max="1036" width="18.42578125" style="2345" customWidth="1"/>
    <col min="1037" max="1037" width="16" style="2345" bestFit="1" customWidth="1"/>
    <col min="1038" max="1280" width="9.140625" style="2345"/>
    <col min="1281" max="1281" width="4.7109375" style="2345" customWidth="1"/>
    <col min="1282" max="1282" width="6.7109375" style="2345" customWidth="1"/>
    <col min="1283" max="1283" width="8.85546875" style="2345" customWidth="1"/>
    <col min="1284" max="1284" width="47.85546875" style="2345" customWidth="1"/>
    <col min="1285" max="1285" width="12.85546875" style="2345" customWidth="1"/>
    <col min="1286" max="1286" width="15.5703125" style="2345" customWidth="1"/>
    <col min="1287" max="1287" width="15.85546875" style="2345" customWidth="1"/>
    <col min="1288" max="1288" width="6.42578125" style="2345" customWidth="1"/>
    <col min="1289" max="1291" width="9.140625" style="2345"/>
    <col min="1292" max="1292" width="18.42578125" style="2345" customWidth="1"/>
    <col min="1293" max="1293" width="16" style="2345" bestFit="1" customWidth="1"/>
    <col min="1294" max="1536" width="9.140625" style="2345"/>
    <col min="1537" max="1537" width="4.7109375" style="2345" customWidth="1"/>
    <col min="1538" max="1538" width="6.7109375" style="2345" customWidth="1"/>
    <col min="1539" max="1539" width="8.85546875" style="2345" customWidth="1"/>
    <col min="1540" max="1540" width="47.85546875" style="2345" customWidth="1"/>
    <col min="1541" max="1541" width="12.85546875" style="2345" customWidth="1"/>
    <col min="1542" max="1542" width="15.5703125" style="2345" customWidth="1"/>
    <col min="1543" max="1543" width="15.85546875" style="2345" customWidth="1"/>
    <col min="1544" max="1544" width="6.42578125" style="2345" customWidth="1"/>
    <col min="1545" max="1547" width="9.140625" style="2345"/>
    <col min="1548" max="1548" width="18.42578125" style="2345" customWidth="1"/>
    <col min="1549" max="1549" width="16" style="2345" bestFit="1" customWidth="1"/>
    <col min="1550" max="1792" width="9.140625" style="2345"/>
    <col min="1793" max="1793" width="4.7109375" style="2345" customWidth="1"/>
    <col min="1794" max="1794" width="6.7109375" style="2345" customWidth="1"/>
    <col min="1795" max="1795" width="8.85546875" style="2345" customWidth="1"/>
    <col min="1796" max="1796" width="47.85546875" style="2345" customWidth="1"/>
    <col min="1797" max="1797" width="12.85546875" style="2345" customWidth="1"/>
    <col min="1798" max="1798" width="15.5703125" style="2345" customWidth="1"/>
    <col min="1799" max="1799" width="15.85546875" style="2345" customWidth="1"/>
    <col min="1800" max="1800" width="6.42578125" style="2345" customWidth="1"/>
    <col min="1801" max="1803" width="9.140625" style="2345"/>
    <col min="1804" max="1804" width="18.42578125" style="2345" customWidth="1"/>
    <col min="1805" max="1805" width="16" style="2345" bestFit="1" customWidth="1"/>
    <col min="1806" max="2048" width="9.140625" style="2345"/>
    <col min="2049" max="2049" width="4.7109375" style="2345" customWidth="1"/>
    <col min="2050" max="2050" width="6.7109375" style="2345" customWidth="1"/>
    <col min="2051" max="2051" width="8.85546875" style="2345" customWidth="1"/>
    <col min="2052" max="2052" width="47.85546875" style="2345" customWidth="1"/>
    <col min="2053" max="2053" width="12.85546875" style="2345" customWidth="1"/>
    <col min="2054" max="2054" width="15.5703125" style="2345" customWidth="1"/>
    <col min="2055" max="2055" width="15.85546875" style="2345" customWidth="1"/>
    <col min="2056" max="2056" width="6.42578125" style="2345" customWidth="1"/>
    <col min="2057" max="2059" width="9.140625" style="2345"/>
    <col min="2060" max="2060" width="18.42578125" style="2345" customWidth="1"/>
    <col min="2061" max="2061" width="16" style="2345" bestFit="1" customWidth="1"/>
    <col min="2062" max="2304" width="9.140625" style="2345"/>
    <col min="2305" max="2305" width="4.7109375" style="2345" customWidth="1"/>
    <col min="2306" max="2306" width="6.7109375" style="2345" customWidth="1"/>
    <col min="2307" max="2307" width="8.85546875" style="2345" customWidth="1"/>
    <col min="2308" max="2308" width="47.85546875" style="2345" customWidth="1"/>
    <col min="2309" max="2309" width="12.85546875" style="2345" customWidth="1"/>
    <col min="2310" max="2310" width="15.5703125" style="2345" customWidth="1"/>
    <col min="2311" max="2311" width="15.85546875" style="2345" customWidth="1"/>
    <col min="2312" max="2312" width="6.42578125" style="2345" customWidth="1"/>
    <col min="2313" max="2315" width="9.140625" style="2345"/>
    <col min="2316" max="2316" width="18.42578125" style="2345" customWidth="1"/>
    <col min="2317" max="2317" width="16" style="2345" bestFit="1" customWidth="1"/>
    <col min="2318" max="2560" width="9.140625" style="2345"/>
    <col min="2561" max="2561" width="4.7109375" style="2345" customWidth="1"/>
    <col min="2562" max="2562" width="6.7109375" style="2345" customWidth="1"/>
    <col min="2563" max="2563" width="8.85546875" style="2345" customWidth="1"/>
    <col min="2564" max="2564" width="47.85546875" style="2345" customWidth="1"/>
    <col min="2565" max="2565" width="12.85546875" style="2345" customWidth="1"/>
    <col min="2566" max="2566" width="15.5703125" style="2345" customWidth="1"/>
    <col min="2567" max="2567" width="15.85546875" style="2345" customWidth="1"/>
    <col min="2568" max="2568" width="6.42578125" style="2345" customWidth="1"/>
    <col min="2569" max="2571" width="9.140625" style="2345"/>
    <col min="2572" max="2572" width="18.42578125" style="2345" customWidth="1"/>
    <col min="2573" max="2573" width="16" style="2345" bestFit="1" customWidth="1"/>
    <col min="2574" max="2816" width="9.140625" style="2345"/>
    <col min="2817" max="2817" width="4.7109375" style="2345" customWidth="1"/>
    <col min="2818" max="2818" width="6.7109375" style="2345" customWidth="1"/>
    <col min="2819" max="2819" width="8.85546875" style="2345" customWidth="1"/>
    <col min="2820" max="2820" width="47.85546875" style="2345" customWidth="1"/>
    <col min="2821" max="2821" width="12.85546875" style="2345" customWidth="1"/>
    <col min="2822" max="2822" width="15.5703125" style="2345" customWidth="1"/>
    <col min="2823" max="2823" width="15.85546875" style="2345" customWidth="1"/>
    <col min="2824" max="2824" width="6.42578125" style="2345" customWidth="1"/>
    <col min="2825" max="2827" width="9.140625" style="2345"/>
    <col min="2828" max="2828" width="18.42578125" style="2345" customWidth="1"/>
    <col min="2829" max="2829" width="16" style="2345" bestFit="1" customWidth="1"/>
    <col min="2830" max="3072" width="9.140625" style="2345"/>
    <col min="3073" max="3073" width="4.7109375" style="2345" customWidth="1"/>
    <col min="3074" max="3074" width="6.7109375" style="2345" customWidth="1"/>
    <col min="3075" max="3075" width="8.85546875" style="2345" customWidth="1"/>
    <col min="3076" max="3076" width="47.85546875" style="2345" customWidth="1"/>
    <col min="3077" max="3077" width="12.85546875" style="2345" customWidth="1"/>
    <col min="3078" max="3078" width="15.5703125" style="2345" customWidth="1"/>
    <col min="3079" max="3079" width="15.85546875" style="2345" customWidth="1"/>
    <col min="3080" max="3080" width="6.42578125" style="2345" customWidth="1"/>
    <col min="3081" max="3083" width="9.140625" style="2345"/>
    <col min="3084" max="3084" width="18.42578125" style="2345" customWidth="1"/>
    <col min="3085" max="3085" width="16" style="2345" bestFit="1" customWidth="1"/>
    <col min="3086" max="3328" width="9.140625" style="2345"/>
    <col min="3329" max="3329" width="4.7109375" style="2345" customWidth="1"/>
    <col min="3330" max="3330" width="6.7109375" style="2345" customWidth="1"/>
    <col min="3331" max="3331" width="8.85546875" style="2345" customWidth="1"/>
    <col min="3332" max="3332" width="47.85546875" style="2345" customWidth="1"/>
    <col min="3333" max="3333" width="12.85546875" style="2345" customWidth="1"/>
    <col min="3334" max="3334" width="15.5703125" style="2345" customWidth="1"/>
    <col min="3335" max="3335" width="15.85546875" style="2345" customWidth="1"/>
    <col min="3336" max="3336" width="6.42578125" style="2345" customWidth="1"/>
    <col min="3337" max="3339" width="9.140625" style="2345"/>
    <col min="3340" max="3340" width="18.42578125" style="2345" customWidth="1"/>
    <col min="3341" max="3341" width="16" style="2345" bestFit="1" customWidth="1"/>
    <col min="3342" max="3584" width="9.140625" style="2345"/>
    <col min="3585" max="3585" width="4.7109375" style="2345" customWidth="1"/>
    <col min="3586" max="3586" width="6.7109375" style="2345" customWidth="1"/>
    <col min="3587" max="3587" width="8.85546875" style="2345" customWidth="1"/>
    <col min="3588" max="3588" width="47.85546875" style="2345" customWidth="1"/>
    <col min="3589" max="3589" width="12.85546875" style="2345" customWidth="1"/>
    <col min="3590" max="3590" width="15.5703125" style="2345" customWidth="1"/>
    <col min="3591" max="3591" width="15.85546875" style="2345" customWidth="1"/>
    <col min="3592" max="3592" width="6.42578125" style="2345" customWidth="1"/>
    <col min="3593" max="3595" width="9.140625" style="2345"/>
    <col min="3596" max="3596" width="18.42578125" style="2345" customWidth="1"/>
    <col min="3597" max="3597" width="16" style="2345" bestFit="1" customWidth="1"/>
    <col min="3598" max="3840" width="9.140625" style="2345"/>
    <col min="3841" max="3841" width="4.7109375" style="2345" customWidth="1"/>
    <col min="3842" max="3842" width="6.7109375" style="2345" customWidth="1"/>
    <col min="3843" max="3843" width="8.85546875" style="2345" customWidth="1"/>
    <col min="3844" max="3844" width="47.85546875" style="2345" customWidth="1"/>
    <col min="3845" max="3845" width="12.85546875" style="2345" customWidth="1"/>
    <col min="3846" max="3846" width="15.5703125" style="2345" customWidth="1"/>
    <col min="3847" max="3847" width="15.85546875" style="2345" customWidth="1"/>
    <col min="3848" max="3848" width="6.42578125" style="2345" customWidth="1"/>
    <col min="3849" max="3851" width="9.140625" style="2345"/>
    <col min="3852" max="3852" width="18.42578125" style="2345" customWidth="1"/>
    <col min="3853" max="3853" width="16" style="2345" bestFit="1" customWidth="1"/>
    <col min="3854" max="4096" width="9.140625" style="2345"/>
    <col min="4097" max="4097" width="4.7109375" style="2345" customWidth="1"/>
    <col min="4098" max="4098" width="6.7109375" style="2345" customWidth="1"/>
    <col min="4099" max="4099" width="8.85546875" style="2345" customWidth="1"/>
    <col min="4100" max="4100" width="47.85546875" style="2345" customWidth="1"/>
    <col min="4101" max="4101" width="12.85546875" style="2345" customWidth="1"/>
    <col min="4102" max="4102" width="15.5703125" style="2345" customWidth="1"/>
    <col min="4103" max="4103" width="15.85546875" style="2345" customWidth="1"/>
    <col min="4104" max="4104" width="6.42578125" style="2345" customWidth="1"/>
    <col min="4105" max="4107" width="9.140625" style="2345"/>
    <col min="4108" max="4108" width="18.42578125" style="2345" customWidth="1"/>
    <col min="4109" max="4109" width="16" style="2345" bestFit="1" customWidth="1"/>
    <col min="4110" max="4352" width="9.140625" style="2345"/>
    <col min="4353" max="4353" width="4.7109375" style="2345" customWidth="1"/>
    <col min="4354" max="4354" width="6.7109375" style="2345" customWidth="1"/>
    <col min="4355" max="4355" width="8.85546875" style="2345" customWidth="1"/>
    <col min="4356" max="4356" width="47.85546875" style="2345" customWidth="1"/>
    <col min="4357" max="4357" width="12.85546875" style="2345" customWidth="1"/>
    <col min="4358" max="4358" width="15.5703125" style="2345" customWidth="1"/>
    <col min="4359" max="4359" width="15.85546875" style="2345" customWidth="1"/>
    <col min="4360" max="4360" width="6.42578125" style="2345" customWidth="1"/>
    <col min="4361" max="4363" width="9.140625" style="2345"/>
    <col min="4364" max="4364" width="18.42578125" style="2345" customWidth="1"/>
    <col min="4365" max="4365" width="16" style="2345" bestFit="1" customWidth="1"/>
    <col min="4366" max="4608" width="9.140625" style="2345"/>
    <col min="4609" max="4609" width="4.7109375" style="2345" customWidth="1"/>
    <col min="4610" max="4610" width="6.7109375" style="2345" customWidth="1"/>
    <col min="4611" max="4611" width="8.85546875" style="2345" customWidth="1"/>
    <col min="4612" max="4612" width="47.85546875" style="2345" customWidth="1"/>
    <col min="4613" max="4613" width="12.85546875" style="2345" customWidth="1"/>
    <col min="4614" max="4614" width="15.5703125" style="2345" customWidth="1"/>
    <col min="4615" max="4615" width="15.85546875" style="2345" customWidth="1"/>
    <col min="4616" max="4616" width="6.42578125" style="2345" customWidth="1"/>
    <col min="4617" max="4619" width="9.140625" style="2345"/>
    <col min="4620" max="4620" width="18.42578125" style="2345" customWidth="1"/>
    <col min="4621" max="4621" width="16" style="2345" bestFit="1" customWidth="1"/>
    <col min="4622" max="4864" width="9.140625" style="2345"/>
    <col min="4865" max="4865" width="4.7109375" style="2345" customWidth="1"/>
    <col min="4866" max="4866" width="6.7109375" style="2345" customWidth="1"/>
    <col min="4867" max="4867" width="8.85546875" style="2345" customWidth="1"/>
    <col min="4868" max="4868" width="47.85546875" style="2345" customWidth="1"/>
    <col min="4869" max="4869" width="12.85546875" style="2345" customWidth="1"/>
    <col min="4870" max="4870" width="15.5703125" style="2345" customWidth="1"/>
    <col min="4871" max="4871" width="15.85546875" style="2345" customWidth="1"/>
    <col min="4872" max="4872" width="6.42578125" style="2345" customWidth="1"/>
    <col min="4873" max="4875" width="9.140625" style="2345"/>
    <col min="4876" max="4876" width="18.42578125" style="2345" customWidth="1"/>
    <col min="4877" max="4877" width="16" style="2345" bestFit="1" customWidth="1"/>
    <col min="4878" max="5120" width="9.140625" style="2345"/>
    <col min="5121" max="5121" width="4.7109375" style="2345" customWidth="1"/>
    <col min="5122" max="5122" width="6.7109375" style="2345" customWidth="1"/>
    <col min="5123" max="5123" width="8.85546875" style="2345" customWidth="1"/>
    <col min="5124" max="5124" width="47.85546875" style="2345" customWidth="1"/>
    <col min="5125" max="5125" width="12.85546875" style="2345" customWidth="1"/>
    <col min="5126" max="5126" width="15.5703125" style="2345" customWidth="1"/>
    <col min="5127" max="5127" width="15.85546875" style="2345" customWidth="1"/>
    <col min="5128" max="5128" width="6.42578125" style="2345" customWidth="1"/>
    <col min="5129" max="5131" width="9.140625" style="2345"/>
    <col min="5132" max="5132" width="18.42578125" style="2345" customWidth="1"/>
    <col min="5133" max="5133" width="16" style="2345" bestFit="1" customWidth="1"/>
    <col min="5134" max="5376" width="9.140625" style="2345"/>
    <col min="5377" max="5377" width="4.7109375" style="2345" customWidth="1"/>
    <col min="5378" max="5378" width="6.7109375" style="2345" customWidth="1"/>
    <col min="5379" max="5379" width="8.85546875" style="2345" customWidth="1"/>
    <col min="5380" max="5380" width="47.85546875" style="2345" customWidth="1"/>
    <col min="5381" max="5381" width="12.85546875" style="2345" customWidth="1"/>
    <col min="5382" max="5382" width="15.5703125" style="2345" customWidth="1"/>
    <col min="5383" max="5383" width="15.85546875" style="2345" customWidth="1"/>
    <col min="5384" max="5384" width="6.42578125" style="2345" customWidth="1"/>
    <col min="5385" max="5387" width="9.140625" style="2345"/>
    <col min="5388" max="5388" width="18.42578125" style="2345" customWidth="1"/>
    <col min="5389" max="5389" width="16" style="2345" bestFit="1" customWidth="1"/>
    <col min="5390" max="5632" width="9.140625" style="2345"/>
    <col min="5633" max="5633" width="4.7109375" style="2345" customWidth="1"/>
    <col min="5634" max="5634" width="6.7109375" style="2345" customWidth="1"/>
    <col min="5635" max="5635" width="8.85546875" style="2345" customWidth="1"/>
    <col min="5636" max="5636" width="47.85546875" style="2345" customWidth="1"/>
    <col min="5637" max="5637" width="12.85546875" style="2345" customWidth="1"/>
    <col min="5638" max="5638" width="15.5703125" style="2345" customWidth="1"/>
    <col min="5639" max="5639" width="15.85546875" style="2345" customWidth="1"/>
    <col min="5640" max="5640" width="6.42578125" style="2345" customWidth="1"/>
    <col min="5641" max="5643" width="9.140625" style="2345"/>
    <col min="5644" max="5644" width="18.42578125" style="2345" customWidth="1"/>
    <col min="5645" max="5645" width="16" style="2345" bestFit="1" customWidth="1"/>
    <col min="5646" max="5888" width="9.140625" style="2345"/>
    <col min="5889" max="5889" width="4.7109375" style="2345" customWidth="1"/>
    <col min="5890" max="5890" width="6.7109375" style="2345" customWidth="1"/>
    <col min="5891" max="5891" width="8.85546875" style="2345" customWidth="1"/>
    <col min="5892" max="5892" width="47.85546875" style="2345" customWidth="1"/>
    <col min="5893" max="5893" width="12.85546875" style="2345" customWidth="1"/>
    <col min="5894" max="5894" width="15.5703125" style="2345" customWidth="1"/>
    <col min="5895" max="5895" width="15.85546875" style="2345" customWidth="1"/>
    <col min="5896" max="5896" width="6.42578125" style="2345" customWidth="1"/>
    <col min="5897" max="5899" width="9.140625" style="2345"/>
    <col min="5900" max="5900" width="18.42578125" style="2345" customWidth="1"/>
    <col min="5901" max="5901" width="16" style="2345" bestFit="1" customWidth="1"/>
    <col min="5902" max="6144" width="9.140625" style="2345"/>
    <col min="6145" max="6145" width="4.7109375" style="2345" customWidth="1"/>
    <col min="6146" max="6146" width="6.7109375" style="2345" customWidth="1"/>
    <col min="6147" max="6147" width="8.85546875" style="2345" customWidth="1"/>
    <col min="6148" max="6148" width="47.85546875" style="2345" customWidth="1"/>
    <col min="6149" max="6149" width="12.85546875" style="2345" customWidth="1"/>
    <col min="6150" max="6150" width="15.5703125" style="2345" customWidth="1"/>
    <col min="6151" max="6151" width="15.85546875" style="2345" customWidth="1"/>
    <col min="6152" max="6152" width="6.42578125" style="2345" customWidth="1"/>
    <col min="6153" max="6155" width="9.140625" style="2345"/>
    <col min="6156" max="6156" width="18.42578125" style="2345" customWidth="1"/>
    <col min="6157" max="6157" width="16" style="2345" bestFit="1" customWidth="1"/>
    <col min="6158" max="6400" width="9.140625" style="2345"/>
    <col min="6401" max="6401" width="4.7109375" style="2345" customWidth="1"/>
    <col min="6402" max="6402" width="6.7109375" style="2345" customWidth="1"/>
    <col min="6403" max="6403" width="8.85546875" style="2345" customWidth="1"/>
    <col min="6404" max="6404" width="47.85546875" style="2345" customWidth="1"/>
    <col min="6405" max="6405" width="12.85546875" style="2345" customWidth="1"/>
    <col min="6406" max="6406" width="15.5703125" style="2345" customWidth="1"/>
    <col min="6407" max="6407" width="15.85546875" style="2345" customWidth="1"/>
    <col min="6408" max="6408" width="6.42578125" style="2345" customWidth="1"/>
    <col min="6409" max="6411" width="9.140625" style="2345"/>
    <col min="6412" max="6412" width="18.42578125" style="2345" customWidth="1"/>
    <col min="6413" max="6413" width="16" style="2345" bestFit="1" customWidth="1"/>
    <col min="6414" max="6656" width="9.140625" style="2345"/>
    <col min="6657" max="6657" width="4.7109375" style="2345" customWidth="1"/>
    <col min="6658" max="6658" width="6.7109375" style="2345" customWidth="1"/>
    <col min="6659" max="6659" width="8.85546875" style="2345" customWidth="1"/>
    <col min="6660" max="6660" width="47.85546875" style="2345" customWidth="1"/>
    <col min="6661" max="6661" width="12.85546875" style="2345" customWidth="1"/>
    <col min="6662" max="6662" width="15.5703125" style="2345" customWidth="1"/>
    <col min="6663" max="6663" width="15.85546875" style="2345" customWidth="1"/>
    <col min="6664" max="6664" width="6.42578125" style="2345" customWidth="1"/>
    <col min="6665" max="6667" width="9.140625" style="2345"/>
    <col min="6668" max="6668" width="18.42578125" style="2345" customWidth="1"/>
    <col min="6669" max="6669" width="16" style="2345" bestFit="1" customWidth="1"/>
    <col min="6670" max="6912" width="9.140625" style="2345"/>
    <col min="6913" max="6913" width="4.7109375" style="2345" customWidth="1"/>
    <col min="6914" max="6914" width="6.7109375" style="2345" customWidth="1"/>
    <col min="6915" max="6915" width="8.85546875" style="2345" customWidth="1"/>
    <col min="6916" max="6916" width="47.85546875" style="2345" customWidth="1"/>
    <col min="6917" max="6917" width="12.85546875" style="2345" customWidth="1"/>
    <col min="6918" max="6918" width="15.5703125" style="2345" customWidth="1"/>
    <col min="6919" max="6919" width="15.85546875" style="2345" customWidth="1"/>
    <col min="6920" max="6920" width="6.42578125" style="2345" customWidth="1"/>
    <col min="6921" max="6923" width="9.140625" style="2345"/>
    <col min="6924" max="6924" width="18.42578125" style="2345" customWidth="1"/>
    <col min="6925" max="6925" width="16" style="2345" bestFit="1" customWidth="1"/>
    <col min="6926" max="7168" width="9.140625" style="2345"/>
    <col min="7169" max="7169" width="4.7109375" style="2345" customWidth="1"/>
    <col min="7170" max="7170" width="6.7109375" style="2345" customWidth="1"/>
    <col min="7171" max="7171" width="8.85546875" style="2345" customWidth="1"/>
    <col min="7172" max="7172" width="47.85546875" style="2345" customWidth="1"/>
    <col min="7173" max="7173" width="12.85546875" style="2345" customWidth="1"/>
    <col min="7174" max="7174" width="15.5703125" style="2345" customWidth="1"/>
    <col min="7175" max="7175" width="15.85546875" style="2345" customWidth="1"/>
    <col min="7176" max="7176" width="6.42578125" style="2345" customWidth="1"/>
    <col min="7177" max="7179" width="9.140625" style="2345"/>
    <col min="7180" max="7180" width="18.42578125" style="2345" customWidth="1"/>
    <col min="7181" max="7181" width="16" style="2345" bestFit="1" customWidth="1"/>
    <col min="7182" max="7424" width="9.140625" style="2345"/>
    <col min="7425" max="7425" width="4.7109375" style="2345" customWidth="1"/>
    <col min="7426" max="7426" width="6.7109375" style="2345" customWidth="1"/>
    <col min="7427" max="7427" width="8.85546875" style="2345" customWidth="1"/>
    <col min="7428" max="7428" width="47.85546875" style="2345" customWidth="1"/>
    <col min="7429" max="7429" width="12.85546875" style="2345" customWidth="1"/>
    <col min="7430" max="7430" width="15.5703125" style="2345" customWidth="1"/>
    <col min="7431" max="7431" width="15.85546875" style="2345" customWidth="1"/>
    <col min="7432" max="7432" width="6.42578125" style="2345" customWidth="1"/>
    <col min="7433" max="7435" width="9.140625" style="2345"/>
    <col min="7436" max="7436" width="18.42578125" style="2345" customWidth="1"/>
    <col min="7437" max="7437" width="16" style="2345" bestFit="1" customWidth="1"/>
    <col min="7438" max="7680" width="9.140625" style="2345"/>
    <col min="7681" max="7681" width="4.7109375" style="2345" customWidth="1"/>
    <col min="7682" max="7682" width="6.7109375" style="2345" customWidth="1"/>
    <col min="7683" max="7683" width="8.85546875" style="2345" customWidth="1"/>
    <col min="7684" max="7684" width="47.85546875" style="2345" customWidth="1"/>
    <col min="7685" max="7685" width="12.85546875" style="2345" customWidth="1"/>
    <col min="7686" max="7686" width="15.5703125" style="2345" customWidth="1"/>
    <col min="7687" max="7687" width="15.85546875" style="2345" customWidth="1"/>
    <col min="7688" max="7688" width="6.42578125" style="2345" customWidth="1"/>
    <col min="7689" max="7691" width="9.140625" style="2345"/>
    <col min="7692" max="7692" width="18.42578125" style="2345" customWidth="1"/>
    <col min="7693" max="7693" width="16" style="2345" bestFit="1" customWidth="1"/>
    <col min="7694" max="7936" width="9.140625" style="2345"/>
    <col min="7937" max="7937" width="4.7109375" style="2345" customWidth="1"/>
    <col min="7938" max="7938" width="6.7109375" style="2345" customWidth="1"/>
    <col min="7939" max="7939" width="8.85546875" style="2345" customWidth="1"/>
    <col min="7940" max="7940" width="47.85546875" style="2345" customWidth="1"/>
    <col min="7941" max="7941" width="12.85546875" style="2345" customWidth="1"/>
    <col min="7942" max="7942" width="15.5703125" style="2345" customWidth="1"/>
    <col min="7943" max="7943" width="15.85546875" style="2345" customWidth="1"/>
    <col min="7944" max="7944" width="6.42578125" style="2345" customWidth="1"/>
    <col min="7945" max="7947" width="9.140625" style="2345"/>
    <col min="7948" max="7948" width="18.42578125" style="2345" customWidth="1"/>
    <col min="7949" max="7949" width="16" style="2345" bestFit="1" customWidth="1"/>
    <col min="7950" max="8192" width="9.140625" style="2345"/>
    <col min="8193" max="8193" width="4.7109375" style="2345" customWidth="1"/>
    <col min="8194" max="8194" width="6.7109375" style="2345" customWidth="1"/>
    <col min="8195" max="8195" width="8.85546875" style="2345" customWidth="1"/>
    <col min="8196" max="8196" width="47.85546875" style="2345" customWidth="1"/>
    <col min="8197" max="8197" width="12.85546875" style="2345" customWidth="1"/>
    <col min="8198" max="8198" width="15.5703125" style="2345" customWidth="1"/>
    <col min="8199" max="8199" width="15.85546875" style="2345" customWidth="1"/>
    <col min="8200" max="8200" width="6.42578125" style="2345" customWidth="1"/>
    <col min="8201" max="8203" width="9.140625" style="2345"/>
    <col min="8204" max="8204" width="18.42578125" style="2345" customWidth="1"/>
    <col min="8205" max="8205" width="16" style="2345" bestFit="1" customWidth="1"/>
    <col min="8206" max="8448" width="9.140625" style="2345"/>
    <col min="8449" max="8449" width="4.7109375" style="2345" customWidth="1"/>
    <col min="8450" max="8450" width="6.7109375" style="2345" customWidth="1"/>
    <col min="8451" max="8451" width="8.85546875" style="2345" customWidth="1"/>
    <col min="8452" max="8452" width="47.85546875" style="2345" customWidth="1"/>
    <col min="8453" max="8453" width="12.85546875" style="2345" customWidth="1"/>
    <col min="8454" max="8454" width="15.5703125" style="2345" customWidth="1"/>
    <col min="8455" max="8455" width="15.85546875" style="2345" customWidth="1"/>
    <col min="8456" max="8456" width="6.42578125" style="2345" customWidth="1"/>
    <col min="8457" max="8459" width="9.140625" style="2345"/>
    <col min="8460" max="8460" width="18.42578125" style="2345" customWidth="1"/>
    <col min="8461" max="8461" width="16" style="2345" bestFit="1" customWidth="1"/>
    <col min="8462" max="8704" width="9.140625" style="2345"/>
    <col min="8705" max="8705" width="4.7109375" style="2345" customWidth="1"/>
    <col min="8706" max="8706" width="6.7109375" style="2345" customWidth="1"/>
    <col min="8707" max="8707" width="8.85546875" style="2345" customWidth="1"/>
    <col min="8708" max="8708" width="47.85546875" style="2345" customWidth="1"/>
    <col min="8709" max="8709" width="12.85546875" style="2345" customWidth="1"/>
    <col min="8710" max="8710" width="15.5703125" style="2345" customWidth="1"/>
    <col min="8711" max="8711" width="15.85546875" style="2345" customWidth="1"/>
    <col min="8712" max="8712" width="6.42578125" style="2345" customWidth="1"/>
    <col min="8713" max="8715" width="9.140625" style="2345"/>
    <col min="8716" max="8716" width="18.42578125" style="2345" customWidth="1"/>
    <col min="8717" max="8717" width="16" style="2345" bestFit="1" customWidth="1"/>
    <col min="8718" max="8960" width="9.140625" style="2345"/>
    <col min="8961" max="8961" width="4.7109375" style="2345" customWidth="1"/>
    <col min="8962" max="8962" width="6.7109375" style="2345" customWidth="1"/>
    <col min="8963" max="8963" width="8.85546875" style="2345" customWidth="1"/>
    <col min="8964" max="8964" width="47.85546875" style="2345" customWidth="1"/>
    <col min="8965" max="8965" width="12.85546875" style="2345" customWidth="1"/>
    <col min="8966" max="8966" width="15.5703125" style="2345" customWidth="1"/>
    <col min="8967" max="8967" width="15.85546875" style="2345" customWidth="1"/>
    <col min="8968" max="8968" width="6.42578125" style="2345" customWidth="1"/>
    <col min="8969" max="8971" width="9.140625" style="2345"/>
    <col min="8972" max="8972" width="18.42578125" style="2345" customWidth="1"/>
    <col min="8973" max="8973" width="16" style="2345" bestFit="1" customWidth="1"/>
    <col min="8974" max="9216" width="9.140625" style="2345"/>
    <col min="9217" max="9217" width="4.7109375" style="2345" customWidth="1"/>
    <col min="9218" max="9218" width="6.7109375" style="2345" customWidth="1"/>
    <col min="9219" max="9219" width="8.85546875" style="2345" customWidth="1"/>
    <col min="9220" max="9220" width="47.85546875" style="2345" customWidth="1"/>
    <col min="9221" max="9221" width="12.85546875" style="2345" customWidth="1"/>
    <col min="9222" max="9222" width="15.5703125" style="2345" customWidth="1"/>
    <col min="9223" max="9223" width="15.85546875" style="2345" customWidth="1"/>
    <col min="9224" max="9224" width="6.42578125" style="2345" customWidth="1"/>
    <col min="9225" max="9227" width="9.140625" style="2345"/>
    <col min="9228" max="9228" width="18.42578125" style="2345" customWidth="1"/>
    <col min="9229" max="9229" width="16" style="2345" bestFit="1" customWidth="1"/>
    <col min="9230" max="9472" width="9.140625" style="2345"/>
    <col min="9473" max="9473" width="4.7109375" style="2345" customWidth="1"/>
    <col min="9474" max="9474" width="6.7109375" style="2345" customWidth="1"/>
    <col min="9475" max="9475" width="8.85546875" style="2345" customWidth="1"/>
    <col min="9476" max="9476" width="47.85546875" style="2345" customWidth="1"/>
    <col min="9477" max="9477" width="12.85546875" style="2345" customWidth="1"/>
    <col min="9478" max="9478" width="15.5703125" style="2345" customWidth="1"/>
    <col min="9479" max="9479" width="15.85546875" style="2345" customWidth="1"/>
    <col min="9480" max="9480" width="6.42578125" style="2345" customWidth="1"/>
    <col min="9481" max="9483" width="9.140625" style="2345"/>
    <col min="9484" max="9484" width="18.42578125" style="2345" customWidth="1"/>
    <col min="9485" max="9485" width="16" style="2345" bestFit="1" customWidth="1"/>
    <col min="9486" max="9728" width="9.140625" style="2345"/>
    <col min="9729" max="9729" width="4.7109375" style="2345" customWidth="1"/>
    <col min="9730" max="9730" width="6.7109375" style="2345" customWidth="1"/>
    <col min="9731" max="9731" width="8.85546875" style="2345" customWidth="1"/>
    <col min="9732" max="9732" width="47.85546875" style="2345" customWidth="1"/>
    <col min="9733" max="9733" width="12.85546875" style="2345" customWidth="1"/>
    <col min="9734" max="9734" width="15.5703125" style="2345" customWidth="1"/>
    <col min="9735" max="9735" width="15.85546875" style="2345" customWidth="1"/>
    <col min="9736" max="9736" width="6.42578125" style="2345" customWidth="1"/>
    <col min="9737" max="9739" width="9.140625" style="2345"/>
    <col min="9740" max="9740" width="18.42578125" style="2345" customWidth="1"/>
    <col min="9741" max="9741" width="16" style="2345" bestFit="1" customWidth="1"/>
    <col min="9742" max="9984" width="9.140625" style="2345"/>
    <col min="9985" max="9985" width="4.7109375" style="2345" customWidth="1"/>
    <col min="9986" max="9986" width="6.7109375" style="2345" customWidth="1"/>
    <col min="9987" max="9987" width="8.85546875" style="2345" customWidth="1"/>
    <col min="9988" max="9988" width="47.85546875" style="2345" customWidth="1"/>
    <col min="9989" max="9989" width="12.85546875" style="2345" customWidth="1"/>
    <col min="9990" max="9990" width="15.5703125" style="2345" customWidth="1"/>
    <col min="9991" max="9991" width="15.85546875" style="2345" customWidth="1"/>
    <col min="9992" max="9992" width="6.42578125" style="2345" customWidth="1"/>
    <col min="9993" max="9995" width="9.140625" style="2345"/>
    <col min="9996" max="9996" width="18.42578125" style="2345" customWidth="1"/>
    <col min="9997" max="9997" width="16" style="2345" bestFit="1" customWidth="1"/>
    <col min="9998" max="10240" width="9.140625" style="2345"/>
    <col min="10241" max="10241" width="4.7109375" style="2345" customWidth="1"/>
    <col min="10242" max="10242" width="6.7109375" style="2345" customWidth="1"/>
    <col min="10243" max="10243" width="8.85546875" style="2345" customWidth="1"/>
    <col min="10244" max="10244" width="47.85546875" style="2345" customWidth="1"/>
    <col min="10245" max="10245" width="12.85546875" style="2345" customWidth="1"/>
    <col min="10246" max="10246" width="15.5703125" style="2345" customWidth="1"/>
    <col min="10247" max="10247" width="15.85546875" style="2345" customWidth="1"/>
    <col min="10248" max="10248" width="6.42578125" style="2345" customWidth="1"/>
    <col min="10249" max="10251" width="9.140625" style="2345"/>
    <col min="10252" max="10252" width="18.42578125" style="2345" customWidth="1"/>
    <col min="10253" max="10253" width="16" style="2345" bestFit="1" customWidth="1"/>
    <col min="10254" max="10496" width="9.140625" style="2345"/>
    <col min="10497" max="10497" width="4.7109375" style="2345" customWidth="1"/>
    <col min="10498" max="10498" width="6.7109375" style="2345" customWidth="1"/>
    <col min="10499" max="10499" width="8.85546875" style="2345" customWidth="1"/>
    <col min="10500" max="10500" width="47.85546875" style="2345" customWidth="1"/>
    <col min="10501" max="10501" width="12.85546875" style="2345" customWidth="1"/>
    <col min="10502" max="10502" width="15.5703125" style="2345" customWidth="1"/>
    <col min="10503" max="10503" width="15.85546875" style="2345" customWidth="1"/>
    <col min="10504" max="10504" width="6.42578125" style="2345" customWidth="1"/>
    <col min="10505" max="10507" width="9.140625" style="2345"/>
    <col min="10508" max="10508" width="18.42578125" style="2345" customWidth="1"/>
    <col min="10509" max="10509" width="16" style="2345" bestFit="1" customWidth="1"/>
    <col min="10510" max="10752" width="9.140625" style="2345"/>
    <col min="10753" max="10753" width="4.7109375" style="2345" customWidth="1"/>
    <col min="10754" max="10754" width="6.7109375" style="2345" customWidth="1"/>
    <col min="10755" max="10755" width="8.85546875" style="2345" customWidth="1"/>
    <col min="10756" max="10756" width="47.85546875" style="2345" customWidth="1"/>
    <col min="10757" max="10757" width="12.85546875" style="2345" customWidth="1"/>
    <col min="10758" max="10758" width="15.5703125" style="2345" customWidth="1"/>
    <col min="10759" max="10759" width="15.85546875" style="2345" customWidth="1"/>
    <col min="10760" max="10760" width="6.42578125" style="2345" customWidth="1"/>
    <col min="10761" max="10763" width="9.140625" style="2345"/>
    <col min="10764" max="10764" width="18.42578125" style="2345" customWidth="1"/>
    <col min="10765" max="10765" width="16" style="2345" bestFit="1" customWidth="1"/>
    <col min="10766" max="11008" width="9.140625" style="2345"/>
    <col min="11009" max="11009" width="4.7109375" style="2345" customWidth="1"/>
    <col min="11010" max="11010" width="6.7109375" style="2345" customWidth="1"/>
    <col min="11011" max="11011" width="8.85546875" style="2345" customWidth="1"/>
    <col min="11012" max="11012" width="47.85546875" style="2345" customWidth="1"/>
    <col min="11013" max="11013" width="12.85546875" style="2345" customWidth="1"/>
    <col min="11014" max="11014" width="15.5703125" style="2345" customWidth="1"/>
    <col min="11015" max="11015" width="15.85546875" style="2345" customWidth="1"/>
    <col min="11016" max="11016" width="6.42578125" style="2345" customWidth="1"/>
    <col min="11017" max="11019" width="9.140625" style="2345"/>
    <col min="11020" max="11020" width="18.42578125" style="2345" customWidth="1"/>
    <col min="11021" max="11021" width="16" style="2345" bestFit="1" customWidth="1"/>
    <col min="11022" max="11264" width="9.140625" style="2345"/>
    <col min="11265" max="11265" width="4.7109375" style="2345" customWidth="1"/>
    <col min="11266" max="11266" width="6.7109375" style="2345" customWidth="1"/>
    <col min="11267" max="11267" width="8.85546875" style="2345" customWidth="1"/>
    <col min="11268" max="11268" width="47.85546875" style="2345" customWidth="1"/>
    <col min="11269" max="11269" width="12.85546875" style="2345" customWidth="1"/>
    <col min="11270" max="11270" width="15.5703125" style="2345" customWidth="1"/>
    <col min="11271" max="11271" width="15.85546875" style="2345" customWidth="1"/>
    <col min="11272" max="11272" width="6.42578125" style="2345" customWidth="1"/>
    <col min="11273" max="11275" width="9.140625" style="2345"/>
    <col min="11276" max="11276" width="18.42578125" style="2345" customWidth="1"/>
    <col min="11277" max="11277" width="16" style="2345" bestFit="1" customWidth="1"/>
    <col min="11278" max="11520" width="9.140625" style="2345"/>
    <col min="11521" max="11521" width="4.7109375" style="2345" customWidth="1"/>
    <col min="11522" max="11522" width="6.7109375" style="2345" customWidth="1"/>
    <col min="11523" max="11523" width="8.85546875" style="2345" customWidth="1"/>
    <col min="11524" max="11524" width="47.85546875" style="2345" customWidth="1"/>
    <col min="11525" max="11525" width="12.85546875" style="2345" customWidth="1"/>
    <col min="11526" max="11526" width="15.5703125" style="2345" customWidth="1"/>
    <col min="11527" max="11527" width="15.85546875" style="2345" customWidth="1"/>
    <col min="11528" max="11528" width="6.42578125" style="2345" customWidth="1"/>
    <col min="11529" max="11531" width="9.140625" style="2345"/>
    <col min="11532" max="11532" width="18.42578125" style="2345" customWidth="1"/>
    <col min="11533" max="11533" width="16" style="2345" bestFit="1" customWidth="1"/>
    <col min="11534" max="11776" width="9.140625" style="2345"/>
    <col min="11777" max="11777" width="4.7109375" style="2345" customWidth="1"/>
    <col min="11778" max="11778" width="6.7109375" style="2345" customWidth="1"/>
    <col min="11779" max="11779" width="8.85546875" style="2345" customWidth="1"/>
    <col min="11780" max="11780" width="47.85546875" style="2345" customWidth="1"/>
    <col min="11781" max="11781" width="12.85546875" style="2345" customWidth="1"/>
    <col min="11782" max="11782" width="15.5703125" style="2345" customWidth="1"/>
    <col min="11783" max="11783" width="15.85546875" style="2345" customWidth="1"/>
    <col min="11784" max="11784" width="6.42578125" style="2345" customWidth="1"/>
    <col min="11785" max="11787" width="9.140625" style="2345"/>
    <col min="11788" max="11788" width="18.42578125" style="2345" customWidth="1"/>
    <col min="11789" max="11789" width="16" style="2345" bestFit="1" customWidth="1"/>
    <col min="11790" max="12032" width="9.140625" style="2345"/>
    <col min="12033" max="12033" width="4.7109375" style="2345" customWidth="1"/>
    <col min="12034" max="12034" width="6.7109375" style="2345" customWidth="1"/>
    <col min="12035" max="12035" width="8.85546875" style="2345" customWidth="1"/>
    <col min="12036" max="12036" width="47.85546875" style="2345" customWidth="1"/>
    <col min="12037" max="12037" width="12.85546875" style="2345" customWidth="1"/>
    <col min="12038" max="12038" width="15.5703125" style="2345" customWidth="1"/>
    <col min="12039" max="12039" width="15.85546875" style="2345" customWidth="1"/>
    <col min="12040" max="12040" width="6.42578125" style="2345" customWidth="1"/>
    <col min="12041" max="12043" width="9.140625" style="2345"/>
    <col min="12044" max="12044" width="18.42578125" style="2345" customWidth="1"/>
    <col min="12045" max="12045" width="16" style="2345" bestFit="1" customWidth="1"/>
    <col min="12046" max="12288" width="9.140625" style="2345"/>
    <col min="12289" max="12289" width="4.7109375" style="2345" customWidth="1"/>
    <col min="12290" max="12290" width="6.7109375" style="2345" customWidth="1"/>
    <col min="12291" max="12291" width="8.85546875" style="2345" customWidth="1"/>
    <col min="12292" max="12292" width="47.85546875" style="2345" customWidth="1"/>
    <col min="12293" max="12293" width="12.85546875" style="2345" customWidth="1"/>
    <col min="12294" max="12294" width="15.5703125" style="2345" customWidth="1"/>
    <col min="12295" max="12295" width="15.85546875" style="2345" customWidth="1"/>
    <col min="12296" max="12296" width="6.42578125" style="2345" customWidth="1"/>
    <col min="12297" max="12299" width="9.140625" style="2345"/>
    <col min="12300" max="12300" width="18.42578125" style="2345" customWidth="1"/>
    <col min="12301" max="12301" width="16" style="2345" bestFit="1" customWidth="1"/>
    <col min="12302" max="12544" width="9.140625" style="2345"/>
    <col min="12545" max="12545" width="4.7109375" style="2345" customWidth="1"/>
    <col min="12546" max="12546" width="6.7109375" style="2345" customWidth="1"/>
    <col min="12547" max="12547" width="8.85546875" style="2345" customWidth="1"/>
    <col min="12548" max="12548" width="47.85546875" style="2345" customWidth="1"/>
    <col min="12549" max="12549" width="12.85546875" style="2345" customWidth="1"/>
    <col min="12550" max="12550" width="15.5703125" style="2345" customWidth="1"/>
    <col min="12551" max="12551" width="15.85546875" style="2345" customWidth="1"/>
    <col min="12552" max="12552" width="6.42578125" style="2345" customWidth="1"/>
    <col min="12553" max="12555" width="9.140625" style="2345"/>
    <col min="12556" max="12556" width="18.42578125" style="2345" customWidth="1"/>
    <col min="12557" max="12557" width="16" style="2345" bestFit="1" customWidth="1"/>
    <col min="12558" max="12800" width="9.140625" style="2345"/>
    <col min="12801" max="12801" width="4.7109375" style="2345" customWidth="1"/>
    <col min="12802" max="12802" width="6.7109375" style="2345" customWidth="1"/>
    <col min="12803" max="12803" width="8.85546875" style="2345" customWidth="1"/>
    <col min="12804" max="12804" width="47.85546875" style="2345" customWidth="1"/>
    <col min="12805" max="12805" width="12.85546875" style="2345" customWidth="1"/>
    <col min="12806" max="12806" width="15.5703125" style="2345" customWidth="1"/>
    <col min="12807" max="12807" width="15.85546875" style="2345" customWidth="1"/>
    <col min="12808" max="12808" width="6.42578125" style="2345" customWidth="1"/>
    <col min="12809" max="12811" width="9.140625" style="2345"/>
    <col min="12812" max="12812" width="18.42578125" style="2345" customWidth="1"/>
    <col min="12813" max="12813" width="16" style="2345" bestFit="1" customWidth="1"/>
    <col min="12814" max="13056" width="9.140625" style="2345"/>
    <col min="13057" max="13057" width="4.7109375" style="2345" customWidth="1"/>
    <col min="13058" max="13058" width="6.7109375" style="2345" customWidth="1"/>
    <col min="13059" max="13059" width="8.85546875" style="2345" customWidth="1"/>
    <col min="13060" max="13060" width="47.85546875" style="2345" customWidth="1"/>
    <col min="13061" max="13061" width="12.85546875" style="2345" customWidth="1"/>
    <col min="13062" max="13062" width="15.5703125" style="2345" customWidth="1"/>
    <col min="13063" max="13063" width="15.85546875" style="2345" customWidth="1"/>
    <col min="13064" max="13064" width="6.42578125" style="2345" customWidth="1"/>
    <col min="13065" max="13067" width="9.140625" style="2345"/>
    <col min="13068" max="13068" width="18.42578125" style="2345" customWidth="1"/>
    <col min="13069" max="13069" width="16" style="2345" bestFit="1" customWidth="1"/>
    <col min="13070" max="13312" width="9.140625" style="2345"/>
    <col min="13313" max="13313" width="4.7109375" style="2345" customWidth="1"/>
    <col min="13314" max="13314" width="6.7109375" style="2345" customWidth="1"/>
    <col min="13315" max="13315" width="8.85546875" style="2345" customWidth="1"/>
    <col min="13316" max="13316" width="47.85546875" style="2345" customWidth="1"/>
    <col min="13317" max="13317" width="12.85546875" style="2345" customWidth="1"/>
    <col min="13318" max="13318" width="15.5703125" style="2345" customWidth="1"/>
    <col min="13319" max="13319" width="15.85546875" style="2345" customWidth="1"/>
    <col min="13320" max="13320" width="6.42578125" style="2345" customWidth="1"/>
    <col min="13321" max="13323" width="9.140625" style="2345"/>
    <col min="13324" max="13324" width="18.42578125" style="2345" customWidth="1"/>
    <col min="13325" max="13325" width="16" style="2345" bestFit="1" customWidth="1"/>
    <col min="13326" max="13568" width="9.140625" style="2345"/>
    <col min="13569" max="13569" width="4.7109375" style="2345" customWidth="1"/>
    <col min="13570" max="13570" width="6.7109375" style="2345" customWidth="1"/>
    <col min="13571" max="13571" width="8.85546875" style="2345" customWidth="1"/>
    <col min="13572" max="13572" width="47.85546875" style="2345" customWidth="1"/>
    <col min="13573" max="13573" width="12.85546875" style="2345" customWidth="1"/>
    <col min="13574" max="13574" width="15.5703125" style="2345" customWidth="1"/>
    <col min="13575" max="13575" width="15.85546875" style="2345" customWidth="1"/>
    <col min="13576" max="13576" width="6.42578125" style="2345" customWidth="1"/>
    <col min="13577" max="13579" width="9.140625" style="2345"/>
    <col min="13580" max="13580" width="18.42578125" style="2345" customWidth="1"/>
    <col min="13581" max="13581" width="16" style="2345" bestFit="1" customWidth="1"/>
    <col min="13582" max="13824" width="9.140625" style="2345"/>
    <col min="13825" max="13825" width="4.7109375" style="2345" customWidth="1"/>
    <col min="13826" max="13826" width="6.7109375" style="2345" customWidth="1"/>
    <col min="13827" max="13827" width="8.85546875" style="2345" customWidth="1"/>
    <col min="13828" max="13828" width="47.85546875" style="2345" customWidth="1"/>
    <col min="13829" max="13829" width="12.85546875" style="2345" customWidth="1"/>
    <col min="13830" max="13830" width="15.5703125" style="2345" customWidth="1"/>
    <col min="13831" max="13831" width="15.85546875" style="2345" customWidth="1"/>
    <col min="13832" max="13832" width="6.42578125" style="2345" customWidth="1"/>
    <col min="13833" max="13835" width="9.140625" style="2345"/>
    <col min="13836" max="13836" width="18.42578125" style="2345" customWidth="1"/>
    <col min="13837" max="13837" width="16" style="2345" bestFit="1" customWidth="1"/>
    <col min="13838" max="14080" width="9.140625" style="2345"/>
    <col min="14081" max="14081" width="4.7109375" style="2345" customWidth="1"/>
    <col min="14082" max="14082" width="6.7109375" style="2345" customWidth="1"/>
    <col min="14083" max="14083" width="8.85546875" style="2345" customWidth="1"/>
    <col min="14084" max="14084" width="47.85546875" style="2345" customWidth="1"/>
    <col min="14085" max="14085" width="12.85546875" style="2345" customWidth="1"/>
    <col min="14086" max="14086" width="15.5703125" style="2345" customWidth="1"/>
    <col min="14087" max="14087" width="15.85546875" style="2345" customWidth="1"/>
    <col min="14088" max="14088" width="6.42578125" style="2345" customWidth="1"/>
    <col min="14089" max="14091" width="9.140625" style="2345"/>
    <col min="14092" max="14092" width="18.42578125" style="2345" customWidth="1"/>
    <col min="14093" max="14093" width="16" style="2345" bestFit="1" customWidth="1"/>
    <col min="14094" max="14336" width="9.140625" style="2345"/>
    <col min="14337" max="14337" width="4.7109375" style="2345" customWidth="1"/>
    <col min="14338" max="14338" width="6.7109375" style="2345" customWidth="1"/>
    <col min="14339" max="14339" width="8.85546875" style="2345" customWidth="1"/>
    <col min="14340" max="14340" width="47.85546875" style="2345" customWidth="1"/>
    <col min="14341" max="14341" width="12.85546875" style="2345" customWidth="1"/>
    <col min="14342" max="14342" width="15.5703125" style="2345" customWidth="1"/>
    <col min="14343" max="14343" width="15.85546875" style="2345" customWidth="1"/>
    <col min="14344" max="14344" width="6.42578125" style="2345" customWidth="1"/>
    <col min="14345" max="14347" width="9.140625" style="2345"/>
    <col min="14348" max="14348" width="18.42578125" style="2345" customWidth="1"/>
    <col min="14349" max="14349" width="16" style="2345" bestFit="1" customWidth="1"/>
    <col min="14350" max="14592" width="9.140625" style="2345"/>
    <col min="14593" max="14593" width="4.7109375" style="2345" customWidth="1"/>
    <col min="14594" max="14594" width="6.7109375" style="2345" customWidth="1"/>
    <col min="14595" max="14595" width="8.85546875" style="2345" customWidth="1"/>
    <col min="14596" max="14596" width="47.85546875" style="2345" customWidth="1"/>
    <col min="14597" max="14597" width="12.85546875" style="2345" customWidth="1"/>
    <col min="14598" max="14598" width="15.5703125" style="2345" customWidth="1"/>
    <col min="14599" max="14599" width="15.85546875" style="2345" customWidth="1"/>
    <col min="14600" max="14600" width="6.42578125" style="2345" customWidth="1"/>
    <col min="14601" max="14603" width="9.140625" style="2345"/>
    <col min="14604" max="14604" width="18.42578125" style="2345" customWidth="1"/>
    <col min="14605" max="14605" width="16" style="2345" bestFit="1" customWidth="1"/>
    <col min="14606" max="14848" width="9.140625" style="2345"/>
    <col min="14849" max="14849" width="4.7109375" style="2345" customWidth="1"/>
    <col min="14850" max="14850" width="6.7109375" style="2345" customWidth="1"/>
    <col min="14851" max="14851" width="8.85546875" style="2345" customWidth="1"/>
    <col min="14852" max="14852" width="47.85546875" style="2345" customWidth="1"/>
    <col min="14853" max="14853" width="12.85546875" style="2345" customWidth="1"/>
    <col min="14854" max="14854" width="15.5703125" style="2345" customWidth="1"/>
    <col min="14855" max="14855" width="15.85546875" style="2345" customWidth="1"/>
    <col min="14856" max="14856" width="6.42578125" style="2345" customWidth="1"/>
    <col min="14857" max="14859" width="9.140625" style="2345"/>
    <col min="14860" max="14860" width="18.42578125" style="2345" customWidth="1"/>
    <col min="14861" max="14861" width="16" style="2345" bestFit="1" customWidth="1"/>
    <col min="14862" max="15104" width="9.140625" style="2345"/>
    <col min="15105" max="15105" width="4.7109375" style="2345" customWidth="1"/>
    <col min="15106" max="15106" width="6.7109375" style="2345" customWidth="1"/>
    <col min="15107" max="15107" width="8.85546875" style="2345" customWidth="1"/>
    <col min="15108" max="15108" width="47.85546875" style="2345" customWidth="1"/>
    <col min="15109" max="15109" width="12.85546875" style="2345" customWidth="1"/>
    <col min="15110" max="15110" width="15.5703125" style="2345" customWidth="1"/>
    <col min="15111" max="15111" width="15.85546875" style="2345" customWidth="1"/>
    <col min="15112" max="15112" width="6.42578125" style="2345" customWidth="1"/>
    <col min="15113" max="15115" width="9.140625" style="2345"/>
    <col min="15116" max="15116" width="18.42578125" style="2345" customWidth="1"/>
    <col min="15117" max="15117" width="16" style="2345" bestFit="1" customWidth="1"/>
    <col min="15118" max="15360" width="9.140625" style="2345"/>
    <col min="15361" max="15361" width="4.7109375" style="2345" customWidth="1"/>
    <col min="15362" max="15362" width="6.7109375" style="2345" customWidth="1"/>
    <col min="15363" max="15363" width="8.85546875" style="2345" customWidth="1"/>
    <col min="15364" max="15364" width="47.85546875" style="2345" customWidth="1"/>
    <col min="15365" max="15365" width="12.85546875" style="2345" customWidth="1"/>
    <col min="15366" max="15366" width="15.5703125" style="2345" customWidth="1"/>
    <col min="15367" max="15367" width="15.85546875" style="2345" customWidth="1"/>
    <col min="15368" max="15368" width="6.42578125" style="2345" customWidth="1"/>
    <col min="15369" max="15371" width="9.140625" style="2345"/>
    <col min="15372" max="15372" width="18.42578125" style="2345" customWidth="1"/>
    <col min="15373" max="15373" width="16" style="2345" bestFit="1" customWidth="1"/>
    <col min="15374" max="15616" width="9.140625" style="2345"/>
    <col min="15617" max="15617" width="4.7109375" style="2345" customWidth="1"/>
    <col min="15618" max="15618" width="6.7109375" style="2345" customWidth="1"/>
    <col min="15619" max="15619" width="8.85546875" style="2345" customWidth="1"/>
    <col min="15620" max="15620" width="47.85546875" style="2345" customWidth="1"/>
    <col min="15621" max="15621" width="12.85546875" style="2345" customWidth="1"/>
    <col min="15622" max="15622" width="15.5703125" style="2345" customWidth="1"/>
    <col min="15623" max="15623" width="15.85546875" style="2345" customWidth="1"/>
    <col min="15624" max="15624" width="6.42578125" style="2345" customWidth="1"/>
    <col min="15625" max="15627" width="9.140625" style="2345"/>
    <col min="15628" max="15628" width="18.42578125" style="2345" customWidth="1"/>
    <col min="15629" max="15629" width="16" style="2345" bestFit="1" customWidth="1"/>
    <col min="15630" max="15872" width="9.140625" style="2345"/>
    <col min="15873" max="15873" width="4.7109375" style="2345" customWidth="1"/>
    <col min="15874" max="15874" width="6.7109375" style="2345" customWidth="1"/>
    <col min="15875" max="15875" width="8.85546875" style="2345" customWidth="1"/>
    <col min="15876" max="15876" width="47.85546875" style="2345" customWidth="1"/>
    <col min="15877" max="15877" width="12.85546875" style="2345" customWidth="1"/>
    <col min="15878" max="15878" width="15.5703125" style="2345" customWidth="1"/>
    <col min="15879" max="15879" width="15.85546875" style="2345" customWidth="1"/>
    <col min="15880" max="15880" width="6.42578125" style="2345" customWidth="1"/>
    <col min="15881" max="15883" width="9.140625" style="2345"/>
    <col min="15884" max="15884" width="18.42578125" style="2345" customWidth="1"/>
    <col min="15885" max="15885" width="16" style="2345" bestFit="1" customWidth="1"/>
    <col min="15886" max="16128" width="9.140625" style="2345"/>
    <col min="16129" max="16129" width="4.7109375" style="2345" customWidth="1"/>
    <col min="16130" max="16130" width="6.7109375" style="2345" customWidth="1"/>
    <col min="16131" max="16131" width="8.85546875" style="2345" customWidth="1"/>
    <col min="16132" max="16132" width="47.85546875" style="2345" customWidth="1"/>
    <col min="16133" max="16133" width="12.85546875" style="2345" customWidth="1"/>
    <col min="16134" max="16134" width="15.5703125" style="2345" customWidth="1"/>
    <col min="16135" max="16135" width="15.85546875" style="2345" customWidth="1"/>
    <col min="16136" max="16136" width="6.42578125" style="2345" customWidth="1"/>
    <col min="16137" max="16139" width="9.140625" style="2345"/>
    <col min="16140" max="16140" width="18.42578125" style="2345" customWidth="1"/>
    <col min="16141" max="16141" width="16" style="2345" bestFit="1" customWidth="1"/>
    <col min="16142" max="16384" width="9.140625" style="2345"/>
  </cols>
  <sheetData>
    <row r="1" spans="1:8" ht="18.75" thickBot="1" x14ac:dyDescent="0.3">
      <c r="A1" s="2339" t="s">
        <v>1602</v>
      </c>
      <c r="B1" s="2340"/>
      <c r="C1" s="2341"/>
      <c r="D1" s="2342"/>
      <c r="E1" s="2343"/>
      <c r="F1" s="2342"/>
      <c r="G1" s="2344"/>
      <c r="H1" s="2339"/>
    </row>
    <row r="2" spans="1:8" ht="18" x14ac:dyDescent="0.25">
      <c r="A2" s="2346"/>
      <c r="B2" s="2347"/>
      <c r="C2" s="2347"/>
      <c r="D2" s="2347"/>
      <c r="E2" s="2347"/>
      <c r="F2" s="2347"/>
      <c r="G2" s="2347"/>
      <c r="H2" s="2348" t="s">
        <v>1601</v>
      </c>
    </row>
    <row r="3" spans="1:8" ht="18" x14ac:dyDescent="0.25">
      <c r="A3" s="2349" t="s">
        <v>404</v>
      </c>
      <c r="B3" s="2347"/>
      <c r="C3" s="2350" t="s">
        <v>379</v>
      </c>
      <c r="D3" s="2347"/>
      <c r="E3" s="2347"/>
      <c r="F3" s="2347"/>
      <c r="G3" s="2347"/>
      <c r="H3" s="2348"/>
    </row>
    <row r="4" spans="1:8" ht="18" x14ac:dyDescent="0.25">
      <c r="A4" s="2346"/>
      <c r="B4" s="2347"/>
      <c r="C4" s="2350" t="s">
        <v>380</v>
      </c>
      <c r="D4" s="2347"/>
      <c r="E4" s="2347"/>
      <c r="F4" s="2347"/>
      <c r="G4" s="2347"/>
      <c r="H4" s="2348"/>
    </row>
    <row r="5" spans="1:8" ht="18" x14ac:dyDescent="0.25">
      <c r="A5" s="2351" t="s">
        <v>1600</v>
      </c>
      <c r="B5" s="2347"/>
      <c r="C5" s="2347"/>
      <c r="D5" s="2347"/>
      <c r="E5" s="2347"/>
      <c r="F5" s="2347"/>
      <c r="G5" s="2347"/>
      <c r="H5" s="2348"/>
    </row>
    <row r="6" spans="1:8" x14ac:dyDescent="0.2">
      <c r="A6" s="2352"/>
      <c r="B6" s="2352"/>
      <c r="C6" s="2352"/>
      <c r="E6" s="2353"/>
      <c r="F6" s="2353"/>
      <c r="G6" s="2353"/>
    </row>
    <row r="7" spans="1:8" ht="15.75" thickBot="1" x14ac:dyDescent="0.3">
      <c r="A7" s="2338" t="s">
        <v>273</v>
      </c>
      <c r="B7" s="2352"/>
      <c r="C7" s="2352"/>
      <c r="E7" s="2353"/>
      <c r="F7" s="2353"/>
      <c r="G7" s="2353"/>
      <c r="H7" s="2354" t="s">
        <v>179</v>
      </c>
    </row>
    <row r="8" spans="1:8" ht="25.5" thickTop="1" thickBot="1" x14ac:dyDescent="0.25">
      <c r="A8" s="2138" t="s">
        <v>180</v>
      </c>
      <c r="B8" s="2139" t="s">
        <v>847</v>
      </c>
      <c r="C8" s="2139" t="s">
        <v>414</v>
      </c>
      <c r="D8" s="2140" t="s">
        <v>182</v>
      </c>
      <c r="E8" s="2171" t="s">
        <v>700</v>
      </c>
      <c r="F8" s="2171" t="s">
        <v>701</v>
      </c>
      <c r="G8" s="2172" t="s">
        <v>986</v>
      </c>
      <c r="H8" s="2173" t="s">
        <v>987</v>
      </c>
    </row>
    <row r="9" spans="1:8" ht="14.25" thickTop="1" thickBot="1" x14ac:dyDescent="0.25">
      <c r="A9" s="1854">
        <v>1</v>
      </c>
      <c r="B9" s="1853">
        <v>2</v>
      </c>
      <c r="C9" s="1853">
        <v>3</v>
      </c>
      <c r="D9" s="1853">
        <v>4</v>
      </c>
      <c r="E9" s="1852">
        <v>5</v>
      </c>
      <c r="F9" s="1852">
        <v>6</v>
      </c>
      <c r="G9" s="2223">
        <v>7</v>
      </c>
      <c r="H9" s="2251" t="s">
        <v>61</v>
      </c>
    </row>
    <row r="10" spans="1:8" ht="45.75" thickTop="1" x14ac:dyDescent="0.2">
      <c r="A10" s="2366">
        <v>3299</v>
      </c>
      <c r="B10" s="2367">
        <v>5213</v>
      </c>
      <c r="C10" s="2367">
        <v>32133030</v>
      </c>
      <c r="D10" s="2368" t="s">
        <v>1162</v>
      </c>
      <c r="E10" s="2369">
        <v>0</v>
      </c>
      <c r="F10" s="2369">
        <v>651</v>
      </c>
      <c r="G10" s="2369">
        <v>431</v>
      </c>
      <c r="H10" s="2370">
        <f t="shared" ref="H10:H27" si="0">G10/F10*100</f>
        <v>66.205837173579113</v>
      </c>
    </row>
    <row r="11" spans="1:8" ht="45" x14ac:dyDescent="0.2">
      <c r="A11" s="2371">
        <v>3299</v>
      </c>
      <c r="B11" s="2372">
        <v>5213</v>
      </c>
      <c r="C11" s="2372">
        <v>32533030</v>
      </c>
      <c r="D11" s="2373" t="s">
        <v>1162</v>
      </c>
      <c r="E11" s="2374">
        <v>0</v>
      </c>
      <c r="F11" s="2374">
        <v>3686</v>
      </c>
      <c r="G11" s="2374">
        <v>2442</v>
      </c>
      <c r="H11" s="2375">
        <f t="shared" si="0"/>
        <v>66.250678241996738</v>
      </c>
    </row>
    <row r="12" spans="1:8" ht="30" x14ac:dyDescent="0.2">
      <c r="A12" s="2371">
        <v>3299</v>
      </c>
      <c r="B12" s="2372">
        <v>5221</v>
      </c>
      <c r="C12" s="2372">
        <v>32133030</v>
      </c>
      <c r="D12" s="2373" t="s">
        <v>1477</v>
      </c>
      <c r="E12" s="2374">
        <v>0</v>
      </c>
      <c r="F12" s="2374">
        <v>364</v>
      </c>
      <c r="G12" s="2374">
        <v>257</v>
      </c>
      <c r="H12" s="2375">
        <f t="shared" si="0"/>
        <v>70.604395604395606</v>
      </c>
    </row>
    <row r="13" spans="1:8" ht="30" x14ac:dyDescent="0.2">
      <c r="A13" s="2371">
        <v>3299</v>
      </c>
      <c r="B13" s="2372">
        <v>5221</v>
      </c>
      <c r="C13" s="2372">
        <v>32533030</v>
      </c>
      <c r="D13" s="2373" t="s">
        <v>1477</v>
      </c>
      <c r="E13" s="2374">
        <v>0</v>
      </c>
      <c r="F13" s="2374">
        <v>2063</v>
      </c>
      <c r="G13" s="2374">
        <v>1456</v>
      </c>
      <c r="H13" s="2375">
        <f t="shared" si="0"/>
        <v>70.576829859428017</v>
      </c>
    </row>
    <row r="14" spans="1:8" ht="15" x14ac:dyDescent="0.2">
      <c r="A14" s="2371">
        <v>3299</v>
      </c>
      <c r="B14" s="2372">
        <v>5222</v>
      </c>
      <c r="C14" s="2372">
        <v>32133030</v>
      </c>
      <c r="D14" s="2373" t="s">
        <v>241</v>
      </c>
      <c r="E14" s="2374">
        <v>0</v>
      </c>
      <c r="F14" s="2374">
        <v>159</v>
      </c>
      <c r="G14" s="2374">
        <v>154</v>
      </c>
      <c r="H14" s="2375">
        <f t="shared" si="0"/>
        <v>96.855345911949684</v>
      </c>
    </row>
    <row r="15" spans="1:8" ht="15" x14ac:dyDescent="0.2">
      <c r="A15" s="2371">
        <v>3299</v>
      </c>
      <c r="B15" s="2372">
        <v>5222</v>
      </c>
      <c r="C15" s="2372">
        <v>32533030</v>
      </c>
      <c r="D15" s="2373" t="s">
        <v>241</v>
      </c>
      <c r="E15" s="2374">
        <v>0</v>
      </c>
      <c r="F15" s="2374">
        <v>901</v>
      </c>
      <c r="G15" s="2374">
        <v>874</v>
      </c>
      <c r="H15" s="2375">
        <f t="shared" si="0"/>
        <v>97.003329633740293</v>
      </c>
    </row>
    <row r="16" spans="1:8" ht="15" x14ac:dyDescent="0.2">
      <c r="A16" s="2371">
        <v>3299</v>
      </c>
      <c r="B16" s="2372">
        <v>5332</v>
      </c>
      <c r="C16" s="2376">
        <v>32133030</v>
      </c>
      <c r="D16" s="2373" t="s">
        <v>687</v>
      </c>
      <c r="E16" s="2374">
        <v>0</v>
      </c>
      <c r="F16" s="2374">
        <v>230</v>
      </c>
      <c r="G16" s="2374">
        <v>158</v>
      </c>
      <c r="H16" s="2375">
        <f t="shared" si="0"/>
        <v>68.695652173913047</v>
      </c>
    </row>
    <row r="17" spans="1:9" ht="15" x14ac:dyDescent="0.2">
      <c r="A17" s="2371">
        <v>3299</v>
      </c>
      <c r="B17" s="2372">
        <v>5332</v>
      </c>
      <c r="C17" s="2376">
        <v>32533030</v>
      </c>
      <c r="D17" s="2373" t="s">
        <v>687</v>
      </c>
      <c r="E17" s="2374">
        <v>0</v>
      </c>
      <c r="F17" s="2374">
        <v>1303</v>
      </c>
      <c r="G17" s="2374">
        <v>894</v>
      </c>
      <c r="H17" s="2375">
        <f t="shared" si="0"/>
        <v>68.610897927858787</v>
      </c>
    </row>
    <row r="18" spans="1:9" ht="15" customHeight="1" x14ac:dyDescent="0.2">
      <c r="A18" s="2371">
        <v>3299</v>
      </c>
      <c r="B18" s="2372">
        <v>5901</v>
      </c>
      <c r="C18" s="2376">
        <v>32133030</v>
      </c>
      <c r="D18" s="2373" t="s">
        <v>670</v>
      </c>
      <c r="E18" s="2374">
        <v>0</v>
      </c>
      <c r="F18" s="2374">
        <v>1769</v>
      </c>
      <c r="G18" s="2374">
        <v>0</v>
      </c>
      <c r="H18" s="2375">
        <f t="shared" si="0"/>
        <v>0</v>
      </c>
    </row>
    <row r="19" spans="1:9" ht="15" x14ac:dyDescent="0.2">
      <c r="A19" s="2371">
        <v>3299</v>
      </c>
      <c r="B19" s="2372">
        <v>5901</v>
      </c>
      <c r="C19" s="2376">
        <v>32533030</v>
      </c>
      <c r="D19" s="2373" t="s">
        <v>670</v>
      </c>
      <c r="E19" s="2374">
        <v>0</v>
      </c>
      <c r="F19" s="2374">
        <v>10026</v>
      </c>
      <c r="G19" s="2374">
        <v>0</v>
      </c>
      <c r="H19" s="2375">
        <f t="shared" si="0"/>
        <v>0</v>
      </c>
    </row>
    <row r="20" spans="1:9" ht="45" hidden="1" x14ac:dyDescent="0.2">
      <c r="A20" s="2371">
        <v>3299</v>
      </c>
      <c r="B20" s="2372">
        <v>6313</v>
      </c>
      <c r="C20" s="2376">
        <v>32133006</v>
      </c>
      <c r="D20" s="2373" t="s">
        <v>613</v>
      </c>
      <c r="E20" s="2374">
        <v>0</v>
      </c>
      <c r="F20" s="2374">
        <v>0</v>
      </c>
      <c r="G20" s="2374">
        <v>0</v>
      </c>
      <c r="H20" s="2375" t="e">
        <f t="shared" si="0"/>
        <v>#DIV/0!</v>
      </c>
    </row>
    <row r="21" spans="1:9" ht="45" hidden="1" x14ac:dyDescent="0.2">
      <c r="A21" s="2371">
        <v>3299</v>
      </c>
      <c r="B21" s="2372">
        <v>6313</v>
      </c>
      <c r="C21" s="2376">
        <v>32533006</v>
      </c>
      <c r="D21" s="2373" t="s">
        <v>613</v>
      </c>
      <c r="E21" s="2374">
        <v>0</v>
      </c>
      <c r="F21" s="2374">
        <v>0</v>
      </c>
      <c r="G21" s="2374">
        <v>0</v>
      </c>
      <c r="H21" s="2375" t="e">
        <f t="shared" si="0"/>
        <v>#DIV/0!</v>
      </c>
    </row>
    <row r="22" spans="1:9" ht="30" hidden="1" x14ac:dyDescent="0.2">
      <c r="A22" s="2371">
        <v>3299</v>
      </c>
      <c r="B22" s="2372">
        <v>6323</v>
      </c>
      <c r="C22" s="2376">
        <v>32133006</v>
      </c>
      <c r="D22" s="2373" t="s">
        <v>614</v>
      </c>
      <c r="E22" s="2374">
        <v>0</v>
      </c>
      <c r="F22" s="2374">
        <v>0</v>
      </c>
      <c r="G22" s="2374">
        <v>0</v>
      </c>
      <c r="H22" s="2375" t="e">
        <f t="shared" si="0"/>
        <v>#DIV/0!</v>
      </c>
    </row>
    <row r="23" spans="1:9" ht="30" hidden="1" x14ac:dyDescent="0.2">
      <c r="A23" s="2371">
        <v>3299</v>
      </c>
      <c r="B23" s="2372">
        <v>6323</v>
      </c>
      <c r="C23" s="2376">
        <v>32533006</v>
      </c>
      <c r="D23" s="2373" t="s">
        <v>614</v>
      </c>
      <c r="E23" s="2374">
        <v>0</v>
      </c>
      <c r="F23" s="2374">
        <v>0</v>
      </c>
      <c r="G23" s="2374">
        <v>0</v>
      </c>
      <c r="H23" s="2375" t="e">
        <f t="shared" si="0"/>
        <v>#DIV/0!</v>
      </c>
    </row>
    <row r="24" spans="1:9" ht="15" customHeight="1" x14ac:dyDescent="0.2">
      <c r="A24" s="2371">
        <v>3299</v>
      </c>
      <c r="B24" s="2372">
        <v>6901</v>
      </c>
      <c r="C24" s="2376">
        <v>32133030</v>
      </c>
      <c r="D24" s="2373" t="s">
        <v>468</v>
      </c>
      <c r="E24" s="2374">
        <v>0</v>
      </c>
      <c r="F24" s="2374">
        <v>75</v>
      </c>
      <c r="G24" s="2374">
        <v>0</v>
      </c>
      <c r="H24" s="2375">
        <f t="shared" si="0"/>
        <v>0</v>
      </c>
    </row>
    <row r="25" spans="1:9" ht="15" customHeight="1" thickBot="1" x14ac:dyDescent="0.25">
      <c r="A25" s="2371">
        <v>3299</v>
      </c>
      <c r="B25" s="2372">
        <v>6901</v>
      </c>
      <c r="C25" s="2376">
        <v>32533926</v>
      </c>
      <c r="D25" s="2373" t="s">
        <v>468</v>
      </c>
      <c r="E25" s="2374">
        <v>0</v>
      </c>
      <c r="F25" s="2374">
        <v>425</v>
      </c>
      <c r="G25" s="2374">
        <v>0</v>
      </c>
      <c r="H25" s="2375">
        <f t="shared" si="0"/>
        <v>0</v>
      </c>
    </row>
    <row r="26" spans="1:9" ht="15" hidden="1" customHeight="1" thickBot="1" x14ac:dyDescent="0.25">
      <c r="A26" s="2371">
        <v>6402</v>
      </c>
      <c r="B26" s="2372">
        <v>5363</v>
      </c>
      <c r="C26" s="2376">
        <v>19</v>
      </c>
      <c r="D26" s="2373" t="s">
        <v>615</v>
      </c>
      <c r="E26" s="2374">
        <v>0</v>
      </c>
      <c r="F26" s="2374">
        <v>0</v>
      </c>
      <c r="G26" s="2374">
        <v>0</v>
      </c>
      <c r="H26" s="2377" t="e">
        <f t="shared" si="0"/>
        <v>#DIV/0!</v>
      </c>
    </row>
    <row r="27" spans="1:9" ht="16.5" thickTop="1" thickBot="1" x14ac:dyDescent="0.3">
      <c r="A27" s="2806" t="s">
        <v>849</v>
      </c>
      <c r="B27" s="2807"/>
      <c r="C27" s="2807"/>
      <c r="D27" s="2807"/>
      <c r="E27" s="2152">
        <f>SUM(E10:E25)</f>
        <v>0</v>
      </c>
      <c r="F27" s="2152">
        <f>SUM(F10:F26)</f>
        <v>21652</v>
      </c>
      <c r="G27" s="2152">
        <f>SUM(G10:G26)</f>
        <v>6666</v>
      </c>
      <c r="H27" s="2157">
        <f t="shared" si="0"/>
        <v>30.786994273046371</v>
      </c>
    </row>
    <row r="28" spans="1:9" ht="15.75" thickTop="1" x14ac:dyDescent="0.25">
      <c r="A28" s="2418"/>
      <c r="B28" s="2418"/>
      <c r="C28" s="2418"/>
      <c r="D28" s="2418"/>
      <c r="E28" s="2419"/>
      <c r="F28" s="2419"/>
      <c r="G28" s="2419"/>
      <c r="H28" s="2420"/>
    </row>
    <row r="29" spans="1:9" ht="15" x14ac:dyDescent="0.25">
      <c r="A29" s="2338" t="s">
        <v>1856</v>
      </c>
      <c r="B29" s="2352"/>
      <c r="C29" s="2352"/>
      <c r="D29" s="2352"/>
      <c r="F29" s="2353"/>
      <c r="G29" s="2353"/>
      <c r="H29" s="2353"/>
      <c r="I29" s="2353"/>
    </row>
    <row r="30" spans="1:9" ht="15.75" thickBot="1" x14ac:dyDescent="0.3">
      <c r="A30" s="2338" t="s">
        <v>1112</v>
      </c>
      <c r="B30" s="2352"/>
      <c r="C30" s="2352"/>
      <c r="D30" s="2352"/>
      <c r="F30" s="2353"/>
      <c r="G30" s="2353"/>
      <c r="H30" s="2354" t="s">
        <v>179</v>
      </c>
      <c r="I30" s="2353"/>
    </row>
    <row r="31" spans="1:9" ht="25.5" thickTop="1" thickBot="1" x14ac:dyDescent="0.25">
      <c r="A31" s="2355" t="s">
        <v>180</v>
      </c>
      <c r="B31" s="2356" t="s">
        <v>847</v>
      </c>
      <c r="C31" s="2356" t="s">
        <v>414</v>
      </c>
      <c r="D31" s="2357" t="s">
        <v>182</v>
      </c>
      <c r="E31" s="2358" t="s">
        <v>700</v>
      </c>
      <c r="F31" s="2358" t="s">
        <v>701</v>
      </c>
      <c r="G31" s="2359" t="s">
        <v>986</v>
      </c>
      <c r="H31" s="2360" t="s">
        <v>987</v>
      </c>
      <c r="I31" s="2353"/>
    </row>
    <row r="32" spans="1:9" ht="14.25" thickTop="1" thickBot="1" x14ac:dyDescent="0.25">
      <c r="A32" s="2361">
        <v>1</v>
      </c>
      <c r="B32" s="2362">
        <v>2</v>
      </c>
      <c r="C32" s="2362">
        <v>3</v>
      </c>
      <c r="D32" s="2362">
        <v>5</v>
      </c>
      <c r="E32" s="2363">
        <v>6</v>
      </c>
      <c r="F32" s="2363">
        <v>7</v>
      </c>
      <c r="G32" s="2364">
        <v>8</v>
      </c>
      <c r="H32" s="2380" t="s">
        <v>848</v>
      </c>
      <c r="I32" s="2353"/>
    </row>
    <row r="33" spans="1:9" ht="30.75" thickTop="1" x14ac:dyDescent="0.2">
      <c r="A33" s="2371">
        <v>3299</v>
      </c>
      <c r="B33" s="2372">
        <v>5336</v>
      </c>
      <c r="C33" s="2372">
        <v>32133030</v>
      </c>
      <c r="D33" s="2373" t="s">
        <v>1419</v>
      </c>
      <c r="E33" s="2369">
        <v>0</v>
      </c>
      <c r="F33" s="2369">
        <v>91</v>
      </c>
      <c r="G33" s="2381">
        <v>55</v>
      </c>
      <c r="H33" s="2370">
        <f>G33/F33*100</f>
        <v>60.439560439560438</v>
      </c>
      <c r="I33" s="2353"/>
    </row>
    <row r="34" spans="1:9" ht="30.75" thickBot="1" x14ac:dyDescent="0.25">
      <c r="A34" s="2371">
        <v>3299</v>
      </c>
      <c r="B34" s="2372">
        <v>5336</v>
      </c>
      <c r="C34" s="2372">
        <v>32533030</v>
      </c>
      <c r="D34" s="2373" t="s">
        <v>1419</v>
      </c>
      <c r="E34" s="2374">
        <v>0</v>
      </c>
      <c r="F34" s="2374">
        <v>514</v>
      </c>
      <c r="G34" s="2382">
        <v>310</v>
      </c>
      <c r="H34" s="2375">
        <f>G34/F34*100</f>
        <v>60.311284046692606</v>
      </c>
      <c r="I34" s="2353"/>
    </row>
    <row r="35" spans="1:9" ht="30.75" hidden="1" thickBot="1" x14ac:dyDescent="0.25">
      <c r="A35" s="2371">
        <v>3299</v>
      </c>
      <c r="B35" s="2372">
        <v>6351</v>
      </c>
      <c r="C35" s="2372">
        <v>32133006</v>
      </c>
      <c r="D35" s="2373" t="s">
        <v>1433</v>
      </c>
      <c r="E35" s="2374">
        <v>0</v>
      </c>
      <c r="F35" s="2374">
        <v>0</v>
      </c>
      <c r="G35" s="2382">
        <v>0</v>
      </c>
      <c r="H35" s="2375" t="e">
        <f>G35/F35*100</f>
        <v>#DIV/0!</v>
      </c>
      <c r="I35" s="2353"/>
    </row>
    <row r="36" spans="1:9" ht="30.75" hidden="1" thickBot="1" x14ac:dyDescent="0.25">
      <c r="A36" s="2371">
        <v>3299</v>
      </c>
      <c r="B36" s="2372">
        <v>6351</v>
      </c>
      <c r="C36" s="2372">
        <v>32533006</v>
      </c>
      <c r="D36" s="2373" t="s">
        <v>1433</v>
      </c>
      <c r="E36" s="2374">
        <v>0</v>
      </c>
      <c r="F36" s="2374">
        <v>0</v>
      </c>
      <c r="G36" s="2382">
        <v>0</v>
      </c>
      <c r="H36" s="2375" t="e">
        <f>G36/F36*100</f>
        <v>#DIV/0!</v>
      </c>
      <c r="I36" s="2353"/>
    </row>
    <row r="37" spans="1:9" ht="16.5" thickTop="1" thickBot="1" x14ac:dyDescent="0.3">
      <c r="A37" s="2383" t="s">
        <v>849</v>
      </c>
      <c r="B37" s="2384"/>
      <c r="C37" s="2384"/>
      <c r="D37" s="2385"/>
      <c r="E37" s="2378">
        <f>SUM(E33:E36)</f>
        <v>0</v>
      </c>
      <c r="F37" s="2378">
        <f>SUM(F33:F36)</f>
        <v>605</v>
      </c>
      <c r="G37" s="2378">
        <f>SUM(G33:G36)</f>
        <v>365</v>
      </c>
      <c r="H37" s="2379">
        <f>G37/F37*100</f>
        <v>60.330578512396691</v>
      </c>
      <c r="I37" s="2353"/>
    </row>
    <row r="38" spans="1:9" ht="15.75" thickTop="1" x14ac:dyDescent="0.25">
      <c r="A38" s="2418"/>
      <c r="B38" s="2418"/>
      <c r="C38" s="2418"/>
      <c r="D38" s="2418"/>
      <c r="E38" s="2419"/>
      <c r="F38" s="2419"/>
      <c r="G38" s="2419"/>
      <c r="H38" s="2420"/>
    </row>
    <row r="39" spans="1:9" ht="15" x14ac:dyDescent="0.25">
      <c r="A39" s="2338" t="s">
        <v>1857</v>
      </c>
      <c r="B39" s="2352"/>
      <c r="C39" s="2352"/>
      <c r="D39" s="2352"/>
      <c r="F39" s="2353"/>
      <c r="G39" s="2353"/>
      <c r="H39" s="2353"/>
      <c r="I39" s="2353"/>
    </row>
    <row r="40" spans="1:9" ht="15.75" thickBot="1" x14ac:dyDescent="0.3">
      <c r="A40" s="2338" t="s">
        <v>1113</v>
      </c>
      <c r="B40" s="2352"/>
      <c r="C40" s="2352"/>
      <c r="D40" s="2352"/>
      <c r="F40" s="2353"/>
      <c r="G40" s="2353"/>
      <c r="H40" s="2354" t="s">
        <v>179</v>
      </c>
      <c r="I40" s="2353"/>
    </row>
    <row r="41" spans="1:9" ht="25.5" thickTop="1" thickBot="1" x14ac:dyDescent="0.25">
      <c r="A41" s="2355" t="s">
        <v>180</v>
      </c>
      <c r="B41" s="2356" t="s">
        <v>847</v>
      </c>
      <c r="C41" s="2356" t="s">
        <v>414</v>
      </c>
      <c r="D41" s="2357" t="s">
        <v>182</v>
      </c>
      <c r="E41" s="2358" t="s">
        <v>700</v>
      </c>
      <c r="F41" s="2358" t="s">
        <v>701</v>
      </c>
      <c r="G41" s="2359" t="s">
        <v>986</v>
      </c>
      <c r="H41" s="2360" t="s">
        <v>987</v>
      </c>
      <c r="I41" s="2353"/>
    </row>
    <row r="42" spans="1:9" ht="14.25" thickTop="1" thickBot="1" x14ac:dyDescent="0.25">
      <c r="A42" s="2361">
        <v>1</v>
      </c>
      <c r="B42" s="2362">
        <v>2</v>
      </c>
      <c r="C42" s="2362">
        <v>3</v>
      </c>
      <c r="D42" s="2362">
        <v>5</v>
      </c>
      <c r="E42" s="2363">
        <v>6</v>
      </c>
      <c r="F42" s="2363">
        <v>7</v>
      </c>
      <c r="G42" s="2364">
        <v>8</v>
      </c>
      <c r="H42" s="2380" t="s">
        <v>848</v>
      </c>
      <c r="I42" s="2353"/>
    </row>
    <row r="43" spans="1:9" ht="30.75" thickTop="1" x14ac:dyDescent="0.2">
      <c r="A43" s="2371">
        <v>3299</v>
      </c>
      <c r="B43" s="2372">
        <v>5336</v>
      </c>
      <c r="C43" s="2372">
        <v>32133030</v>
      </c>
      <c r="D43" s="2373" t="s">
        <v>1419</v>
      </c>
      <c r="E43" s="2369">
        <v>0</v>
      </c>
      <c r="F43" s="2369">
        <v>148</v>
      </c>
      <c r="G43" s="2381">
        <v>141</v>
      </c>
      <c r="H43" s="2370">
        <f>G43/F43*100</f>
        <v>95.270270270270274</v>
      </c>
      <c r="I43" s="2353"/>
    </row>
    <row r="44" spans="1:9" ht="30.75" thickBot="1" x14ac:dyDescent="0.25">
      <c r="A44" s="2371">
        <v>3299</v>
      </c>
      <c r="B44" s="2372">
        <v>5336</v>
      </c>
      <c r="C44" s="2372">
        <v>32533030</v>
      </c>
      <c r="D44" s="2373" t="s">
        <v>1419</v>
      </c>
      <c r="E44" s="2374">
        <v>0</v>
      </c>
      <c r="F44" s="2374">
        <v>836</v>
      </c>
      <c r="G44" s="2382">
        <v>801</v>
      </c>
      <c r="H44" s="2375">
        <f>G44/F44*100</f>
        <v>95.813397129186612</v>
      </c>
      <c r="I44" s="2353"/>
    </row>
    <row r="45" spans="1:9" ht="30.75" hidden="1" thickBot="1" x14ac:dyDescent="0.25">
      <c r="A45" s="2371">
        <v>3299</v>
      </c>
      <c r="B45" s="2372">
        <v>6351</v>
      </c>
      <c r="C45" s="2372">
        <v>32133006</v>
      </c>
      <c r="D45" s="2373" t="s">
        <v>1433</v>
      </c>
      <c r="E45" s="2374">
        <v>0</v>
      </c>
      <c r="F45" s="2374">
        <v>0</v>
      </c>
      <c r="G45" s="2382">
        <v>0</v>
      </c>
      <c r="H45" s="2375" t="e">
        <f>G45/F45*100</f>
        <v>#DIV/0!</v>
      </c>
      <c r="I45" s="2353"/>
    </row>
    <row r="46" spans="1:9" ht="30.75" hidden="1" thickBot="1" x14ac:dyDescent="0.25">
      <c r="A46" s="2371">
        <v>3299</v>
      </c>
      <c r="B46" s="2372">
        <v>6351</v>
      </c>
      <c r="C46" s="2372">
        <v>32533006</v>
      </c>
      <c r="D46" s="2373" t="s">
        <v>1433</v>
      </c>
      <c r="E46" s="2374">
        <v>0</v>
      </c>
      <c r="F46" s="2374">
        <v>0</v>
      </c>
      <c r="G46" s="2382">
        <v>0</v>
      </c>
      <c r="H46" s="2375" t="e">
        <f>G46/F46*100</f>
        <v>#DIV/0!</v>
      </c>
      <c r="I46" s="2353"/>
    </row>
    <row r="47" spans="1:9" ht="16.5" thickTop="1" thickBot="1" x14ac:dyDescent="0.3">
      <c r="A47" s="2383" t="s">
        <v>849</v>
      </c>
      <c r="B47" s="2384"/>
      <c r="C47" s="2384"/>
      <c r="D47" s="2385"/>
      <c r="E47" s="2378">
        <f>SUM(E43:E46)</f>
        <v>0</v>
      </c>
      <c r="F47" s="2378">
        <f>SUM(F43:F46)</f>
        <v>984</v>
      </c>
      <c r="G47" s="2378">
        <f>SUM(G43:G46)</f>
        <v>942</v>
      </c>
      <c r="H47" s="2379">
        <f>G47/F47*100</f>
        <v>95.731707317073173</v>
      </c>
      <c r="I47" s="2353"/>
    </row>
    <row r="48" spans="1:9" ht="15.75" thickTop="1" x14ac:dyDescent="0.25">
      <c r="A48" s="2418"/>
      <c r="B48" s="2418"/>
      <c r="C48" s="2418"/>
      <c r="D48" s="2418"/>
      <c r="E48" s="2419"/>
      <c r="F48" s="2419"/>
      <c r="G48" s="2419"/>
      <c r="H48" s="2420"/>
    </row>
    <row r="49" spans="1:9" ht="15" x14ac:dyDescent="0.25">
      <c r="A49" s="2338" t="s">
        <v>1843</v>
      </c>
      <c r="B49" s="2352"/>
      <c r="C49" s="2352"/>
      <c r="D49" s="2352"/>
      <c r="F49" s="2353"/>
      <c r="G49" s="2353"/>
      <c r="H49" s="2353"/>
      <c r="I49" s="2353"/>
    </row>
    <row r="50" spans="1:9" ht="15.75" thickBot="1" x14ac:dyDescent="0.3">
      <c r="A50" s="2338" t="s">
        <v>1422</v>
      </c>
      <c r="B50" s="2352"/>
      <c r="C50" s="2352"/>
      <c r="D50" s="2352"/>
      <c r="F50" s="2353"/>
      <c r="G50" s="2353"/>
      <c r="H50" s="2354" t="s">
        <v>179</v>
      </c>
      <c r="I50" s="2353"/>
    </row>
    <row r="51" spans="1:9" ht="25.5" thickTop="1" thickBot="1" x14ac:dyDescent="0.25">
      <c r="A51" s="2355" t="s">
        <v>180</v>
      </c>
      <c r="B51" s="2356" t="s">
        <v>847</v>
      </c>
      <c r="C51" s="2356" t="s">
        <v>414</v>
      </c>
      <c r="D51" s="2357" t="s">
        <v>182</v>
      </c>
      <c r="E51" s="2358" t="s">
        <v>700</v>
      </c>
      <c r="F51" s="2358" t="s">
        <v>701</v>
      </c>
      <c r="G51" s="2359" t="s">
        <v>986</v>
      </c>
      <c r="H51" s="2360" t="s">
        <v>987</v>
      </c>
      <c r="I51" s="2353"/>
    </row>
    <row r="52" spans="1:9" ht="14.25" thickTop="1" thickBot="1" x14ac:dyDescent="0.25">
      <c r="A52" s="2361">
        <v>1</v>
      </c>
      <c r="B52" s="2362">
        <v>2</v>
      </c>
      <c r="C52" s="2362">
        <v>3</v>
      </c>
      <c r="D52" s="2362">
        <v>5</v>
      </c>
      <c r="E52" s="2363">
        <v>6</v>
      </c>
      <c r="F52" s="2363">
        <v>7</v>
      </c>
      <c r="G52" s="2364">
        <v>8</v>
      </c>
      <c r="H52" s="2380" t="s">
        <v>848</v>
      </c>
      <c r="I52" s="2353"/>
    </row>
    <row r="53" spans="1:9" ht="30.75" thickTop="1" x14ac:dyDescent="0.2">
      <c r="A53" s="2371">
        <v>3299</v>
      </c>
      <c r="B53" s="2372">
        <v>5336</v>
      </c>
      <c r="C53" s="2372">
        <v>32133030</v>
      </c>
      <c r="D53" s="2373" t="s">
        <v>1419</v>
      </c>
      <c r="E53" s="2369">
        <v>0</v>
      </c>
      <c r="F53" s="2369">
        <v>160</v>
      </c>
      <c r="G53" s="2381">
        <v>150</v>
      </c>
      <c r="H53" s="2370">
        <f>G53/F53*100</f>
        <v>93.75</v>
      </c>
      <c r="I53" s="2353"/>
    </row>
    <row r="54" spans="1:9" ht="30.75" thickBot="1" x14ac:dyDescent="0.25">
      <c r="A54" s="2371">
        <v>3299</v>
      </c>
      <c r="B54" s="2372">
        <v>5336</v>
      </c>
      <c r="C54" s="2372">
        <v>32533030</v>
      </c>
      <c r="D54" s="2373" t="s">
        <v>1419</v>
      </c>
      <c r="E54" s="2374">
        <v>0</v>
      </c>
      <c r="F54" s="2374">
        <v>903</v>
      </c>
      <c r="G54" s="2382">
        <v>842</v>
      </c>
      <c r="H54" s="2375">
        <f>G54/F54*100</f>
        <v>93.244739756367665</v>
      </c>
      <c r="I54" s="2353"/>
    </row>
    <row r="55" spans="1:9" ht="30.75" hidden="1" thickBot="1" x14ac:dyDescent="0.25">
      <c r="A55" s="2371">
        <v>3299</v>
      </c>
      <c r="B55" s="2372">
        <v>6351</v>
      </c>
      <c r="C55" s="2372">
        <v>32133006</v>
      </c>
      <c r="D55" s="2373" t="s">
        <v>1433</v>
      </c>
      <c r="E55" s="2374">
        <v>0</v>
      </c>
      <c r="F55" s="2374">
        <v>0</v>
      </c>
      <c r="G55" s="2382">
        <v>0</v>
      </c>
      <c r="H55" s="2375" t="e">
        <f>G55/F55*100</f>
        <v>#DIV/0!</v>
      </c>
      <c r="I55" s="2353"/>
    </row>
    <row r="56" spans="1:9" ht="30.75" hidden="1" thickBot="1" x14ac:dyDescent="0.25">
      <c r="A56" s="2371">
        <v>3299</v>
      </c>
      <c r="B56" s="2372">
        <v>6351</v>
      </c>
      <c r="C56" s="2372">
        <v>32533006</v>
      </c>
      <c r="D56" s="2373" t="s">
        <v>1433</v>
      </c>
      <c r="E56" s="2374">
        <v>0</v>
      </c>
      <c r="F56" s="2374">
        <v>0</v>
      </c>
      <c r="G56" s="2382">
        <v>0</v>
      </c>
      <c r="H56" s="2375" t="e">
        <f>G56/F56*100</f>
        <v>#DIV/0!</v>
      </c>
      <c r="I56" s="2353"/>
    </row>
    <row r="57" spans="1:9" ht="16.5" thickTop="1" thickBot="1" x14ac:dyDescent="0.3">
      <c r="A57" s="2383" t="s">
        <v>849</v>
      </c>
      <c r="B57" s="2384"/>
      <c r="C57" s="2384"/>
      <c r="D57" s="2385"/>
      <c r="E57" s="2378">
        <f>SUM(E53:E56)</f>
        <v>0</v>
      </c>
      <c r="F57" s="2378">
        <f>SUM(F53:F56)</f>
        <v>1063</v>
      </c>
      <c r="G57" s="2378">
        <f>SUM(G53:G56)</f>
        <v>992</v>
      </c>
      <c r="H57" s="2379">
        <f>G57/F57*100</f>
        <v>93.320790216368763</v>
      </c>
      <c r="I57" s="2353"/>
    </row>
    <row r="58" spans="1:9" ht="15.75" thickTop="1" x14ac:dyDescent="0.25">
      <c r="A58" s="2418"/>
      <c r="B58" s="2418"/>
      <c r="C58" s="2418"/>
      <c r="D58" s="2418"/>
      <c r="E58" s="2419"/>
      <c r="F58" s="2419"/>
      <c r="G58" s="2419"/>
      <c r="H58" s="2420"/>
    </row>
    <row r="59" spans="1:9" ht="15" x14ac:dyDescent="0.25">
      <c r="A59" s="2338" t="s">
        <v>1858</v>
      </c>
      <c r="B59" s="2352"/>
      <c r="C59" s="2352"/>
      <c r="D59" s="2352"/>
      <c r="F59" s="2353"/>
      <c r="G59" s="2353"/>
      <c r="H59" s="2353"/>
      <c r="I59" s="2353"/>
    </row>
    <row r="60" spans="1:9" ht="15.75" thickBot="1" x14ac:dyDescent="0.3">
      <c r="A60" s="2338" t="s">
        <v>1288</v>
      </c>
      <c r="B60" s="2352"/>
      <c r="C60" s="2352"/>
      <c r="D60" s="2352"/>
      <c r="F60" s="2353"/>
      <c r="G60" s="2353"/>
      <c r="H60" s="2354" t="s">
        <v>179</v>
      </c>
      <c r="I60" s="2353"/>
    </row>
    <row r="61" spans="1:9" ht="25.5" thickTop="1" thickBot="1" x14ac:dyDescent="0.25">
      <c r="A61" s="2355" t="s">
        <v>180</v>
      </c>
      <c r="B61" s="2356" t="s">
        <v>847</v>
      </c>
      <c r="C61" s="2356" t="s">
        <v>414</v>
      </c>
      <c r="D61" s="2357" t="s">
        <v>182</v>
      </c>
      <c r="E61" s="2358" t="s">
        <v>700</v>
      </c>
      <c r="F61" s="2358" t="s">
        <v>701</v>
      </c>
      <c r="G61" s="2359" t="s">
        <v>986</v>
      </c>
      <c r="H61" s="2360" t="s">
        <v>987</v>
      </c>
      <c r="I61" s="2353"/>
    </row>
    <row r="62" spans="1:9" ht="14.25" thickTop="1" thickBot="1" x14ac:dyDescent="0.25">
      <c r="A62" s="2361">
        <v>1</v>
      </c>
      <c r="B62" s="2362">
        <v>2</v>
      </c>
      <c r="C62" s="2362">
        <v>3</v>
      </c>
      <c r="D62" s="2362">
        <v>5</v>
      </c>
      <c r="E62" s="2363">
        <v>6</v>
      </c>
      <c r="F62" s="2363">
        <v>7</v>
      </c>
      <c r="G62" s="2364">
        <v>8</v>
      </c>
      <c r="H62" s="2380" t="s">
        <v>848</v>
      </c>
      <c r="I62" s="2353"/>
    </row>
    <row r="63" spans="1:9" ht="30.75" thickTop="1" x14ac:dyDescent="0.2">
      <c r="A63" s="2371">
        <v>3299</v>
      </c>
      <c r="B63" s="2372">
        <v>5336</v>
      </c>
      <c r="C63" s="2372">
        <v>32133030</v>
      </c>
      <c r="D63" s="2373" t="s">
        <v>1419</v>
      </c>
      <c r="E63" s="2369">
        <v>0</v>
      </c>
      <c r="F63" s="2369">
        <v>162</v>
      </c>
      <c r="G63" s="2381">
        <v>150</v>
      </c>
      <c r="H63" s="2370">
        <f>G63/F63*100</f>
        <v>92.592592592592595</v>
      </c>
      <c r="I63" s="2353"/>
    </row>
    <row r="64" spans="1:9" ht="30.75" thickBot="1" x14ac:dyDescent="0.25">
      <c r="A64" s="2371">
        <v>3299</v>
      </c>
      <c r="B64" s="2372">
        <v>5336</v>
      </c>
      <c r="C64" s="2372">
        <v>32533030</v>
      </c>
      <c r="D64" s="2373" t="s">
        <v>1419</v>
      </c>
      <c r="E64" s="2374">
        <v>0</v>
      </c>
      <c r="F64" s="2374">
        <v>916</v>
      </c>
      <c r="G64" s="2382">
        <v>848</v>
      </c>
      <c r="H64" s="2375">
        <f>G64/F64*100</f>
        <v>92.576419213973807</v>
      </c>
      <c r="I64" s="2353"/>
    </row>
    <row r="65" spans="1:9" ht="30.75" hidden="1" thickBot="1" x14ac:dyDescent="0.25">
      <c r="A65" s="2371">
        <v>3299</v>
      </c>
      <c r="B65" s="2372">
        <v>6351</v>
      </c>
      <c r="C65" s="2372">
        <v>32133006</v>
      </c>
      <c r="D65" s="2373" t="s">
        <v>1433</v>
      </c>
      <c r="E65" s="2374">
        <v>0</v>
      </c>
      <c r="F65" s="2374">
        <v>0</v>
      </c>
      <c r="G65" s="2382">
        <v>0</v>
      </c>
      <c r="H65" s="2375" t="e">
        <f>G65/F65*100</f>
        <v>#DIV/0!</v>
      </c>
      <c r="I65" s="2353"/>
    </row>
    <row r="66" spans="1:9" ht="30.75" hidden="1" thickBot="1" x14ac:dyDescent="0.25">
      <c r="A66" s="2371">
        <v>3299</v>
      </c>
      <c r="B66" s="2372">
        <v>6351</v>
      </c>
      <c r="C66" s="2372">
        <v>32533006</v>
      </c>
      <c r="D66" s="2373" t="s">
        <v>1433</v>
      </c>
      <c r="E66" s="2374">
        <v>0</v>
      </c>
      <c r="F66" s="2374">
        <v>0</v>
      </c>
      <c r="G66" s="2382">
        <v>0</v>
      </c>
      <c r="H66" s="2375" t="e">
        <f>G66/F66*100</f>
        <v>#DIV/0!</v>
      </c>
      <c r="I66" s="2353"/>
    </row>
    <row r="67" spans="1:9" ht="16.5" thickTop="1" thickBot="1" x14ac:dyDescent="0.3">
      <c r="A67" s="2383" t="s">
        <v>849</v>
      </c>
      <c r="B67" s="2384"/>
      <c r="C67" s="2384"/>
      <c r="D67" s="2385"/>
      <c r="E67" s="2378">
        <f>SUM(E63:E66)</f>
        <v>0</v>
      </c>
      <c r="F67" s="2378">
        <f>SUM(F63:F66)</f>
        <v>1078</v>
      </c>
      <c r="G67" s="2378">
        <f>SUM(G63:G66)</f>
        <v>998</v>
      </c>
      <c r="H67" s="2379">
        <f>G67/F67*100</f>
        <v>92.578849721706874</v>
      </c>
      <c r="I67" s="2353"/>
    </row>
    <row r="68" spans="1:9" ht="15.75" thickTop="1" x14ac:dyDescent="0.25">
      <c r="A68" s="2418"/>
      <c r="B68" s="2418"/>
      <c r="C68" s="2418"/>
      <c r="D68" s="2418"/>
      <c r="E68" s="2419"/>
      <c r="F68" s="2419"/>
      <c r="G68" s="2419"/>
      <c r="H68" s="2420"/>
    </row>
    <row r="69" spans="1:9" ht="15" x14ac:dyDescent="0.25">
      <c r="A69" s="2338" t="s">
        <v>250</v>
      </c>
      <c r="B69" s="2352"/>
      <c r="C69" s="2352"/>
      <c r="D69" s="2352"/>
      <c r="F69" s="2353"/>
      <c r="G69" s="2353"/>
      <c r="H69" s="2353"/>
      <c r="I69" s="2353"/>
    </row>
    <row r="70" spans="1:9" ht="15.75" thickBot="1" x14ac:dyDescent="0.3">
      <c r="A70" s="2338" t="s">
        <v>251</v>
      </c>
      <c r="B70" s="2352"/>
      <c r="C70" s="2352"/>
      <c r="D70" s="2352"/>
      <c r="F70" s="2353"/>
      <c r="G70" s="2353"/>
      <c r="H70" s="2354" t="s">
        <v>179</v>
      </c>
      <c r="I70" s="2353"/>
    </row>
    <row r="71" spans="1:9" ht="25.5" thickTop="1" thickBot="1" x14ac:dyDescent="0.25">
      <c r="A71" s="2355" t="s">
        <v>180</v>
      </c>
      <c r="B71" s="2356" t="s">
        <v>847</v>
      </c>
      <c r="C71" s="2356" t="s">
        <v>414</v>
      </c>
      <c r="D71" s="2357" t="s">
        <v>182</v>
      </c>
      <c r="E71" s="2358" t="s">
        <v>700</v>
      </c>
      <c r="F71" s="2358" t="s">
        <v>701</v>
      </c>
      <c r="G71" s="2359" t="s">
        <v>986</v>
      </c>
      <c r="H71" s="2360" t="s">
        <v>987</v>
      </c>
      <c r="I71" s="2353"/>
    </row>
    <row r="72" spans="1:9" ht="14.25" thickTop="1" thickBot="1" x14ac:dyDescent="0.25">
      <c r="A72" s="2361">
        <v>1</v>
      </c>
      <c r="B72" s="2362">
        <v>2</v>
      </c>
      <c r="C72" s="2362">
        <v>3</v>
      </c>
      <c r="D72" s="2362">
        <v>5</v>
      </c>
      <c r="E72" s="2363">
        <v>6</v>
      </c>
      <c r="F72" s="2363">
        <v>7</v>
      </c>
      <c r="G72" s="2364">
        <v>8</v>
      </c>
      <c r="H72" s="2380" t="s">
        <v>848</v>
      </c>
      <c r="I72" s="2353"/>
    </row>
    <row r="73" spans="1:9" ht="15.75" thickTop="1" x14ac:dyDescent="0.25">
      <c r="A73" s="2392">
        <v>3299</v>
      </c>
      <c r="B73" s="2393">
        <v>5321</v>
      </c>
      <c r="C73" s="2393">
        <v>32533030</v>
      </c>
      <c r="D73" s="2395" t="s">
        <v>1349</v>
      </c>
      <c r="E73" s="2374">
        <v>0</v>
      </c>
      <c r="F73" s="2374">
        <v>58</v>
      </c>
      <c r="G73" s="2382">
        <v>49</v>
      </c>
      <c r="H73" s="2375">
        <f>G73/F73*100</f>
        <v>84.482758620689651</v>
      </c>
      <c r="I73" s="2353"/>
    </row>
    <row r="74" spans="1:9" ht="15.75" thickBot="1" x14ac:dyDescent="0.3">
      <c r="A74" s="2392">
        <v>3299</v>
      </c>
      <c r="B74" s="2393">
        <v>5321</v>
      </c>
      <c r="C74" s="2393">
        <v>32133926</v>
      </c>
      <c r="D74" s="2395" t="s">
        <v>1349</v>
      </c>
      <c r="E74" s="2374">
        <v>0</v>
      </c>
      <c r="F74" s="2374">
        <v>331</v>
      </c>
      <c r="G74" s="2382">
        <v>275</v>
      </c>
      <c r="H74" s="2375">
        <f>G74/F74*100</f>
        <v>83.081570996978854</v>
      </c>
      <c r="I74" s="2353"/>
    </row>
    <row r="75" spans="1:9" ht="15.75" hidden="1" thickBot="1" x14ac:dyDescent="0.3">
      <c r="A75" s="2396">
        <v>3299</v>
      </c>
      <c r="B75" s="2397">
        <v>6341</v>
      </c>
      <c r="C75" s="2397">
        <v>32533926</v>
      </c>
      <c r="D75" s="2394" t="s">
        <v>271</v>
      </c>
      <c r="E75" s="2374">
        <v>0</v>
      </c>
      <c r="F75" s="2374">
        <v>0</v>
      </c>
      <c r="G75" s="2382">
        <v>0</v>
      </c>
      <c r="H75" s="2375" t="e">
        <f>G75/F75*100</f>
        <v>#DIV/0!</v>
      </c>
      <c r="I75" s="2353"/>
    </row>
    <row r="76" spans="1:9" ht="16.5" thickTop="1" thickBot="1" x14ac:dyDescent="0.3">
      <c r="A76" s="2383" t="s">
        <v>849</v>
      </c>
      <c r="B76" s="2384"/>
      <c r="C76" s="2384"/>
      <c r="D76" s="2385"/>
      <c r="E76" s="2378">
        <f>SUM(E73:E75)</f>
        <v>0</v>
      </c>
      <c r="F76" s="2378">
        <f>SUM(F73:F75)</f>
        <v>389</v>
      </c>
      <c r="G76" s="2378">
        <f>SUM(G73:G75)</f>
        <v>324</v>
      </c>
      <c r="H76" s="2379">
        <f>G76/F76*100</f>
        <v>83.290488431876611</v>
      </c>
      <c r="I76" s="2353"/>
    </row>
    <row r="77" spans="1:9" ht="15.75" thickTop="1" x14ac:dyDescent="0.25">
      <c r="A77" s="2418"/>
      <c r="B77" s="2418"/>
      <c r="C77" s="2418"/>
      <c r="D77" s="2418"/>
      <c r="E77" s="2419"/>
      <c r="F77" s="2419"/>
      <c r="G77" s="2419"/>
      <c r="H77" s="2420"/>
    </row>
    <row r="78" spans="1:9" ht="15" x14ac:dyDescent="0.25">
      <c r="A78" s="2338" t="s">
        <v>1859</v>
      </c>
      <c r="B78" s="2352"/>
      <c r="C78" s="2352"/>
      <c r="D78" s="2352"/>
      <c r="F78" s="2353"/>
      <c r="G78" s="2353"/>
      <c r="H78" s="2353"/>
      <c r="I78" s="2353"/>
    </row>
    <row r="79" spans="1:9" ht="15.75" thickBot="1" x14ac:dyDescent="0.3">
      <c r="A79" s="2338" t="s">
        <v>1860</v>
      </c>
      <c r="B79" s="2352"/>
      <c r="C79" s="2352"/>
      <c r="D79" s="2352"/>
      <c r="F79" s="2353"/>
      <c r="G79" s="2353"/>
      <c r="H79" s="2354" t="s">
        <v>179</v>
      </c>
      <c r="I79" s="2353"/>
    </row>
    <row r="80" spans="1:9" ht="25.5" thickTop="1" thickBot="1" x14ac:dyDescent="0.25">
      <c r="A80" s="2355" t="s">
        <v>180</v>
      </c>
      <c r="B80" s="2356" t="s">
        <v>847</v>
      </c>
      <c r="C80" s="2356" t="s">
        <v>414</v>
      </c>
      <c r="D80" s="2357" t="s">
        <v>182</v>
      </c>
      <c r="E80" s="2358" t="s">
        <v>700</v>
      </c>
      <c r="F80" s="2358" t="s">
        <v>701</v>
      </c>
      <c r="G80" s="2359" t="s">
        <v>986</v>
      </c>
      <c r="H80" s="2360" t="s">
        <v>987</v>
      </c>
      <c r="I80" s="2353"/>
    </row>
    <row r="81" spans="1:9" ht="14.25" thickTop="1" thickBot="1" x14ac:dyDescent="0.25">
      <c r="A81" s="2361">
        <v>1</v>
      </c>
      <c r="B81" s="2362">
        <v>2</v>
      </c>
      <c r="C81" s="2362">
        <v>3</v>
      </c>
      <c r="D81" s="2362">
        <v>5</v>
      </c>
      <c r="E81" s="2363">
        <v>6</v>
      </c>
      <c r="F81" s="2363">
        <v>7</v>
      </c>
      <c r="G81" s="2364">
        <v>8</v>
      </c>
      <c r="H81" s="2380" t="s">
        <v>848</v>
      </c>
      <c r="I81" s="2353"/>
    </row>
    <row r="82" spans="1:9" ht="15.75" thickTop="1" x14ac:dyDescent="0.25">
      <c r="A82" s="2392">
        <v>3299</v>
      </c>
      <c r="B82" s="2393">
        <v>5321</v>
      </c>
      <c r="C82" s="2393">
        <v>32133030</v>
      </c>
      <c r="D82" s="2395" t="s">
        <v>1349</v>
      </c>
      <c r="E82" s="2374">
        <v>0</v>
      </c>
      <c r="F82" s="2374">
        <v>112</v>
      </c>
      <c r="G82" s="2382">
        <v>110</v>
      </c>
      <c r="H82" s="2375">
        <f>G82/F82*100</f>
        <v>98.214285714285708</v>
      </c>
      <c r="I82" s="2353"/>
    </row>
    <row r="83" spans="1:9" ht="15.75" thickBot="1" x14ac:dyDescent="0.3">
      <c r="A83" s="2392">
        <v>3299</v>
      </c>
      <c r="B83" s="2393">
        <v>5321</v>
      </c>
      <c r="C83" s="2393">
        <v>32533030</v>
      </c>
      <c r="D83" s="2395" t="s">
        <v>1349</v>
      </c>
      <c r="E83" s="2374">
        <v>0</v>
      </c>
      <c r="F83" s="2374">
        <v>634</v>
      </c>
      <c r="G83" s="2382">
        <v>625</v>
      </c>
      <c r="H83" s="2375">
        <f>G83/F83*100</f>
        <v>98.580441640378552</v>
      </c>
      <c r="I83" s="2353"/>
    </row>
    <row r="84" spans="1:9" ht="15.75" hidden="1" thickBot="1" x14ac:dyDescent="0.3">
      <c r="A84" s="2396">
        <v>3299</v>
      </c>
      <c r="B84" s="2397">
        <v>6341</v>
      </c>
      <c r="C84" s="2397">
        <v>32533926</v>
      </c>
      <c r="D84" s="2394" t="s">
        <v>271</v>
      </c>
      <c r="E84" s="2374">
        <v>0</v>
      </c>
      <c r="F84" s="2374">
        <v>0</v>
      </c>
      <c r="G84" s="2382">
        <v>0</v>
      </c>
      <c r="H84" s="2375" t="e">
        <f>G84/F84*100</f>
        <v>#DIV/0!</v>
      </c>
      <c r="I84" s="2353"/>
    </row>
    <row r="85" spans="1:9" ht="16.5" thickTop="1" thickBot="1" x14ac:dyDescent="0.3">
      <c r="A85" s="2383" t="s">
        <v>849</v>
      </c>
      <c r="B85" s="2384"/>
      <c r="C85" s="2384"/>
      <c r="D85" s="2385"/>
      <c r="E85" s="2378">
        <f>SUM(E82:E84)</f>
        <v>0</v>
      </c>
      <c r="F85" s="2378">
        <f>SUM(F82:F84)</f>
        <v>746</v>
      </c>
      <c r="G85" s="2378">
        <f>SUM(G82:G84)</f>
        <v>735</v>
      </c>
      <c r="H85" s="2379">
        <f>G85/F85*100</f>
        <v>98.525469168900798</v>
      </c>
      <c r="I85" s="2353"/>
    </row>
    <row r="86" spans="1:9" ht="15.75" thickTop="1" x14ac:dyDescent="0.25">
      <c r="A86" s="2418"/>
      <c r="B86" s="2418"/>
      <c r="C86" s="2418"/>
      <c r="D86" s="2418"/>
      <c r="E86" s="2419"/>
      <c r="F86" s="2419"/>
      <c r="G86" s="2419"/>
      <c r="H86" s="2420"/>
    </row>
    <row r="87" spans="1:9" ht="15" x14ac:dyDescent="0.25">
      <c r="A87" s="2338" t="s">
        <v>1106</v>
      </c>
      <c r="B87" s="2352"/>
      <c r="C87" s="2352"/>
      <c r="D87" s="2352"/>
      <c r="F87" s="2353"/>
      <c r="G87" s="2353"/>
      <c r="H87" s="2353"/>
      <c r="I87" s="2353"/>
    </row>
    <row r="88" spans="1:9" ht="15.75" thickBot="1" x14ac:dyDescent="0.3">
      <c r="A88" s="2338" t="s">
        <v>1107</v>
      </c>
      <c r="B88" s="2352"/>
      <c r="C88" s="2352"/>
      <c r="D88" s="2352"/>
      <c r="F88" s="2353"/>
      <c r="G88" s="2353"/>
      <c r="H88" s="2354" t="s">
        <v>179</v>
      </c>
      <c r="I88" s="2353"/>
    </row>
    <row r="89" spans="1:9" ht="25.5" thickTop="1" thickBot="1" x14ac:dyDescent="0.25">
      <c r="A89" s="2355" t="s">
        <v>180</v>
      </c>
      <c r="B89" s="2356" t="s">
        <v>847</v>
      </c>
      <c r="C89" s="2356" t="s">
        <v>414</v>
      </c>
      <c r="D89" s="2357" t="s">
        <v>182</v>
      </c>
      <c r="E89" s="2358" t="s">
        <v>700</v>
      </c>
      <c r="F89" s="2358" t="s">
        <v>701</v>
      </c>
      <c r="G89" s="2359" t="s">
        <v>986</v>
      </c>
      <c r="H89" s="2360" t="s">
        <v>987</v>
      </c>
      <c r="I89" s="2353"/>
    </row>
    <row r="90" spans="1:9" ht="14.25" thickTop="1" thickBot="1" x14ac:dyDescent="0.25">
      <c r="A90" s="2361">
        <v>1</v>
      </c>
      <c r="B90" s="2362">
        <v>2</v>
      </c>
      <c r="C90" s="2362">
        <v>3</v>
      </c>
      <c r="D90" s="2362">
        <v>5</v>
      </c>
      <c r="E90" s="2363">
        <v>6</v>
      </c>
      <c r="F90" s="2363">
        <v>7</v>
      </c>
      <c r="G90" s="2364">
        <v>8</v>
      </c>
      <c r="H90" s="2380" t="s">
        <v>848</v>
      </c>
      <c r="I90" s="2353"/>
    </row>
    <row r="91" spans="1:9" ht="15.75" thickTop="1" x14ac:dyDescent="0.25">
      <c r="A91" s="2392">
        <v>3299</v>
      </c>
      <c r="B91" s="2393">
        <v>5321</v>
      </c>
      <c r="C91" s="2393">
        <v>32133030</v>
      </c>
      <c r="D91" s="2395" t="s">
        <v>1349</v>
      </c>
      <c r="E91" s="2374">
        <v>0</v>
      </c>
      <c r="F91" s="2374">
        <v>177</v>
      </c>
      <c r="G91" s="2382">
        <v>171</v>
      </c>
      <c r="H91" s="2375">
        <f>G91/F91*100</f>
        <v>96.610169491525426</v>
      </c>
      <c r="I91" s="2353"/>
    </row>
    <row r="92" spans="1:9" ht="15.75" thickBot="1" x14ac:dyDescent="0.3">
      <c r="A92" s="2392">
        <v>3299</v>
      </c>
      <c r="B92" s="2393">
        <v>5321</v>
      </c>
      <c r="C92" s="2393">
        <v>32533030</v>
      </c>
      <c r="D92" s="2395" t="s">
        <v>1349</v>
      </c>
      <c r="E92" s="2374">
        <v>0</v>
      </c>
      <c r="F92" s="2374">
        <v>1006</v>
      </c>
      <c r="G92" s="2382">
        <v>967</v>
      </c>
      <c r="H92" s="2375">
        <f>G92/F92*100</f>
        <v>96.123260437375748</v>
      </c>
      <c r="I92" s="2353"/>
    </row>
    <row r="93" spans="1:9" ht="15.75" hidden="1" thickBot="1" x14ac:dyDescent="0.3">
      <c r="A93" s="2396">
        <v>3299</v>
      </c>
      <c r="B93" s="2397">
        <v>6341</v>
      </c>
      <c r="C93" s="2397">
        <v>32533926</v>
      </c>
      <c r="D93" s="2394" t="s">
        <v>271</v>
      </c>
      <c r="E93" s="2374">
        <v>0</v>
      </c>
      <c r="F93" s="2374">
        <v>0</v>
      </c>
      <c r="G93" s="2382">
        <v>0</v>
      </c>
      <c r="H93" s="2375" t="e">
        <f>G93/F93*100</f>
        <v>#DIV/0!</v>
      </c>
      <c r="I93" s="2353"/>
    </row>
    <row r="94" spans="1:9" ht="16.5" thickTop="1" thickBot="1" x14ac:dyDescent="0.3">
      <c r="A94" s="2383" t="s">
        <v>849</v>
      </c>
      <c r="B94" s="2384"/>
      <c r="C94" s="2384"/>
      <c r="D94" s="2385"/>
      <c r="E94" s="2378">
        <f>SUM(E91:E93)</f>
        <v>0</v>
      </c>
      <c r="F94" s="2378">
        <f>SUM(F91:F93)</f>
        <v>1183</v>
      </c>
      <c r="G94" s="2378">
        <f>SUM(G91:G93)</f>
        <v>1138</v>
      </c>
      <c r="H94" s="2379">
        <f>G94/F94*100</f>
        <v>96.196111580726964</v>
      </c>
      <c r="I94" s="2353"/>
    </row>
    <row r="95" spans="1:9" ht="15.75" thickTop="1" x14ac:dyDescent="0.25">
      <c r="A95" s="2418"/>
      <c r="B95" s="2418"/>
      <c r="C95" s="2418"/>
      <c r="D95" s="2418"/>
      <c r="E95" s="2419"/>
      <c r="F95" s="2419"/>
      <c r="G95" s="2419"/>
      <c r="H95" s="2420"/>
    </row>
    <row r="96" spans="1:9" ht="15" x14ac:dyDescent="0.25">
      <c r="A96" s="2418"/>
      <c r="B96" s="2418"/>
      <c r="C96" s="2418"/>
      <c r="D96" s="2418"/>
      <c r="E96" s="2419"/>
      <c r="F96" s="2419"/>
      <c r="G96" s="2419"/>
      <c r="H96" s="2420"/>
    </row>
    <row r="101" spans="1:13" ht="16.5" x14ac:dyDescent="0.25">
      <c r="A101" s="2399" t="s">
        <v>508</v>
      </c>
      <c r="B101" s="2400"/>
      <c r="C101" s="2401"/>
      <c r="D101" s="2402"/>
      <c r="E101" s="2403">
        <f>SUM(E102:E104)</f>
        <v>0</v>
      </c>
      <c r="F101" s="2403">
        <f>F102+F103+F104+F105</f>
        <v>27700</v>
      </c>
      <c r="G101" s="2403">
        <f>G102+G103+G104+G105</f>
        <v>12160</v>
      </c>
      <c r="H101" s="2404">
        <f>G101/F101*100</f>
        <v>43.898916967509024</v>
      </c>
      <c r="K101" s="2405">
        <f>K102+K103+K104</f>
        <v>0</v>
      </c>
      <c r="L101" s="2405">
        <f>L102+L103+L104</f>
        <v>27699462.530000001</v>
      </c>
      <c r="M101" s="2405">
        <f>M102+M103+M104</f>
        <v>12159523.32</v>
      </c>
    </row>
    <row r="102" spans="1:13" ht="15" x14ac:dyDescent="0.2">
      <c r="A102" s="2406" t="s">
        <v>288</v>
      </c>
      <c r="B102" s="2407"/>
      <c r="C102" s="2408"/>
      <c r="D102" s="2409"/>
      <c r="E102" s="2410">
        <f>E10+E11+E12+E13+E14+E15+E16+E17+E18+E19+E33+E34+E43+E44+E53+E54+E63+E64+E73+E74+E82+E83+E91+E92</f>
        <v>0</v>
      </c>
      <c r="F102" s="2410">
        <f>F10+F11+F12+F13+F14+F15+F16+F17+F18+F19+F33+F34+F43+F44+F53+F54+F63+F64+F73+F74+F82+F83+F91+F92</f>
        <v>27200</v>
      </c>
      <c r="G102" s="2410">
        <f>G10+G11+G12+G13+G14+G15+G16+G17+G18+G19+G33+G34+G43+G44+G53+G54+G63+G64+G73+G74+G82+G83+G91+G92</f>
        <v>12160</v>
      </c>
      <c r="H102" s="2411">
        <f>G102/F102*100</f>
        <v>44.705882352941181</v>
      </c>
      <c r="K102" s="2412">
        <v>0</v>
      </c>
      <c r="L102" s="2412">
        <v>27199608.530000001</v>
      </c>
      <c r="M102" s="2412">
        <v>12159523.32</v>
      </c>
    </row>
    <row r="103" spans="1:13" ht="15" x14ac:dyDescent="0.2">
      <c r="A103" s="2406" t="s">
        <v>289</v>
      </c>
      <c r="B103" s="2413"/>
      <c r="C103" s="2408"/>
      <c r="D103" s="2414"/>
      <c r="E103" s="2410">
        <f>E24+E25</f>
        <v>0</v>
      </c>
      <c r="F103" s="2410">
        <f>F24+F25</f>
        <v>500</v>
      </c>
      <c r="G103" s="2410">
        <f>G24+G25</f>
        <v>0</v>
      </c>
      <c r="H103" s="2411">
        <f>G103/F103*100</f>
        <v>0</v>
      </c>
      <c r="K103" s="2412">
        <v>0</v>
      </c>
      <c r="L103" s="2412">
        <v>499854</v>
      </c>
      <c r="M103" s="2412">
        <v>0</v>
      </c>
    </row>
    <row r="104" spans="1:13" ht="15" x14ac:dyDescent="0.2">
      <c r="A104" s="2406" t="s">
        <v>509</v>
      </c>
      <c r="B104" s="2413"/>
      <c r="C104" s="2408"/>
      <c r="D104" s="2414"/>
      <c r="E104" s="2410">
        <v>0</v>
      </c>
      <c r="F104" s="2410">
        <v>0</v>
      </c>
      <c r="G104" s="2410">
        <v>0</v>
      </c>
      <c r="H104" s="2411">
        <v>0</v>
      </c>
      <c r="K104" s="2412">
        <v>0</v>
      </c>
      <c r="L104" s="2412">
        <v>0</v>
      </c>
      <c r="M104" s="2412">
        <v>0</v>
      </c>
    </row>
    <row r="105" spans="1:13" ht="16.5" customHeight="1" x14ac:dyDescent="0.2">
      <c r="A105" s="2406"/>
      <c r="B105" s="2413"/>
      <c r="C105" s="2408"/>
      <c r="D105" s="2414"/>
      <c r="E105" s="2410"/>
      <c r="F105" s="2410"/>
      <c r="G105" s="2410"/>
      <c r="H105" s="2415"/>
    </row>
    <row r="106" spans="1:13" ht="57.75" customHeight="1" thickBot="1" x14ac:dyDescent="0.4">
      <c r="A106" s="2819" t="s">
        <v>1599</v>
      </c>
      <c r="B106" s="2827"/>
      <c r="C106" s="2827"/>
      <c r="D106" s="2827"/>
      <c r="E106" s="2416">
        <f>SUM(E101)</f>
        <v>0</v>
      </c>
      <c r="F106" s="2416">
        <f>SUM(F101)</f>
        <v>27700</v>
      </c>
      <c r="G106" s="2416">
        <f>SUM(G101)</f>
        <v>12160</v>
      </c>
      <c r="H106" s="2417">
        <f>(G106/F106)*100</f>
        <v>43.898916967509024</v>
      </c>
    </row>
    <row r="107" spans="1:13" ht="13.5" thickTop="1" x14ac:dyDescent="0.2"/>
  </sheetData>
  <mergeCells count="2">
    <mergeCell ref="A27:D27"/>
    <mergeCell ref="A106:D106"/>
  </mergeCells>
  <pageMargins left="0.70866141732283472" right="0.70866141732283472" top="0.78740157480314965" bottom="0.78740157480314965" header="0.31496062992125984" footer="0.31496062992125984"/>
  <pageSetup paperSize="9" scale="73" firstPageNumber="172" orientation="portrait" useFirstPageNumber="1" r:id="rId1"/>
  <headerFooter>
    <oddFooter xml:space="preserve">&amp;L&amp;"Arial,Kurzíva"Zastupitelstvo Olomouckého kraje 28. 6. 2013
6.- Závěrečný  účet Olomuckého kraje za rok 2012
Příloha č. 3: Plnění rozpočtu výdajů Olomouckého kraje k 31.12.2012&amp;R&amp;"Arial,Kurzíva"Strana &amp;P (Celkem 484)
</oddFooter>
  </headerFooter>
  <rowBreaks count="1" manualBreakCount="1">
    <brk id="58" max="7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71"/>
  <sheetViews>
    <sheetView view="pageBreakPreview" topLeftCell="A54" zoomScaleNormal="100" zoomScaleSheetLayoutView="100" workbookViewId="0">
      <selection activeCell="D11" sqref="D11"/>
    </sheetView>
  </sheetViews>
  <sheetFormatPr defaultRowHeight="12.75" x14ac:dyDescent="0.2"/>
  <cols>
    <col min="1" max="1" width="5.140625" style="2345" customWidth="1"/>
    <col min="2" max="2" width="6.7109375" style="2345" customWidth="1"/>
    <col min="3" max="3" width="8.85546875" style="2345" customWidth="1"/>
    <col min="4" max="4" width="47.85546875" style="2345" customWidth="1"/>
    <col min="5" max="5" width="12.85546875" style="2345" customWidth="1"/>
    <col min="6" max="6" width="15.5703125" style="2345" customWidth="1"/>
    <col min="7" max="7" width="15.85546875" style="2345" customWidth="1"/>
    <col min="8" max="8" width="8.42578125" style="2345" customWidth="1"/>
    <col min="9" max="10" width="9.140625" style="2345"/>
    <col min="11" max="11" width="18.42578125" style="2345" customWidth="1"/>
    <col min="12" max="12" width="16" style="2345" bestFit="1" customWidth="1"/>
    <col min="13" max="256" width="9.140625" style="2345"/>
    <col min="257" max="257" width="4.7109375" style="2345" customWidth="1"/>
    <col min="258" max="258" width="6.7109375" style="2345" customWidth="1"/>
    <col min="259" max="259" width="8.85546875" style="2345" customWidth="1"/>
    <col min="260" max="260" width="47.85546875" style="2345" customWidth="1"/>
    <col min="261" max="261" width="12.85546875" style="2345" customWidth="1"/>
    <col min="262" max="262" width="15.5703125" style="2345" customWidth="1"/>
    <col min="263" max="263" width="15.85546875" style="2345" customWidth="1"/>
    <col min="264" max="264" width="6.42578125" style="2345" customWidth="1"/>
    <col min="265" max="266" width="9.140625" style="2345"/>
    <col min="267" max="267" width="18.42578125" style="2345" customWidth="1"/>
    <col min="268" max="268" width="16" style="2345" bestFit="1" customWidth="1"/>
    <col min="269" max="512" width="9.140625" style="2345"/>
    <col min="513" max="513" width="4.7109375" style="2345" customWidth="1"/>
    <col min="514" max="514" width="6.7109375" style="2345" customWidth="1"/>
    <col min="515" max="515" width="8.85546875" style="2345" customWidth="1"/>
    <col min="516" max="516" width="47.85546875" style="2345" customWidth="1"/>
    <col min="517" max="517" width="12.85546875" style="2345" customWidth="1"/>
    <col min="518" max="518" width="15.5703125" style="2345" customWidth="1"/>
    <col min="519" max="519" width="15.85546875" style="2345" customWidth="1"/>
    <col min="520" max="520" width="6.42578125" style="2345" customWidth="1"/>
    <col min="521" max="522" width="9.140625" style="2345"/>
    <col min="523" max="523" width="18.42578125" style="2345" customWidth="1"/>
    <col min="524" max="524" width="16" style="2345" bestFit="1" customWidth="1"/>
    <col min="525" max="768" width="9.140625" style="2345"/>
    <col min="769" max="769" width="4.7109375" style="2345" customWidth="1"/>
    <col min="770" max="770" width="6.7109375" style="2345" customWidth="1"/>
    <col min="771" max="771" width="8.85546875" style="2345" customWidth="1"/>
    <col min="772" max="772" width="47.85546875" style="2345" customWidth="1"/>
    <col min="773" max="773" width="12.85546875" style="2345" customWidth="1"/>
    <col min="774" max="774" width="15.5703125" style="2345" customWidth="1"/>
    <col min="775" max="775" width="15.85546875" style="2345" customWidth="1"/>
    <col min="776" max="776" width="6.42578125" style="2345" customWidth="1"/>
    <col min="777" max="778" width="9.140625" style="2345"/>
    <col min="779" max="779" width="18.42578125" style="2345" customWidth="1"/>
    <col min="780" max="780" width="16" style="2345" bestFit="1" customWidth="1"/>
    <col min="781" max="1024" width="9.140625" style="2345"/>
    <col min="1025" max="1025" width="4.7109375" style="2345" customWidth="1"/>
    <col min="1026" max="1026" width="6.7109375" style="2345" customWidth="1"/>
    <col min="1027" max="1027" width="8.85546875" style="2345" customWidth="1"/>
    <col min="1028" max="1028" width="47.85546875" style="2345" customWidth="1"/>
    <col min="1029" max="1029" width="12.85546875" style="2345" customWidth="1"/>
    <col min="1030" max="1030" width="15.5703125" style="2345" customWidth="1"/>
    <col min="1031" max="1031" width="15.85546875" style="2345" customWidth="1"/>
    <col min="1032" max="1032" width="6.42578125" style="2345" customWidth="1"/>
    <col min="1033" max="1034" width="9.140625" style="2345"/>
    <col min="1035" max="1035" width="18.42578125" style="2345" customWidth="1"/>
    <col min="1036" max="1036" width="16" style="2345" bestFit="1" customWidth="1"/>
    <col min="1037" max="1280" width="9.140625" style="2345"/>
    <col min="1281" max="1281" width="4.7109375" style="2345" customWidth="1"/>
    <col min="1282" max="1282" width="6.7109375" style="2345" customWidth="1"/>
    <col min="1283" max="1283" width="8.85546875" style="2345" customWidth="1"/>
    <col min="1284" max="1284" width="47.85546875" style="2345" customWidth="1"/>
    <col min="1285" max="1285" width="12.85546875" style="2345" customWidth="1"/>
    <col min="1286" max="1286" width="15.5703125" style="2345" customWidth="1"/>
    <col min="1287" max="1287" width="15.85546875" style="2345" customWidth="1"/>
    <col min="1288" max="1288" width="6.42578125" style="2345" customWidth="1"/>
    <col min="1289" max="1290" width="9.140625" style="2345"/>
    <col min="1291" max="1291" width="18.42578125" style="2345" customWidth="1"/>
    <col min="1292" max="1292" width="16" style="2345" bestFit="1" customWidth="1"/>
    <col min="1293" max="1536" width="9.140625" style="2345"/>
    <col min="1537" max="1537" width="4.7109375" style="2345" customWidth="1"/>
    <col min="1538" max="1538" width="6.7109375" style="2345" customWidth="1"/>
    <col min="1539" max="1539" width="8.85546875" style="2345" customWidth="1"/>
    <col min="1540" max="1540" width="47.85546875" style="2345" customWidth="1"/>
    <col min="1541" max="1541" width="12.85546875" style="2345" customWidth="1"/>
    <col min="1542" max="1542" width="15.5703125" style="2345" customWidth="1"/>
    <col min="1543" max="1543" width="15.85546875" style="2345" customWidth="1"/>
    <col min="1544" max="1544" width="6.42578125" style="2345" customWidth="1"/>
    <col min="1545" max="1546" width="9.140625" style="2345"/>
    <col min="1547" max="1547" width="18.42578125" style="2345" customWidth="1"/>
    <col min="1548" max="1548" width="16" style="2345" bestFit="1" customWidth="1"/>
    <col min="1549" max="1792" width="9.140625" style="2345"/>
    <col min="1793" max="1793" width="4.7109375" style="2345" customWidth="1"/>
    <col min="1794" max="1794" width="6.7109375" style="2345" customWidth="1"/>
    <col min="1795" max="1795" width="8.85546875" style="2345" customWidth="1"/>
    <col min="1796" max="1796" width="47.85546875" style="2345" customWidth="1"/>
    <col min="1797" max="1797" width="12.85546875" style="2345" customWidth="1"/>
    <col min="1798" max="1798" width="15.5703125" style="2345" customWidth="1"/>
    <col min="1799" max="1799" width="15.85546875" style="2345" customWidth="1"/>
    <col min="1800" max="1800" width="6.42578125" style="2345" customWidth="1"/>
    <col min="1801" max="1802" width="9.140625" style="2345"/>
    <col min="1803" max="1803" width="18.42578125" style="2345" customWidth="1"/>
    <col min="1804" max="1804" width="16" style="2345" bestFit="1" customWidth="1"/>
    <col min="1805" max="2048" width="9.140625" style="2345"/>
    <col min="2049" max="2049" width="4.7109375" style="2345" customWidth="1"/>
    <col min="2050" max="2050" width="6.7109375" style="2345" customWidth="1"/>
    <col min="2051" max="2051" width="8.85546875" style="2345" customWidth="1"/>
    <col min="2052" max="2052" width="47.85546875" style="2345" customWidth="1"/>
    <col min="2053" max="2053" width="12.85546875" style="2345" customWidth="1"/>
    <col min="2054" max="2054" width="15.5703125" style="2345" customWidth="1"/>
    <col min="2055" max="2055" width="15.85546875" style="2345" customWidth="1"/>
    <col min="2056" max="2056" width="6.42578125" style="2345" customWidth="1"/>
    <col min="2057" max="2058" width="9.140625" style="2345"/>
    <col min="2059" max="2059" width="18.42578125" style="2345" customWidth="1"/>
    <col min="2060" max="2060" width="16" style="2345" bestFit="1" customWidth="1"/>
    <col min="2061" max="2304" width="9.140625" style="2345"/>
    <col min="2305" max="2305" width="4.7109375" style="2345" customWidth="1"/>
    <col min="2306" max="2306" width="6.7109375" style="2345" customWidth="1"/>
    <col min="2307" max="2307" width="8.85546875" style="2345" customWidth="1"/>
    <col min="2308" max="2308" width="47.85546875" style="2345" customWidth="1"/>
    <col min="2309" max="2309" width="12.85546875" style="2345" customWidth="1"/>
    <col min="2310" max="2310" width="15.5703125" style="2345" customWidth="1"/>
    <col min="2311" max="2311" width="15.85546875" style="2345" customWidth="1"/>
    <col min="2312" max="2312" width="6.42578125" style="2345" customWidth="1"/>
    <col min="2313" max="2314" width="9.140625" style="2345"/>
    <col min="2315" max="2315" width="18.42578125" style="2345" customWidth="1"/>
    <col min="2316" max="2316" width="16" style="2345" bestFit="1" customWidth="1"/>
    <col min="2317" max="2560" width="9.140625" style="2345"/>
    <col min="2561" max="2561" width="4.7109375" style="2345" customWidth="1"/>
    <col min="2562" max="2562" width="6.7109375" style="2345" customWidth="1"/>
    <col min="2563" max="2563" width="8.85546875" style="2345" customWidth="1"/>
    <col min="2564" max="2564" width="47.85546875" style="2345" customWidth="1"/>
    <col min="2565" max="2565" width="12.85546875" style="2345" customWidth="1"/>
    <col min="2566" max="2566" width="15.5703125" style="2345" customWidth="1"/>
    <col min="2567" max="2567" width="15.85546875" style="2345" customWidth="1"/>
    <col min="2568" max="2568" width="6.42578125" style="2345" customWidth="1"/>
    <col min="2569" max="2570" width="9.140625" style="2345"/>
    <col min="2571" max="2571" width="18.42578125" style="2345" customWidth="1"/>
    <col min="2572" max="2572" width="16" style="2345" bestFit="1" customWidth="1"/>
    <col min="2573" max="2816" width="9.140625" style="2345"/>
    <col min="2817" max="2817" width="4.7109375" style="2345" customWidth="1"/>
    <col min="2818" max="2818" width="6.7109375" style="2345" customWidth="1"/>
    <col min="2819" max="2819" width="8.85546875" style="2345" customWidth="1"/>
    <col min="2820" max="2820" width="47.85546875" style="2345" customWidth="1"/>
    <col min="2821" max="2821" width="12.85546875" style="2345" customWidth="1"/>
    <col min="2822" max="2822" width="15.5703125" style="2345" customWidth="1"/>
    <col min="2823" max="2823" width="15.85546875" style="2345" customWidth="1"/>
    <col min="2824" max="2824" width="6.42578125" style="2345" customWidth="1"/>
    <col min="2825" max="2826" width="9.140625" style="2345"/>
    <col min="2827" max="2827" width="18.42578125" style="2345" customWidth="1"/>
    <col min="2828" max="2828" width="16" style="2345" bestFit="1" customWidth="1"/>
    <col min="2829" max="3072" width="9.140625" style="2345"/>
    <col min="3073" max="3073" width="4.7109375" style="2345" customWidth="1"/>
    <col min="3074" max="3074" width="6.7109375" style="2345" customWidth="1"/>
    <col min="3075" max="3075" width="8.85546875" style="2345" customWidth="1"/>
    <col min="3076" max="3076" width="47.85546875" style="2345" customWidth="1"/>
    <col min="3077" max="3077" width="12.85546875" style="2345" customWidth="1"/>
    <col min="3078" max="3078" width="15.5703125" style="2345" customWidth="1"/>
    <col min="3079" max="3079" width="15.85546875" style="2345" customWidth="1"/>
    <col min="3080" max="3080" width="6.42578125" style="2345" customWidth="1"/>
    <col min="3081" max="3082" width="9.140625" style="2345"/>
    <col min="3083" max="3083" width="18.42578125" style="2345" customWidth="1"/>
    <col min="3084" max="3084" width="16" style="2345" bestFit="1" customWidth="1"/>
    <col min="3085" max="3328" width="9.140625" style="2345"/>
    <col min="3329" max="3329" width="4.7109375" style="2345" customWidth="1"/>
    <col min="3330" max="3330" width="6.7109375" style="2345" customWidth="1"/>
    <col min="3331" max="3331" width="8.85546875" style="2345" customWidth="1"/>
    <col min="3332" max="3332" width="47.85546875" style="2345" customWidth="1"/>
    <col min="3333" max="3333" width="12.85546875" style="2345" customWidth="1"/>
    <col min="3334" max="3334" width="15.5703125" style="2345" customWidth="1"/>
    <col min="3335" max="3335" width="15.85546875" style="2345" customWidth="1"/>
    <col min="3336" max="3336" width="6.42578125" style="2345" customWidth="1"/>
    <col min="3337" max="3338" width="9.140625" style="2345"/>
    <col min="3339" max="3339" width="18.42578125" style="2345" customWidth="1"/>
    <col min="3340" max="3340" width="16" style="2345" bestFit="1" customWidth="1"/>
    <col min="3341" max="3584" width="9.140625" style="2345"/>
    <col min="3585" max="3585" width="4.7109375" style="2345" customWidth="1"/>
    <col min="3586" max="3586" width="6.7109375" style="2345" customWidth="1"/>
    <col min="3587" max="3587" width="8.85546875" style="2345" customWidth="1"/>
    <col min="3588" max="3588" width="47.85546875" style="2345" customWidth="1"/>
    <col min="3589" max="3589" width="12.85546875" style="2345" customWidth="1"/>
    <col min="3590" max="3590" width="15.5703125" style="2345" customWidth="1"/>
    <col min="3591" max="3591" width="15.85546875" style="2345" customWidth="1"/>
    <col min="3592" max="3592" width="6.42578125" style="2345" customWidth="1"/>
    <col min="3593" max="3594" width="9.140625" style="2345"/>
    <col min="3595" max="3595" width="18.42578125" style="2345" customWidth="1"/>
    <col min="3596" max="3596" width="16" style="2345" bestFit="1" customWidth="1"/>
    <col min="3597" max="3840" width="9.140625" style="2345"/>
    <col min="3841" max="3841" width="4.7109375" style="2345" customWidth="1"/>
    <col min="3842" max="3842" width="6.7109375" style="2345" customWidth="1"/>
    <col min="3843" max="3843" width="8.85546875" style="2345" customWidth="1"/>
    <col min="3844" max="3844" width="47.85546875" style="2345" customWidth="1"/>
    <col min="3845" max="3845" width="12.85546875" style="2345" customWidth="1"/>
    <col min="3846" max="3846" width="15.5703125" style="2345" customWidth="1"/>
    <col min="3847" max="3847" width="15.85546875" style="2345" customWidth="1"/>
    <col min="3848" max="3848" width="6.42578125" style="2345" customWidth="1"/>
    <col min="3849" max="3850" width="9.140625" style="2345"/>
    <col min="3851" max="3851" width="18.42578125" style="2345" customWidth="1"/>
    <col min="3852" max="3852" width="16" style="2345" bestFit="1" customWidth="1"/>
    <col min="3853" max="4096" width="9.140625" style="2345"/>
    <col min="4097" max="4097" width="4.7109375" style="2345" customWidth="1"/>
    <col min="4098" max="4098" width="6.7109375" style="2345" customWidth="1"/>
    <col min="4099" max="4099" width="8.85546875" style="2345" customWidth="1"/>
    <col min="4100" max="4100" width="47.85546875" style="2345" customWidth="1"/>
    <col min="4101" max="4101" width="12.85546875" style="2345" customWidth="1"/>
    <col min="4102" max="4102" width="15.5703125" style="2345" customWidth="1"/>
    <col min="4103" max="4103" width="15.85546875" style="2345" customWidth="1"/>
    <col min="4104" max="4104" width="6.42578125" style="2345" customWidth="1"/>
    <col min="4105" max="4106" width="9.140625" style="2345"/>
    <col min="4107" max="4107" width="18.42578125" style="2345" customWidth="1"/>
    <col min="4108" max="4108" width="16" style="2345" bestFit="1" customWidth="1"/>
    <col min="4109" max="4352" width="9.140625" style="2345"/>
    <col min="4353" max="4353" width="4.7109375" style="2345" customWidth="1"/>
    <col min="4354" max="4354" width="6.7109375" style="2345" customWidth="1"/>
    <col min="4355" max="4355" width="8.85546875" style="2345" customWidth="1"/>
    <col min="4356" max="4356" width="47.85546875" style="2345" customWidth="1"/>
    <col min="4357" max="4357" width="12.85546875" style="2345" customWidth="1"/>
    <col min="4358" max="4358" width="15.5703125" style="2345" customWidth="1"/>
    <col min="4359" max="4359" width="15.85546875" style="2345" customWidth="1"/>
    <col min="4360" max="4360" width="6.42578125" style="2345" customWidth="1"/>
    <col min="4361" max="4362" width="9.140625" style="2345"/>
    <col min="4363" max="4363" width="18.42578125" style="2345" customWidth="1"/>
    <col min="4364" max="4364" width="16" style="2345" bestFit="1" customWidth="1"/>
    <col min="4365" max="4608" width="9.140625" style="2345"/>
    <col min="4609" max="4609" width="4.7109375" style="2345" customWidth="1"/>
    <col min="4610" max="4610" width="6.7109375" style="2345" customWidth="1"/>
    <col min="4611" max="4611" width="8.85546875" style="2345" customWidth="1"/>
    <col min="4612" max="4612" width="47.85546875" style="2345" customWidth="1"/>
    <col min="4613" max="4613" width="12.85546875" style="2345" customWidth="1"/>
    <col min="4614" max="4614" width="15.5703125" style="2345" customWidth="1"/>
    <col min="4615" max="4615" width="15.85546875" style="2345" customWidth="1"/>
    <col min="4616" max="4616" width="6.42578125" style="2345" customWidth="1"/>
    <col min="4617" max="4618" width="9.140625" style="2345"/>
    <col min="4619" max="4619" width="18.42578125" style="2345" customWidth="1"/>
    <col min="4620" max="4620" width="16" style="2345" bestFit="1" customWidth="1"/>
    <col min="4621" max="4864" width="9.140625" style="2345"/>
    <col min="4865" max="4865" width="4.7109375" style="2345" customWidth="1"/>
    <col min="4866" max="4866" width="6.7109375" style="2345" customWidth="1"/>
    <col min="4867" max="4867" width="8.85546875" style="2345" customWidth="1"/>
    <col min="4868" max="4868" width="47.85546875" style="2345" customWidth="1"/>
    <col min="4869" max="4869" width="12.85546875" style="2345" customWidth="1"/>
    <col min="4870" max="4870" width="15.5703125" style="2345" customWidth="1"/>
    <col min="4871" max="4871" width="15.85546875" style="2345" customWidth="1"/>
    <col min="4872" max="4872" width="6.42578125" style="2345" customWidth="1"/>
    <col min="4873" max="4874" width="9.140625" style="2345"/>
    <col min="4875" max="4875" width="18.42578125" style="2345" customWidth="1"/>
    <col min="4876" max="4876" width="16" style="2345" bestFit="1" customWidth="1"/>
    <col min="4877" max="5120" width="9.140625" style="2345"/>
    <col min="5121" max="5121" width="4.7109375" style="2345" customWidth="1"/>
    <col min="5122" max="5122" width="6.7109375" style="2345" customWidth="1"/>
    <col min="5123" max="5123" width="8.85546875" style="2345" customWidth="1"/>
    <col min="5124" max="5124" width="47.85546875" style="2345" customWidth="1"/>
    <col min="5125" max="5125" width="12.85546875" style="2345" customWidth="1"/>
    <col min="5126" max="5126" width="15.5703125" style="2345" customWidth="1"/>
    <col min="5127" max="5127" width="15.85546875" style="2345" customWidth="1"/>
    <col min="5128" max="5128" width="6.42578125" style="2345" customWidth="1"/>
    <col min="5129" max="5130" width="9.140625" style="2345"/>
    <col min="5131" max="5131" width="18.42578125" style="2345" customWidth="1"/>
    <col min="5132" max="5132" width="16" style="2345" bestFit="1" customWidth="1"/>
    <col min="5133" max="5376" width="9.140625" style="2345"/>
    <col min="5377" max="5377" width="4.7109375" style="2345" customWidth="1"/>
    <col min="5378" max="5378" width="6.7109375" style="2345" customWidth="1"/>
    <col min="5379" max="5379" width="8.85546875" style="2345" customWidth="1"/>
    <col min="5380" max="5380" width="47.85546875" style="2345" customWidth="1"/>
    <col min="5381" max="5381" width="12.85546875" style="2345" customWidth="1"/>
    <col min="5382" max="5382" width="15.5703125" style="2345" customWidth="1"/>
    <col min="5383" max="5383" width="15.85546875" style="2345" customWidth="1"/>
    <col min="5384" max="5384" width="6.42578125" style="2345" customWidth="1"/>
    <col min="5385" max="5386" width="9.140625" style="2345"/>
    <col min="5387" max="5387" width="18.42578125" style="2345" customWidth="1"/>
    <col min="5388" max="5388" width="16" style="2345" bestFit="1" customWidth="1"/>
    <col min="5389" max="5632" width="9.140625" style="2345"/>
    <col min="5633" max="5633" width="4.7109375" style="2345" customWidth="1"/>
    <col min="5634" max="5634" width="6.7109375" style="2345" customWidth="1"/>
    <col min="5635" max="5635" width="8.85546875" style="2345" customWidth="1"/>
    <col min="5636" max="5636" width="47.85546875" style="2345" customWidth="1"/>
    <col min="5637" max="5637" width="12.85546875" style="2345" customWidth="1"/>
    <col min="5638" max="5638" width="15.5703125" style="2345" customWidth="1"/>
    <col min="5639" max="5639" width="15.85546875" style="2345" customWidth="1"/>
    <col min="5640" max="5640" width="6.42578125" style="2345" customWidth="1"/>
    <col min="5641" max="5642" width="9.140625" style="2345"/>
    <col min="5643" max="5643" width="18.42578125" style="2345" customWidth="1"/>
    <col min="5644" max="5644" width="16" style="2345" bestFit="1" customWidth="1"/>
    <col min="5645" max="5888" width="9.140625" style="2345"/>
    <col min="5889" max="5889" width="4.7109375" style="2345" customWidth="1"/>
    <col min="5890" max="5890" width="6.7109375" style="2345" customWidth="1"/>
    <col min="5891" max="5891" width="8.85546875" style="2345" customWidth="1"/>
    <col min="5892" max="5892" width="47.85546875" style="2345" customWidth="1"/>
    <col min="5893" max="5893" width="12.85546875" style="2345" customWidth="1"/>
    <col min="5894" max="5894" width="15.5703125" style="2345" customWidth="1"/>
    <col min="5895" max="5895" width="15.85546875" style="2345" customWidth="1"/>
    <col min="5896" max="5896" width="6.42578125" style="2345" customWidth="1"/>
    <col min="5897" max="5898" width="9.140625" style="2345"/>
    <col min="5899" max="5899" width="18.42578125" style="2345" customWidth="1"/>
    <col min="5900" max="5900" width="16" style="2345" bestFit="1" customWidth="1"/>
    <col min="5901" max="6144" width="9.140625" style="2345"/>
    <col min="6145" max="6145" width="4.7109375" style="2345" customWidth="1"/>
    <col min="6146" max="6146" width="6.7109375" style="2345" customWidth="1"/>
    <col min="6147" max="6147" width="8.85546875" style="2345" customWidth="1"/>
    <col min="6148" max="6148" width="47.85546875" style="2345" customWidth="1"/>
    <col min="6149" max="6149" width="12.85546875" style="2345" customWidth="1"/>
    <col min="6150" max="6150" width="15.5703125" style="2345" customWidth="1"/>
    <col min="6151" max="6151" width="15.85546875" style="2345" customWidth="1"/>
    <col min="6152" max="6152" width="6.42578125" style="2345" customWidth="1"/>
    <col min="6153" max="6154" width="9.140625" style="2345"/>
    <col min="6155" max="6155" width="18.42578125" style="2345" customWidth="1"/>
    <col min="6156" max="6156" width="16" style="2345" bestFit="1" customWidth="1"/>
    <col min="6157" max="6400" width="9.140625" style="2345"/>
    <col min="6401" max="6401" width="4.7109375" style="2345" customWidth="1"/>
    <col min="6402" max="6402" width="6.7109375" style="2345" customWidth="1"/>
    <col min="6403" max="6403" width="8.85546875" style="2345" customWidth="1"/>
    <col min="6404" max="6404" width="47.85546875" style="2345" customWidth="1"/>
    <col min="6405" max="6405" width="12.85546875" style="2345" customWidth="1"/>
    <col min="6406" max="6406" width="15.5703125" style="2345" customWidth="1"/>
    <col min="6407" max="6407" width="15.85546875" style="2345" customWidth="1"/>
    <col min="6408" max="6408" width="6.42578125" style="2345" customWidth="1"/>
    <col min="6409" max="6410" width="9.140625" style="2345"/>
    <col min="6411" max="6411" width="18.42578125" style="2345" customWidth="1"/>
    <col min="6412" max="6412" width="16" style="2345" bestFit="1" customWidth="1"/>
    <col min="6413" max="6656" width="9.140625" style="2345"/>
    <col min="6657" max="6657" width="4.7109375" style="2345" customWidth="1"/>
    <col min="6658" max="6658" width="6.7109375" style="2345" customWidth="1"/>
    <col min="6659" max="6659" width="8.85546875" style="2345" customWidth="1"/>
    <col min="6660" max="6660" width="47.85546875" style="2345" customWidth="1"/>
    <col min="6661" max="6661" width="12.85546875" style="2345" customWidth="1"/>
    <col min="6662" max="6662" width="15.5703125" style="2345" customWidth="1"/>
    <col min="6663" max="6663" width="15.85546875" style="2345" customWidth="1"/>
    <col min="6664" max="6664" width="6.42578125" style="2345" customWidth="1"/>
    <col min="6665" max="6666" width="9.140625" style="2345"/>
    <col min="6667" max="6667" width="18.42578125" style="2345" customWidth="1"/>
    <col min="6668" max="6668" width="16" style="2345" bestFit="1" customWidth="1"/>
    <col min="6669" max="6912" width="9.140625" style="2345"/>
    <col min="6913" max="6913" width="4.7109375" style="2345" customWidth="1"/>
    <col min="6914" max="6914" width="6.7109375" style="2345" customWidth="1"/>
    <col min="6915" max="6915" width="8.85546875" style="2345" customWidth="1"/>
    <col min="6916" max="6916" width="47.85546875" style="2345" customWidth="1"/>
    <col min="6917" max="6917" width="12.85546875" style="2345" customWidth="1"/>
    <col min="6918" max="6918" width="15.5703125" style="2345" customWidth="1"/>
    <col min="6919" max="6919" width="15.85546875" style="2345" customWidth="1"/>
    <col min="6920" max="6920" width="6.42578125" style="2345" customWidth="1"/>
    <col min="6921" max="6922" width="9.140625" style="2345"/>
    <col min="6923" max="6923" width="18.42578125" style="2345" customWidth="1"/>
    <col min="6924" max="6924" width="16" style="2345" bestFit="1" customWidth="1"/>
    <col min="6925" max="7168" width="9.140625" style="2345"/>
    <col min="7169" max="7169" width="4.7109375" style="2345" customWidth="1"/>
    <col min="7170" max="7170" width="6.7109375" style="2345" customWidth="1"/>
    <col min="7171" max="7171" width="8.85546875" style="2345" customWidth="1"/>
    <col min="7172" max="7172" width="47.85546875" style="2345" customWidth="1"/>
    <col min="7173" max="7173" width="12.85546875" style="2345" customWidth="1"/>
    <col min="7174" max="7174" width="15.5703125" style="2345" customWidth="1"/>
    <col min="7175" max="7175" width="15.85546875" style="2345" customWidth="1"/>
    <col min="7176" max="7176" width="6.42578125" style="2345" customWidth="1"/>
    <col min="7177" max="7178" width="9.140625" style="2345"/>
    <col min="7179" max="7179" width="18.42578125" style="2345" customWidth="1"/>
    <col min="7180" max="7180" width="16" style="2345" bestFit="1" customWidth="1"/>
    <col min="7181" max="7424" width="9.140625" style="2345"/>
    <col min="7425" max="7425" width="4.7109375" style="2345" customWidth="1"/>
    <col min="7426" max="7426" width="6.7109375" style="2345" customWidth="1"/>
    <col min="7427" max="7427" width="8.85546875" style="2345" customWidth="1"/>
    <col min="7428" max="7428" width="47.85546875" style="2345" customWidth="1"/>
    <col min="7429" max="7429" width="12.85546875" style="2345" customWidth="1"/>
    <col min="7430" max="7430" width="15.5703125" style="2345" customWidth="1"/>
    <col min="7431" max="7431" width="15.85546875" style="2345" customWidth="1"/>
    <col min="7432" max="7432" width="6.42578125" style="2345" customWidth="1"/>
    <col min="7433" max="7434" width="9.140625" style="2345"/>
    <col min="7435" max="7435" width="18.42578125" style="2345" customWidth="1"/>
    <col min="7436" max="7436" width="16" style="2345" bestFit="1" customWidth="1"/>
    <col min="7437" max="7680" width="9.140625" style="2345"/>
    <col min="7681" max="7681" width="4.7109375" style="2345" customWidth="1"/>
    <col min="7682" max="7682" width="6.7109375" style="2345" customWidth="1"/>
    <col min="7683" max="7683" width="8.85546875" style="2345" customWidth="1"/>
    <col min="7684" max="7684" width="47.85546875" style="2345" customWidth="1"/>
    <col min="7685" max="7685" width="12.85546875" style="2345" customWidth="1"/>
    <col min="7686" max="7686" width="15.5703125" style="2345" customWidth="1"/>
    <col min="7687" max="7687" width="15.85546875" style="2345" customWidth="1"/>
    <col min="7688" max="7688" width="6.42578125" style="2345" customWidth="1"/>
    <col min="7689" max="7690" width="9.140625" style="2345"/>
    <col min="7691" max="7691" width="18.42578125" style="2345" customWidth="1"/>
    <col min="7692" max="7692" width="16" style="2345" bestFit="1" customWidth="1"/>
    <col min="7693" max="7936" width="9.140625" style="2345"/>
    <col min="7937" max="7937" width="4.7109375" style="2345" customWidth="1"/>
    <col min="7938" max="7938" width="6.7109375" style="2345" customWidth="1"/>
    <col min="7939" max="7939" width="8.85546875" style="2345" customWidth="1"/>
    <col min="7940" max="7940" width="47.85546875" style="2345" customWidth="1"/>
    <col min="7941" max="7941" width="12.85546875" style="2345" customWidth="1"/>
    <col min="7942" max="7942" width="15.5703125" style="2345" customWidth="1"/>
    <col min="7943" max="7943" width="15.85546875" style="2345" customWidth="1"/>
    <col min="7944" max="7944" width="6.42578125" style="2345" customWidth="1"/>
    <col min="7945" max="7946" width="9.140625" style="2345"/>
    <col min="7947" max="7947" width="18.42578125" style="2345" customWidth="1"/>
    <col min="7948" max="7948" width="16" style="2345" bestFit="1" customWidth="1"/>
    <col min="7949" max="8192" width="9.140625" style="2345"/>
    <col min="8193" max="8193" width="4.7109375" style="2345" customWidth="1"/>
    <col min="8194" max="8194" width="6.7109375" style="2345" customWidth="1"/>
    <col min="8195" max="8195" width="8.85546875" style="2345" customWidth="1"/>
    <col min="8196" max="8196" width="47.85546875" style="2345" customWidth="1"/>
    <col min="8197" max="8197" width="12.85546875" style="2345" customWidth="1"/>
    <col min="8198" max="8198" width="15.5703125" style="2345" customWidth="1"/>
    <col min="8199" max="8199" width="15.85546875" style="2345" customWidth="1"/>
    <col min="8200" max="8200" width="6.42578125" style="2345" customWidth="1"/>
    <col min="8201" max="8202" width="9.140625" style="2345"/>
    <col min="8203" max="8203" width="18.42578125" style="2345" customWidth="1"/>
    <col min="8204" max="8204" width="16" style="2345" bestFit="1" customWidth="1"/>
    <col min="8205" max="8448" width="9.140625" style="2345"/>
    <col min="8449" max="8449" width="4.7109375" style="2345" customWidth="1"/>
    <col min="8450" max="8450" width="6.7109375" style="2345" customWidth="1"/>
    <col min="8451" max="8451" width="8.85546875" style="2345" customWidth="1"/>
    <col min="8452" max="8452" width="47.85546875" style="2345" customWidth="1"/>
    <col min="8453" max="8453" width="12.85546875" style="2345" customWidth="1"/>
    <col min="8454" max="8454" width="15.5703125" style="2345" customWidth="1"/>
    <col min="8455" max="8455" width="15.85546875" style="2345" customWidth="1"/>
    <col min="8456" max="8456" width="6.42578125" style="2345" customWidth="1"/>
    <col min="8457" max="8458" width="9.140625" style="2345"/>
    <col min="8459" max="8459" width="18.42578125" style="2345" customWidth="1"/>
    <col min="8460" max="8460" width="16" style="2345" bestFit="1" customWidth="1"/>
    <col min="8461" max="8704" width="9.140625" style="2345"/>
    <col min="8705" max="8705" width="4.7109375" style="2345" customWidth="1"/>
    <col min="8706" max="8706" width="6.7109375" style="2345" customWidth="1"/>
    <col min="8707" max="8707" width="8.85546875" style="2345" customWidth="1"/>
    <col min="8708" max="8708" width="47.85546875" style="2345" customWidth="1"/>
    <col min="8709" max="8709" width="12.85546875" style="2345" customWidth="1"/>
    <col min="8710" max="8710" width="15.5703125" style="2345" customWidth="1"/>
    <col min="8711" max="8711" width="15.85546875" style="2345" customWidth="1"/>
    <col min="8712" max="8712" width="6.42578125" style="2345" customWidth="1"/>
    <col min="8713" max="8714" width="9.140625" style="2345"/>
    <col min="8715" max="8715" width="18.42578125" style="2345" customWidth="1"/>
    <col min="8716" max="8716" width="16" style="2345" bestFit="1" customWidth="1"/>
    <col min="8717" max="8960" width="9.140625" style="2345"/>
    <col min="8961" max="8961" width="4.7109375" style="2345" customWidth="1"/>
    <col min="8962" max="8962" width="6.7109375" style="2345" customWidth="1"/>
    <col min="8963" max="8963" width="8.85546875" style="2345" customWidth="1"/>
    <col min="8964" max="8964" width="47.85546875" style="2345" customWidth="1"/>
    <col min="8965" max="8965" width="12.85546875" style="2345" customWidth="1"/>
    <col min="8966" max="8966" width="15.5703125" style="2345" customWidth="1"/>
    <col min="8967" max="8967" width="15.85546875" style="2345" customWidth="1"/>
    <col min="8968" max="8968" width="6.42578125" style="2345" customWidth="1"/>
    <col min="8969" max="8970" width="9.140625" style="2345"/>
    <col min="8971" max="8971" width="18.42578125" style="2345" customWidth="1"/>
    <col min="8972" max="8972" width="16" style="2345" bestFit="1" customWidth="1"/>
    <col min="8973" max="9216" width="9.140625" style="2345"/>
    <col min="9217" max="9217" width="4.7109375" style="2345" customWidth="1"/>
    <col min="9218" max="9218" width="6.7109375" style="2345" customWidth="1"/>
    <col min="9219" max="9219" width="8.85546875" style="2345" customWidth="1"/>
    <col min="9220" max="9220" width="47.85546875" style="2345" customWidth="1"/>
    <col min="9221" max="9221" width="12.85546875" style="2345" customWidth="1"/>
    <col min="9222" max="9222" width="15.5703125" style="2345" customWidth="1"/>
    <col min="9223" max="9223" width="15.85546875" style="2345" customWidth="1"/>
    <col min="9224" max="9224" width="6.42578125" style="2345" customWidth="1"/>
    <col min="9225" max="9226" width="9.140625" style="2345"/>
    <col min="9227" max="9227" width="18.42578125" style="2345" customWidth="1"/>
    <col min="9228" max="9228" width="16" style="2345" bestFit="1" customWidth="1"/>
    <col min="9229" max="9472" width="9.140625" style="2345"/>
    <col min="9473" max="9473" width="4.7109375" style="2345" customWidth="1"/>
    <col min="9474" max="9474" width="6.7109375" style="2345" customWidth="1"/>
    <col min="9475" max="9475" width="8.85546875" style="2345" customWidth="1"/>
    <col min="9476" max="9476" width="47.85546875" style="2345" customWidth="1"/>
    <col min="9477" max="9477" width="12.85546875" style="2345" customWidth="1"/>
    <col min="9478" max="9478" width="15.5703125" style="2345" customWidth="1"/>
    <col min="9479" max="9479" width="15.85546875" style="2345" customWidth="1"/>
    <col min="9480" max="9480" width="6.42578125" style="2345" customWidth="1"/>
    <col min="9481" max="9482" width="9.140625" style="2345"/>
    <col min="9483" max="9483" width="18.42578125" style="2345" customWidth="1"/>
    <col min="9484" max="9484" width="16" style="2345" bestFit="1" customWidth="1"/>
    <col min="9485" max="9728" width="9.140625" style="2345"/>
    <col min="9729" max="9729" width="4.7109375" style="2345" customWidth="1"/>
    <col min="9730" max="9730" width="6.7109375" style="2345" customWidth="1"/>
    <col min="9731" max="9731" width="8.85546875" style="2345" customWidth="1"/>
    <col min="9732" max="9732" width="47.85546875" style="2345" customWidth="1"/>
    <col min="9733" max="9733" width="12.85546875" style="2345" customWidth="1"/>
    <col min="9734" max="9734" width="15.5703125" style="2345" customWidth="1"/>
    <col min="9735" max="9735" width="15.85546875" style="2345" customWidth="1"/>
    <col min="9736" max="9736" width="6.42578125" style="2345" customWidth="1"/>
    <col min="9737" max="9738" width="9.140625" style="2345"/>
    <col min="9739" max="9739" width="18.42578125" style="2345" customWidth="1"/>
    <col min="9740" max="9740" width="16" style="2345" bestFit="1" customWidth="1"/>
    <col min="9741" max="9984" width="9.140625" style="2345"/>
    <col min="9985" max="9985" width="4.7109375" style="2345" customWidth="1"/>
    <col min="9986" max="9986" width="6.7109375" style="2345" customWidth="1"/>
    <col min="9987" max="9987" width="8.85546875" style="2345" customWidth="1"/>
    <col min="9988" max="9988" width="47.85546875" style="2345" customWidth="1"/>
    <col min="9989" max="9989" width="12.85546875" style="2345" customWidth="1"/>
    <col min="9990" max="9990" width="15.5703125" style="2345" customWidth="1"/>
    <col min="9991" max="9991" width="15.85546875" style="2345" customWidth="1"/>
    <col min="9992" max="9992" width="6.42578125" style="2345" customWidth="1"/>
    <col min="9993" max="9994" width="9.140625" style="2345"/>
    <col min="9995" max="9995" width="18.42578125" style="2345" customWidth="1"/>
    <col min="9996" max="9996" width="16" style="2345" bestFit="1" customWidth="1"/>
    <col min="9997" max="10240" width="9.140625" style="2345"/>
    <col min="10241" max="10241" width="4.7109375" style="2345" customWidth="1"/>
    <col min="10242" max="10242" width="6.7109375" style="2345" customWidth="1"/>
    <col min="10243" max="10243" width="8.85546875" style="2345" customWidth="1"/>
    <col min="10244" max="10244" width="47.85546875" style="2345" customWidth="1"/>
    <col min="10245" max="10245" width="12.85546875" style="2345" customWidth="1"/>
    <col min="10246" max="10246" width="15.5703125" style="2345" customWidth="1"/>
    <col min="10247" max="10247" width="15.85546875" style="2345" customWidth="1"/>
    <col min="10248" max="10248" width="6.42578125" style="2345" customWidth="1"/>
    <col min="10249" max="10250" width="9.140625" style="2345"/>
    <col min="10251" max="10251" width="18.42578125" style="2345" customWidth="1"/>
    <col min="10252" max="10252" width="16" style="2345" bestFit="1" customWidth="1"/>
    <col min="10253" max="10496" width="9.140625" style="2345"/>
    <col min="10497" max="10497" width="4.7109375" style="2345" customWidth="1"/>
    <col min="10498" max="10498" width="6.7109375" style="2345" customWidth="1"/>
    <col min="10499" max="10499" width="8.85546875" style="2345" customWidth="1"/>
    <col min="10500" max="10500" width="47.85546875" style="2345" customWidth="1"/>
    <col min="10501" max="10501" width="12.85546875" style="2345" customWidth="1"/>
    <col min="10502" max="10502" width="15.5703125" style="2345" customWidth="1"/>
    <col min="10503" max="10503" width="15.85546875" style="2345" customWidth="1"/>
    <col min="10504" max="10504" width="6.42578125" style="2345" customWidth="1"/>
    <col min="10505" max="10506" width="9.140625" style="2345"/>
    <col min="10507" max="10507" width="18.42578125" style="2345" customWidth="1"/>
    <col min="10508" max="10508" width="16" style="2345" bestFit="1" customWidth="1"/>
    <col min="10509" max="10752" width="9.140625" style="2345"/>
    <col min="10753" max="10753" width="4.7109375" style="2345" customWidth="1"/>
    <col min="10754" max="10754" width="6.7109375" style="2345" customWidth="1"/>
    <col min="10755" max="10755" width="8.85546875" style="2345" customWidth="1"/>
    <col min="10756" max="10756" width="47.85546875" style="2345" customWidth="1"/>
    <col min="10757" max="10757" width="12.85546875" style="2345" customWidth="1"/>
    <col min="10758" max="10758" width="15.5703125" style="2345" customWidth="1"/>
    <col min="10759" max="10759" width="15.85546875" style="2345" customWidth="1"/>
    <col min="10760" max="10760" width="6.42578125" style="2345" customWidth="1"/>
    <col min="10761" max="10762" width="9.140625" style="2345"/>
    <col min="10763" max="10763" width="18.42578125" style="2345" customWidth="1"/>
    <col min="10764" max="10764" width="16" style="2345" bestFit="1" customWidth="1"/>
    <col min="10765" max="11008" width="9.140625" style="2345"/>
    <col min="11009" max="11009" width="4.7109375" style="2345" customWidth="1"/>
    <col min="11010" max="11010" width="6.7109375" style="2345" customWidth="1"/>
    <col min="11011" max="11011" width="8.85546875" style="2345" customWidth="1"/>
    <col min="11012" max="11012" width="47.85546875" style="2345" customWidth="1"/>
    <col min="11013" max="11013" width="12.85546875" style="2345" customWidth="1"/>
    <col min="11014" max="11014" width="15.5703125" style="2345" customWidth="1"/>
    <col min="11015" max="11015" width="15.85546875" style="2345" customWidth="1"/>
    <col min="11016" max="11016" width="6.42578125" style="2345" customWidth="1"/>
    <col min="11017" max="11018" width="9.140625" style="2345"/>
    <col min="11019" max="11019" width="18.42578125" style="2345" customWidth="1"/>
    <col min="11020" max="11020" width="16" style="2345" bestFit="1" customWidth="1"/>
    <col min="11021" max="11264" width="9.140625" style="2345"/>
    <col min="11265" max="11265" width="4.7109375" style="2345" customWidth="1"/>
    <col min="11266" max="11266" width="6.7109375" style="2345" customWidth="1"/>
    <col min="11267" max="11267" width="8.85546875" style="2345" customWidth="1"/>
    <col min="11268" max="11268" width="47.85546875" style="2345" customWidth="1"/>
    <col min="11269" max="11269" width="12.85546875" style="2345" customWidth="1"/>
    <col min="11270" max="11270" width="15.5703125" style="2345" customWidth="1"/>
    <col min="11271" max="11271" width="15.85546875" style="2345" customWidth="1"/>
    <col min="11272" max="11272" width="6.42578125" style="2345" customWidth="1"/>
    <col min="11273" max="11274" width="9.140625" style="2345"/>
    <col min="11275" max="11275" width="18.42578125" style="2345" customWidth="1"/>
    <col min="11276" max="11276" width="16" style="2345" bestFit="1" customWidth="1"/>
    <col min="11277" max="11520" width="9.140625" style="2345"/>
    <col min="11521" max="11521" width="4.7109375" style="2345" customWidth="1"/>
    <col min="11522" max="11522" width="6.7109375" style="2345" customWidth="1"/>
    <col min="11523" max="11523" width="8.85546875" style="2345" customWidth="1"/>
    <col min="11524" max="11524" width="47.85546875" style="2345" customWidth="1"/>
    <col min="11525" max="11525" width="12.85546875" style="2345" customWidth="1"/>
    <col min="11526" max="11526" width="15.5703125" style="2345" customWidth="1"/>
    <col min="11527" max="11527" width="15.85546875" style="2345" customWidth="1"/>
    <col min="11528" max="11528" width="6.42578125" style="2345" customWidth="1"/>
    <col min="11529" max="11530" width="9.140625" style="2345"/>
    <col min="11531" max="11531" width="18.42578125" style="2345" customWidth="1"/>
    <col min="11532" max="11532" width="16" style="2345" bestFit="1" customWidth="1"/>
    <col min="11533" max="11776" width="9.140625" style="2345"/>
    <col min="11777" max="11777" width="4.7109375" style="2345" customWidth="1"/>
    <col min="11778" max="11778" width="6.7109375" style="2345" customWidth="1"/>
    <col min="11779" max="11779" width="8.85546875" style="2345" customWidth="1"/>
    <col min="11780" max="11780" width="47.85546875" style="2345" customWidth="1"/>
    <col min="11781" max="11781" width="12.85546875" style="2345" customWidth="1"/>
    <col min="11782" max="11782" width="15.5703125" style="2345" customWidth="1"/>
    <col min="11783" max="11783" width="15.85546875" style="2345" customWidth="1"/>
    <col min="11784" max="11784" width="6.42578125" style="2345" customWidth="1"/>
    <col min="11785" max="11786" width="9.140625" style="2345"/>
    <col min="11787" max="11787" width="18.42578125" style="2345" customWidth="1"/>
    <col min="11788" max="11788" width="16" style="2345" bestFit="1" customWidth="1"/>
    <col min="11789" max="12032" width="9.140625" style="2345"/>
    <col min="12033" max="12033" width="4.7109375" style="2345" customWidth="1"/>
    <col min="12034" max="12034" width="6.7109375" style="2345" customWidth="1"/>
    <col min="12035" max="12035" width="8.85546875" style="2345" customWidth="1"/>
    <col min="12036" max="12036" width="47.85546875" style="2345" customWidth="1"/>
    <col min="12037" max="12037" width="12.85546875" style="2345" customWidth="1"/>
    <col min="12038" max="12038" width="15.5703125" style="2345" customWidth="1"/>
    <col min="12039" max="12039" width="15.85546875" style="2345" customWidth="1"/>
    <col min="12040" max="12040" width="6.42578125" style="2345" customWidth="1"/>
    <col min="12041" max="12042" width="9.140625" style="2345"/>
    <col min="12043" max="12043" width="18.42578125" style="2345" customWidth="1"/>
    <col min="12044" max="12044" width="16" style="2345" bestFit="1" customWidth="1"/>
    <col min="12045" max="12288" width="9.140625" style="2345"/>
    <col min="12289" max="12289" width="4.7109375" style="2345" customWidth="1"/>
    <col min="12290" max="12290" width="6.7109375" style="2345" customWidth="1"/>
    <col min="12291" max="12291" width="8.85546875" style="2345" customWidth="1"/>
    <col min="12292" max="12292" width="47.85546875" style="2345" customWidth="1"/>
    <col min="12293" max="12293" width="12.85546875" style="2345" customWidth="1"/>
    <col min="12294" max="12294" width="15.5703125" style="2345" customWidth="1"/>
    <col min="12295" max="12295" width="15.85546875" style="2345" customWidth="1"/>
    <col min="12296" max="12296" width="6.42578125" style="2345" customWidth="1"/>
    <col min="12297" max="12298" width="9.140625" style="2345"/>
    <col min="12299" max="12299" width="18.42578125" style="2345" customWidth="1"/>
    <col min="12300" max="12300" width="16" style="2345" bestFit="1" customWidth="1"/>
    <col min="12301" max="12544" width="9.140625" style="2345"/>
    <col min="12545" max="12545" width="4.7109375" style="2345" customWidth="1"/>
    <col min="12546" max="12546" width="6.7109375" style="2345" customWidth="1"/>
    <col min="12547" max="12547" width="8.85546875" style="2345" customWidth="1"/>
    <col min="12548" max="12548" width="47.85546875" style="2345" customWidth="1"/>
    <col min="12549" max="12549" width="12.85546875" style="2345" customWidth="1"/>
    <col min="12550" max="12550" width="15.5703125" style="2345" customWidth="1"/>
    <col min="12551" max="12551" width="15.85546875" style="2345" customWidth="1"/>
    <col min="12552" max="12552" width="6.42578125" style="2345" customWidth="1"/>
    <col min="12553" max="12554" width="9.140625" style="2345"/>
    <col min="12555" max="12555" width="18.42578125" style="2345" customWidth="1"/>
    <col min="12556" max="12556" width="16" style="2345" bestFit="1" customWidth="1"/>
    <col min="12557" max="12800" width="9.140625" style="2345"/>
    <col min="12801" max="12801" width="4.7109375" style="2345" customWidth="1"/>
    <col min="12802" max="12802" width="6.7109375" style="2345" customWidth="1"/>
    <col min="12803" max="12803" width="8.85546875" style="2345" customWidth="1"/>
    <col min="12804" max="12804" width="47.85546875" style="2345" customWidth="1"/>
    <col min="12805" max="12805" width="12.85546875" style="2345" customWidth="1"/>
    <col min="12806" max="12806" width="15.5703125" style="2345" customWidth="1"/>
    <col min="12807" max="12807" width="15.85546875" style="2345" customWidth="1"/>
    <col min="12808" max="12808" width="6.42578125" style="2345" customWidth="1"/>
    <col min="12809" max="12810" width="9.140625" style="2345"/>
    <col min="12811" max="12811" width="18.42578125" style="2345" customWidth="1"/>
    <col min="12812" max="12812" width="16" style="2345" bestFit="1" customWidth="1"/>
    <col min="12813" max="13056" width="9.140625" style="2345"/>
    <col min="13057" max="13057" width="4.7109375" style="2345" customWidth="1"/>
    <col min="13058" max="13058" width="6.7109375" style="2345" customWidth="1"/>
    <col min="13059" max="13059" width="8.85546875" style="2345" customWidth="1"/>
    <col min="13060" max="13060" width="47.85546875" style="2345" customWidth="1"/>
    <col min="13061" max="13061" width="12.85546875" style="2345" customWidth="1"/>
    <col min="13062" max="13062" width="15.5703125" style="2345" customWidth="1"/>
    <col min="13063" max="13063" width="15.85546875" style="2345" customWidth="1"/>
    <col min="13064" max="13064" width="6.42578125" style="2345" customWidth="1"/>
    <col min="13065" max="13066" width="9.140625" style="2345"/>
    <col min="13067" max="13067" width="18.42578125" style="2345" customWidth="1"/>
    <col min="13068" max="13068" width="16" style="2345" bestFit="1" customWidth="1"/>
    <col min="13069" max="13312" width="9.140625" style="2345"/>
    <col min="13313" max="13313" width="4.7109375" style="2345" customWidth="1"/>
    <col min="13314" max="13314" width="6.7109375" style="2345" customWidth="1"/>
    <col min="13315" max="13315" width="8.85546875" style="2345" customWidth="1"/>
    <col min="13316" max="13316" width="47.85546875" style="2345" customWidth="1"/>
    <col min="13317" max="13317" width="12.85546875" style="2345" customWidth="1"/>
    <col min="13318" max="13318" width="15.5703125" style="2345" customWidth="1"/>
    <col min="13319" max="13319" width="15.85546875" style="2345" customWidth="1"/>
    <col min="13320" max="13320" width="6.42578125" style="2345" customWidth="1"/>
    <col min="13321" max="13322" width="9.140625" style="2345"/>
    <col min="13323" max="13323" width="18.42578125" style="2345" customWidth="1"/>
    <col min="13324" max="13324" width="16" style="2345" bestFit="1" customWidth="1"/>
    <col min="13325" max="13568" width="9.140625" style="2345"/>
    <col min="13569" max="13569" width="4.7109375" style="2345" customWidth="1"/>
    <col min="13570" max="13570" width="6.7109375" style="2345" customWidth="1"/>
    <col min="13571" max="13571" width="8.85546875" style="2345" customWidth="1"/>
    <col min="13572" max="13572" width="47.85546875" style="2345" customWidth="1"/>
    <col min="13573" max="13573" width="12.85546875" style="2345" customWidth="1"/>
    <col min="13574" max="13574" width="15.5703125" style="2345" customWidth="1"/>
    <col min="13575" max="13575" width="15.85546875" style="2345" customWidth="1"/>
    <col min="13576" max="13576" width="6.42578125" style="2345" customWidth="1"/>
    <col min="13577" max="13578" width="9.140625" style="2345"/>
    <col min="13579" max="13579" width="18.42578125" style="2345" customWidth="1"/>
    <col min="13580" max="13580" width="16" style="2345" bestFit="1" customWidth="1"/>
    <col min="13581" max="13824" width="9.140625" style="2345"/>
    <col min="13825" max="13825" width="4.7109375" style="2345" customWidth="1"/>
    <col min="13826" max="13826" width="6.7109375" style="2345" customWidth="1"/>
    <col min="13827" max="13827" width="8.85546875" style="2345" customWidth="1"/>
    <col min="13828" max="13828" width="47.85546875" style="2345" customWidth="1"/>
    <col min="13829" max="13829" width="12.85546875" style="2345" customWidth="1"/>
    <col min="13830" max="13830" width="15.5703125" style="2345" customWidth="1"/>
    <col min="13831" max="13831" width="15.85546875" style="2345" customWidth="1"/>
    <col min="13832" max="13832" width="6.42578125" style="2345" customWidth="1"/>
    <col min="13833" max="13834" width="9.140625" style="2345"/>
    <col min="13835" max="13835" width="18.42578125" style="2345" customWidth="1"/>
    <col min="13836" max="13836" width="16" style="2345" bestFit="1" customWidth="1"/>
    <col min="13837" max="14080" width="9.140625" style="2345"/>
    <col min="14081" max="14081" width="4.7109375" style="2345" customWidth="1"/>
    <col min="14082" max="14082" width="6.7109375" style="2345" customWidth="1"/>
    <col min="14083" max="14083" width="8.85546875" style="2345" customWidth="1"/>
    <col min="14084" max="14084" width="47.85546875" style="2345" customWidth="1"/>
    <col min="14085" max="14085" width="12.85546875" style="2345" customWidth="1"/>
    <col min="14086" max="14086" width="15.5703125" style="2345" customWidth="1"/>
    <col min="14087" max="14087" width="15.85546875" style="2345" customWidth="1"/>
    <col min="14088" max="14088" width="6.42578125" style="2345" customWidth="1"/>
    <col min="14089" max="14090" width="9.140625" style="2345"/>
    <col min="14091" max="14091" width="18.42578125" style="2345" customWidth="1"/>
    <col min="14092" max="14092" width="16" style="2345" bestFit="1" customWidth="1"/>
    <col min="14093" max="14336" width="9.140625" style="2345"/>
    <col min="14337" max="14337" width="4.7109375" style="2345" customWidth="1"/>
    <col min="14338" max="14338" width="6.7109375" style="2345" customWidth="1"/>
    <col min="14339" max="14339" width="8.85546875" style="2345" customWidth="1"/>
    <col min="14340" max="14340" width="47.85546875" style="2345" customWidth="1"/>
    <col min="14341" max="14341" width="12.85546875" style="2345" customWidth="1"/>
    <col min="14342" max="14342" width="15.5703125" style="2345" customWidth="1"/>
    <col min="14343" max="14343" width="15.85546875" style="2345" customWidth="1"/>
    <col min="14344" max="14344" width="6.42578125" style="2345" customWidth="1"/>
    <col min="14345" max="14346" width="9.140625" style="2345"/>
    <col min="14347" max="14347" width="18.42578125" style="2345" customWidth="1"/>
    <col min="14348" max="14348" width="16" style="2345" bestFit="1" customWidth="1"/>
    <col min="14349" max="14592" width="9.140625" style="2345"/>
    <col min="14593" max="14593" width="4.7109375" style="2345" customWidth="1"/>
    <col min="14594" max="14594" width="6.7109375" style="2345" customWidth="1"/>
    <col min="14595" max="14595" width="8.85546875" style="2345" customWidth="1"/>
    <col min="14596" max="14596" width="47.85546875" style="2345" customWidth="1"/>
    <col min="14597" max="14597" width="12.85546875" style="2345" customWidth="1"/>
    <col min="14598" max="14598" width="15.5703125" style="2345" customWidth="1"/>
    <col min="14599" max="14599" width="15.85546875" style="2345" customWidth="1"/>
    <col min="14600" max="14600" width="6.42578125" style="2345" customWidth="1"/>
    <col min="14601" max="14602" width="9.140625" style="2345"/>
    <col min="14603" max="14603" width="18.42578125" style="2345" customWidth="1"/>
    <col min="14604" max="14604" width="16" style="2345" bestFit="1" customWidth="1"/>
    <col min="14605" max="14848" width="9.140625" style="2345"/>
    <col min="14849" max="14849" width="4.7109375" style="2345" customWidth="1"/>
    <col min="14850" max="14850" width="6.7109375" style="2345" customWidth="1"/>
    <col min="14851" max="14851" width="8.85546875" style="2345" customWidth="1"/>
    <col min="14852" max="14852" width="47.85546875" style="2345" customWidth="1"/>
    <col min="14853" max="14853" width="12.85546875" style="2345" customWidth="1"/>
    <col min="14854" max="14854" width="15.5703125" style="2345" customWidth="1"/>
    <col min="14855" max="14855" width="15.85546875" style="2345" customWidth="1"/>
    <col min="14856" max="14856" width="6.42578125" style="2345" customWidth="1"/>
    <col min="14857" max="14858" width="9.140625" style="2345"/>
    <col min="14859" max="14859" width="18.42578125" style="2345" customWidth="1"/>
    <col min="14860" max="14860" width="16" style="2345" bestFit="1" customWidth="1"/>
    <col min="14861" max="15104" width="9.140625" style="2345"/>
    <col min="15105" max="15105" width="4.7109375" style="2345" customWidth="1"/>
    <col min="15106" max="15106" width="6.7109375" style="2345" customWidth="1"/>
    <col min="15107" max="15107" width="8.85546875" style="2345" customWidth="1"/>
    <col min="15108" max="15108" width="47.85546875" style="2345" customWidth="1"/>
    <col min="15109" max="15109" width="12.85546875" style="2345" customWidth="1"/>
    <col min="15110" max="15110" width="15.5703125" style="2345" customWidth="1"/>
    <col min="15111" max="15111" width="15.85546875" style="2345" customWidth="1"/>
    <col min="15112" max="15112" width="6.42578125" style="2345" customWidth="1"/>
    <col min="15113" max="15114" width="9.140625" style="2345"/>
    <col min="15115" max="15115" width="18.42578125" style="2345" customWidth="1"/>
    <col min="15116" max="15116" width="16" style="2345" bestFit="1" customWidth="1"/>
    <col min="15117" max="15360" width="9.140625" style="2345"/>
    <col min="15361" max="15361" width="4.7109375" style="2345" customWidth="1"/>
    <col min="15362" max="15362" width="6.7109375" style="2345" customWidth="1"/>
    <col min="15363" max="15363" width="8.85546875" style="2345" customWidth="1"/>
    <col min="15364" max="15364" width="47.85546875" style="2345" customWidth="1"/>
    <col min="15365" max="15365" width="12.85546875" style="2345" customWidth="1"/>
    <col min="15366" max="15366" width="15.5703125" style="2345" customWidth="1"/>
    <col min="15367" max="15367" width="15.85546875" style="2345" customWidth="1"/>
    <col min="15368" max="15368" width="6.42578125" style="2345" customWidth="1"/>
    <col min="15369" max="15370" width="9.140625" style="2345"/>
    <col min="15371" max="15371" width="18.42578125" style="2345" customWidth="1"/>
    <col min="15372" max="15372" width="16" style="2345" bestFit="1" customWidth="1"/>
    <col min="15373" max="15616" width="9.140625" style="2345"/>
    <col min="15617" max="15617" width="4.7109375" style="2345" customWidth="1"/>
    <col min="15618" max="15618" width="6.7109375" style="2345" customWidth="1"/>
    <col min="15619" max="15619" width="8.85546875" style="2345" customWidth="1"/>
    <col min="15620" max="15620" width="47.85546875" style="2345" customWidth="1"/>
    <col min="15621" max="15621" width="12.85546875" style="2345" customWidth="1"/>
    <col min="15622" max="15622" width="15.5703125" style="2345" customWidth="1"/>
    <col min="15623" max="15623" width="15.85546875" style="2345" customWidth="1"/>
    <col min="15624" max="15624" width="6.42578125" style="2345" customWidth="1"/>
    <col min="15625" max="15626" width="9.140625" style="2345"/>
    <col min="15627" max="15627" width="18.42578125" style="2345" customWidth="1"/>
    <col min="15628" max="15628" width="16" style="2345" bestFit="1" customWidth="1"/>
    <col min="15629" max="15872" width="9.140625" style="2345"/>
    <col min="15873" max="15873" width="4.7109375" style="2345" customWidth="1"/>
    <col min="15874" max="15874" width="6.7109375" style="2345" customWidth="1"/>
    <col min="15875" max="15875" width="8.85546875" style="2345" customWidth="1"/>
    <col min="15876" max="15876" width="47.85546875" style="2345" customWidth="1"/>
    <col min="15877" max="15877" width="12.85546875" style="2345" customWidth="1"/>
    <col min="15878" max="15878" width="15.5703125" style="2345" customWidth="1"/>
    <col min="15879" max="15879" width="15.85546875" style="2345" customWidth="1"/>
    <col min="15880" max="15880" width="6.42578125" style="2345" customWidth="1"/>
    <col min="15881" max="15882" width="9.140625" style="2345"/>
    <col min="15883" max="15883" width="18.42578125" style="2345" customWidth="1"/>
    <col min="15884" max="15884" width="16" style="2345" bestFit="1" customWidth="1"/>
    <col min="15885" max="16128" width="9.140625" style="2345"/>
    <col min="16129" max="16129" width="4.7109375" style="2345" customWidth="1"/>
    <col min="16130" max="16130" width="6.7109375" style="2345" customWidth="1"/>
    <col min="16131" max="16131" width="8.85546875" style="2345" customWidth="1"/>
    <col min="16132" max="16132" width="47.85546875" style="2345" customWidth="1"/>
    <col min="16133" max="16133" width="12.85546875" style="2345" customWidth="1"/>
    <col min="16134" max="16134" width="15.5703125" style="2345" customWidth="1"/>
    <col min="16135" max="16135" width="15.85546875" style="2345" customWidth="1"/>
    <col min="16136" max="16136" width="6.42578125" style="2345" customWidth="1"/>
    <col min="16137" max="16138" width="9.140625" style="2345"/>
    <col min="16139" max="16139" width="18.42578125" style="2345" customWidth="1"/>
    <col min="16140" max="16140" width="16" style="2345" bestFit="1" customWidth="1"/>
    <col min="16141" max="16384" width="9.140625" style="2345"/>
  </cols>
  <sheetData>
    <row r="1" spans="1:8" ht="18.75" thickBot="1" x14ac:dyDescent="0.3">
      <c r="A1" s="2339" t="s">
        <v>1605</v>
      </c>
      <c r="B1" s="2340"/>
      <c r="C1" s="2341"/>
      <c r="D1" s="2342"/>
      <c r="E1" s="2343"/>
      <c r="F1" s="2342"/>
      <c r="G1" s="2344"/>
      <c r="H1" s="2339"/>
    </row>
    <row r="2" spans="1:8" ht="18" x14ac:dyDescent="0.25">
      <c r="A2" s="2346"/>
      <c r="B2" s="2347"/>
      <c r="C2" s="2347"/>
      <c r="D2" s="2347"/>
      <c r="E2" s="2347"/>
      <c r="F2" s="2347"/>
      <c r="G2" s="2347"/>
      <c r="H2" s="2348" t="s">
        <v>1604</v>
      </c>
    </row>
    <row r="3" spans="1:8" ht="18" x14ac:dyDescent="0.25">
      <c r="A3" s="2349" t="s">
        <v>404</v>
      </c>
      <c r="B3" s="2347"/>
      <c r="C3" s="2350" t="s">
        <v>379</v>
      </c>
      <c r="D3" s="2347"/>
      <c r="E3" s="2347"/>
      <c r="F3" s="2347"/>
      <c r="G3" s="2347"/>
      <c r="H3" s="2348"/>
    </row>
    <row r="4" spans="1:8" ht="18" x14ac:dyDescent="0.25">
      <c r="A4" s="2346"/>
      <c r="B4" s="2347"/>
      <c r="C4" s="2350" t="s">
        <v>380</v>
      </c>
      <c r="D4" s="2347"/>
      <c r="E4" s="2347"/>
      <c r="F4" s="2347"/>
      <c r="G4" s="2347"/>
      <c r="H4" s="2348"/>
    </row>
    <row r="5" spans="1:8" ht="18" x14ac:dyDescent="0.25">
      <c r="A5" s="2351" t="s">
        <v>1603</v>
      </c>
      <c r="B5" s="2347"/>
      <c r="C5" s="2347"/>
      <c r="D5" s="2347"/>
      <c r="E5" s="2347"/>
      <c r="F5" s="2347"/>
      <c r="G5" s="2347"/>
      <c r="H5" s="2348"/>
    </row>
    <row r="6" spans="1:8" x14ac:dyDescent="0.2">
      <c r="A6" s="2352"/>
      <c r="B6" s="2352"/>
      <c r="C6" s="2352"/>
      <c r="E6" s="2353"/>
      <c r="F6" s="2353"/>
      <c r="G6" s="2353"/>
    </row>
    <row r="7" spans="1:8" ht="15.75" thickBot="1" x14ac:dyDescent="0.3">
      <c r="A7" s="2338" t="s">
        <v>273</v>
      </c>
      <c r="B7" s="2352"/>
      <c r="C7" s="2352"/>
      <c r="E7" s="2353"/>
      <c r="F7" s="2353"/>
      <c r="G7" s="2353"/>
      <c r="H7" s="2354" t="s">
        <v>179</v>
      </c>
    </row>
    <row r="8" spans="1:8" ht="25.5" thickTop="1" thickBot="1" x14ac:dyDescent="0.25">
      <c r="A8" s="2138" t="s">
        <v>180</v>
      </c>
      <c r="B8" s="2139" t="s">
        <v>847</v>
      </c>
      <c r="C8" s="2139" t="s">
        <v>414</v>
      </c>
      <c r="D8" s="2140" t="s">
        <v>182</v>
      </c>
      <c r="E8" s="2171" t="s">
        <v>700</v>
      </c>
      <c r="F8" s="2171" t="s">
        <v>701</v>
      </c>
      <c r="G8" s="2172" t="s">
        <v>986</v>
      </c>
      <c r="H8" s="2173" t="s">
        <v>987</v>
      </c>
    </row>
    <row r="9" spans="1:8" ht="14.25" thickTop="1" thickBot="1" x14ac:dyDescent="0.25">
      <c r="A9" s="1854">
        <v>1</v>
      </c>
      <c r="B9" s="1853">
        <v>2</v>
      </c>
      <c r="C9" s="1853">
        <v>3</v>
      </c>
      <c r="D9" s="1853">
        <v>4</v>
      </c>
      <c r="E9" s="1852">
        <v>5</v>
      </c>
      <c r="F9" s="1852">
        <v>6</v>
      </c>
      <c r="G9" s="2223">
        <v>7</v>
      </c>
      <c r="H9" s="2251" t="s">
        <v>61</v>
      </c>
    </row>
    <row r="10" spans="1:8" ht="45.75" thickTop="1" x14ac:dyDescent="0.2">
      <c r="A10" s="2366">
        <v>3299</v>
      </c>
      <c r="B10" s="2367">
        <v>5213</v>
      </c>
      <c r="C10" s="2367">
        <v>32133030</v>
      </c>
      <c r="D10" s="2368" t="s">
        <v>1162</v>
      </c>
      <c r="E10" s="2369">
        <v>0</v>
      </c>
      <c r="F10" s="2369">
        <v>984</v>
      </c>
      <c r="G10" s="2369">
        <v>571</v>
      </c>
      <c r="H10" s="2370">
        <f t="shared" ref="H10:H27" si="0">G10/F10*100</f>
        <v>58.028455284552848</v>
      </c>
    </row>
    <row r="11" spans="1:8" ht="45" x14ac:dyDescent="0.2">
      <c r="A11" s="2371">
        <v>3299</v>
      </c>
      <c r="B11" s="2372">
        <v>5213</v>
      </c>
      <c r="C11" s="2372">
        <v>32533030</v>
      </c>
      <c r="D11" s="2373" t="s">
        <v>1162</v>
      </c>
      <c r="E11" s="2374">
        <v>0</v>
      </c>
      <c r="F11" s="2374">
        <v>5576</v>
      </c>
      <c r="G11" s="2374">
        <v>3235</v>
      </c>
      <c r="H11" s="2375">
        <f t="shared" si="0"/>
        <v>58.016499282639892</v>
      </c>
    </row>
    <row r="12" spans="1:8" ht="30" x14ac:dyDescent="0.2">
      <c r="A12" s="2371">
        <v>3299</v>
      </c>
      <c r="B12" s="2372">
        <v>5221</v>
      </c>
      <c r="C12" s="2372">
        <v>32133030</v>
      </c>
      <c r="D12" s="2373" t="s">
        <v>1477</v>
      </c>
      <c r="E12" s="2374">
        <v>0</v>
      </c>
      <c r="F12" s="2374">
        <v>397</v>
      </c>
      <c r="G12" s="2374">
        <v>189</v>
      </c>
      <c r="H12" s="2375">
        <f t="shared" si="0"/>
        <v>47.607052896725435</v>
      </c>
    </row>
    <row r="13" spans="1:8" ht="30" x14ac:dyDescent="0.2">
      <c r="A13" s="2371">
        <v>3299</v>
      </c>
      <c r="B13" s="2372">
        <v>5221</v>
      </c>
      <c r="C13" s="2372">
        <v>32533030</v>
      </c>
      <c r="D13" s="2373" t="s">
        <v>1477</v>
      </c>
      <c r="E13" s="2374">
        <v>0</v>
      </c>
      <c r="F13" s="2374">
        <v>2252</v>
      </c>
      <c r="G13" s="2374">
        <v>1073</v>
      </c>
      <c r="H13" s="2375">
        <f t="shared" si="0"/>
        <v>47.646536412078156</v>
      </c>
    </row>
    <row r="14" spans="1:8" ht="15" x14ac:dyDescent="0.2">
      <c r="A14" s="2371">
        <v>3299</v>
      </c>
      <c r="B14" s="2372">
        <v>5222</v>
      </c>
      <c r="C14" s="2372">
        <v>32133030</v>
      </c>
      <c r="D14" s="2373" t="s">
        <v>241</v>
      </c>
      <c r="E14" s="2374">
        <v>0</v>
      </c>
      <c r="F14" s="2374">
        <v>219</v>
      </c>
      <c r="G14" s="2374">
        <v>119</v>
      </c>
      <c r="H14" s="2375">
        <f t="shared" si="0"/>
        <v>54.337899543378995</v>
      </c>
    </row>
    <row r="15" spans="1:8" ht="15" x14ac:dyDescent="0.2">
      <c r="A15" s="2371">
        <v>3299</v>
      </c>
      <c r="B15" s="2372">
        <v>5222</v>
      </c>
      <c r="C15" s="2372">
        <v>32533030</v>
      </c>
      <c r="D15" s="2373" t="s">
        <v>241</v>
      </c>
      <c r="E15" s="2374">
        <v>0</v>
      </c>
      <c r="F15" s="2374">
        <v>1243</v>
      </c>
      <c r="G15" s="2374">
        <v>674</v>
      </c>
      <c r="H15" s="2375">
        <f t="shared" si="0"/>
        <v>54.223652453740947</v>
      </c>
    </row>
    <row r="16" spans="1:8" ht="15" x14ac:dyDescent="0.2">
      <c r="A16" s="2371">
        <v>3299</v>
      </c>
      <c r="B16" s="2372">
        <v>5332</v>
      </c>
      <c r="C16" s="2376">
        <v>32133030</v>
      </c>
      <c r="D16" s="2373" t="s">
        <v>687</v>
      </c>
      <c r="E16" s="2374">
        <v>0</v>
      </c>
      <c r="F16" s="2374">
        <v>319</v>
      </c>
      <c r="G16" s="2374">
        <v>183</v>
      </c>
      <c r="H16" s="2375">
        <f t="shared" si="0"/>
        <v>57.36677115987461</v>
      </c>
    </row>
    <row r="17" spans="1:9" ht="15" x14ac:dyDescent="0.2">
      <c r="A17" s="2371">
        <v>3299</v>
      </c>
      <c r="B17" s="2372">
        <v>5332</v>
      </c>
      <c r="C17" s="2376">
        <v>32533030</v>
      </c>
      <c r="D17" s="2373" t="s">
        <v>687</v>
      </c>
      <c r="E17" s="2374">
        <v>0</v>
      </c>
      <c r="F17" s="2374">
        <v>1806</v>
      </c>
      <c r="G17" s="2374">
        <v>1036</v>
      </c>
      <c r="H17" s="2375">
        <f t="shared" si="0"/>
        <v>57.36434108527132</v>
      </c>
    </row>
    <row r="18" spans="1:9" ht="15" customHeight="1" x14ac:dyDescent="0.2">
      <c r="A18" s="2371">
        <v>3299</v>
      </c>
      <c r="B18" s="2372">
        <v>5901</v>
      </c>
      <c r="C18" s="2376">
        <v>32133030</v>
      </c>
      <c r="D18" s="2373" t="s">
        <v>670</v>
      </c>
      <c r="E18" s="2374">
        <v>0</v>
      </c>
      <c r="F18" s="2374">
        <v>18</v>
      </c>
      <c r="G18" s="2374">
        <v>0</v>
      </c>
      <c r="H18" s="2375">
        <f t="shared" si="0"/>
        <v>0</v>
      </c>
    </row>
    <row r="19" spans="1:9" ht="15" customHeight="1" x14ac:dyDescent="0.2">
      <c r="A19" s="2371">
        <v>3299</v>
      </c>
      <c r="B19" s="2372">
        <v>5901</v>
      </c>
      <c r="C19" s="2376">
        <v>32533030</v>
      </c>
      <c r="D19" s="2373" t="s">
        <v>670</v>
      </c>
      <c r="E19" s="2374">
        <v>0</v>
      </c>
      <c r="F19" s="2374">
        <v>100</v>
      </c>
      <c r="G19" s="2374">
        <v>0</v>
      </c>
      <c r="H19" s="2375">
        <f t="shared" si="0"/>
        <v>0</v>
      </c>
    </row>
    <row r="20" spans="1:9" ht="30" hidden="1" customHeight="1" x14ac:dyDescent="0.2">
      <c r="A20" s="2371">
        <v>3299</v>
      </c>
      <c r="B20" s="2372">
        <v>6313</v>
      </c>
      <c r="C20" s="2376">
        <v>32133006</v>
      </c>
      <c r="D20" s="2373" t="s">
        <v>613</v>
      </c>
      <c r="E20" s="2374">
        <v>0</v>
      </c>
      <c r="F20" s="2374">
        <v>0</v>
      </c>
      <c r="G20" s="2374">
        <v>0</v>
      </c>
      <c r="H20" s="2375" t="e">
        <f t="shared" si="0"/>
        <v>#DIV/0!</v>
      </c>
    </row>
    <row r="21" spans="1:9" ht="30" hidden="1" customHeight="1" x14ac:dyDescent="0.2">
      <c r="A21" s="2371">
        <v>3299</v>
      </c>
      <c r="B21" s="2372">
        <v>6313</v>
      </c>
      <c r="C21" s="2376">
        <v>32533006</v>
      </c>
      <c r="D21" s="2373" t="s">
        <v>613</v>
      </c>
      <c r="E21" s="2374">
        <v>0</v>
      </c>
      <c r="F21" s="2374">
        <v>0</v>
      </c>
      <c r="G21" s="2374">
        <v>0</v>
      </c>
      <c r="H21" s="2375" t="e">
        <f t="shared" si="0"/>
        <v>#DIV/0!</v>
      </c>
    </row>
    <row r="22" spans="1:9" ht="30" hidden="1" customHeight="1" x14ac:dyDescent="0.2">
      <c r="A22" s="2371">
        <v>3299</v>
      </c>
      <c r="B22" s="2372">
        <v>6323</v>
      </c>
      <c r="C22" s="2376">
        <v>32133006</v>
      </c>
      <c r="D22" s="2373" t="s">
        <v>614</v>
      </c>
      <c r="E22" s="2374">
        <v>0</v>
      </c>
      <c r="F22" s="2374">
        <v>0</v>
      </c>
      <c r="G22" s="2374">
        <v>0</v>
      </c>
      <c r="H22" s="2375" t="e">
        <f t="shared" si="0"/>
        <v>#DIV/0!</v>
      </c>
    </row>
    <row r="23" spans="1:9" ht="30" hidden="1" customHeight="1" x14ac:dyDescent="0.2">
      <c r="A23" s="2371">
        <v>3299</v>
      </c>
      <c r="B23" s="2372">
        <v>6323</v>
      </c>
      <c r="C23" s="2376">
        <v>32533006</v>
      </c>
      <c r="D23" s="2373" t="s">
        <v>614</v>
      </c>
      <c r="E23" s="2374">
        <v>0</v>
      </c>
      <c r="F23" s="2374">
        <v>0</v>
      </c>
      <c r="G23" s="2374">
        <v>0</v>
      </c>
      <c r="H23" s="2375" t="e">
        <f t="shared" si="0"/>
        <v>#DIV/0!</v>
      </c>
    </row>
    <row r="24" spans="1:9" ht="15" customHeight="1" x14ac:dyDescent="0.2">
      <c r="A24" s="2371">
        <v>3299</v>
      </c>
      <c r="B24" s="2372">
        <v>6901</v>
      </c>
      <c r="C24" s="2376">
        <v>32133926</v>
      </c>
      <c r="D24" s="2373" t="s">
        <v>468</v>
      </c>
      <c r="E24" s="2374">
        <v>0</v>
      </c>
      <c r="F24" s="2374">
        <v>75</v>
      </c>
      <c r="G24" s="2374">
        <v>0</v>
      </c>
      <c r="H24" s="2375">
        <f t="shared" si="0"/>
        <v>0</v>
      </c>
    </row>
    <row r="25" spans="1:9" ht="15" customHeight="1" thickBot="1" x14ac:dyDescent="0.25">
      <c r="A25" s="2371">
        <v>3299</v>
      </c>
      <c r="B25" s="2372">
        <v>6901</v>
      </c>
      <c r="C25" s="2376">
        <v>32533926</v>
      </c>
      <c r="D25" s="2373" t="s">
        <v>468</v>
      </c>
      <c r="E25" s="2374">
        <v>0</v>
      </c>
      <c r="F25" s="2374">
        <v>425</v>
      </c>
      <c r="G25" s="2374">
        <v>0</v>
      </c>
      <c r="H25" s="2375">
        <f t="shared" si="0"/>
        <v>0</v>
      </c>
    </row>
    <row r="26" spans="1:9" ht="15" hidden="1" customHeight="1" thickBot="1" x14ac:dyDescent="0.25">
      <c r="A26" s="2371">
        <v>6402</v>
      </c>
      <c r="B26" s="2372">
        <v>5363</v>
      </c>
      <c r="C26" s="2376">
        <v>19</v>
      </c>
      <c r="D26" s="2373" t="s">
        <v>615</v>
      </c>
      <c r="E26" s="2374">
        <v>0</v>
      </c>
      <c r="F26" s="2374">
        <v>0</v>
      </c>
      <c r="G26" s="2374">
        <v>0</v>
      </c>
      <c r="H26" s="2377" t="e">
        <f t="shared" si="0"/>
        <v>#DIV/0!</v>
      </c>
    </row>
    <row r="27" spans="1:9" ht="16.5" thickTop="1" thickBot="1" x14ac:dyDescent="0.3">
      <c r="A27" s="2806" t="s">
        <v>849</v>
      </c>
      <c r="B27" s="2807"/>
      <c r="C27" s="2807"/>
      <c r="D27" s="2807"/>
      <c r="E27" s="2152">
        <f>SUM(E10:E25)</f>
        <v>0</v>
      </c>
      <c r="F27" s="2152">
        <f>SUM(F10:F26)</f>
        <v>13414</v>
      </c>
      <c r="G27" s="2152">
        <f>SUM(G10:G26)</f>
        <v>7080</v>
      </c>
      <c r="H27" s="2157">
        <f t="shared" si="0"/>
        <v>52.780676904726405</v>
      </c>
    </row>
    <row r="28" spans="1:9" ht="13.5" thickTop="1" x14ac:dyDescent="0.2"/>
    <row r="30" spans="1:9" ht="15" x14ac:dyDescent="0.25">
      <c r="A30" s="2338" t="s">
        <v>571</v>
      </c>
      <c r="B30" s="2352"/>
      <c r="C30" s="2352"/>
      <c r="D30" s="2352"/>
      <c r="F30" s="2353"/>
      <c r="G30" s="2353"/>
      <c r="H30" s="2353"/>
      <c r="I30" s="2353"/>
    </row>
    <row r="31" spans="1:9" ht="15.75" thickBot="1" x14ac:dyDescent="0.3">
      <c r="A31" s="2338" t="s">
        <v>1861</v>
      </c>
      <c r="B31" s="2352"/>
      <c r="C31" s="2352"/>
      <c r="D31" s="2352"/>
      <c r="F31" s="2353"/>
      <c r="G31" s="2353"/>
      <c r="H31" s="2354" t="s">
        <v>179</v>
      </c>
      <c r="I31" s="2353"/>
    </row>
    <row r="32" spans="1:9" ht="25.5" thickTop="1" thickBot="1" x14ac:dyDescent="0.25">
      <c r="A32" s="2355" t="s">
        <v>180</v>
      </c>
      <c r="B32" s="2356" t="s">
        <v>847</v>
      </c>
      <c r="C32" s="2356" t="s">
        <v>414</v>
      </c>
      <c r="D32" s="2357" t="s">
        <v>182</v>
      </c>
      <c r="E32" s="2358" t="s">
        <v>700</v>
      </c>
      <c r="F32" s="2358" t="s">
        <v>701</v>
      </c>
      <c r="G32" s="2359" t="s">
        <v>986</v>
      </c>
      <c r="H32" s="2360" t="s">
        <v>987</v>
      </c>
      <c r="I32" s="2353"/>
    </row>
    <row r="33" spans="1:9" ht="14.25" thickTop="1" thickBot="1" x14ac:dyDescent="0.25">
      <c r="A33" s="2361">
        <v>1</v>
      </c>
      <c r="B33" s="2362">
        <v>2</v>
      </c>
      <c r="C33" s="2362">
        <v>3</v>
      </c>
      <c r="D33" s="2362">
        <v>5</v>
      </c>
      <c r="E33" s="2363">
        <v>6</v>
      </c>
      <c r="F33" s="2363">
        <v>7</v>
      </c>
      <c r="G33" s="2364">
        <v>8</v>
      </c>
      <c r="H33" s="2380" t="s">
        <v>848</v>
      </c>
      <c r="I33" s="2353"/>
    </row>
    <row r="34" spans="1:9" ht="30.75" thickTop="1" x14ac:dyDescent="0.2">
      <c r="A34" s="2371">
        <v>3299</v>
      </c>
      <c r="B34" s="2372">
        <v>5336</v>
      </c>
      <c r="C34" s="2372">
        <v>32133030</v>
      </c>
      <c r="D34" s="2373" t="s">
        <v>1419</v>
      </c>
      <c r="E34" s="2369">
        <v>0</v>
      </c>
      <c r="F34" s="2369">
        <v>233</v>
      </c>
      <c r="G34" s="2381">
        <v>171</v>
      </c>
      <c r="H34" s="2370">
        <f>G34/F34*100</f>
        <v>73.39055793991416</v>
      </c>
      <c r="I34" s="2353"/>
    </row>
    <row r="35" spans="1:9" ht="30.75" thickBot="1" x14ac:dyDescent="0.25">
      <c r="A35" s="2371">
        <v>3299</v>
      </c>
      <c r="B35" s="2372">
        <v>5336</v>
      </c>
      <c r="C35" s="2372">
        <v>32533030</v>
      </c>
      <c r="D35" s="2373" t="s">
        <v>1419</v>
      </c>
      <c r="E35" s="2374">
        <v>0</v>
      </c>
      <c r="F35" s="2374">
        <v>1320</v>
      </c>
      <c r="G35" s="2382">
        <v>969</v>
      </c>
      <c r="H35" s="2375">
        <f>G35/F35*100</f>
        <v>73.409090909090907</v>
      </c>
      <c r="I35" s="2353"/>
    </row>
    <row r="36" spans="1:9" ht="30.75" hidden="1" thickBot="1" x14ac:dyDescent="0.25">
      <c r="A36" s="2371">
        <v>3299</v>
      </c>
      <c r="B36" s="2372">
        <v>6351</v>
      </c>
      <c r="C36" s="2372">
        <v>32133006</v>
      </c>
      <c r="D36" s="2373" t="s">
        <v>1433</v>
      </c>
      <c r="E36" s="2374">
        <v>0</v>
      </c>
      <c r="F36" s="2374">
        <v>0</v>
      </c>
      <c r="G36" s="2382">
        <v>0</v>
      </c>
      <c r="H36" s="2375" t="e">
        <f>G36/F36*100</f>
        <v>#DIV/0!</v>
      </c>
      <c r="I36" s="2353"/>
    </row>
    <row r="37" spans="1:9" ht="30.75" hidden="1" thickBot="1" x14ac:dyDescent="0.25">
      <c r="A37" s="2371">
        <v>3299</v>
      </c>
      <c r="B37" s="2372">
        <v>6351</v>
      </c>
      <c r="C37" s="2372">
        <v>32533006</v>
      </c>
      <c r="D37" s="2373" t="s">
        <v>1433</v>
      </c>
      <c r="E37" s="2374">
        <v>0</v>
      </c>
      <c r="F37" s="2374">
        <v>0</v>
      </c>
      <c r="G37" s="2382">
        <v>0</v>
      </c>
      <c r="H37" s="2375" t="e">
        <f>G37/F37*100</f>
        <v>#DIV/0!</v>
      </c>
      <c r="I37" s="2353"/>
    </row>
    <row r="38" spans="1:9" ht="16.5" thickTop="1" thickBot="1" x14ac:dyDescent="0.3">
      <c r="A38" s="2383" t="s">
        <v>849</v>
      </c>
      <c r="B38" s="2384"/>
      <c r="C38" s="2384"/>
      <c r="D38" s="2385"/>
      <c r="E38" s="2378">
        <f>SUM(E34:E37)</f>
        <v>0</v>
      </c>
      <c r="F38" s="2378">
        <f>SUM(F34:F37)</f>
        <v>1553</v>
      </c>
      <c r="G38" s="2378">
        <f>SUM(G34:G37)</f>
        <v>1140</v>
      </c>
      <c r="H38" s="2379">
        <f>G38/F38*100</f>
        <v>73.406310367031551</v>
      </c>
      <c r="I38" s="2353"/>
    </row>
    <row r="39" spans="1:9" ht="13.5" thickTop="1" x14ac:dyDescent="0.2"/>
    <row r="40" spans="1:9" ht="15" x14ac:dyDescent="0.25">
      <c r="A40" s="2338" t="s">
        <v>195</v>
      </c>
      <c r="B40" s="2352"/>
      <c r="C40" s="2352"/>
      <c r="D40" s="2352"/>
      <c r="F40" s="2353"/>
      <c r="G40" s="2353"/>
      <c r="H40" s="2353"/>
      <c r="I40" s="2353"/>
    </row>
    <row r="41" spans="1:9" ht="15.75" thickBot="1" x14ac:dyDescent="0.3">
      <c r="A41" s="2338" t="s">
        <v>1431</v>
      </c>
      <c r="B41" s="2352"/>
      <c r="C41" s="2352"/>
      <c r="D41" s="2352"/>
      <c r="F41" s="2353"/>
      <c r="G41" s="2353"/>
      <c r="H41" s="2354" t="s">
        <v>179</v>
      </c>
      <c r="I41" s="2353"/>
    </row>
    <row r="42" spans="1:9" ht="25.5" thickTop="1" thickBot="1" x14ac:dyDescent="0.25">
      <c r="A42" s="2355" t="s">
        <v>180</v>
      </c>
      <c r="B42" s="2356" t="s">
        <v>847</v>
      </c>
      <c r="C42" s="2356" t="s">
        <v>414</v>
      </c>
      <c r="D42" s="2357" t="s">
        <v>182</v>
      </c>
      <c r="E42" s="2358" t="s">
        <v>700</v>
      </c>
      <c r="F42" s="2358" t="s">
        <v>701</v>
      </c>
      <c r="G42" s="2359" t="s">
        <v>986</v>
      </c>
      <c r="H42" s="2360" t="s">
        <v>987</v>
      </c>
      <c r="I42" s="2353"/>
    </row>
    <row r="43" spans="1:9" ht="14.25" thickTop="1" thickBot="1" x14ac:dyDescent="0.25">
      <c r="A43" s="2361">
        <v>1</v>
      </c>
      <c r="B43" s="2362">
        <v>2</v>
      </c>
      <c r="C43" s="2362">
        <v>3</v>
      </c>
      <c r="D43" s="2362">
        <v>5</v>
      </c>
      <c r="E43" s="2363">
        <v>6</v>
      </c>
      <c r="F43" s="2363">
        <v>7</v>
      </c>
      <c r="G43" s="2364">
        <v>8</v>
      </c>
      <c r="H43" s="2380" t="s">
        <v>848</v>
      </c>
      <c r="I43" s="2353"/>
    </row>
    <row r="44" spans="1:9" ht="30.75" thickTop="1" x14ac:dyDescent="0.2">
      <c r="A44" s="2371">
        <v>3299</v>
      </c>
      <c r="B44" s="2372">
        <v>5336</v>
      </c>
      <c r="C44" s="2372">
        <v>32133030</v>
      </c>
      <c r="D44" s="2373" t="s">
        <v>1419</v>
      </c>
      <c r="E44" s="2369">
        <v>0</v>
      </c>
      <c r="F44" s="2369">
        <v>234</v>
      </c>
      <c r="G44" s="2381">
        <v>133</v>
      </c>
      <c r="H44" s="2370">
        <f>G44/F44*100</f>
        <v>56.837606837606835</v>
      </c>
      <c r="I44" s="2353"/>
    </row>
    <row r="45" spans="1:9" ht="30.75" thickBot="1" x14ac:dyDescent="0.25">
      <c r="A45" s="2371">
        <v>3299</v>
      </c>
      <c r="B45" s="2372">
        <v>5336</v>
      </c>
      <c r="C45" s="2372">
        <v>32533030</v>
      </c>
      <c r="D45" s="2373" t="s">
        <v>1419</v>
      </c>
      <c r="E45" s="2374">
        <v>0</v>
      </c>
      <c r="F45" s="2374">
        <v>1323</v>
      </c>
      <c r="G45" s="2382">
        <v>755</v>
      </c>
      <c r="H45" s="2375">
        <f>G45/F45*100</f>
        <v>57.067271352985635</v>
      </c>
      <c r="I45" s="2353"/>
    </row>
    <row r="46" spans="1:9" ht="30.75" hidden="1" thickBot="1" x14ac:dyDescent="0.25">
      <c r="A46" s="2371">
        <v>3299</v>
      </c>
      <c r="B46" s="2372">
        <v>6351</v>
      </c>
      <c r="C46" s="2372">
        <v>32133006</v>
      </c>
      <c r="D46" s="2373" t="s">
        <v>1433</v>
      </c>
      <c r="E46" s="2374">
        <v>0</v>
      </c>
      <c r="F46" s="2374">
        <v>0</v>
      </c>
      <c r="G46" s="2382">
        <v>0</v>
      </c>
      <c r="H46" s="2375" t="e">
        <f>G46/F46*100</f>
        <v>#DIV/0!</v>
      </c>
      <c r="I46" s="2353"/>
    </row>
    <row r="47" spans="1:9" ht="30.75" hidden="1" thickBot="1" x14ac:dyDescent="0.25">
      <c r="A47" s="2371">
        <v>3299</v>
      </c>
      <c r="B47" s="2372">
        <v>6351</v>
      </c>
      <c r="C47" s="2372">
        <v>32533006</v>
      </c>
      <c r="D47" s="2373" t="s">
        <v>1433</v>
      </c>
      <c r="E47" s="2374">
        <v>0</v>
      </c>
      <c r="F47" s="2374">
        <v>0</v>
      </c>
      <c r="G47" s="2382">
        <v>0</v>
      </c>
      <c r="H47" s="2375" t="e">
        <f>G47/F47*100</f>
        <v>#DIV/0!</v>
      </c>
      <c r="I47" s="2353"/>
    </row>
    <row r="48" spans="1:9" ht="16.5" thickTop="1" thickBot="1" x14ac:dyDescent="0.3">
      <c r="A48" s="2383" t="s">
        <v>849</v>
      </c>
      <c r="B48" s="2384"/>
      <c r="C48" s="2384"/>
      <c r="D48" s="2385"/>
      <c r="E48" s="2378">
        <f>SUM(E44:E47)</f>
        <v>0</v>
      </c>
      <c r="F48" s="2378">
        <f>SUM(F44:F47)</f>
        <v>1557</v>
      </c>
      <c r="G48" s="2378">
        <f>SUM(G44:G47)</f>
        <v>888</v>
      </c>
      <c r="H48" s="2379">
        <f>G48/F48*100</f>
        <v>57.032755298651253</v>
      </c>
      <c r="I48" s="2353"/>
    </row>
    <row r="49" spans="1:9" ht="13.5" thickTop="1" x14ac:dyDescent="0.2"/>
    <row r="50" spans="1:9" ht="15" x14ac:dyDescent="0.25">
      <c r="A50" s="2338" t="s">
        <v>1862</v>
      </c>
      <c r="B50" s="2352"/>
      <c r="C50" s="2352"/>
      <c r="D50" s="2352"/>
      <c r="F50" s="2353"/>
      <c r="G50" s="2353"/>
      <c r="H50" s="2353"/>
      <c r="I50" s="2353"/>
    </row>
    <row r="51" spans="1:9" ht="15.75" thickBot="1" x14ac:dyDescent="0.3">
      <c r="A51" s="2338" t="s">
        <v>972</v>
      </c>
      <c r="B51" s="2352"/>
      <c r="C51" s="2352"/>
      <c r="D51" s="2352"/>
      <c r="F51" s="2353"/>
      <c r="G51" s="2353"/>
      <c r="H51" s="2354" t="s">
        <v>179</v>
      </c>
      <c r="I51" s="2353"/>
    </row>
    <row r="52" spans="1:9" ht="25.5" thickTop="1" thickBot="1" x14ac:dyDescent="0.25">
      <c r="A52" s="2355" t="s">
        <v>180</v>
      </c>
      <c r="B52" s="2356" t="s">
        <v>847</v>
      </c>
      <c r="C52" s="2356" t="s">
        <v>414</v>
      </c>
      <c r="D52" s="2357" t="s">
        <v>182</v>
      </c>
      <c r="E52" s="2358" t="s">
        <v>700</v>
      </c>
      <c r="F52" s="2358" t="s">
        <v>701</v>
      </c>
      <c r="G52" s="2359" t="s">
        <v>986</v>
      </c>
      <c r="H52" s="2360" t="s">
        <v>987</v>
      </c>
      <c r="I52" s="2353"/>
    </row>
    <row r="53" spans="1:9" ht="14.25" thickTop="1" thickBot="1" x14ac:dyDescent="0.25">
      <c r="A53" s="2361">
        <v>1</v>
      </c>
      <c r="B53" s="2362">
        <v>2</v>
      </c>
      <c r="C53" s="2362">
        <v>3</v>
      </c>
      <c r="D53" s="2362">
        <v>5</v>
      </c>
      <c r="E53" s="2363">
        <v>6</v>
      </c>
      <c r="F53" s="2363">
        <v>7</v>
      </c>
      <c r="G53" s="2364">
        <v>8</v>
      </c>
      <c r="H53" s="2380" t="s">
        <v>848</v>
      </c>
      <c r="I53" s="2353"/>
    </row>
    <row r="54" spans="1:9" ht="30.75" thickTop="1" x14ac:dyDescent="0.2">
      <c r="A54" s="2371">
        <v>3299</v>
      </c>
      <c r="B54" s="2372">
        <v>5336</v>
      </c>
      <c r="C54" s="2372">
        <v>32133030</v>
      </c>
      <c r="D54" s="2373" t="s">
        <v>1419</v>
      </c>
      <c r="E54" s="2369">
        <v>0</v>
      </c>
      <c r="F54" s="2369">
        <v>409</v>
      </c>
      <c r="G54" s="2381">
        <v>195</v>
      </c>
      <c r="H54" s="2370">
        <f>G54/F54*100</f>
        <v>47.677261613691932</v>
      </c>
      <c r="I54" s="2353"/>
    </row>
    <row r="55" spans="1:9" ht="30.75" thickBot="1" x14ac:dyDescent="0.25">
      <c r="A55" s="2371">
        <v>3299</v>
      </c>
      <c r="B55" s="2372">
        <v>5336</v>
      </c>
      <c r="C55" s="2372">
        <v>32533030</v>
      </c>
      <c r="D55" s="2373" t="s">
        <v>1419</v>
      </c>
      <c r="E55" s="2374">
        <v>0</v>
      </c>
      <c r="F55" s="2374">
        <v>2315</v>
      </c>
      <c r="G55" s="2382">
        <v>1103</v>
      </c>
      <c r="H55" s="2375">
        <f>G55/F55*100</f>
        <v>47.645788336933045</v>
      </c>
      <c r="I55" s="2353"/>
    </row>
    <row r="56" spans="1:9" ht="30.75" hidden="1" thickBot="1" x14ac:dyDescent="0.25">
      <c r="A56" s="2371">
        <v>3299</v>
      </c>
      <c r="B56" s="2372">
        <v>6351</v>
      </c>
      <c r="C56" s="2372">
        <v>32133006</v>
      </c>
      <c r="D56" s="2373" t="s">
        <v>1433</v>
      </c>
      <c r="E56" s="2374">
        <v>0</v>
      </c>
      <c r="F56" s="2374">
        <v>0</v>
      </c>
      <c r="G56" s="2382">
        <v>0</v>
      </c>
      <c r="H56" s="2375" t="e">
        <f>G56/F56*100</f>
        <v>#DIV/0!</v>
      </c>
      <c r="I56" s="2353"/>
    </row>
    <row r="57" spans="1:9" ht="30.75" hidden="1" thickBot="1" x14ac:dyDescent="0.25">
      <c r="A57" s="2371">
        <v>3299</v>
      </c>
      <c r="B57" s="2372">
        <v>6351</v>
      </c>
      <c r="C57" s="2372">
        <v>32533006</v>
      </c>
      <c r="D57" s="2373" t="s">
        <v>1433</v>
      </c>
      <c r="E57" s="2374">
        <v>0</v>
      </c>
      <c r="F57" s="2374">
        <v>0</v>
      </c>
      <c r="G57" s="2382">
        <v>0</v>
      </c>
      <c r="H57" s="2375" t="e">
        <f>G57/F57*100</f>
        <v>#DIV/0!</v>
      </c>
      <c r="I57" s="2353"/>
    </row>
    <row r="58" spans="1:9" ht="16.5" thickTop="1" thickBot="1" x14ac:dyDescent="0.3">
      <c r="A58" s="2383" t="s">
        <v>849</v>
      </c>
      <c r="B58" s="2384"/>
      <c r="C58" s="2384"/>
      <c r="D58" s="2385"/>
      <c r="E58" s="2378">
        <f>SUM(E54:E57)</f>
        <v>0</v>
      </c>
      <c r="F58" s="2378">
        <f>SUM(F54:F57)</f>
        <v>2724</v>
      </c>
      <c r="G58" s="2378">
        <f>SUM(G54:G57)</f>
        <v>1298</v>
      </c>
      <c r="H58" s="2379">
        <f>G58/F58*100</f>
        <v>47.650513950073417</v>
      </c>
      <c r="I58" s="2353"/>
    </row>
    <row r="59" spans="1:9" ht="13.5" thickTop="1" x14ac:dyDescent="0.2"/>
    <row r="65" spans="1:12" ht="16.5" x14ac:dyDescent="0.25">
      <c r="A65" s="2399" t="s">
        <v>508</v>
      </c>
      <c r="B65" s="2400"/>
      <c r="C65" s="2401"/>
      <c r="D65" s="2402"/>
      <c r="E65" s="2403">
        <f>SUM(E66:E68)</f>
        <v>0</v>
      </c>
      <c r="F65" s="2403">
        <f>F66+F67+F68+F69</f>
        <v>19248</v>
      </c>
      <c r="G65" s="2403">
        <f>G66+G67+G68+G69</f>
        <v>10406</v>
      </c>
      <c r="H65" s="2404">
        <f>G65/F65*100</f>
        <v>54.062759767248551</v>
      </c>
      <c r="J65" s="2405">
        <f>J66+J67+J68</f>
        <v>0</v>
      </c>
      <c r="K65" s="2405">
        <f>K66+K67+K68</f>
        <v>19248386.399999999</v>
      </c>
      <c r="L65" s="2405">
        <f>L66+L67+L68</f>
        <v>10406002.18</v>
      </c>
    </row>
    <row r="66" spans="1:12" ht="15" x14ac:dyDescent="0.2">
      <c r="A66" s="2406" t="s">
        <v>288</v>
      </c>
      <c r="B66" s="2407"/>
      <c r="C66" s="2408"/>
      <c r="D66" s="2409"/>
      <c r="E66" s="2410">
        <f>E10+E11+E12+E13+E14+E15+E17+E16+E18+E19+E34+E35+E44+E45+E54+E55</f>
        <v>0</v>
      </c>
      <c r="F66" s="2410">
        <f>F10+F11+F12+F13+F14+F15+F17+F16+F18+F19+F34+F35+F44+F45+F54+F55</f>
        <v>18748</v>
      </c>
      <c r="G66" s="2410">
        <f>G10+G11+G12+G13+G14+G15+G17+G16+G18+G19+G34+G35+G44+G45+G54+G55</f>
        <v>10406</v>
      </c>
      <c r="H66" s="2411">
        <f>G66/F66*100</f>
        <v>55.5045871559633</v>
      </c>
      <c r="J66" s="2412">
        <v>0</v>
      </c>
      <c r="K66" s="2412">
        <v>18748532.399999999</v>
      </c>
      <c r="L66" s="2412">
        <v>10406002.18</v>
      </c>
    </row>
    <row r="67" spans="1:12" ht="15" x14ac:dyDescent="0.2">
      <c r="A67" s="2406" t="s">
        <v>289</v>
      </c>
      <c r="B67" s="2413"/>
      <c r="C67" s="2408"/>
      <c r="D67" s="2414"/>
      <c r="E67" s="2410">
        <f>E24+E25</f>
        <v>0</v>
      </c>
      <c r="F67" s="2410">
        <f>F24+F25</f>
        <v>500</v>
      </c>
      <c r="G67" s="2410">
        <f>G24+G25</f>
        <v>0</v>
      </c>
      <c r="H67" s="2411">
        <f>G67/F67*100</f>
        <v>0</v>
      </c>
      <c r="J67" s="2412">
        <v>0</v>
      </c>
      <c r="K67" s="2412">
        <v>499854</v>
      </c>
      <c r="L67" s="2412">
        <v>0</v>
      </c>
    </row>
    <row r="68" spans="1:12" ht="15" x14ac:dyDescent="0.2">
      <c r="A68" s="2406" t="s">
        <v>509</v>
      </c>
      <c r="B68" s="2413"/>
      <c r="C68" s="2408"/>
      <c r="D68" s="2414"/>
      <c r="E68" s="2410">
        <v>0</v>
      </c>
      <c r="F68" s="2410">
        <v>0</v>
      </c>
      <c r="G68" s="2410">
        <v>0</v>
      </c>
      <c r="H68" s="2411">
        <v>0</v>
      </c>
      <c r="J68" s="2412">
        <v>0</v>
      </c>
      <c r="K68" s="2412">
        <v>0</v>
      </c>
      <c r="L68" s="2412">
        <v>0</v>
      </c>
    </row>
    <row r="69" spans="1:12" ht="16.5" customHeight="1" x14ac:dyDescent="0.2">
      <c r="A69" s="2406"/>
      <c r="B69" s="2413"/>
      <c r="C69" s="2408"/>
      <c r="D69" s="2414"/>
      <c r="E69" s="2410"/>
      <c r="F69" s="2410"/>
      <c r="G69" s="2410"/>
      <c r="H69" s="2415"/>
    </row>
    <row r="70" spans="1:12" ht="57.75" customHeight="1" thickBot="1" x14ac:dyDescent="0.4">
      <c r="A70" s="2819" t="s">
        <v>1863</v>
      </c>
      <c r="B70" s="2827"/>
      <c r="C70" s="2827"/>
      <c r="D70" s="2827"/>
      <c r="E70" s="2416">
        <f>SUM(E65)</f>
        <v>0</v>
      </c>
      <c r="F70" s="2416">
        <f>SUM(F65)</f>
        <v>19248</v>
      </c>
      <c r="G70" s="2416">
        <f>SUM(G65)</f>
        <v>10406</v>
      </c>
      <c r="H70" s="2417">
        <f>(G70/F70)*100</f>
        <v>54.062759767248551</v>
      </c>
    </row>
    <row r="71" spans="1:12" ht="13.5" thickTop="1" x14ac:dyDescent="0.2"/>
  </sheetData>
  <mergeCells count="2">
    <mergeCell ref="A27:D27"/>
    <mergeCell ref="A70:D70"/>
  </mergeCells>
  <pageMargins left="0.70866141732283472" right="0.70866141732283472" top="0.78740157480314965" bottom="0.78740157480314965" header="0.31496062992125984" footer="0.31496062992125984"/>
  <pageSetup paperSize="9" scale="73" firstPageNumber="174" orientation="portrait" useFirstPageNumber="1" r:id="rId1"/>
  <headerFooter>
    <oddFooter xml:space="preserve">&amp;L&amp;"Arial,Kurzíva"Zastupitelstvo Olomouckého kraje 28. 6. 2013
6.- Závěrečný  účet Olomuckého kraje za rok 2012
Příloha č. 3: Plnění rozpočtu výdajů Olomouckého kraje k 31.12.2012&amp;R&amp;"Arial,Kurzíva"Strana &amp;P (Celkem 484)
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69"/>
  <sheetViews>
    <sheetView view="pageBreakPreview" topLeftCell="A50" zoomScaleNormal="100" zoomScaleSheetLayoutView="100" workbookViewId="0">
      <selection activeCell="A60" sqref="A60:D60"/>
    </sheetView>
  </sheetViews>
  <sheetFormatPr defaultRowHeight="12.75" x14ac:dyDescent="0.2"/>
  <cols>
    <col min="1" max="1" width="5.5703125" style="2345" customWidth="1"/>
    <col min="2" max="2" width="6.7109375" style="2345" customWidth="1"/>
    <col min="3" max="3" width="8.85546875" style="2345" customWidth="1"/>
    <col min="4" max="4" width="47.85546875" style="2345" customWidth="1"/>
    <col min="5" max="5" width="12.85546875" style="2345" customWidth="1"/>
    <col min="6" max="6" width="15.5703125" style="2345" customWidth="1"/>
    <col min="7" max="7" width="15.85546875" style="2345" customWidth="1"/>
    <col min="8" max="8" width="8.7109375" style="2345" customWidth="1"/>
    <col min="9" max="10" width="9.140625" style="2345"/>
    <col min="11" max="12" width="14.7109375" style="2345" bestFit="1" customWidth="1"/>
    <col min="13" max="256" width="9.140625" style="2345"/>
    <col min="257" max="257" width="5.5703125" style="2345" customWidth="1"/>
    <col min="258" max="258" width="6.7109375" style="2345" customWidth="1"/>
    <col min="259" max="259" width="8.85546875" style="2345" customWidth="1"/>
    <col min="260" max="260" width="47.85546875" style="2345" customWidth="1"/>
    <col min="261" max="261" width="12.85546875" style="2345" customWidth="1"/>
    <col min="262" max="262" width="15.5703125" style="2345" customWidth="1"/>
    <col min="263" max="263" width="15.85546875" style="2345" customWidth="1"/>
    <col min="264" max="264" width="6.42578125" style="2345" customWidth="1"/>
    <col min="265" max="266" width="9.140625" style="2345"/>
    <col min="267" max="268" width="14.7109375" style="2345" bestFit="1" customWidth="1"/>
    <col min="269" max="512" width="9.140625" style="2345"/>
    <col min="513" max="513" width="5.5703125" style="2345" customWidth="1"/>
    <col min="514" max="514" width="6.7109375" style="2345" customWidth="1"/>
    <col min="515" max="515" width="8.85546875" style="2345" customWidth="1"/>
    <col min="516" max="516" width="47.85546875" style="2345" customWidth="1"/>
    <col min="517" max="517" width="12.85546875" style="2345" customWidth="1"/>
    <col min="518" max="518" width="15.5703125" style="2345" customWidth="1"/>
    <col min="519" max="519" width="15.85546875" style="2345" customWidth="1"/>
    <col min="520" max="520" width="6.42578125" style="2345" customWidth="1"/>
    <col min="521" max="522" width="9.140625" style="2345"/>
    <col min="523" max="524" width="14.7109375" style="2345" bestFit="1" customWidth="1"/>
    <col min="525" max="768" width="9.140625" style="2345"/>
    <col min="769" max="769" width="5.5703125" style="2345" customWidth="1"/>
    <col min="770" max="770" width="6.7109375" style="2345" customWidth="1"/>
    <col min="771" max="771" width="8.85546875" style="2345" customWidth="1"/>
    <col min="772" max="772" width="47.85546875" style="2345" customWidth="1"/>
    <col min="773" max="773" width="12.85546875" style="2345" customWidth="1"/>
    <col min="774" max="774" width="15.5703125" style="2345" customWidth="1"/>
    <col min="775" max="775" width="15.85546875" style="2345" customWidth="1"/>
    <col min="776" max="776" width="6.42578125" style="2345" customWidth="1"/>
    <col min="777" max="778" width="9.140625" style="2345"/>
    <col min="779" max="780" width="14.7109375" style="2345" bestFit="1" customWidth="1"/>
    <col min="781" max="1024" width="9.140625" style="2345"/>
    <col min="1025" max="1025" width="5.5703125" style="2345" customWidth="1"/>
    <col min="1026" max="1026" width="6.7109375" style="2345" customWidth="1"/>
    <col min="1027" max="1027" width="8.85546875" style="2345" customWidth="1"/>
    <col min="1028" max="1028" width="47.85546875" style="2345" customWidth="1"/>
    <col min="1029" max="1029" width="12.85546875" style="2345" customWidth="1"/>
    <col min="1030" max="1030" width="15.5703125" style="2345" customWidth="1"/>
    <col min="1031" max="1031" width="15.85546875" style="2345" customWidth="1"/>
    <col min="1032" max="1032" width="6.42578125" style="2345" customWidth="1"/>
    <col min="1033" max="1034" width="9.140625" style="2345"/>
    <col min="1035" max="1036" width="14.7109375" style="2345" bestFit="1" customWidth="1"/>
    <col min="1037" max="1280" width="9.140625" style="2345"/>
    <col min="1281" max="1281" width="5.5703125" style="2345" customWidth="1"/>
    <col min="1282" max="1282" width="6.7109375" style="2345" customWidth="1"/>
    <col min="1283" max="1283" width="8.85546875" style="2345" customWidth="1"/>
    <col min="1284" max="1284" width="47.85546875" style="2345" customWidth="1"/>
    <col min="1285" max="1285" width="12.85546875" style="2345" customWidth="1"/>
    <col min="1286" max="1286" width="15.5703125" style="2345" customWidth="1"/>
    <col min="1287" max="1287" width="15.85546875" style="2345" customWidth="1"/>
    <col min="1288" max="1288" width="6.42578125" style="2345" customWidth="1"/>
    <col min="1289" max="1290" width="9.140625" style="2345"/>
    <col min="1291" max="1292" width="14.7109375" style="2345" bestFit="1" customWidth="1"/>
    <col min="1293" max="1536" width="9.140625" style="2345"/>
    <col min="1537" max="1537" width="5.5703125" style="2345" customWidth="1"/>
    <col min="1538" max="1538" width="6.7109375" style="2345" customWidth="1"/>
    <col min="1539" max="1539" width="8.85546875" style="2345" customWidth="1"/>
    <col min="1540" max="1540" width="47.85546875" style="2345" customWidth="1"/>
    <col min="1541" max="1541" width="12.85546875" style="2345" customWidth="1"/>
    <col min="1542" max="1542" width="15.5703125" style="2345" customWidth="1"/>
    <col min="1543" max="1543" width="15.85546875" style="2345" customWidth="1"/>
    <col min="1544" max="1544" width="6.42578125" style="2345" customWidth="1"/>
    <col min="1545" max="1546" width="9.140625" style="2345"/>
    <col min="1547" max="1548" width="14.7109375" style="2345" bestFit="1" customWidth="1"/>
    <col min="1549" max="1792" width="9.140625" style="2345"/>
    <col min="1793" max="1793" width="5.5703125" style="2345" customWidth="1"/>
    <col min="1794" max="1794" width="6.7109375" style="2345" customWidth="1"/>
    <col min="1795" max="1795" width="8.85546875" style="2345" customWidth="1"/>
    <col min="1796" max="1796" width="47.85546875" style="2345" customWidth="1"/>
    <col min="1797" max="1797" width="12.85546875" style="2345" customWidth="1"/>
    <col min="1798" max="1798" width="15.5703125" style="2345" customWidth="1"/>
    <col min="1799" max="1799" width="15.85546875" style="2345" customWidth="1"/>
    <col min="1800" max="1800" width="6.42578125" style="2345" customWidth="1"/>
    <col min="1801" max="1802" width="9.140625" style="2345"/>
    <col min="1803" max="1804" width="14.7109375" style="2345" bestFit="1" customWidth="1"/>
    <col min="1805" max="2048" width="9.140625" style="2345"/>
    <col min="2049" max="2049" width="5.5703125" style="2345" customWidth="1"/>
    <col min="2050" max="2050" width="6.7109375" style="2345" customWidth="1"/>
    <col min="2051" max="2051" width="8.85546875" style="2345" customWidth="1"/>
    <col min="2052" max="2052" width="47.85546875" style="2345" customWidth="1"/>
    <col min="2053" max="2053" width="12.85546875" style="2345" customWidth="1"/>
    <col min="2054" max="2054" width="15.5703125" style="2345" customWidth="1"/>
    <col min="2055" max="2055" width="15.85546875" style="2345" customWidth="1"/>
    <col min="2056" max="2056" width="6.42578125" style="2345" customWidth="1"/>
    <col min="2057" max="2058" width="9.140625" style="2345"/>
    <col min="2059" max="2060" width="14.7109375" style="2345" bestFit="1" customWidth="1"/>
    <col min="2061" max="2304" width="9.140625" style="2345"/>
    <col min="2305" max="2305" width="5.5703125" style="2345" customWidth="1"/>
    <col min="2306" max="2306" width="6.7109375" style="2345" customWidth="1"/>
    <col min="2307" max="2307" width="8.85546875" style="2345" customWidth="1"/>
    <col min="2308" max="2308" width="47.85546875" style="2345" customWidth="1"/>
    <col min="2309" max="2309" width="12.85546875" style="2345" customWidth="1"/>
    <col min="2310" max="2310" width="15.5703125" style="2345" customWidth="1"/>
    <col min="2311" max="2311" width="15.85546875" style="2345" customWidth="1"/>
    <col min="2312" max="2312" width="6.42578125" style="2345" customWidth="1"/>
    <col min="2313" max="2314" width="9.140625" style="2345"/>
    <col min="2315" max="2316" width="14.7109375" style="2345" bestFit="1" customWidth="1"/>
    <col min="2317" max="2560" width="9.140625" style="2345"/>
    <col min="2561" max="2561" width="5.5703125" style="2345" customWidth="1"/>
    <col min="2562" max="2562" width="6.7109375" style="2345" customWidth="1"/>
    <col min="2563" max="2563" width="8.85546875" style="2345" customWidth="1"/>
    <col min="2564" max="2564" width="47.85546875" style="2345" customWidth="1"/>
    <col min="2565" max="2565" width="12.85546875" style="2345" customWidth="1"/>
    <col min="2566" max="2566" width="15.5703125" style="2345" customWidth="1"/>
    <col min="2567" max="2567" width="15.85546875" style="2345" customWidth="1"/>
    <col min="2568" max="2568" width="6.42578125" style="2345" customWidth="1"/>
    <col min="2569" max="2570" width="9.140625" style="2345"/>
    <col min="2571" max="2572" width="14.7109375" style="2345" bestFit="1" customWidth="1"/>
    <col min="2573" max="2816" width="9.140625" style="2345"/>
    <col min="2817" max="2817" width="5.5703125" style="2345" customWidth="1"/>
    <col min="2818" max="2818" width="6.7109375" style="2345" customWidth="1"/>
    <col min="2819" max="2819" width="8.85546875" style="2345" customWidth="1"/>
    <col min="2820" max="2820" width="47.85546875" style="2345" customWidth="1"/>
    <col min="2821" max="2821" width="12.85546875" style="2345" customWidth="1"/>
    <col min="2822" max="2822" width="15.5703125" style="2345" customWidth="1"/>
    <col min="2823" max="2823" width="15.85546875" style="2345" customWidth="1"/>
    <col min="2824" max="2824" width="6.42578125" style="2345" customWidth="1"/>
    <col min="2825" max="2826" width="9.140625" style="2345"/>
    <col min="2827" max="2828" width="14.7109375" style="2345" bestFit="1" customWidth="1"/>
    <col min="2829" max="3072" width="9.140625" style="2345"/>
    <col min="3073" max="3073" width="5.5703125" style="2345" customWidth="1"/>
    <col min="3074" max="3074" width="6.7109375" style="2345" customWidth="1"/>
    <col min="3075" max="3075" width="8.85546875" style="2345" customWidth="1"/>
    <col min="3076" max="3076" width="47.85546875" style="2345" customWidth="1"/>
    <col min="3077" max="3077" width="12.85546875" style="2345" customWidth="1"/>
    <col min="3078" max="3078" width="15.5703125" style="2345" customWidth="1"/>
    <col min="3079" max="3079" width="15.85546875" style="2345" customWidth="1"/>
    <col min="3080" max="3080" width="6.42578125" style="2345" customWidth="1"/>
    <col min="3081" max="3082" width="9.140625" style="2345"/>
    <col min="3083" max="3084" width="14.7109375" style="2345" bestFit="1" customWidth="1"/>
    <col min="3085" max="3328" width="9.140625" style="2345"/>
    <col min="3329" max="3329" width="5.5703125" style="2345" customWidth="1"/>
    <col min="3330" max="3330" width="6.7109375" style="2345" customWidth="1"/>
    <col min="3331" max="3331" width="8.85546875" style="2345" customWidth="1"/>
    <col min="3332" max="3332" width="47.85546875" style="2345" customWidth="1"/>
    <col min="3333" max="3333" width="12.85546875" style="2345" customWidth="1"/>
    <col min="3334" max="3334" width="15.5703125" style="2345" customWidth="1"/>
    <col min="3335" max="3335" width="15.85546875" style="2345" customWidth="1"/>
    <col min="3336" max="3336" width="6.42578125" style="2345" customWidth="1"/>
    <col min="3337" max="3338" width="9.140625" style="2345"/>
    <col min="3339" max="3340" width="14.7109375" style="2345" bestFit="1" customWidth="1"/>
    <col min="3341" max="3584" width="9.140625" style="2345"/>
    <col min="3585" max="3585" width="5.5703125" style="2345" customWidth="1"/>
    <col min="3586" max="3586" width="6.7109375" style="2345" customWidth="1"/>
    <col min="3587" max="3587" width="8.85546875" style="2345" customWidth="1"/>
    <col min="3588" max="3588" width="47.85546875" style="2345" customWidth="1"/>
    <col min="3589" max="3589" width="12.85546875" style="2345" customWidth="1"/>
    <col min="3590" max="3590" width="15.5703125" style="2345" customWidth="1"/>
    <col min="3591" max="3591" width="15.85546875" style="2345" customWidth="1"/>
    <col min="3592" max="3592" width="6.42578125" style="2345" customWidth="1"/>
    <col min="3593" max="3594" width="9.140625" style="2345"/>
    <col min="3595" max="3596" width="14.7109375" style="2345" bestFit="1" customWidth="1"/>
    <col min="3597" max="3840" width="9.140625" style="2345"/>
    <col min="3841" max="3841" width="5.5703125" style="2345" customWidth="1"/>
    <col min="3842" max="3842" width="6.7109375" style="2345" customWidth="1"/>
    <col min="3843" max="3843" width="8.85546875" style="2345" customWidth="1"/>
    <col min="3844" max="3844" width="47.85546875" style="2345" customWidth="1"/>
    <col min="3845" max="3845" width="12.85546875" style="2345" customWidth="1"/>
    <col min="3846" max="3846" width="15.5703125" style="2345" customWidth="1"/>
    <col min="3847" max="3847" width="15.85546875" style="2345" customWidth="1"/>
    <col min="3848" max="3848" width="6.42578125" style="2345" customWidth="1"/>
    <col min="3849" max="3850" width="9.140625" style="2345"/>
    <col min="3851" max="3852" width="14.7109375" style="2345" bestFit="1" customWidth="1"/>
    <col min="3853" max="4096" width="9.140625" style="2345"/>
    <col min="4097" max="4097" width="5.5703125" style="2345" customWidth="1"/>
    <col min="4098" max="4098" width="6.7109375" style="2345" customWidth="1"/>
    <col min="4099" max="4099" width="8.85546875" style="2345" customWidth="1"/>
    <col min="4100" max="4100" width="47.85546875" style="2345" customWidth="1"/>
    <col min="4101" max="4101" width="12.85546875" style="2345" customWidth="1"/>
    <col min="4102" max="4102" width="15.5703125" style="2345" customWidth="1"/>
    <col min="4103" max="4103" width="15.85546875" style="2345" customWidth="1"/>
    <col min="4104" max="4104" width="6.42578125" style="2345" customWidth="1"/>
    <col min="4105" max="4106" width="9.140625" style="2345"/>
    <col min="4107" max="4108" width="14.7109375" style="2345" bestFit="1" customWidth="1"/>
    <col min="4109" max="4352" width="9.140625" style="2345"/>
    <col min="4353" max="4353" width="5.5703125" style="2345" customWidth="1"/>
    <col min="4354" max="4354" width="6.7109375" style="2345" customWidth="1"/>
    <col min="4355" max="4355" width="8.85546875" style="2345" customWidth="1"/>
    <col min="4356" max="4356" width="47.85546875" style="2345" customWidth="1"/>
    <col min="4357" max="4357" width="12.85546875" style="2345" customWidth="1"/>
    <col min="4358" max="4358" width="15.5703125" style="2345" customWidth="1"/>
    <col min="4359" max="4359" width="15.85546875" style="2345" customWidth="1"/>
    <col min="4360" max="4360" width="6.42578125" style="2345" customWidth="1"/>
    <col min="4361" max="4362" width="9.140625" style="2345"/>
    <col min="4363" max="4364" width="14.7109375" style="2345" bestFit="1" customWidth="1"/>
    <col min="4365" max="4608" width="9.140625" style="2345"/>
    <col min="4609" max="4609" width="5.5703125" style="2345" customWidth="1"/>
    <col min="4610" max="4610" width="6.7109375" style="2345" customWidth="1"/>
    <col min="4611" max="4611" width="8.85546875" style="2345" customWidth="1"/>
    <col min="4612" max="4612" width="47.85546875" style="2345" customWidth="1"/>
    <col min="4613" max="4613" width="12.85546875" style="2345" customWidth="1"/>
    <col min="4614" max="4614" width="15.5703125" style="2345" customWidth="1"/>
    <col min="4615" max="4615" width="15.85546875" style="2345" customWidth="1"/>
    <col min="4616" max="4616" width="6.42578125" style="2345" customWidth="1"/>
    <col min="4617" max="4618" width="9.140625" style="2345"/>
    <col min="4619" max="4620" width="14.7109375" style="2345" bestFit="1" customWidth="1"/>
    <col min="4621" max="4864" width="9.140625" style="2345"/>
    <col min="4865" max="4865" width="5.5703125" style="2345" customWidth="1"/>
    <col min="4866" max="4866" width="6.7109375" style="2345" customWidth="1"/>
    <col min="4867" max="4867" width="8.85546875" style="2345" customWidth="1"/>
    <col min="4868" max="4868" width="47.85546875" style="2345" customWidth="1"/>
    <col min="4869" max="4869" width="12.85546875" style="2345" customWidth="1"/>
    <col min="4870" max="4870" width="15.5703125" style="2345" customWidth="1"/>
    <col min="4871" max="4871" width="15.85546875" style="2345" customWidth="1"/>
    <col min="4872" max="4872" width="6.42578125" style="2345" customWidth="1"/>
    <col min="4873" max="4874" width="9.140625" style="2345"/>
    <col min="4875" max="4876" width="14.7109375" style="2345" bestFit="1" customWidth="1"/>
    <col min="4877" max="5120" width="9.140625" style="2345"/>
    <col min="5121" max="5121" width="5.5703125" style="2345" customWidth="1"/>
    <col min="5122" max="5122" width="6.7109375" style="2345" customWidth="1"/>
    <col min="5123" max="5123" width="8.85546875" style="2345" customWidth="1"/>
    <col min="5124" max="5124" width="47.85546875" style="2345" customWidth="1"/>
    <col min="5125" max="5125" width="12.85546875" style="2345" customWidth="1"/>
    <col min="5126" max="5126" width="15.5703125" style="2345" customWidth="1"/>
    <col min="5127" max="5127" width="15.85546875" style="2345" customWidth="1"/>
    <col min="5128" max="5128" width="6.42578125" style="2345" customWidth="1"/>
    <col min="5129" max="5130" width="9.140625" style="2345"/>
    <col min="5131" max="5132" width="14.7109375" style="2345" bestFit="1" customWidth="1"/>
    <col min="5133" max="5376" width="9.140625" style="2345"/>
    <col min="5377" max="5377" width="5.5703125" style="2345" customWidth="1"/>
    <col min="5378" max="5378" width="6.7109375" style="2345" customWidth="1"/>
    <col min="5379" max="5379" width="8.85546875" style="2345" customWidth="1"/>
    <col min="5380" max="5380" width="47.85546875" style="2345" customWidth="1"/>
    <col min="5381" max="5381" width="12.85546875" style="2345" customWidth="1"/>
    <col min="5382" max="5382" width="15.5703125" style="2345" customWidth="1"/>
    <col min="5383" max="5383" width="15.85546875" style="2345" customWidth="1"/>
    <col min="5384" max="5384" width="6.42578125" style="2345" customWidth="1"/>
    <col min="5385" max="5386" width="9.140625" style="2345"/>
    <col min="5387" max="5388" width="14.7109375" style="2345" bestFit="1" customWidth="1"/>
    <col min="5389" max="5632" width="9.140625" style="2345"/>
    <col min="5633" max="5633" width="5.5703125" style="2345" customWidth="1"/>
    <col min="5634" max="5634" width="6.7109375" style="2345" customWidth="1"/>
    <col min="5635" max="5635" width="8.85546875" style="2345" customWidth="1"/>
    <col min="5636" max="5636" width="47.85546875" style="2345" customWidth="1"/>
    <col min="5637" max="5637" width="12.85546875" style="2345" customWidth="1"/>
    <col min="5638" max="5638" width="15.5703125" style="2345" customWidth="1"/>
    <col min="5639" max="5639" width="15.85546875" style="2345" customWidth="1"/>
    <col min="5640" max="5640" width="6.42578125" style="2345" customWidth="1"/>
    <col min="5641" max="5642" width="9.140625" style="2345"/>
    <col min="5643" max="5644" width="14.7109375" style="2345" bestFit="1" customWidth="1"/>
    <col min="5645" max="5888" width="9.140625" style="2345"/>
    <col min="5889" max="5889" width="5.5703125" style="2345" customWidth="1"/>
    <col min="5890" max="5890" width="6.7109375" style="2345" customWidth="1"/>
    <col min="5891" max="5891" width="8.85546875" style="2345" customWidth="1"/>
    <col min="5892" max="5892" width="47.85546875" style="2345" customWidth="1"/>
    <col min="5893" max="5893" width="12.85546875" style="2345" customWidth="1"/>
    <col min="5894" max="5894" width="15.5703125" style="2345" customWidth="1"/>
    <col min="5895" max="5895" width="15.85546875" style="2345" customWidth="1"/>
    <col min="5896" max="5896" width="6.42578125" style="2345" customWidth="1"/>
    <col min="5897" max="5898" width="9.140625" style="2345"/>
    <col min="5899" max="5900" width="14.7109375" style="2345" bestFit="1" customWidth="1"/>
    <col min="5901" max="6144" width="9.140625" style="2345"/>
    <col min="6145" max="6145" width="5.5703125" style="2345" customWidth="1"/>
    <col min="6146" max="6146" width="6.7109375" style="2345" customWidth="1"/>
    <col min="6147" max="6147" width="8.85546875" style="2345" customWidth="1"/>
    <col min="6148" max="6148" width="47.85546875" style="2345" customWidth="1"/>
    <col min="6149" max="6149" width="12.85546875" style="2345" customWidth="1"/>
    <col min="6150" max="6150" width="15.5703125" style="2345" customWidth="1"/>
    <col min="6151" max="6151" width="15.85546875" style="2345" customWidth="1"/>
    <col min="6152" max="6152" width="6.42578125" style="2345" customWidth="1"/>
    <col min="6153" max="6154" width="9.140625" style="2345"/>
    <col min="6155" max="6156" width="14.7109375" style="2345" bestFit="1" customWidth="1"/>
    <col min="6157" max="6400" width="9.140625" style="2345"/>
    <col min="6401" max="6401" width="5.5703125" style="2345" customWidth="1"/>
    <col min="6402" max="6402" width="6.7109375" style="2345" customWidth="1"/>
    <col min="6403" max="6403" width="8.85546875" style="2345" customWidth="1"/>
    <col min="6404" max="6404" width="47.85546875" style="2345" customWidth="1"/>
    <col min="6405" max="6405" width="12.85546875" style="2345" customWidth="1"/>
    <col min="6406" max="6406" width="15.5703125" style="2345" customWidth="1"/>
    <col min="6407" max="6407" width="15.85546875" style="2345" customWidth="1"/>
    <col min="6408" max="6408" width="6.42578125" style="2345" customWidth="1"/>
    <col min="6409" max="6410" width="9.140625" style="2345"/>
    <col min="6411" max="6412" width="14.7109375" style="2345" bestFit="1" customWidth="1"/>
    <col min="6413" max="6656" width="9.140625" style="2345"/>
    <col min="6657" max="6657" width="5.5703125" style="2345" customWidth="1"/>
    <col min="6658" max="6658" width="6.7109375" style="2345" customWidth="1"/>
    <col min="6659" max="6659" width="8.85546875" style="2345" customWidth="1"/>
    <col min="6660" max="6660" width="47.85546875" style="2345" customWidth="1"/>
    <col min="6661" max="6661" width="12.85546875" style="2345" customWidth="1"/>
    <col min="6662" max="6662" width="15.5703125" style="2345" customWidth="1"/>
    <col min="6663" max="6663" width="15.85546875" style="2345" customWidth="1"/>
    <col min="6664" max="6664" width="6.42578125" style="2345" customWidth="1"/>
    <col min="6665" max="6666" width="9.140625" style="2345"/>
    <col min="6667" max="6668" width="14.7109375" style="2345" bestFit="1" customWidth="1"/>
    <col min="6669" max="6912" width="9.140625" style="2345"/>
    <col min="6913" max="6913" width="5.5703125" style="2345" customWidth="1"/>
    <col min="6914" max="6914" width="6.7109375" style="2345" customWidth="1"/>
    <col min="6915" max="6915" width="8.85546875" style="2345" customWidth="1"/>
    <col min="6916" max="6916" width="47.85546875" style="2345" customWidth="1"/>
    <col min="6917" max="6917" width="12.85546875" style="2345" customWidth="1"/>
    <col min="6918" max="6918" width="15.5703125" style="2345" customWidth="1"/>
    <col min="6919" max="6919" width="15.85546875" style="2345" customWidth="1"/>
    <col min="6920" max="6920" width="6.42578125" style="2345" customWidth="1"/>
    <col min="6921" max="6922" width="9.140625" style="2345"/>
    <col min="6923" max="6924" width="14.7109375" style="2345" bestFit="1" customWidth="1"/>
    <col min="6925" max="7168" width="9.140625" style="2345"/>
    <col min="7169" max="7169" width="5.5703125" style="2345" customWidth="1"/>
    <col min="7170" max="7170" width="6.7109375" style="2345" customWidth="1"/>
    <col min="7171" max="7171" width="8.85546875" style="2345" customWidth="1"/>
    <col min="7172" max="7172" width="47.85546875" style="2345" customWidth="1"/>
    <col min="7173" max="7173" width="12.85546875" style="2345" customWidth="1"/>
    <col min="7174" max="7174" width="15.5703125" style="2345" customWidth="1"/>
    <col min="7175" max="7175" width="15.85546875" style="2345" customWidth="1"/>
    <col min="7176" max="7176" width="6.42578125" style="2345" customWidth="1"/>
    <col min="7177" max="7178" width="9.140625" style="2345"/>
    <col min="7179" max="7180" width="14.7109375" style="2345" bestFit="1" customWidth="1"/>
    <col min="7181" max="7424" width="9.140625" style="2345"/>
    <col min="7425" max="7425" width="5.5703125" style="2345" customWidth="1"/>
    <col min="7426" max="7426" width="6.7109375" style="2345" customWidth="1"/>
    <col min="7427" max="7427" width="8.85546875" style="2345" customWidth="1"/>
    <col min="7428" max="7428" width="47.85546875" style="2345" customWidth="1"/>
    <col min="7429" max="7429" width="12.85546875" style="2345" customWidth="1"/>
    <col min="7430" max="7430" width="15.5703125" style="2345" customWidth="1"/>
    <col min="7431" max="7431" width="15.85546875" style="2345" customWidth="1"/>
    <col min="7432" max="7432" width="6.42578125" style="2345" customWidth="1"/>
    <col min="7433" max="7434" width="9.140625" style="2345"/>
    <col min="7435" max="7436" width="14.7109375" style="2345" bestFit="1" customWidth="1"/>
    <col min="7437" max="7680" width="9.140625" style="2345"/>
    <col min="7681" max="7681" width="5.5703125" style="2345" customWidth="1"/>
    <col min="7682" max="7682" width="6.7109375" style="2345" customWidth="1"/>
    <col min="7683" max="7683" width="8.85546875" style="2345" customWidth="1"/>
    <col min="7684" max="7684" width="47.85546875" style="2345" customWidth="1"/>
    <col min="7685" max="7685" width="12.85546875" style="2345" customWidth="1"/>
    <col min="7686" max="7686" width="15.5703125" style="2345" customWidth="1"/>
    <col min="7687" max="7687" width="15.85546875" style="2345" customWidth="1"/>
    <col min="7688" max="7688" width="6.42578125" style="2345" customWidth="1"/>
    <col min="7689" max="7690" width="9.140625" style="2345"/>
    <col min="7691" max="7692" width="14.7109375" style="2345" bestFit="1" customWidth="1"/>
    <col min="7693" max="7936" width="9.140625" style="2345"/>
    <col min="7937" max="7937" width="5.5703125" style="2345" customWidth="1"/>
    <col min="7938" max="7938" width="6.7109375" style="2345" customWidth="1"/>
    <col min="7939" max="7939" width="8.85546875" style="2345" customWidth="1"/>
    <col min="7940" max="7940" width="47.85546875" style="2345" customWidth="1"/>
    <col min="7941" max="7941" width="12.85546875" style="2345" customWidth="1"/>
    <col min="7942" max="7942" width="15.5703125" style="2345" customWidth="1"/>
    <col min="7943" max="7943" width="15.85546875" style="2345" customWidth="1"/>
    <col min="7944" max="7944" width="6.42578125" style="2345" customWidth="1"/>
    <col min="7945" max="7946" width="9.140625" style="2345"/>
    <col min="7947" max="7948" width="14.7109375" style="2345" bestFit="1" customWidth="1"/>
    <col min="7949" max="8192" width="9.140625" style="2345"/>
    <col min="8193" max="8193" width="5.5703125" style="2345" customWidth="1"/>
    <col min="8194" max="8194" width="6.7109375" style="2345" customWidth="1"/>
    <col min="8195" max="8195" width="8.85546875" style="2345" customWidth="1"/>
    <col min="8196" max="8196" width="47.85546875" style="2345" customWidth="1"/>
    <col min="8197" max="8197" width="12.85546875" style="2345" customWidth="1"/>
    <col min="8198" max="8198" width="15.5703125" style="2345" customWidth="1"/>
    <col min="8199" max="8199" width="15.85546875" style="2345" customWidth="1"/>
    <col min="8200" max="8200" width="6.42578125" style="2345" customWidth="1"/>
    <col min="8201" max="8202" width="9.140625" style="2345"/>
    <col min="8203" max="8204" width="14.7109375" style="2345" bestFit="1" customWidth="1"/>
    <col min="8205" max="8448" width="9.140625" style="2345"/>
    <col min="8449" max="8449" width="5.5703125" style="2345" customWidth="1"/>
    <col min="8450" max="8450" width="6.7109375" style="2345" customWidth="1"/>
    <col min="8451" max="8451" width="8.85546875" style="2345" customWidth="1"/>
    <col min="8452" max="8452" width="47.85546875" style="2345" customWidth="1"/>
    <col min="8453" max="8453" width="12.85546875" style="2345" customWidth="1"/>
    <col min="8454" max="8454" width="15.5703125" style="2345" customWidth="1"/>
    <col min="8455" max="8455" width="15.85546875" style="2345" customWidth="1"/>
    <col min="8456" max="8456" width="6.42578125" style="2345" customWidth="1"/>
    <col min="8457" max="8458" width="9.140625" style="2345"/>
    <col min="8459" max="8460" width="14.7109375" style="2345" bestFit="1" customWidth="1"/>
    <col min="8461" max="8704" width="9.140625" style="2345"/>
    <col min="8705" max="8705" width="5.5703125" style="2345" customWidth="1"/>
    <col min="8706" max="8706" width="6.7109375" style="2345" customWidth="1"/>
    <col min="8707" max="8707" width="8.85546875" style="2345" customWidth="1"/>
    <col min="8708" max="8708" width="47.85546875" style="2345" customWidth="1"/>
    <col min="8709" max="8709" width="12.85546875" style="2345" customWidth="1"/>
    <col min="8710" max="8710" width="15.5703125" style="2345" customWidth="1"/>
    <col min="8711" max="8711" width="15.85546875" style="2345" customWidth="1"/>
    <col min="8712" max="8712" width="6.42578125" style="2345" customWidth="1"/>
    <col min="8713" max="8714" width="9.140625" style="2345"/>
    <col min="8715" max="8716" width="14.7109375" style="2345" bestFit="1" customWidth="1"/>
    <col min="8717" max="8960" width="9.140625" style="2345"/>
    <col min="8961" max="8961" width="5.5703125" style="2345" customWidth="1"/>
    <col min="8962" max="8962" width="6.7109375" style="2345" customWidth="1"/>
    <col min="8963" max="8963" width="8.85546875" style="2345" customWidth="1"/>
    <col min="8964" max="8964" width="47.85546875" style="2345" customWidth="1"/>
    <col min="8965" max="8965" width="12.85546875" style="2345" customWidth="1"/>
    <col min="8966" max="8966" width="15.5703125" style="2345" customWidth="1"/>
    <col min="8967" max="8967" width="15.85546875" style="2345" customWidth="1"/>
    <col min="8968" max="8968" width="6.42578125" style="2345" customWidth="1"/>
    <col min="8969" max="8970" width="9.140625" style="2345"/>
    <col min="8971" max="8972" width="14.7109375" style="2345" bestFit="1" customWidth="1"/>
    <col min="8973" max="9216" width="9.140625" style="2345"/>
    <col min="9217" max="9217" width="5.5703125" style="2345" customWidth="1"/>
    <col min="9218" max="9218" width="6.7109375" style="2345" customWidth="1"/>
    <col min="9219" max="9219" width="8.85546875" style="2345" customWidth="1"/>
    <col min="9220" max="9220" width="47.85546875" style="2345" customWidth="1"/>
    <col min="9221" max="9221" width="12.85546875" style="2345" customWidth="1"/>
    <col min="9222" max="9222" width="15.5703125" style="2345" customWidth="1"/>
    <col min="9223" max="9223" width="15.85546875" style="2345" customWidth="1"/>
    <col min="9224" max="9224" width="6.42578125" style="2345" customWidth="1"/>
    <col min="9225" max="9226" width="9.140625" style="2345"/>
    <col min="9227" max="9228" width="14.7109375" style="2345" bestFit="1" customWidth="1"/>
    <col min="9229" max="9472" width="9.140625" style="2345"/>
    <col min="9473" max="9473" width="5.5703125" style="2345" customWidth="1"/>
    <col min="9474" max="9474" width="6.7109375" style="2345" customWidth="1"/>
    <col min="9475" max="9475" width="8.85546875" style="2345" customWidth="1"/>
    <col min="9476" max="9476" width="47.85546875" style="2345" customWidth="1"/>
    <col min="9477" max="9477" width="12.85546875" style="2345" customWidth="1"/>
    <col min="9478" max="9478" width="15.5703125" style="2345" customWidth="1"/>
    <col min="9479" max="9479" width="15.85546875" style="2345" customWidth="1"/>
    <col min="9480" max="9480" width="6.42578125" style="2345" customWidth="1"/>
    <col min="9481" max="9482" width="9.140625" style="2345"/>
    <col min="9483" max="9484" width="14.7109375" style="2345" bestFit="1" customWidth="1"/>
    <col min="9485" max="9728" width="9.140625" style="2345"/>
    <col min="9729" max="9729" width="5.5703125" style="2345" customWidth="1"/>
    <col min="9730" max="9730" width="6.7109375" style="2345" customWidth="1"/>
    <col min="9731" max="9731" width="8.85546875" style="2345" customWidth="1"/>
    <col min="9732" max="9732" width="47.85546875" style="2345" customWidth="1"/>
    <col min="9733" max="9733" width="12.85546875" style="2345" customWidth="1"/>
    <col min="9734" max="9734" width="15.5703125" style="2345" customWidth="1"/>
    <col min="9735" max="9735" width="15.85546875" style="2345" customWidth="1"/>
    <col min="9736" max="9736" width="6.42578125" style="2345" customWidth="1"/>
    <col min="9737" max="9738" width="9.140625" style="2345"/>
    <col min="9739" max="9740" width="14.7109375" style="2345" bestFit="1" customWidth="1"/>
    <col min="9741" max="9984" width="9.140625" style="2345"/>
    <col min="9985" max="9985" width="5.5703125" style="2345" customWidth="1"/>
    <col min="9986" max="9986" width="6.7109375" style="2345" customWidth="1"/>
    <col min="9987" max="9987" width="8.85546875" style="2345" customWidth="1"/>
    <col min="9988" max="9988" width="47.85546875" style="2345" customWidth="1"/>
    <col min="9989" max="9989" width="12.85546875" style="2345" customWidth="1"/>
    <col min="9990" max="9990" width="15.5703125" style="2345" customWidth="1"/>
    <col min="9991" max="9991" width="15.85546875" style="2345" customWidth="1"/>
    <col min="9992" max="9992" width="6.42578125" style="2345" customWidth="1"/>
    <col min="9993" max="9994" width="9.140625" style="2345"/>
    <col min="9995" max="9996" width="14.7109375" style="2345" bestFit="1" customWidth="1"/>
    <col min="9997" max="10240" width="9.140625" style="2345"/>
    <col min="10241" max="10241" width="5.5703125" style="2345" customWidth="1"/>
    <col min="10242" max="10242" width="6.7109375" style="2345" customWidth="1"/>
    <col min="10243" max="10243" width="8.85546875" style="2345" customWidth="1"/>
    <col min="10244" max="10244" width="47.85546875" style="2345" customWidth="1"/>
    <col min="10245" max="10245" width="12.85546875" style="2345" customWidth="1"/>
    <col min="10246" max="10246" width="15.5703125" style="2345" customWidth="1"/>
    <col min="10247" max="10247" width="15.85546875" style="2345" customWidth="1"/>
    <col min="10248" max="10248" width="6.42578125" style="2345" customWidth="1"/>
    <col min="10249" max="10250" width="9.140625" style="2345"/>
    <col min="10251" max="10252" width="14.7109375" style="2345" bestFit="1" customWidth="1"/>
    <col min="10253" max="10496" width="9.140625" style="2345"/>
    <col min="10497" max="10497" width="5.5703125" style="2345" customWidth="1"/>
    <col min="10498" max="10498" width="6.7109375" style="2345" customWidth="1"/>
    <col min="10499" max="10499" width="8.85546875" style="2345" customWidth="1"/>
    <col min="10500" max="10500" width="47.85546875" style="2345" customWidth="1"/>
    <col min="10501" max="10501" width="12.85546875" style="2345" customWidth="1"/>
    <col min="10502" max="10502" width="15.5703125" style="2345" customWidth="1"/>
    <col min="10503" max="10503" width="15.85546875" style="2345" customWidth="1"/>
    <col min="10504" max="10504" width="6.42578125" style="2345" customWidth="1"/>
    <col min="10505" max="10506" width="9.140625" style="2345"/>
    <col min="10507" max="10508" width="14.7109375" style="2345" bestFit="1" customWidth="1"/>
    <col min="10509" max="10752" width="9.140625" style="2345"/>
    <col min="10753" max="10753" width="5.5703125" style="2345" customWidth="1"/>
    <col min="10754" max="10754" width="6.7109375" style="2345" customWidth="1"/>
    <col min="10755" max="10755" width="8.85546875" style="2345" customWidth="1"/>
    <col min="10756" max="10756" width="47.85546875" style="2345" customWidth="1"/>
    <col min="10757" max="10757" width="12.85546875" style="2345" customWidth="1"/>
    <col min="10758" max="10758" width="15.5703125" style="2345" customWidth="1"/>
    <col min="10759" max="10759" width="15.85546875" style="2345" customWidth="1"/>
    <col min="10760" max="10760" width="6.42578125" style="2345" customWidth="1"/>
    <col min="10761" max="10762" width="9.140625" style="2345"/>
    <col min="10763" max="10764" width="14.7109375" style="2345" bestFit="1" customWidth="1"/>
    <col min="10765" max="11008" width="9.140625" style="2345"/>
    <col min="11009" max="11009" width="5.5703125" style="2345" customWidth="1"/>
    <col min="11010" max="11010" width="6.7109375" style="2345" customWidth="1"/>
    <col min="11011" max="11011" width="8.85546875" style="2345" customWidth="1"/>
    <col min="11012" max="11012" width="47.85546875" style="2345" customWidth="1"/>
    <col min="11013" max="11013" width="12.85546875" style="2345" customWidth="1"/>
    <col min="11014" max="11014" width="15.5703125" style="2345" customWidth="1"/>
    <col min="11015" max="11015" width="15.85546875" style="2345" customWidth="1"/>
    <col min="11016" max="11016" width="6.42578125" style="2345" customWidth="1"/>
    <col min="11017" max="11018" width="9.140625" style="2345"/>
    <col min="11019" max="11020" width="14.7109375" style="2345" bestFit="1" customWidth="1"/>
    <col min="11021" max="11264" width="9.140625" style="2345"/>
    <col min="11265" max="11265" width="5.5703125" style="2345" customWidth="1"/>
    <col min="11266" max="11266" width="6.7109375" style="2345" customWidth="1"/>
    <col min="11267" max="11267" width="8.85546875" style="2345" customWidth="1"/>
    <col min="11268" max="11268" width="47.85546875" style="2345" customWidth="1"/>
    <col min="11269" max="11269" width="12.85546875" style="2345" customWidth="1"/>
    <col min="11270" max="11270" width="15.5703125" style="2345" customWidth="1"/>
    <col min="11271" max="11271" width="15.85546875" style="2345" customWidth="1"/>
    <col min="11272" max="11272" width="6.42578125" style="2345" customWidth="1"/>
    <col min="11273" max="11274" width="9.140625" style="2345"/>
    <col min="11275" max="11276" width="14.7109375" style="2345" bestFit="1" customWidth="1"/>
    <col min="11277" max="11520" width="9.140625" style="2345"/>
    <col min="11521" max="11521" width="5.5703125" style="2345" customWidth="1"/>
    <col min="11522" max="11522" width="6.7109375" style="2345" customWidth="1"/>
    <col min="11523" max="11523" width="8.85546875" style="2345" customWidth="1"/>
    <col min="11524" max="11524" width="47.85546875" style="2345" customWidth="1"/>
    <col min="11525" max="11525" width="12.85546875" style="2345" customWidth="1"/>
    <col min="11526" max="11526" width="15.5703125" style="2345" customWidth="1"/>
    <col min="11527" max="11527" width="15.85546875" style="2345" customWidth="1"/>
    <col min="11528" max="11528" width="6.42578125" style="2345" customWidth="1"/>
    <col min="11529" max="11530" width="9.140625" style="2345"/>
    <col min="11531" max="11532" width="14.7109375" style="2345" bestFit="1" customWidth="1"/>
    <col min="11533" max="11776" width="9.140625" style="2345"/>
    <col min="11777" max="11777" width="5.5703125" style="2345" customWidth="1"/>
    <col min="11778" max="11778" width="6.7109375" style="2345" customWidth="1"/>
    <col min="11779" max="11779" width="8.85546875" style="2345" customWidth="1"/>
    <col min="11780" max="11780" width="47.85546875" style="2345" customWidth="1"/>
    <col min="11781" max="11781" width="12.85546875" style="2345" customWidth="1"/>
    <col min="11782" max="11782" width="15.5703125" style="2345" customWidth="1"/>
    <col min="11783" max="11783" width="15.85546875" style="2345" customWidth="1"/>
    <col min="11784" max="11784" width="6.42578125" style="2345" customWidth="1"/>
    <col min="11785" max="11786" width="9.140625" style="2345"/>
    <col min="11787" max="11788" width="14.7109375" style="2345" bestFit="1" customWidth="1"/>
    <col min="11789" max="12032" width="9.140625" style="2345"/>
    <col min="12033" max="12033" width="5.5703125" style="2345" customWidth="1"/>
    <col min="12034" max="12034" width="6.7109375" style="2345" customWidth="1"/>
    <col min="12035" max="12035" width="8.85546875" style="2345" customWidth="1"/>
    <col min="12036" max="12036" width="47.85546875" style="2345" customWidth="1"/>
    <col min="12037" max="12037" width="12.85546875" style="2345" customWidth="1"/>
    <col min="12038" max="12038" width="15.5703125" style="2345" customWidth="1"/>
    <col min="12039" max="12039" width="15.85546875" style="2345" customWidth="1"/>
    <col min="12040" max="12040" width="6.42578125" style="2345" customWidth="1"/>
    <col min="12041" max="12042" width="9.140625" style="2345"/>
    <col min="12043" max="12044" width="14.7109375" style="2345" bestFit="1" customWidth="1"/>
    <col min="12045" max="12288" width="9.140625" style="2345"/>
    <col min="12289" max="12289" width="5.5703125" style="2345" customWidth="1"/>
    <col min="12290" max="12290" width="6.7109375" style="2345" customWidth="1"/>
    <col min="12291" max="12291" width="8.85546875" style="2345" customWidth="1"/>
    <col min="12292" max="12292" width="47.85546875" style="2345" customWidth="1"/>
    <col min="12293" max="12293" width="12.85546875" style="2345" customWidth="1"/>
    <col min="12294" max="12294" width="15.5703125" style="2345" customWidth="1"/>
    <col min="12295" max="12295" width="15.85546875" style="2345" customWidth="1"/>
    <col min="12296" max="12296" width="6.42578125" style="2345" customWidth="1"/>
    <col min="12297" max="12298" width="9.140625" style="2345"/>
    <col min="12299" max="12300" width="14.7109375" style="2345" bestFit="1" customWidth="1"/>
    <col min="12301" max="12544" width="9.140625" style="2345"/>
    <col min="12545" max="12545" width="5.5703125" style="2345" customWidth="1"/>
    <col min="12546" max="12546" width="6.7109375" style="2345" customWidth="1"/>
    <col min="12547" max="12547" width="8.85546875" style="2345" customWidth="1"/>
    <col min="12548" max="12548" width="47.85546875" style="2345" customWidth="1"/>
    <col min="12549" max="12549" width="12.85546875" style="2345" customWidth="1"/>
    <col min="12550" max="12550" width="15.5703125" style="2345" customWidth="1"/>
    <col min="12551" max="12551" width="15.85546875" style="2345" customWidth="1"/>
    <col min="12552" max="12552" width="6.42578125" style="2345" customWidth="1"/>
    <col min="12553" max="12554" width="9.140625" style="2345"/>
    <col min="12555" max="12556" width="14.7109375" style="2345" bestFit="1" customWidth="1"/>
    <col min="12557" max="12800" width="9.140625" style="2345"/>
    <col min="12801" max="12801" width="5.5703125" style="2345" customWidth="1"/>
    <col min="12802" max="12802" width="6.7109375" style="2345" customWidth="1"/>
    <col min="12803" max="12803" width="8.85546875" style="2345" customWidth="1"/>
    <col min="12804" max="12804" width="47.85546875" style="2345" customWidth="1"/>
    <col min="12805" max="12805" width="12.85546875" style="2345" customWidth="1"/>
    <col min="12806" max="12806" width="15.5703125" style="2345" customWidth="1"/>
    <col min="12807" max="12807" width="15.85546875" style="2345" customWidth="1"/>
    <col min="12808" max="12808" width="6.42578125" style="2345" customWidth="1"/>
    <col min="12809" max="12810" width="9.140625" style="2345"/>
    <col min="12811" max="12812" width="14.7109375" style="2345" bestFit="1" customWidth="1"/>
    <col min="12813" max="13056" width="9.140625" style="2345"/>
    <col min="13057" max="13057" width="5.5703125" style="2345" customWidth="1"/>
    <col min="13058" max="13058" width="6.7109375" style="2345" customWidth="1"/>
    <col min="13059" max="13059" width="8.85546875" style="2345" customWidth="1"/>
    <col min="13060" max="13060" width="47.85546875" style="2345" customWidth="1"/>
    <col min="13061" max="13061" width="12.85546875" style="2345" customWidth="1"/>
    <col min="13062" max="13062" width="15.5703125" style="2345" customWidth="1"/>
    <col min="13063" max="13063" width="15.85546875" style="2345" customWidth="1"/>
    <col min="13064" max="13064" width="6.42578125" style="2345" customWidth="1"/>
    <col min="13065" max="13066" width="9.140625" style="2345"/>
    <col min="13067" max="13068" width="14.7109375" style="2345" bestFit="1" customWidth="1"/>
    <col min="13069" max="13312" width="9.140625" style="2345"/>
    <col min="13313" max="13313" width="5.5703125" style="2345" customWidth="1"/>
    <col min="13314" max="13314" width="6.7109375" style="2345" customWidth="1"/>
    <col min="13315" max="13315" width="8.85546875" style="2345" customWidth="1"/>
    <col min="13316" max="13316" width="47.85546875" style="2345" customWidth="1"/>
    <col min="13317" max="13317" width="12.85546875" style="2345" customWidth="1"/>
    <col min="13318" max="13318" width="15.5703125" style="2345" customWidth="1"/>
    <col min="13319" max="13319" width="15.85546875" style="2345" customWidth="1"/>
    <col min="13320" max="13320" width="6.42578125" style="2345" customWidth="1"/>
    <col min="13321" max="13322" width="9.140625" style="2345"/>
    <col min="13323" max="13324" width="14.7109375" style="2345" bestFit="1" customWidth="1"/>
    <col min="13325" max="13568" width="9.140625" style="2345"/>
    <col min="13569" max="13569" width="5.5703125" style="2345" customWidth="1"/>
    <col min="13570" max="13570" width="6.7109375" style="2345" customWidth="1"/>
    <col min="13571" max="13571" width="8.85546875" style="2345" customWidth="1"/>
    <col min="13572" max="13572" width="47.85546875" style="2345" customWidth="1"/>
    <col min="13573" max="13573" width="12.85546875" style="2345" customWidth="1"/>
    <col min="13574" max="13574" width="15.5703125" style="2345" customWidth="1"/>
    <col min="13575" max="13575" width="15.85546875" style="2345" customWidth="1"/>
    <col min="13576" max="13576" width="6.42578125" style="2345" customWidth="1"/>
    <col min="13577" max="13578" width="9.140625" style="2345"/>
    <col min="13579" max="13580" width="14.7109375" style="2345" bestFit="1" customWidth="1"/>
    <col min="13581" max="13824" width="9.140625" style="2345"/>
    <col min="13825" max="13825" width="5.5703125" style="2345" customWidth="1"/>
    <col min="13826" max="13826" width="6.7109375" style="2345" customWidth="1"/>
    <col min="13827" max="13827" width="8.85546875" style="2345" customWidth="1"/>
    <col min="13828" max="13828" width="47.85546875" style="2345" customWidth="1"/>
    <col min="13829" max="13829" width="12.85546875" style="2345" customWidth="1"/>
    <col min="13830" max="13830" width="15.5703125" style="2345" customWidth="1"/>
    <col min="13831" max="13831" width="15.85546875" style="2345" customWidth="1"/>
    <col min="13832" max="13832" width="6.42578125" style="2345" customWidth="1"/>
    <col min="13833" max="13834" width="9.140625" style="2345"/>
    <col min="13835" max="13836" width="14.7109375" style="2345" bestFit="1" customWidth="1"/>
    <col min="13837" max="14080" width="9.140625" style="2345"/>
    <col min="14081" max="14081" width="5.5703125" style="2345" customWidth="1"/>
    <col min="14082" max="14082" width="6.7109375" style="2345" customWidth="1"/>
    <col min="14083" max="14083" width="8.85546875" style="2345" customWidth="1"/>
    <col min="14084" max="14084" width="47.85546875" style="2345" customWidth="1"/>
    <col min="14085" max="14085" width="12.85546875" style="2345" customWidth="1"/>
    <col min="14086" max="14086" width="15.5703125" style="2345" customWidth="1"/>
    <col min="14087" max="14087" width="15.85546875" style="2345" customWidth="1"/>
    <col min="14088" max="14088" width="6.42578125" style="2345" customWidth="1"/>
    <col min="14089" max="14090" width="9.140625" style="2345"/>
    <col min="14091" max="14092" width="14.7109375" style="2345" bestFit="1" customWidth="1"/>
    <col min="14093" max="14336" width="9.140625" style="2345"/>
    <col min="14337" max="14337" width="5.5703125" style="2345" customWidth="1"/>
    <col min="14338" max="14338" width="6.7109375" style="2345" customWidth="1"/>
    <col min="14339" max="14339" width="8.85546875" style="2345" customWidth="1"/>
    <col min="14340" max="14340" width="47.85546875" style="2345" customWidth="1"/>
    <col min="14341" max="14341" width="12.85546875" style="2345" customWidth="1"/>
    <col min="14342" max="14342" width="15.5703125" style="2345" customWidth="1"/>
    <col min="14343" max="14343" width="15.85546875" style="2345" customWidth="1"/>
    <col min="14344" max="14344" width="6.42578125" style="2345" customWidth="1"/>
    <col min="14345" max="14346" width="9.140625" style="2345"/>
    <col min="14347" max="14348" width="14.7109375" style="2345" bestFit="1" customWidth="1"/>
    <col min="14349" max="14592" width="9.140625" style="2345"/>
    <col min="14593" max="14593" width="5.5703125" style="2345" customWidth="1"/>
    <col min="14594" max="14594" width="6.7109375" style="2345" customWidth="1"/>
    <col min="14595" max="14595" width="8.85546875" style="2345" customWidth="1"/>
    <col min="14596" max="14596" width="47.85546875" style="2345" customWidth="1"/>
    <col min="14597" max="14597" width="12.85546875" style="2345" customWidth="1"/>
    <col min="14598" max="14598" width="15.5703125" style="2345" customWidth="1"/>
    <col min="14599" max="14599" width="15.85546875" style="2345" customWidth="1"/>
    <col min="14600" max="14600" width="6.42578125" style="2345" customWidth="1"/>
    <col min="14601" max="14602" width="9.140625" style="2345"/>
    <col min="14603" max="14604" width="14.7109375" style="2345" bestFit="1" customWidth="1"/>
    <col min="14605" max="14848" width="9.140625" style="2345"/>
    <col min="14849" max="14849" width="5.5703125" style="2345" customWidth="1"/>
    <col min="14850" max="14850" width="6.7109375" style="2345" customWidth="1"/>
    <col min="14851" max="14851" width="8.85546875" style="2345" customWidth="1"/>
    <col min="14852" max="14852" width="47.85546875" style="2345" customWidth="1"/>
    <col min="14853" max="14853" width="12.85546875" style="2345" customWidth="1"/>
    <col min="14854" max="14854" width="15.5703125" style="2345" customWidth="1"/>
    <col min="14855" max="14855" width="15.85546875" style="2345" customWidth="1"/>
    <col min="14856" max="14856" width="6.42578125" style="2345" customWidth="1"/>
    <col min="14857" max="14858" width="9.140625" style="2345"/>
    <col min="14859" max="14860" width="14.7109375" style="2345" bestFit="1" customWidth="1"/>
    <col min="14861" max="15104" width="9.140625" style="2345"/>
    <col min="15105" max="15105" width="5.5703125" style="2345" customWidth="1"/>
    <col min="15106" max="15106" width="6.7109375" style="2345" customWidth="1"/>
    <col min="15107" max="15107" width="8.85546875" style="2345" customWidth="1"/>
    <col min="15108" max="15108" width="47.85546875" style="2345" customWidth="1"/>
    <col min="15109" max="15109" width="12.85546875" style="2345" customWidth="1"/>
    <col min="15110" max="15110" width="15.5703125" style="2345" customWidth="1"/>
    <col min="15111" max="15111" width="15.85546875" style="2345" customWidth="1"/>
    <col min="15112" max="15112" width="6.42578125" style="2345" customWidth="1"/>
    <col min="15113" max="15114" width="9.140625" style="2345"/>
    <col min="15115" max="15116" width="14.7109375" style="2345" bestFit="1" customWidth="1"/>
    <col min="15117" max="15360" width="9.140625" style="2345"/>
    <col min="15361" max="15361" width="5.5703125" style="2345" customWidth="1"/>
    <col min="15362" max="15362" width="6.7109375" style="2345" customWidth="1"/>
    <col min="15363" max="15363" width="8.85546875" style="2345" customWidth="1"/>
    <col min="15364" max="15364" width="47.85546875" style="2345" customWidth="1"/>
    <col min="15365" max="15365" width="12.85546875" style="2345" customWidth="1"/>
    <col min="15366" max="15366" width="15.5703125" style="2345" customWidth="1"/>
    <col min="15367" max="15367" width="15.85546875" style="2345" customWidth="1"/>
    <col min="15368" max="15368" width="6.42578125" style="2345" customWidth="1"/>
    <col min="15369" max="15370" width="9.140625" style="2345"/>
    <col min="15371" max="15372" width="14.7109375" style="2345" bestFit="1" customWidth="1"/>
    <col min="15373" max="15616" width="9.140625" style="2345"/>
    <col min="15617" max="15617" width="5.5703125" style="2345" customWidth="1"/>
    <col min="15618" max="15618" width="6.7109375" style="2345" customWidth="1"/>
    <col min="15619" max="15619" width="8.85546875" style="2345" customWidth="1"/>
    <col min="15620" max="15620" width="47.85546875" style="2345" customWidth="1"/>
    <col min="15621" max="15621" width="12.85546875" style="2345" customWidth="1"/>
    <col min="15622" max="15622" width="15.5703125" style="2345" customWidth="1"/>
    <col min="15623" max="15623" width="15.85546875" style="2345" customWidth="1"/>
    <col min="15624" max="15624" width="6.42578125" style="2345" customWidth="1"/>
    <col min="15625" max="15626" width="9.140625" style="2345"/>
    <col min="15627" max="15628" width="14.7109375" style="2345" bestFit="1" customWidth="1"/>
    <col min="15629" max="15872" width="9.140625" style="2345"/>
    <col min="15873" max="15873" width="5.5703125" style="2345" customWidth="1"/>
    <col min="15874" max="15874" width="6.7109375" style="2345" customWidth="1"/>
    <col min="15875" max="15875" width="8.85546875" style="2345" customWidth="1"/>
    <col min="15876" max="15876" width="47.85546875" style="2345" customWidth="1"/>
    <col min="15877" max="15877" width="12.85546875" style="2345" customWidth="1"/>
    <col min="15878" max="15878" width="15.5703125" style="2345" customWidth="1"/>
    <col min="15879" max="15879" width="15.85546875" style="2345" customWidth="1"/>
    <col min="15880" max="15880" width="6.42578125" style="2345" customWidth="1"/>
    <col min="15881" max="15882" width="9.140625" style="2345"/>
    <col min="15883" max="15884" width="14.7109375" style="2345" bestFit="1" customWidth="1"/>
    <col min="15885" max="16128" width="9.140625" style="2345"/>
    <col min="16129" max="16129" width="5.5703125" style="2345" customWidth="1"/>
    <col min="16130" max="16130" width="6.7109375" style="2345" customWidth="1"/>
    <col min="16131" max="16131" width="8.85546875" style="2345" customWidth="1"/>
    <col min="16132" max="16132" width="47.85546875" style="2345" customWidth="1"/>
    <col min="16133" max="16133" width="12.85546875" style="2345" customWidth="1"/>
    <col min="16134" max="16134" width="15.5703125" style="2345" customWidth="1"/>
    <col min="16135" max="16135" width="15.85546875" style="2345" customWidth="1"/>
    <col min="16136" max="16136" width="6.42578125" style="2345" customWidth="1"/>
    <col min="16137" max="16138" width="9.140625" style="2345"/>
    <col min="16139" max="16140" width="14.7109375" style="2345" bestFit="1" customWidth="1"/>
    <col min="16141" max="16384" width="9.140625" style="2345"/>
  </cols>
  <sheetData>
    <row r="1" spans="1:8" ht="18.75" thickBot="1" x14ac:dyDescent="0.3">
      <c r="A1" s="2339" t="s">
        <v>1609</v>
      </c>
      <c r="B1" s="2340"/>
      <c r="C1" s="2341"/>
      <c r="D1" s="2342"/>
      <c r="E1" s="2343"/>
      <c r="F1" s="2342"/>
      <c r="G1" s="2344"/>
      <c r="H1" s="2339"/>
    </row>
    <row r="2" spans="1:8" ht="18" x14ac:dyDescent="0.25">
      <c r="A2" s="2346"/>
      <c r="B2" s="2347"/>
      <c r="C2" s="2347"/>
      <c r="D2" s="2347"/>
      <c r="E2" s="2347"/>
      <c r="F2" s="2347"/>
      <c r="G2" s="2347"/>
      <c r="H2" s="2348" t="s">
        <v>1608</v>
      </c>
    </row>
    <row r="3" spans="1:8" ht="18" x14ac:dyDescent="0.25">
      <c r="A3" s="2349" t="s">
        <v>404</v>
      </c>
      <c r="B3" s="2347"/>
      <c r="C3" s="2350" t="s">
        <v>379</v>
      </c>
      <c r="D3" s="2347"/>
      <c r="E3" s="2347"/>
      <c r="F3" s="2347"/>
      <c r="G3" s="2347"/>
      <c r="H3" s="2348"/>
    </row>
    <row r="4" spans="1:8" ht="18" x14ac:dyDescent="0.25">
      <c r="A4" s="2346"/>
      <c r="B4" s="2347"/>
      <c r="C4" s="2350" t="s">
        <v>380</v>
      </c>
      <c r="D4" s="2347"/>
      <c r="E4" s="2347"/>
      <c r="F4" s="2347"/>
      <c r="G4" s="2347"/>
      <c r="H4" s="2348"/>
    </row>
    <row r="5" spans="1:8" ht="18" x14ac:dyDescent="0.25">
      <c r="A5" s="2351" t="s">
        <v>1607</v>
      </c>
      <c r="B5" s="2347"/>
      <c r="C5" s="2347"/>
      <c r="D5" s="2347"/>
      <c r="E5" s="2347"/>
      <c r="F5" s="2347"/>
      <c r="G5" s="2347"/>
      <c r="H5" s="2348"/>
    </row>
    <row r="6" spans="1:8" ht="18" x14ac:dyDescent="0.25">
      <c r="A6" s="2351"/>
      <c r="B6" s="2347"/>
      <c r="C6" s="2347"/>
      <c r="D6" s="2347"/>
      <c r="E6" s="2347"/>
      <c r="F6" s="2347"/>
      <c r="G6" s="2347"/>
      <c r="H6" s="2348"/>
    </row>
    <row r="7" spans="1:8" x14ac:dyDescent="0.2">
      <c r="A7" s="2352"/>
      <c r="B7" s="2352"/>
      <c r="C7" s="2352"/>
      <c r="E7" s="2353"/>
      <c r="F7" s="2353"/>
      <c r="G7" s="2353"/>
    </row>
    <row r="8" spans="1:8" ht="27" customHeight="1" x14ac:dyDescent="0.25">
      <c r="A8" s="2804" t="s">
        <v>1864</v>
      </c>
      <c r="B8" s="2724"/>
      <c r="C8" s="2724"/>
      <c r="D8" s="2724"/>
      <c r="E8" s="2724"/>
      <c r="F8" s="2724"/>
      <c r="G8" s="2724"/>
      <c r="H8" s="2724"/>
    </row>
    <row r="9" spans="1:8" ht="15.75" thickBot="1" x14ac:dyDescent="0.3">
      <c r="A9" s="2338" t="s">
        <v>1865</v>
      </c>
      <c r="B9" s="2352"/>
      <c r="C9" s="2352"/>
      <c r="E9" s="2353"/>
      <c r="F9" s="2353"/>
      <c r="G9" s="2353"/>
      <c r="H9" s="2354" t="s">
        <v>179</v>
      </c>
    </row>
    <row r="10" spans="1:8" ht="25.5" thickTop="1" thickBot="1" x14ac:dyDescent="0.25">
      <c r="A10" s="2138" t="s">
        <v>180</v>
      </c>
      <c r="B10" s="2139" t="s">
        <v>847</v>
      </c>
      <c r="C10" s="2139" t="s">
        <v>414</v>
      </c>
      <c r="D10" s="2140" t="s">
        <v>182</v>
      </c>
      <c r="E10" s="2171" t="s">
        <v>700</v>
      </c>
      <c r="F10" s="2171" t="s">
        <v>701</v>
      </c>
      <c r="G10" s="2172" t="s">
        <v>986</v>
      </c>
      <c r="H10" s="2173" t="s">
        <v>987</v>
      </c>
    </row>
    <row r="11" spans="1:8" ht="14.25" thickTop="1" thickBot="1" x14ac:dyDescent="0.25">
      <c r="A11" s="1854">
        <v>1</v>
      </c>
      <c r="B11" s="1853">
        <v>2</v>
      </c>
      <c r="C11" s="1853">
        <v>3</v>
      </c>
      <c r="D11" s="1853">
        <v>4</v>
      </c>
      <c r="E11" s="1852">
        <v>5</v>
      </c>
      <c r="F11" s="1852">
        <v>6</v>
      </c>
      <c r="G11" s="2223">
        <v>7</v>
      </c>
      <c r="H11" s="2251" t="s">
        <v>61</v>
      </c>
    </row>
    <row r="12" spans="1:8" ht="15.75" thickTop="1" x14ac:dyDescent="0.2">
      <c r="A12" s="2366">
        <v>3299</v>
      </c>
      <c r="B12" s="2367">
        <v>5011</v>
      </c>
      <c r="C12" s="2367">
        <v>32133019</v>
      </c>
      <c r="D12" s="2368" t="s">
        <v>225</v>
      </c>
      <c r="E12" s="2369">
        <v>0</v>
      </c>
      <c r="F12" s="2369">
        <v>30</v>
      </c>
      <c r="G12" s="2369">
        <v>16</v>
      </c>
      <c r="H12" s="2370">
        <f t="shared" ref="H12:H19" si="0">G12/F12*100</f>
        <v>53.333333333333336</v>
      </c>
    </row>
    <row r="13" spans="1:8" ht="15" x14ac:dyDescent="0.2">
      <c r="A13" s="2371">
        <v>3299</v>
      </c>
      <c r="B13" s="2372">
        <v>5011</v>
      </c>
      <c r="C13" s="2372">
        <v>32533019</v>
      </c>
      <c r="D13" s="2373" t="s">
        <v>225</v>
      </c>
      <c r="E13" s="2374">
        <v>0</v>
      </c>
      <c r="F13" s="2374">
        <v>170</v>
      </c>
      <c r="G13" s="2374">
        <v>90</v>
      </c>
      <c r="H13" s="2375">
        <f t="shared" si="0"/>
        <v>52.941176470588239</v>
      </c>
    </row>
    <row r="14" spans="1:8" ht="15" x14ac:dyDescent="0.2">
      <c r="A14" s="2371">
        <v>3299</v>
      </c>
      <c r="B14" s="2372">
        <v>5021</v>
      </c>
      <c r="C14" s="2372">
        <v>32133019</v>
      </c>
      <c r="D14" s="2373" t="s">
        <v>427</v>
      </c>
      <c r="E14" s="2374">
        <v>0</v>
      </c>
      <c r="F14" s="2374">
        <v>225</v>
      </c>
      <c r="G14" s="2374">
        <v>198</v>
      </c>
      <c r="H14" s="2375">
        <f t="shared" si="0"/>
        <v>88</v>
      </c>
    </row>
    <row r="15" spans="1:8" ht="15" x14ac:dyDescent="0.2">
      <c r="A15" s="2371">
        <v>3299</v>
      </c>
      <c r="B15" s="2372">
        <v>5021</v>
      </c>
      <c r="C15" s="2372">
        <v>32533019</v>
      </c>
      <c r="D15" s="2373" t="s">
        <v>427</v>
      </c>
      <c r="E15" s="2374">
        <v>0</v>
      </c>
      <c r="F15" s="2374">
        <v>1275</v>
      </c>
      <c r="G15" s="2374">
        <v>1123</v>
      </c>
      <c r="H15" s="2375">
        <f t="shared" si="0"/>
        <v>88.078431372549019</v>
      </c>
    </row>
    <row r="16" spans="1:8" ht="30" x14ac:dyDescent="0.2">
      <c r="A16" s="2371">
        <v>3299</v>
      </c>
      <c r="B16" s="2372">
        <v>5031</v>
      </c>
      <c r="C16" s="2372">
        <v>32133019</v>
      </c>
      <c r="D16" s="2373" t="s">
        <v>1459</v>
      </c>
      <c r="E16" s="2374">
        <v>0</v>
      </c>
      <c r="F16" s="2374">
        <v>64</v>
      </c>
      <c r="G16" s="2374">
        <v>53</v>
      </c>
      <c r="H16" s="2375">
        <f t="shared" si="0"/>
        <v>82.8125</v>
      </c>
    </row>
    <row r="17" spans="1:8" ht="30" x14ac:dyDescent="0.2">
      <c r="A17" s="2371">
        <v>3299</v>
      </c>
      <c r="B17" s="2372">
        <v>5031</v>
      </c>
      <c r="C17" s="2372">
        <v>32533019</v>
      </c>
      <c r="D17" s="2373" t="s">
        <v>1459</v>
      </c>
      <c r="E17" s="2374">
        <v>0</v>
      </c>
      <c r="F17" s="2374">
        <v>361</v>
      </c>
      <c r="G17" s="2374">
        <v>300</v>
      </c>
      <c r="H17" s="2375">
        <f t="shared" si="0"/>
        <v>83.102493074792235</v>
      </c>
    </row>
    <row r="18" spans="1:8" ht="30" customHeight="1" x14ac:dyDescent="0.2">
      <c r="A18" s="2371">
        <v>3299</v>
      </c>
      <c r="B18" s="2372">
        <v>5032</v>
      </c>
      <c r="C18" s="2376">
        <v>32133019</v>
      </c>
      <c r="D18" s="2373" t="s">
        <v>1322</v>
      </c>
      <c r="E18" s="2374">
        <v>0</v>
      </c>
      <c r="F18" s="2374">
        <v>23</v>
      </c>
      <c r="G18" s="2374">
        <v>19</v>
      </c>
      <c r="H18" s="2375">
        <f t="shared" si="0"/>
        <v>82.608695652173907</v>
      </c>
    </row>
    <row r="19" spans="1:8" ht="30" x14ac:dyDescent="0.2">
      <c r="A19" s="2371">
        <v>3299</v>
      </c>
      <c r="B19" s="2372">
        <v>5032</v>
      </c>
      <c r="C19" s="2376">
        <v>32533019</v>
      </c>
      <c r="D19" s="2373" t="s">
        <v>1322</v>
      </c>
      <c r="E19" s="2374">
        <v>0</v>
      </c>
      <c r="F19" s="2374">
        <v>130</v>
      </c>
      <c r="G19" s="2374">
        <v>108</v>
      </c>
      <c r="H19" s="2375">
        <f t="shared" si="0"/>
        <v>83.07692307692308</v>
      </c>
    </row>
    <row r="20" spans="1:8" ht="15" x14ac:dyDescent="0.2">
      <c r="A20" s="2371">
        <v>3299</v>
      </c>
      <c r="B20" s="2372">
        <v>5137</v>
      </c>
      <c r="C20" s="2376">
        <v>32133019</v>
      </c>
      <c r="D20" s="2373" t="s">
        <v>173</v>
      </c>
      <c r="E20" s="2374">
        <v>0</v>
      </c>
      <c r="F20" s="2374">
        <v>65</v>
      </c>
      <c r="G20" s="2374">
        <v>48</v>
      </c>
      <c r="H20" s="2375">
        <v>0</v>
      </c>
    </row>
    <row r="21" spans="1:8" ht="15" x14ac:dyDescent="0.2">
      <c r="A21" s="2371">
        <v>3299</v>
      </c>
      <c r="B21" s="2372">
        <v>5137</v>
      </c>
      <c r="C21" s="2376">
        <v>32533019</v>
      </c>
      <c r="D21" s="2373" t="s">
        <v>173</v>
      </c>
      <c r="E21" s="2374">
        <v>0</v>
      </c>
      <c r="F21" s="2374">
        <v>370</v>
      </c>
      <c r="G21" s="2374">
        <v>274</v>
      </c>
      <c r="H21" s="2375">
        <f t="shared" ref="H21:H28" si="1">G21/F21*100</f>
        <v>74.054054054054049</v>
      </c>
    </row>
    <row r="22" spans="1:8" ht="15" x14ac:dyDescent="0.2">
      <c r="A22" s="2371">
        <v>3299</v>
      </c>
      <c r="B22" s="2372">
        <v>5901</v>
      </c>
      <c r="C22" s="2376">
        <v>0</v>
      </c>
      <c r="D22" s="2373" t="s">
        <v>670</v>
      </c>
      <c r="E22" s="2374">
        <v>0</v>
      </c>
      <c r="F22" s="2374">
        <v>11</v>
      </c>
      <c r="G22" s="2374">
        <v>0</v>
      </c>
      <c r="H22" s="2375">
        <f t="shared" si="1"/>
        <v>0</v>
      </c>
    </row>
    <row r="23" spans="1:8" ht="15" x14ac:dyDescent="0.2">
      <c r="A23" s="2371">
        <v>3299</v>
      </c>
      <c r="B23" s="2372">
        <v>5901</v>
      </c>
      <c r="C23" s="2376">
        <v>32133019</v>
      </c>
      <c r="D23" s="2373" t="s">
        <v>670</v>
      </c>
      <c r="E23" s="2374">
        <v>0</v>
      </c>
      <c r="F23" s="2374">
        <v>124</v>
      </c>
      <c r="G23" s="2374">
        <v>0</v>
      </c>
      <c r="H23" s="2375">
        <f t="shared" si="1"/>
        <v>0</v>
      </c>
    </row>
    <row r="24" spans="1:8" ht="15" x14ac:dyDescent="0.2">
      <c r="A24" s="2371">
        <v>3299</v>
      </c>
      <c r="B24" s="2372">
        <v>5901</v>
      </c>
      <c r="C24" s="2376">
        <v>32533019</v>
      </c>
      <c r="D24" s="2373" t="s">
        <v>670</v>
      </c>
      <c r="E24" s="2374">
        <v>0</v>
      </c>
      <c r="F24" s="2374">
        <v>705</v>
      </c>
      <c r="G24" s="2374">
        <v>0</v>
      </c>
      <c r="H24" s="2375">
        <f t="shared" si="1"/>
        <v>0</v>
      </c>
    </row>
    <row r="25" spans="1:8" ht="15" x14ac:dyDescent="0.2">
      <c r="A25" s="2371">
        <v>3299</v>
      </c>
      <c r="B25" s="2372">
        <v>5323</v>
      </c>
      <c r="C25" s="2376">
        <v>32133019</v>
      </c>
      <c r="D25" s="2373" t="s">
        <v>242</v>
      </c>
      <c r="E25" s="2374">
        <v>0</v>
      </c>
      <c r="F25" s="2374">
        <v>56</v>
      </c>
      <c r="G25" s="2374">
        <v>56</v>
      </c>
      <c r="H25" s="2375">
        <f t="shared" si="1"/>
        <v>100</v>
      </c>
    </row>
    <row r="26" spans="1:8" ht="15.75" thickBot="1" x14ac:dyDescent="0.25">
      <c r="A26" s="2371">
        <v>3299</v>
      </c>
      <c r="B26" s="2372">
        <v>5323</v>
      </c>
      <c r="C26" s="2376">
        <v>32533019</v>
      </c>
      <c r="D26" s="2373" t="s">
        <v>242</v>
      </c>
      <c r="E26" s="2374">
        <v>0</v>
      </c>
      <c r="F26" s="2374">
        <v>315</v>
      </c>
      <c r="G26" s="2374">
        <v>315</v>
      </c>
      <c r="H26" s="2375">
        <f t="shared" si="1"/>
        <v>100</v>
      </c>
    </row>
    <row r="27" spans="1:8" ht="15.75" hidden="1" thickBot="1" x14ac:dyDescent="0.25">
      <c r="A27" s="2371">
        <v>3636</v>
      </c>
      <c r="B27" s="2372">
        <v>6901</v>
      </c>
      <c r="C27" s="2376">
        <v>32533926</v>
      </c>
      <c r="D27" s="2373" t="s">
        <v>468</v>
      </c>
      <c r="E27" s="2374">
        <v>0</v>
      </c>
      <c r="F27" s="2374">
        <v>0</v>
      </c>
      <c r="G27" s="2374">
        <v>0</v>
      </c>
      <c r="H27" s="2375" t="e">
        <f t="shared" si="1"/>
        <v>#DIV/0!</v>
      </c>
    </row>
    <row r="28" spans="1:8" ht="15.75" hidden="1" thickBot="1" x14ac:dyDescent="0.25">
      <c r="A28" s="2371">
        <v>6402</v>
      </c>
      <c r="B28" s="2372">
        <v>5363</v>
      </c>
      <c r="C28" s="2376">
        <v>19</v>
      </c>
      <c r="D28" s="2373" t="s">
        <v>615</v>
      </c>
      <c r="E28" s="2374">
        <v>0</v>
      </c>
      <c r="F28" s="2374">
        <v>0</v>
      </c>
      <c r="G28" s="2374">
        <v>0</v>
      </c>
      <c r="H28" s="2377" t="e">
        <f t="shared" si="1"/>
        <v>#DIV/0!</v>
      </c>
    </row>
    <row r="29" spans="1:8" ht="16.5" thickTop="1" thickBot="1" x14ac:dyDescent="0.3">
      <c r="A29" s="2806" t="s">
        <v>849</v>
      </c>
      <c r="B29" s="2807"/>
      <c r="C29" s="2807"/>
      <c r="D29" s="2807"/>
      <c r="E29" s="2152">
        <f>SUM(E12:E27)</f>
        <v>0</v>
      </c>
      <c r="F29" s="2152">
        <f>SUM(F12:F28)</f>
        <v>3924</v>
      </c>
      <c r="G29" s="2152">
        <f>SUM(G12:G28)</f>
        <v>2600</v>
      </c>
      <c r="H29" s="2157">
        <f>G29/F29*100</f>
        <v>66.258919469928642</v>
      </c>
    </row>
    <row r="30" spans="1:8" ht="25.5" customHeight="1" thickTop="1" x14ac:dyDescent="0.2"/>
    <row r="31" spans="1:8" ht="27" customHeight="1" x14ac:dyDescent="0.25">
      <c r="A31" s="2804" t="s">
        <v>1866</v>
      </c>
      <c r="B31" s="2724"/>
      <c r="C31" s="2724"/>
      <c r="D31" s="2724"/>
      <c r="E31" s="2724"/>
      <c r="F31" s="2724"/>
      <c r="G31" s="2724"/>
      <c r="H31" s="2724"/>
    </row>
    <row r="32" spans="1:8" ht="15.75" thickBot="1" x14ac:dyDescent="0.3">
      <c r="A32" s="2338" t="s">
        <v>1867</v>
      </c>
      <c r="B32" s="2352"/>
      <c r="C32" s="2352"/>
      <c r="E32" s="2353"/>
      <c r="F32" s="2353"/>
      <c r="G32" s="2353"/>
      <c r="H32" s="2354" t="s">
        <v>179</v>
      </c>
    </row>
    <row r="33" spans="1:8" ht="25.5" thickTop="1" thickBot="1" x14ac:dyDescent="0.25">
      <c r="A33" s="2138" t="s">
        <v>180</v>
      </c>
      <c r="B33" s="2139" t="s">
        <v>847</v>
      </c>
      <c r="C33" s="2139" t="s">
        <v>414</v>
      </c>
      <c r="D33" s="2140" t="s">
        <v>182</v>
      </c>
      <c r="E33" s="2171" t="s">
        <v>700</v>
      </c>
      <c r="F33" s="2171" t="s">
        <v>701</v>
      </c>
      <c r="G33" s="2172" t="s">
        <v>986</v>
      </c>
      <c r="H33" s="2173" t="s">
        <v>987</v>
      </c>
    </row>
    <row r="34" spans="1:8" ht="14.25" thickTop="1" thickBot="1" x14ac:dyDescent="0.25">
      <c r="A34" s="1854">
        <v>1</v>
      </c>
      <c r="B34" s="1853">
        <v>2</v>
      </c>
      <c r="C34" s="1853">
        <v>3</v>
      </c>
      <c r="D34" s="1853">
        <v>4</v>
      </c>
      <c r="E34" s="1852">
        <v>5</v>
      </c>
      <c r="F34" s="1852">
        <v>6</v>
      </c>
      <c r="G34" s="2223">
        <v>7</v>
      </c>
      <c r="H34" s="2251" t="s">
        <v>61</v>
      </c>
    </row>
    <row r="35" spans="1:8" ht="15.75" thickTop="1" x14ac:dyDescent="0.2">
      <c r="A35" s="2366">
        <v>3299</v>
      </c>
      <c r="B35" s="2367">
        <v>5011</v>
      </c>
      <c r="C35" s="2367">
        <v>32133019</v>
      </c>
      <c r="D35" s="2368" t="s">
        <v>225</v>
      </c>
      <c r="E35" s="2369">
        <v>0</v>
      </c>
      <c r="F35" s="2369">
        <v>1</v>
      </c>
      <c r="G35" s="2369">
        <v>0</v>
      </c>
      <c r="H35" s="2370">
        <f t="shared" ref="H35:H42" si="2">G35/F35*100</f>
        <v>0</v>
      </c>
    </row>
    <row r="36" spans="1:8" ht="15" x14ac:dyDescent="0.2">
      <c r="A36" s="2371">
        <v>3299</v>
      </c>
      <c r="B36" s="2372">
        <v>5011</v>
      </c>
      <c r="C36" s="2372">
        <v>32533019</v>
      </c>
      <c r="D36" s="2373" t="s">
        <v>225</v>
      </c>
      <c r="E36" s="2374">
        <v>0</v>
      </c>
      <c r="F36" s="2374">
        <v>5</v>
      </c>
      <c r="G36" s="2374">
        <v>3</v>
      </c>
      <c r="H36" s="2375">
        <f t="shared" si="2"/>
        <v>60</v>
      </c>
    </row>
    <row r="37" spans="1:8" ht="15" x14ac:dyDescent="0.2">
      <c r="A37" s="2371">
        <v>3299</v>
      </c>
      <c r="B37" s="2372">
        <v>5021</v>
      </c>
      <c r="C37" s="2372">
        <v>32133019</v>
      </c>
      <c r="D37" s="2373" t="s">
        <v>427</v>
      </c>
      <c r="E37" s="2374">
        <v>0</v>
      </c>
      <c r="F37" s="2374">
        <v>5</v>
      </c>
      <c r="G37" s="2374">
        <v>2</v>
      </c>
      <c r="H37" s="2375">
        <f t="shared" si="2"/>
        <v>40</v>
      </c>
    </row>
    <row r="38" spans="1:8" ht="15" x14ac:dyDescent="0.2">
      <c r="A38" s="2371">
        <v>3299</v>
      </c>
      <c r="B38" s="2372">
        <v>5021</v>
      </c>
      <c r="C38" s="2372">
        <v>32533019</v>
      </c>
      <c r="D38" s="2373" t="s">
        <v>427</v>
      </c>
      <c r="E38" s="2374">
        <v>0</v>
      </c>
      <c r="F38" s="2374">
        <v>30</v>
      </c>
      <c r="G38" s="2374">
        <v>10</v>
      </c>
      <c r="H38" s="2375">
        <f t="shared" si="2"/>
        <v>33.333333333333329</v>
      </c>
    </row>
    <row r="39" spans="1:8" ht="30" x14ac:dyDescent="0.2">
      <c r="A39" s="2371">
        <v>3299</v>
      </c>
      <c r="B39" s="2372">
        <v>5031</v>
      </c>
      <c r="C39" s="2372">
        <v>32133019</v>
      </c>
      <c r="D39" s="2421" t="s">
        <v>1459</v>
      </c>
      <c r="E39" s="2374">
        <v>0</v>
      </c>
      <c r="F39" s="2374">
        <v>1</v>
      </c>
      <c r="G39" s="2374">
        <v>0</v>
      </c>
      <c r="H39" s="2375">
        <f t="shared" si="2"/>
        <v>0</v>
      </c>
    </row>
    <row r="40" spans="1:8" ht="30" x14ac:dyDescent="0.2">
      <c r="A40" s="2371">
        <v>3299</v>
      </c>
      <c r="B40" s="2372">
        <v>5031</v>
      </c>
      <c r="C40" s="2372">
        <v>32533019</v>
      </c>
      <c r="D40" s="2421" t="s">
        <v>1459</v>
      </c>
      <c r="E40" s="2374">
        <v>0</v>
      </c>
      <c r="F40" s="2374">
        <v>9</v>
      </c>
      <c r="G40" s="2374">
        <v>1</v>
      </c>
      <c r="H40" s="2375">
        <f t="shared" si="2"/>
        <v>11.111111111111111</v>
      </c>
    </row>
    <row r="41" spans="1:8" ht="30" x14ac:dyDescent="0.2">
      <c r="A41" s="2371">
        <v>3299</v>
      </c>
      <c r="B41" s="2372">
        <v>5032</v>
      </c>
      <c r="C41" s="2376">
        <v>32133019</v>
      </c>
      <c r="D41" s="2373" t="s">
        <v>1322</v>
      </c>
      <c r="E41" s="2374">
        <v>0</v>
      </c>
      <c r="F41" s="2374">
        <v>1</v>
      </c>
      <c r="G41" s="2374">
        <v>0</v>
      </c>
      <c r="H41" s="2375">
        <f t="shared" si="2"/>
        <v>0</v>
      </c>
    </row>
    <row r="42" spans="1:8" ht="30" x14ac:dyDescent="0.2">
      <c r="A42" s="2371">
        <v>3299</v>
      </c>
      <c r="B42" s="2372">
        <v>5032</v>
      </c>
      <c r="C42" s="2376">
        <v>32533019</v>
      </c>
      <c r="D42" s="2373" t="s">
        <v>1322</v>
      </c>
      <c r="E42" s="2374">
        <v>0</v>
      </c>
      <c r="F42" s="2374">
        <v>3</v>
      </c>
      <c r="G42" s="2374">
        <v>0</v>
      </c>
      <c r="H42" s="2375">
        <f t="shared" si="2"/>
        <v>0</v>
      </c>
    </row>
    <row r="43" spans="1:8" ht="15" x14ac:dyDescent="0.2">
      <c r="A43" s="2371">
        <v>3299</v>
      </c>
      <c r="B43" s="2372">
        <v>5137</v>
      </c>
      <c r="C43" s="2376">
        <v>32133019</v>
      </c>
      <c r="D43" s="2373" t="s">
        <v>173</v>
      </c>
      <c r="E43" s="2374">
        <v>0</v>
      </c>
      <c r="F43" s="2374">
        <v>16</v>
      </c>
      <c r="G43" s="2374">
        <v>0</v>
      </c>
      <c r="H43" s="2375">
        <v>0</v>
      </c>
    </row>
    <row r="44" spans="1:8" ht="15" x14ac:dyDescent="0.2">
      <c r="A44" s="2371">
        <v>3299</v>
      </c>
      <c r="B44" s="2372">
        <v>5137</v>
      </c>
      <c r="C44" s="2376">
        <v>32533019</v>
      </c>
      <c r="D44" s="2373" t="s">
        <v>173</v>
      </c>
      <c r="E44" s="2374">
        <v>0</v>
      </c>
      <c r="F44" s="2374">
        <v>94</v>
      </c>
      <c r="G44" s="2374">
        <v>0</v>
      </c>
      <c r="H44" s="2375">
        <f t="shared" ref="H44:H59" si="3">G44/F44*100</f>
        <v>0</v>
      </c>
    </row>
    <row r="45" spans="1:8" ht="15" x14ac:dyDescent="0.2">
      <c r="A45" s="2371">
        <v>3299</v>
      </c>
      <c r="B45" s="2372">
        <v>5139</v>
      </c>
      <c r="C45" s="2376">
        <v>32133019</v>
      </c>
      <c r="D45" s="2373" t="s">
        <v>295</v>
      </c>
      <c r="E45" s="2374">
        <v>0</v>
      </c>
      <c r="F45" s="2374">
        <v>63</v>
      </c>
      <c r="G45" s="2374">
        <v>0</v>
      </c>
      <c r="H45" s="2375">
        <f t="shared" si="3"/>
        <v>0</v>
      </c>
    </row>
    <row r="46" spans="1:8" ht="15" x14ac:dyDescent="0.2">
      <c r="A46" s="2371">
        <v>3299</v>
      </c>
      <c r="B46" s="2372">
        <v>5139</v>
      </c>
      <c r="C46" s="2376">
        <v>32533019</v>
      </c>
      <c r="D46" s="2373" t="s">
        <v>295</v>
      </c>
      <c r="E46" s="2374">
        <v>0</v>
      </c>
      <c r="F46" s="2374">
        <v>357</v>
      </c>
      <c r="G46" s="2374">
        <v>0</v>
      </c>
      <c r="H46" s="2375">
        <f t="shared" si="3"/>
        <v>0</v>
      </c>
    </row>
    <row r="47" spans="1:8" ht="15" x14ac:dyDescent="0.2">
      <c r="A47" s="2371">
        <v>3299</v>
      </c>
      <c r="B47" s="2372">
        <v>5162</v>
      </c>
      <c r="C47" s="2376">
        <v>32133019</v>
      </c>
      <c r="D47" s="2373" t="s">
        <v>967</v>
      </c>
      <c r="E47" s="2374">
        <v>0</v>
      </c>
      <c r="F47" s="2374">
        <v>2</v>
      </c>
      <c r="G47" s="2374">
        <v>0</v>
      </c>
      <c r="H47" s="2375">
        <f t="shared" si="3"/>
        <v>0</v>
      </c>
    </row>
    <row r="48" spans="1:8" ht="15" x14ac:dyDescent="0.2">
      <c r="A48" s="2371">
        <v>3299</v>
      </c>
      <c r="B48" s="2372">
        <v>5162</v>
      </c>
      <c r="C48" s="2376">
        <v>32533019</v>
      </c>
      <c r="D48" s="2373" t="s">
        <v>967</v>
      </c>
      <c r="E48" s="2374">
        <v>0</v>
      </c>
      <c r="F48" s="2374">
        <v>12</v>
      </c>
      <c r="G48" s="2374">
        <v>0</v>
      </c>
      <c r="H48" s="2375">
        <f t="shared" si="3"/>
        <v>0</v>
      </c>
    </row>
    <row r="49" spans="1:12" ht="15" x14ac:dyDescent="0.2">
      <c r="A49" s="2371">
        <v>3299</v>
      </c>
      <c r="B49" s="2372">
        <v>5169</v>
      </c>
      <c r="C49" s="2376">
        <v>32133019</v>
      </c>
      <c r="D49" s="2373" t="s">
        <v>955</v>
      </c>
      <c r="E49" s="2374">
        <v>0</v>
      </c>
      <c r="F49" s="2374">
        <v>52</v>
      </c>
      <c r="G49" s="2374">
        <v>0</v>
      </c>
      <c r="H49" s="2375">
        <f t="shared" si="3"/>
        <v>0</v>
      </c>
    </row>
    <row r="50" spans="1:12" ht="15" x14ac:dyDescent="0.2">
      <c r="A50" s="2371">
        <v>3299</v>
      </c>
      <c r="B50" s="2372">
        <v>5169</v>
      </c>
      <c r="C50" s="2376">
        <v>32533019</v>
      </c>
      <c r="D50" s="2373" t="s">
        <v>955</v>
      </c>
      <c r="E50" s="2374">
        <v>0</v>
      </c>
      <c r="F50" s="2374">
        <v>298</v>
      </c>
      <c r="G50" s="2374">
        <v>0</v>
      </c>
      <c r="H50" s="2375">
        <f t="shared" si="3"/>
        <v>0</v>
      </c>
    </row>
    <row r="51" spans="1:12" ht="15" x14ac:dyDescent="0.2">
      <c r="A51" s="2371">
        <v>3299</v>
      </c>
      <c r="B51" s="2372">
        <v>5175</v>
      </c>
      <c r="C51" s="2376">
        <v>32133019</v>
      </c>
      <c r="D51" s="2373" t="s">
        <v>740</v>
      </c>
      <c r="E51" s="2374">
        <v>0</v>
      </c>
      <c r="F51" s="2374">
        <v>4</v>
      </c>
      <c r="G51" s="2374">
        <v>2</v>
      </c>
      <c r="H51" s="2375">
        <f t="shared" si="3"/>
        <v>50</v>
      </c>
    </row>
    <row r="52" spans="1:12" ht="15" x14ac:dyDescent="0.2">
      <c r="A52" s="2371">
        <v>3299</v>
      </c>
      <c r="B52" s="2372">
        <v>5175</v>
      </c>
      <c r="C52" s="2376">
        <v>32533019</v>
      </c>
      <c r="D52" s="2373" t="s">
        <v>740</v>
      </c>
      <c r="E52" s="2374">
        <v>0</v>
      </c>
      <c r="F52" s="2374">
        <v>21</v>
      </c>
      <c r="G52" s="2374">
        <v>14</v>
      </c>
      <c r="H52" s="2375">
        <f t="shared" si="3"/>
        <v>66.666666666666657</v>
      </c>
    </row>
    <row r="53" spans="1:12" ht="15" hidden="1" x14ac:dyDescent="0.2">
      <c r="A53" s="2371">
        <v>3299</v>
      </c>
      <c r="B53" s="2372">
        <v>5901</v>
      </c>
      <c r="C53" s="2376">
        <v>0</v>
      </c>
      <c r="D53" s="2373" t="s">
        <v>670</v>
      </c>
      <c r="E53" s="2374">
        <v>0</v>
      </c>
      <c r="F53" s="2374">
        <v>0</v>
      </c>
      <c r="G53" s="2374">
        <v>0</v>
      </c>
      <c r="H53" s="2375" t="e">
        <f t="shared" si="3"/>
        <v>#DIV/0!</v>
      </c>
    </row>
    <row r="54" spans="1:12" ht="15" x14ac:dyDescent="0.2">
      <c r="A54" s="2371">
        <v>3299</v>
      </c>
      <c r="B54" s="2372">
        <v>5901</v>
      </c>
      <c r="C54" s="2376">
        <v>32133019</v>
      </c>
      <c r="D54" s="2373" t="s">
        <v>670</v>
      </c>
      <c r="E54" s="2374">
        <v>0</v>
      </c>
      <c r="F54" s="2374">
        <v>17</v>
      </c>
      <c r="G54" s="2374">
        <v>0</v>
      </c>
      <c r="H54" s="2375">
        <f t="shared" si="3"/>
        <v>0</v>
      </c>
    </row>
    <row r="55" spans="1:12" ht="15" x14ac:dyDescent="0.2">
      <c r="A55" s="2371">
        <v>3299</v>
      </c>
      <c r="B55" s="2372">
        <v>5901</v>
      </c>
      <c r="C55" s="2376">
        <v>32533019</v>
      </c>
      <c r="D55" s="2373" t="s">
        <v>670</v>
      </c>
      <c r="E55" s="2374">
        <v>0</v>
      </c>
      <c r="F55" s="2374">
        <v>96</v>
      </c>
      <c r="G55" s="2374">
        <v>0</v>
      </c>
      <c r="H55" s="2375">
        <f t="shared" si="3"/>
        <v>0</v>
      </c>
    </row>
    <row r="56" spans="1:12" ht="15" x14ac:dyDescent="0.2">
      <c r="A56" s="2371">
        <v>3299</v>
      </c>
      <c r="B56" s="2372">
        <v>5323</v>
      </c>
      <c r="C56" s="2376">
        <v>32133019</v>
      </c>
      <c r="D56" s="2373" t="s">
        <v>242</v>
      </c>
      <c r="E56" s="2374">
        <v>0</v>
      </c>
      <c r="F56" s="2374">
        <v>8</v>
      </c>
      <c r="G56" s="2374">
        <v>8</v>
      </c>
      <c r="H56" s="2375">
        <f t="shared" si="3"/>
        <v>100</v>
      </c>
    </row>
    <row r="57" spans="1:12" ht="15.75" thickBot="1" x14ac:dyDescent="0.25">
      <c r="A57" s="2371">
        <v>3299</v>
      </c>
      <c r="B57" s="2372">
        <v>5323</v>
      </c>
      <c r="C57" s="2376">
        <v>32533019</v>
      </c>
      <c r="D57" s="2373" t="s">
        <v>242</v>
      </c>
      <c r="E57" s="2374">
        <v>0</v>
      </c>
      <c r="F57" s="2374">
        <v>43</v>
      </c>
      <c r="G57" s="2374">
        <v>43</v>
      </c>
      <c r="H57" s="2375">
        <f t="shared" si="3"/>
        <v>100</v>
      </c>
    </row>
    <row r="58" spans="1:12" ht="15.75" hidden="1" thickBot="1" x14ac:dyDescent="0.25">
      <c r="A58" s="2371">
        <v>3636</v>
      </c>
      <c r="B58" s="2372">
        <v>6901</v>
      </c>
      <c r="C58" s="2376">
        <v>32533926</v>
      </c>
      <c r="D58" s="2373" t="s">
        <v>468</v>
      </c>
      <c r="E58" s="2374">
        <v>0</v>
      </c>
      <c r="F58" s="2374">
        <v>0</v>
      </c>
      <c r="G58" s="2374">
        <v>0</v>
      </c>
      <c r="H58" s="2375" t="e">
        <f t="shared" si="3"/>
        <v>#DIV/0!</v>
      </c>
    </row>
    <row r="59" spans="1:12" ht="15.75" hidden="1" thickBot="1" x14ac:dyDescent="0.25">
      <c r="A59" s="2371">
        <v>6402</v>
      </c>
      <c r="B59" s="2372">
        <v>5363</v>
      </c>
      <c r="C59" s="2376">
        <v>19</v>
      </c>
      <c r="D59" s="2373" t="s">
        <v>615</v>
      </c>
      <c r="E59" s="2374">
        <v>0</v>
      </c>
      <c r="F59" s="2374">
        <v>0</v>
      </c>
      <c r="G59" s="2374">
        <v>0</v>
      </c>
      <c r="H59" s="2377" t="e">
        <f t="shared" si="3"/>
        <v>#DIV/0!</v>
      </c>
    </row>
    <row r="60" spans="1:12" ht="16.5" thickTop="1" thickBot="1" x14ac:dyDescent="0.3">
      <c r="A60" s="2806" t="s">
        <v>849</v>
      </c>
      <c r="B60" s="2807"/>
      <c r="C60" s="2807"/>
      <c r="D60" s="2807"/>
      <c r="E60" s="2152">
        <f>SUM(E35:E58)</f>
        <v>0</v>
      </c>
      <c r="F60" s="2152">
        <f>SUM(F35:F59)</f>
        <v>1138</v>
      </c>
      <c r="G60" s="2152">
        <f>SUM(G35:G59)</f>
        <v>83</v>
      </c>
      <c r="H60" s="2157">
        <v>61.717249327698809</v>
      </c>
    </row>
    <row r="61" spans="1:12" ht="13.5" thickTop="1" x14ac:dyDescent="0.2"/>
    <row r="63" spans="1:12" ht="16.5" x14ac:dyDescent="0.25">
      <c r="A63" s="2399" t="s">
        <v>508</v>
      </c>
      <c r="B63" s="2400"/>
      <c r="C63" s="2401"/>
      <c r="D63" s="2402"/>
      <c r="E63" s="2403">
        <f>SUM(E64:E66)</f>
        <v>0</v>
      </c>
      <c r="F63" s="2403">
        <f>F64+F65+F66+F67</f>
        <v>5062</v>
      </c>
      <c r="G63" s="2403">
        <f>G64+G65+G66+G67</f>
        <v>2683</v>
      </c>
      <c r="H63" s="2404">
        <v>61.717249327698809</v>
      </c>
      <c r="J63" s="2405">
        <f>J64+J65+J66</f>
        <v>0</v>
      </c>
      <c r="K63" s="2405">
        <f>K64+K65+K66</f>
        <v>5061978.9800000004</v>
      </c>
      <c r="L63" s="2405">
        <f>L64+L65+L66</f>
        <v>2683239.5499999998</v>
      </c>
    </row>
    <row r="64" spans="1:12" ht="15" x14ac:dyDescent="0.2">
      <c r="A64" s="2406" t="s">
        <v>288</v>
      </c>
      <c r="B64" s="2407"/>
      <c r="C64" s="2408"/>
      <c r="D64" s="2409"/>
      <c r="E64" s="2410">
        <f>E12+E13+E14+E15+E16+E17+E18+E19+E20+E21+E22+E23+E24+E25+E26+E35+E36+E37+E38+E39+E40+E41+E42+E43+E44+E45+E46+E47+E48+E49+E50+E51+E52+E54+E55+E56+E57</f>
        <v>0</v>
      </c>
      <c r="F64" s="2410">
        <f>F12+F13+F14+F15+F16+F17+F18+F19+F20+F21+F22+F23+F24+F25+F26+F35+F36+F37+F38+F39+F40+F41+F42+F43+F44+F45+F46+F47+F48+F49+F50+F51+F52+F54+F55+F56+F57</f>
        <v>5062</v>
      </c>
      <c r="G64" s="2410">
        <f>G12+G13+G14+G15+G16+G17+G18+G19+G20+G21+G22+G23+G24+G25+G26+G35+G36+G37+G38+G39+G40+G41+G42+G43+G44+G45+G46+G47+G48+G49+G50+G51+G52+G54+G55+G56+G57</f>
        <v>2683</v>
      </c>
      <c r="H64" s="2411">
        <f>G64/F64*100</f>
        <v>53.002765705254838</v>
      </c>
      <c r="J64" s="2412">
        <v>0</v>
      </c>
      <c r="K64" s="2412">
        <v>5061978.9800000004</v>
      </c>
      <c r="L64" s="2412">
        <v>2683239.5499999998</v>
      </c>
    </row>
    <row r="65" spans="1:12" ht="15" x14ac:dyDescent="0.2">
      <c r="A65" s="2406" t="s">
        <v>289</v>
      </c>
      <c r="B65" s="2413"/>
      <c r="C65" s="2408"/>
      <c r="D65" s="2414"/>
      <c r="E65" s="2410">
        <f>E26+E27</f>
        <v>0</v>
      </c>
      <c r="F65" s="2410">
        <v>0</v>
      </c>
      <c r="G65" s="2410">
        <v>0</v>
      </c>
      <c r="H65" s="2411">
        <v>0</v>
      </c>
      <c r="J65" s="2412">
        <v>0</v>
      </c>
      <c r="K65" s="2412">
        <v>0</v>
      </c>
      <c r="L65" s="2412">
        <v>0</v>
      </c>
    </row>
    <row r="66" spans="1:12" ht="15" x14ac:dyDescent="0.2">
      <c r="A66" s="2406" t="s">
        <v>509</v>
      </c>
      <c r="B66" s="2413"/>
      <c r="C66" s="2408"/>
      <c r="D66" s="2414"/>
      <c r="E66" s="2410">
        <v>0</v>
      </c>
      <c r="F66" s="2410">
        <v>0</v>
      </c>
      <c r="G66" s="2410">
        <v>0</v>
      </c>
      <c r="H66" s="2411">
        <v>0</v>
      </c>
      <c r="J66" s="2412">
        <v>0</v>
      </c>
      <c r="K66" s="2412">
        <v>0</v>
      </c>
      <c r="L66" s="2412">
        <v>0</v>
      </c>
    </row>
    <row r="67" spans="1:12" ht="16.5" customHeight="1" x14ac:dyDescent="0.2">
      <c r="A67" s="2406"/>
      <c r="B67" s="2413"/>
      <c r="C67" s="2408"/>
      <c r="D67" s="2414"/>
      <c r="E67" s="2410"/>
      <c r="F67" s="2410"/>
      <c r="G67" s="2410"/>
      <c r="H67" s="2415"/>
    </row>
    <row r="68" spans="1:12" ht="57.75" customHeight="1" thickBot="1" x14ac:dyDescent="0.4">
      <c r="A68" s="2819" t="s">
        <v>1606</v>
      </c>
      <c r="B68" s="2827"/>
      <c r="C68" s="2827"/>
      <c r="D68" s="2827"/>
      <c r="E68" s="2416">
        <f>SUM(E63)</f>
        <v>0</v>
      </c>
      <c r="F68" s="2416">
        <f>SUM(F63)</f>
        <v>5062</v>
      </c>
      <c r="G68" s="2416">
        <f>SUM(G63)</f>
        <v>2683</v>
      </c>
      <c r="H68" s="2417">
        <v>61.717249327698809</v>
      </c>
    </row>
    <row r="69" spans="1:12" ht="13.5" thickTop="1" x14ac:dyDescent="0.2"/>
  </sheetData>
  <mergeCells count="5">
    <mergeCell ref="A8:H8"/>
    <mergeCell ref="A29:D29"/>
    <mergeCell ref="A31:H31"/>
    <mergeCell ref="A60:D60"/>
    <mergeCell ref="A68:D68"/>
  </mergeCells>
  <pageMargins left="0.70866141732283472" right="0.70866141732283472" top="0.78740157480314965" bottom="0.78740157480314965" header="0.31496062992125984" footer="0.31496062992125984"/>
  <pageSetup paperSize="9" scale="71" firstPageNumber="176" orientation="portrait" useFirstPageNumber="1" r:id="rId1"/>
  <headerFooter>
    <oddFooter xml:space="preserve">&amp;L&amp;"Arial,Kurzíva"Zastupitelstvo Olomouckého kraje 28. 6. 2013
6.- Závěrečný  účet Olomuckého kraje za rok 2012
Příloha č. 3: Plnění rozpočtu výdajů Olomouckého kraje k 31.12.2012&amp;R&amp;"Arial,Kurzíva"Strana &amp;P (Celkem 484)
</oddFooter>
  </headerFooter>
  <rowBreaks count="1" manualBreakCount="1">
    <brk id="60" max="7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197"/>
  <sheetViews>
    <sheetView showGridLines="0" view="pageBreakPreview" topLeftCell="A70" zoomScaleNormal="100" zoomScaleSheetLayoutView="100" workbookViewId="0">
      <selection activeCell="C3" sqref="C3:C4"/>
    </sheetView>
  </sheetViews>
  <sheetFormatPr defaultRowHeight="12.75" x14ac:dyDescent="0.2"/>
  <cols>
    <col min="1" max="1" width="4.7109375" style="2130" customWidth="1"/>
    <col min="2" max="2" width="6.7109375" style="2130" customWidth="1"/>
    <col min="3" max="3" width="8.85546875" style="2130" customWidth="1"/>
    <col min="4" max="4" width="46.42578125" style="2131" customWidth="1"/>
    <col min="5" max="5" width="12.85546875" style="2165" customWidth="1"/>
    <col min="6" max="6" width="15.5703125" style="2165" customWidth="1"/>
    <col min="7" max="7" width="15.85546875" style="2165" customWidth="1"/>
    <col min="8" max="8" width="9.140625" style="2131" customWidth="1"/>
    <col min="9" max="9" width="14.28515625" style="2131" bestFit="1" customWidth="1"/>
    <col min="10" max="10" width="9.140625" style="2131"/>
    <col min="11" max="11" width="12.7109375" style="2131" bestFit="1" customWidth="1"/>
    <col min="12" max="12" width="13.140625" style="2131" customWidth="1"/>
    <col min="13" max="256" width="9.140625" style="2131"/>
    <col min="257" max="257" width="4.7109375" style="2131" customWidth="1"/>
    <col min="258" max="258" width="6.7109375" style="2131" customWidth="1"/>
    <col min="259" max="259" width="8.85546875" style="2131" customWidth="1"/>
    <col min="260" max="260" width="46.42578125" style="2131" customWidth="1"/>
    <col min="261" max="261" width="12.85546875" style="2131" customWidth="1"/>
    <col min="262" max="262" width="15.5703125" style="2131" customWidth="1"/>
    <col min="263" max="263" width="15.85546875" style="2131" customWidth="1"/>
    <col min="264" max="264" width="6.42578125" style="2131" customWidth="1"/>
    <col min="265" max="265" width="14.28515625" style="2131" bestFit="1" customWidth="1"/>
    <col min="266" max="266" width="9.140625" style="2131"/>
    <col min="267" max="267" width="12.7109375" style="2131" bestFit="1" customWidth="1"/>
    <col min="268" max="268" width="13.140625" style="2131" customWidth="1"/>
    <col min="269" max="512" width="9.140625" style="2131"/>
    <col min="513" max="513" width="4.7109375" style="2131" customWidth="1"/>
    <col min="514" max="514" width="6.7109375" style="2131" customWidth="1"/>
    <col min="515" max="515" width="8.85546875" style="2131" customWidth="1"/>
    <col min="516" max="516" width="46.42578125" style="2131" customWidth="1"/>
    <col min="517" max="517" width="12.85546875" style="2131" customWidth="1"/>
    <col min="518" max="518" width="15.5703125" style="2131" customWidth="1"/>
    <col min="519" max="519" width="15.85546875" style="2131" customWidth="1"/>
    <col min="520" max="520" width="6.42578125" style="2131" customWidth="1"/>
    <col min="521" max="521" width="14.28515625" style="2131" bestFit="1" customWidth="1"/>
    <col min="522" max="522" width="9.140625" style="2131"/>
    <col min="523" max="523" width="12.7109375" style="2131" bestFit="1" customWidth="1"/>
    <col min="524" max="524" width="13.140625" style="2131" customWidth="1"/>
    <col min="525" max="768" width="9.140625" style="2131"/>
    <col min="769" max="769" width="4.7109375" style="2131" customWidth="1"/>
    <col min="770" max="770" width="6.7109375" style="2131" customWidth="1"/>
    <col min="771" max="771" width="8.85546875" style="2131" customWidth="1"/>
    <col min="772" max="772" width="46.42578125" style="2131" customWidth="1"/>
    <col min="773" max="773" width="12.85546875" style="2131" customWidth="1"/>
    <col min="774" max="774" width="15.5703125" style="2131" customWidth="1"/>
    <col min="775" max="775" width="15.85546875" style="2131" customWidth="1"/>
    <col min="776" max="776" width="6.42578125" style="2131" customWidth="1"/>
    <col min="777" max="777" width="14.28515625" style="2131" bestFit="1" customWidth="1"/>
    <col min="778" max="778" width="9.140625" style="2131"/>
    <col min="779" max="779" width="12.7109375" style="2131" bestFit="1" customWidth="1"/>
    <col min="780" max="780" width="13.140625" style="2131" customWidth="1"/>
    <col min="781" max="1024" width="9.140625" style="2131"/>
    <col min="1025" max="1025" width="4.7109375" style="2131" customWidth="1"/>
    <col min="1026" max="1026" width="6.7109375" style="2131" customWidth="1"/>
    <col min="1027" max="1027" width="8.85546875" style="2131" customWidth="1"/>
    <col min="1028" max="1028" width="46.42578125" style="2131" customWidth="1"/>
    <col min="1029" max="1029" width="12.85546875" style="2131" customWidth="1"/>
    <col min="1030" max="1030" width="15.5703125" style="2131" customWidth="1"/>
    <col min="1031" max="1031" width="15.85546875" style="2131" customWidth="1"/>
    <col min="1032" max="1032" width="6.42578125" style="2131" customWidth="1"/>
    <col min="1033" max="1033" width="14.28515625" style="2131" bestFit="1" customWidth="1"/>
    <col min="1034" max="1034" width="9.140625" style="2131"/>
    <col min="1035" max="1035" width="12.7109375" style="2131" bestFit="1" customWidth="1"/>
    <col min="1036" max="1036" width="13.140625" style="2131" customWidth="1"/>
    <col min="1037" max="1280" width="9.140625" style="2131"/>
    <col min="1281" max="1281" width="4.7109375" style="2131" customWidth="1"/>
    <col min="1282" max="1282" width="6.7109375" style="2131" customWidth="1"/>
    <col min="1283" max="1283" width="8.85546875" style="2131" customWidth="1"/>
    <col min="1284" max="1284" width="46.42578125" style="2131" customWidth="1"/>
    <col min="1285" max="1285" width="12.85546875" style="2131" customWidth="1"/>
    <col min="1286" max="1286" width="15.5703125" style="2131" customWidth="1"/>
    <col min="1287" max="1287" width="15.85546875" style="2131" customWidth="1"/>
    <col min="1288" max="1288" width="6.42578125" style="2131" customWidth="1"/>
    <col min="1289" max="1289" width="14.28515625" style="2131" bestFit="1" customWidth="1"/>
    <col min="1290" max="1290" width="9.140625" style="2131"/>
    <col min="1291" max="1291" width="12.7109375" style="2131" bestFit="1" customWidth="1"/>
    <col min="1292" max="1292" width="13.140625" style="2131" customWidth="1"/>
    <col min="1293" max="1536" width="9.140625" style="2131"/>
    <col min="1537" max="1537" width="4.7109375" style="2131" customWidth="1"/>
    <col min="1538" max="1538" width="6.7109375" style="2131" customWidth="1"/>
    <col min="1539" max="1539" width="8.85546875" style="2131" customWidth="1"/>
    <col min="1540" max="1540" width="46.42578125" style="2131" customWidth="1"/>
    <col min="1541" max="1541" width="12.85546875" style="2131" customWidth="1"/>
    <col min="1542" max="1542" width="15.5703125" style="2131" customWidth="1"/>
    <col min="1543" max="1543" width="15.85546875" style="2131" customWidth="1"/>
    <col min="1544" max="1544" width="6.42578125" style="2131" customWidth="1"/>
    <col min="1545" max="1545" width="14.28515625" style="2131" bestFit="1" customWidth="1"/>
    <col min="1546" max="1546" width="9.140625" style="2131"/>
    <col min="1547" max="1547" width="12.7109375" style="2131" bestFit="1" customWidth="1"/>
    <col min="1548" max="1548" width="13.140625" style="2131" customWidth="1"/>
    <col min="1549" max="1792" width="9.140625" style="2131"/>
    <col min="1793" max="1793" width="4.7109375" style="2131" customWidth="1"/>
    <col min="1794" max="1794" width="6.7109375" style="2131" customWidth="1"/>
    <col min="1795" max="1795" width="8.85546875" style="2131" customWidth="1"/>
    <col min="1796" max="1796" width="46.42578125" style="2131" customWidth="1"/>
    <col min="1797" max="1797" width="12.85546875" style="2131" customWidth="1"/>
    <col min="1798" max="1798" width="15.5703125" style="2131" customWidth="1"/>
    <col min="1799" max="1799" width="15.85546875" style="2131" customWidth="1"/>
    <col min="1800" max="1800" width="6.42578125" style="2131" customWidth="1"/>
    <col min="1801" max="1801" width="14.28515625" style="2131" bestFit="1" customWidth="1"/>
    <col min="1802" max="1802" width="9.140625" style="2131"/>
    <col min="1803" max="1803" width="12.7109375" style="2131" bestFit="1" customWidth="1"/>
    <col min="1804" max="1804" width="13.140625" style="2131" customWidth="1"/>
    <col min="1805" max="2048" width="9.140625" style="2131"/>
    <col min="2049" max="2049" width="4.7109375" style="2131" customWidth="1"/>
    <col min="2050" max="2050" width="6.7109375" style="2131" customWidth="1"/>
    <col min="2051" max="2051" width="8.85546875" style="2131" customWidth="1"/>
    <col min="2052" max="2052" width="46.42578125" style="2131" customWidth="1"/>
    <col min="2053" max="2053" width="12.85546875" style="2131" customWidth="1"/>
    <col min="2054" max="2054" width="15.5703125" style="2131" customWidth="1"/>
    <col min="2055" max="2055" width="15.85546875" style="2131" customWidth="1"/>
    <col min="2056" max="2056" width="6.42578125" style="2131" customWidth="1"/>
    <col min="2057" max="2057" width="14.28515625" style="2131" bestFit="1" customWidth="1"/>
    <col min="2058" max="2058" width="9.140625" style="2131"/>
    <col min="2059" max="2059" width="12.7109375" style="2131" bestFit="1" customWidth="1"/>
    <col min="2060" max="2060" width="13.140625" style="2131" customWidth="1"/>
    <col min="2061" max="2304" width="9.140625" style="2131"/>
    <col min="2305" max="2305" width="4.7109375" style="2131" customWidth="1"/>
    <col min="2306" max="2306" width="6.7109375" style="2131" customWidth="1"/>
    <col min="2307" max="2307" width="8.85546875" style="2131" customWidth="1"/>
    <col min="2308" max="2308" width="46.42578125" style="2131" customWidth="1"/>
    <col min="2309" max="2309" width="12.85546875" style="2131" customWidth="1"/>
    <col min="2310" max="2310" width="15.5703125" style="2131" customWidth="1"/>
    <col min="2311" max="2311" width="15.85546875" style="2131" customWidth="1"/>
    <col min="2312" max="2312" width="6.42578125" style="2131" customWidth="1"/>
    <col min="2313" max="2313" width="14.28515625" style="2131" bestFit="1" customWidth="1"/>
    <col min="2314" max="2314" width="9.140625" style="2131"/>
    <col min="2315" max="2315" width="12.7109375" style="2131" bestFit="1" customWidth="1"/>
    <col min="2316" max="2316" width="13.140625" style="2131" customWidth="1"/>
    <col min="2317" max="2560" width="9.140625" style="2131"/>
    <col min="2561" max="2561" width="4.7109375" style="2131" customWidth="1"/>
    <col min="2562" max="2562" width="6.7109375" style="2131" customWidth="1"/>
    <col min="2563" max="2563" width="8.85546875" style="2131" customWidth="1"/>
    <col min="2564" max="2564" width="46.42578125" style="2131" customWidth="1"/>
    <col min="2565" max="2565" width="12.85546875" style="2131" customWidth="1"/>
    <col min="2566" max="2566" width="15.5703125" style="2131" customWidth="1"/>
    <col min="2567" max="2567" width="15.85546875" style="2131" customWidth="1"/>
    <col min="2568" max="2568" width="6.42578125" style="2131" customWidth="1"/>
    <col min="2569" max="2569" width="14.28515625" style="2131" bestFit="1" customWidth="1"/>
    <col min="2570" max="2570" width="9.140625" style="2131"/>
    <col min="2571" max="2571" width="12.7109375" style="2131" bestFit="1" customWidth="1"/>
    <col min="2572" max="2572" width="13.140625" style="2131" customWidth="1"/>
    <col min="2573" max="2816" width="9.140625" style="2131"/>
    <col min="2817" max="2817" width="4.7109375" style="2131" customWidth="1"/>
    <col min="2818" max="2818" width="6.7109375" style="2131" customWidth="1"/>
    <col min="2819" max="2819" width="8.85546875" style="2131" customWidth="1"/>
    <col min="2820" max="2820" width="46.42578125" style="2131" customWidth="1"/>
    <col min="2821" max="2821" width="12.85546875" style="2131" customWidth="1"/>
    <col min="2822" max="2822" width="15.5703125" style="2131" customWidth="1"/>
    <col min="2823" max="2823" width="15.85546875" style="2131" customWidth="1"/>
    <col min="2824" max="2824" width="6.42578125" style="2131" customWidth="1"/>
    <col min="2825" max="2825" width="14.28515625" style="2131" bestFit="1" customWidth="1"/>
    <col min="2826" max="2826" width="9.140625" style="2131"/>
    <col min="2827" max="2827" width="12.7109375" style="2131" bestFit="1" customWidth="1"/>
    <col min="2828" max="2828" width="13.140625" style="2131" customWidth="1"/>
    <col min="2829" max="3072" width="9.140625" style="2131"/>
    <col min="3073" max="3073" width="4.7109375" style="2131" customWidth="1"/>
    <col min="3074" max="3074" width="6.7109375" style="2131" customWidth="1"/>
    <col min="3075" max="3075" width="8.85546875" style="2131" customWidth="1"/>
    <col min="3076" max="3076" width="46.42578125" style="2131" customWidth="1"/>
    <col min="3077" max="3077" width="12.85546875" style="2131" customWidth="1"/>
    <col min="3078" max="3078" width="15.5703125" style="2131" customWidth="1"/>
    <col min="3079" max="3079" width="15.85546875" style="2131" customWidth="1"/>
    <col min="3080" max="3080" width="6.42578125" style="2131" customWidth="1"/>
    <col min="3081" max="3081" width="14.28515625" style="2131" bestFit="1" customWidth="1"/>
    <col min="3082" max="3082" width="9.140625" style="2131"/>
    <col min="3083" max="3083" width="12.7109375" style="2131" bestFit="1" customWidth="1"/>
    <col min="3084" max="3084" width="13.140625" style="2131" customWidth="1"/>
    <col min="3085" max="3328" width="9.140625" style="2131"/>
    <col min="3329" max="3329" width="4.7109375" style="2131" customWidth="1"/>
    <col min="3330" max="3330" width="6.7109375" style="2131" customWidth="1"/>
    <col min="3331" max="3331" width="8.85546875" style="2131" customWidth="1"/>
    <col min="3332" max="3332" width="46.42578125" style="2131" customWidth="1"/>
    <col min="3333" max="3333" width="12.85546875" style="2131" customWidth="1"/>
    <col min="3334" max="3334" width="15.5703125" style="2131" customWidth="1"/>
    <col min="3335" max="3335" width="15.85546875" style="2131" customWidth="1"/>
    <col min="3336" max="3336" width="6.42578125" style="2131" customWidth="1"/>
    <col min="3337" max="3337" width="14.28515625" style="2131" bestFit="1" customWidth="1"/>
    <col min="3338" max="3338" width="9.140625" style="2131"/>
    <col min="3339" max="3339" width="12.7109375" style="2131" bestFit="1" customWidth="1"/>
    <col min="3340" max="3340" width="13.140625" style="2131" customWidth="1"/>
    <col min="3341" max="3584" width="9.140625" style="2131"/>
    <col min="3585" max="3585" width="4.7109375" style="2131" customWidth="1"/>
    <col min="3586" max="3586" width="6.7109375" style="2131" customWidth="1"/>
    <col min="3587" max="3587" width="8.85546875" style="2131" customWidth="1"/>
    <col min="3588" max="3588" width="46.42578125" style="2131" customWidth="1"/>
    <col min="3589" max="3589" width="12.85546875" style="2131" customWidth="1"/>
    <col min="3590" max="3590" width="15.5703125" style="2131" customWidth="1"/>
    <col min="3591" max="3591" width="15.85546875" style="2131" customWidth="1"/>
    <col min="3592" max="3592" width="6.42578125" style="2131" customWidth="1"/>
    <col min="3593" max="3593" width="14.28515625" style="2131" bestFit="1" customWidth="1"/>
    <col min="3594" max="3594" width="9.140625" style="2131"/>
    <col min="3595" max="3595" width="12.7109375" style="2131" bestFit="1" customWidth="1"/>
    <col min="3596" max="3596" width="13.140625" style="2131" customWidth="1"/>
    <col min="3597" max="3840" width="9.140625" style="2131"/>
    <col min="3841" max="3841" width="4.7109375" style="2131" customWidth="1"/>
    <col min="3842" max="3842" width="6.7109375" style="2131" customWidth="1"/>
    <col min="3843" max="3843" width="8.85546875" style="2131" customWidth="1"/>
    <col min="3844" max="3844" width="46.42578125" style="2131" customWidth="1"/>
    <col min="3845" max="3845" width="12.85546875" style="2131" customWidth="1"/>
    <col min="3846" max="3846" width="15.5703125" style="2131" customWidth="1"/>
    <col min="3847" max="3847" width="15.85546875" style="2131" customWidth="1"/>
    <col min="3848" max="3848" width="6.42578125" style="2131" customWidth="1"/>
    <col min="3849" max="3849" width="14.28515625" style="2131" bestFit="1" customWidth="1"/>
    <col min="3850" max="3850" width="9.140625" style="2131"/>
    <col min="3851" max="3851" width="12.7109375" style="2131" bestFit="1" customWidth="1"/>
    <col min="3852" max="3852" width="13.140625" style="2131" customWidth="1"/>
    <col min="3853" max="4096" width="9.140625" style="2131"/>
    <col min="4097" max="4097" width="4.7109375" style="2131" customWidth="1"/>
    <col min="4098" max="4098" width="6.7109375" style="2131" customWidth="1"/>
    <col min="4099" max="4099" width="8.85546875" style="2131" customWidth="1"/>
    <col min="4100" max="4100" width="46.42578125" style="2131" customWidth="1"/>
    <col min="4101" max="4101" width="12.85546875" style="2131" customWidth="1"/>
    <col min="4102" max="4102" width="15.5703125" style="2131" customWidth="1"/>
    <col min="4103" max="4103" width="15.85546875" style="2131" customWidth="1"/>
    <col min="4104" max="4104" width="6.42578125" style="2131" customWidth="1"/>
    <col min="4105" max="4105" width="14.28515625" style="2131" bestFit="1" customWidth="1"/>
    <col min="4106" max="4106" width="9.140625" style="2131"/>
    <col min="4107" max="4107" width="12.7109375" style="2131" bestFit="1" customWidth="1"/>
    <col min="4108" max="4108" width="13.140625" style="2131" customWidth="1"/>
    <col min="4109" max="4352" width="9.140625" style="2131"/>
    <col min="4353" max="4353" width="4.7109375" style="2131" customWidth="1"/>
    <col min="4354" max="4354" width="6.7109375" style="2131" customWidth="1"/>
    <col min="4355" max="4355" width="8.85546875" style="2131" customWidth="1"/>
    <col min="4356" max="4356" width="46.42578125" style="2131" customWidth="1"/>
    <col min="4357" max="4357" width="12.85546875" style="2131" customWidth="1"/>
    <col min="4358" max="4358" width="15.5703125" style="2131" customWidth="1"/>
    <col min="4359" max="4359" width="15.85546875" style="2131" customWidth="1"/>
    <col min="4360" max="4360" width="6.42578125" style="2131" customWidth="1"/>
    <col min="4361" max="4361" width="14.28515625" style="2131" bestFit="1" customWidth="1"/>
    <col min="4362" max="4362" width="9.140625" style="2131"/>
    <col min="4363" max="4363" width="12.7109375" style="2131" bestFit="1" customWidth="1"/>
    <col min="4364" max="4364" width="13.140625" style="2131" customWidth="1"/>
    <col min="4365" max="4608" width="9.140625" style="2131"/>
    <col min="4609" max="4609" width="4.7109375" style="2131" customWidth="1"/>
    <col min="4610" max="4610" width="6.7109375" style="2131" customWidth="1"/>
    <col min="4611" max="4611" width="8.85546875" style="2131" customWidth="1"/>
    <col min="4612" max="4612" width="46.42578125" style="2131" customWidth="1"/>
    <col min="4613" max="4613" width="12.85546875" style="2131" customWidth="1"/>
    <col min="4614" max="4614" width="15.5703125" style="2131" customWidth="1"/>
    <col min="4615" max="4615" width="15.85546875" style="2131" customWidth="1"/>
    <col min="4616" max="4616" width="6.42578125" style="2131" customWidth="1"/>
    <col min="4617" max="4617" width="14.28515625" style="2131" bestFit="1" customWidth="1"/>
    <col min="4618" max="4618" width="9.140625" style="2131"/>
    <col min="4619" max="4619" width="12.7109375" style="2131" bestFit="1" customWidth="1"/>
    <col min="4620" max="4620" width="13.140625" style="2131" customWidth="1"/>
    <col min="4621" max="4864" width="9.140625" style="2131"/>
    <col min="4865" max="4865" width="4.7109375" style="2131" customWidth="1"/>
    <col min="4866" max="4866" width="6.7109375" style="2131" customWidth="1"/>
    <col min="4867" max="4867" width="8.85546875" style="2131" customWidth="1"/>
    <col min="4868" max="4868" width="46.42578125" style="2131" customWidth="1"/>
    <col min="4869" max="4869" width="12.85546875" style="2131" customWidth="1"/>
    <col min="4870" max="4870" width="15.5703125" style="2131" customWidth="1"/>
    <col min="4871" max="4871" width="15.85546875" style="2131" customWidth="1"/>
    <col min="4872" max="4872" width="6.42578125" style="2131" customWidth="1"/>
    <col min="4873" max="4873" width="14.28515625" style="2131" bestFit="1" customWidth="1"/>
    <col min="4874" max="4874" width="9.140625" style="2131"/>
    <col min="4875" max="4875" width="12.7109375" style="2131" bestFit="1" customWidth="1"/>
    <col min="4876" max="4876" width="13.140625" style="2131" customWidth="1"/>
    <col min="4877" max="5120" width="9.140625" style="2131"/>
    <col min="5121" max="5121" width="4.7109375" style="2131" customWidth="1"/>
    <col min="5122" max="5122" width="6.7109375" style="2131" customWidth="1"/>
    <col min="5123" max="5123" width="8.85546875" style="2131" customWidth="1"/>
    <col min="5124" max="5124" width="46.42578125" style="2131" customWidth="1"/>
    <col min="5125" max="5125" width="12.85546875" style="2131" customWidth="1"/>
    <col min="5126" max="5126" width="15.5703125" style="2131" customWidth="1"/>
    <col min="5127" max="5127" width="15.85546875" style="2131" customWidth="1"/>
    <col min="5128" max="5128" width="6.42578125" style="2131" customWidth="1"/>
    <col min="5129" max="5129" width="14.28515625" style="2131" bestFit="1" customWidth="1"/>
    <col min="5130" max="5130" width="9.140625" style="2131"/>
    <col min="5131" max="5131" width="12.7109375" style="2131" bestFit="1" customWidth="1"/>
    <col min="5132" max="5132" width="13.140625" style="2131" customWidth="1"/>
    <col min="5133" max="5376" width="9.140625" style="2131"/>
    <col min="5377" max="5377" width="4.7109375" style="2131" customWidth="1"/>
    <col min="5378" max="5378" width="6.7109375" style="2131" customWidth="1"/>
    <col min="5379" max="5379" width="8.85546875" style="2131" customWidth="1"/>
    <col min="5380" max="5380" width="46.42578125" style="2131" customWidth="1"/>
    <col min="5381" max="5381" width="12.85546875" style="2131" customWidth="1"/>
    <col min="5382" max="5382" width="15.5703125" style="2131" customWidth="1"/>
    <col min="5383" max="5383" width="15.85546875" style="2131" customWidth="1"/>
    <col min="5384" max="5384" width="6.42578125" style="2131" customWidth="1"/>
    <col min="5385" max="5385" width="14.28515625" style="2131" bestFit="1" customWidth="1"/>
    <col min="5386" max="5386" width="9.140625" style="2131"/>
    <col min="5387" max="5387" width="12.7109375" style="2131" bestFit="1" customWidth="1"/>
    <col min="5388" max="5388" width="13.140625" style="2131" customWidth="1"/>
    <col min="5389" max="5632" width="9.140625" style="2131"/>
    <col min="5633" max="5633" width="4.7109375" style="2131" customWidth="1"/>
    <col min="5634" max="5634" width="6.7109375" style="2131" customWidth="1"/>
    <col min="5635" max="5635" width="8.85546875" style="2131" customWidth="1"/>
    <col min="5636" max="5636" width="46.42578125" style="2131" customWidth="1"/>
    <col min="5637" max="5637" width="12.85546875" style="2131" customWidth="1"/>
    <col min="5638" max="5638" width="15.5703125" style="2131" customWidth="1"/>
    <col min="5639" max="5639" width="15.85546875" style="2131" customWidth="1"/>
    <col min="5640" max="5640" width="6.42578125" style="2131" customWidth="1"/>
    <col min="5641" max="5641" width="14.28515625" style="2131" bestFit="1" customWidth="1"/>
    <col min="5642" max="5642" width="9.140625" style="2131"/>
    <col min="5643" max="5643" width="12.7109375" style="2131" bestFit="1" customWidth="1"/>
    <col min="5644" max="5644" width="13.140625" style="2131" customWidth="1"/>
    <col min="5645" max="5888" width="9.140625" style="2131"/>
    <col min="5889" max="5889" width="4.7109375" style="2131" customWidth="1"/>
    <col min="5890" max="5890" width="6.7109375" style="2131" customWidth="1"/>
    <col min="5891" max="5891" width="8.85546875" style="2131" customWidth="1"/>
    <col min="5892" max="5892" width="46.42578125" style="2131" customWidth="1"/>
    <col min="5893" max="5893" width="12.85546875" style="2131" customWidth="1"/>
    <col min="5894" max="5894" width="15.5703125" style="2131" customWidth="1"/>
    <col min="5895" max="5895" width="15.85546875" style="2131" customWidth="1"/>
    <col min="5896" max="5896" width="6.42578125" style="2131" customWidth="1"/>
    <col min="5897" max="5897" width="14.28515625" style="2131" bestFit="1" customWidth="1"/>
    <col min="5898" max="5898" width="9.140625" style="2131"/>
    <col min="5899" max="5899" width="12.7109375" style="2131" bestFit="1" customWidth="1"/>
    <col min="5900" max="5900" width="13.140625" style="2131" customWidth="1"/>
    <col min="5901" max="6144" width="9.140625" style="2131"/>
    <col min="6145" max="6145" width="4.7109375" style="2131" customWidth="1"/>
    <col min="6146" max="6146" width="6.7109375" style="2131" customWidth="1"/>
    <col min="6147" max="6147" width="8.85546875" style="2131" customWidth="1"/>
    <col min="6148" max="6148" width="46.42578125" style="2131" customWidth="1"/>
    <col min="6149" max="6149" width="12.85546875" style="2131" customWidth="1"/>
    <col min="6150" max="6150" width="15.5703125" style="2131" customWidth="1"/>
    <col min="6151" max="6151" width="15.85546875" style="2131" customWidth="1"/>
    <col min="6152" max="6152" width="6.42578125" style="2131" customWidth="1"/>
    <col min="6153" max="6153" width="14.28515625" style="2131" bestFit="1" customWidth="1"/>
    <col min="6154" max="6154" width="9.140625" style="2131"/>
    <col min="6155" max="6155" width="12.7109375" style="2131" bestFit="1" customWidth="1"/>
    <col min="6156" max="6156" width="13.140625" style="2131" customWidth="1"/>
    <col min="6157" max="6400" width="9.140625" style="2131"/>
    <col min="6401" max="6401" width="4.7109375" style="2131" customWidth="1"/>
    <col min="6402" max="6402" width="6.7109375" style="2131" customWidth="1"/>
    <col min="6403" max="6403" width="8.85546875" style="2131" customWidth="1"/>
    <col min="6404" max="6404" width="46.42578125" style="2131" customWidth="1"/>
    <col min="6405" max="6405" width="12.85546875" style="2131" customWidth="1"/>
    <col min="6406" max="6406" width="15.5703125" style="2131" customWidth="1"/>
    <col min="6407" max="6407" width="15.85546875" style="2131" customWidth="1"/>
    <col min="6408" max="6408" width="6.42578125" style="2131" customWidth="1"/>
    <col min="6409" max="6409" width="14.28515625" style="2131" bestFit="1" customWidth="1"/>
    <col min="6410" max="6410" width="9.140625" style="2131"/>
    <col min="6411" max="6411" width="12.7109375" style="2131" bestFit="1" customWidth="1"/>
    <col min="6412" max="6412" width="13.140625" style="2131" customWidth="1"/>
    <col min="6413" max="6656" width="9.140625" style="2131"/>
    <col min="6657" max="6657" width="4.7109375" style="2131" customWidth="1"/>
    <col min="6658" max="6658" width="6.7109375" style="2131" customWidth="1"/>
    <col min="6659" max="6659" width="8.85546875" style="2131" customWidth="1"/>
    <col min="6660" max="6660" width="46.42578125" style="2131" customWidth="1"/>
    <col min="6661" max="6661" width="12.85546875" style="2131" customWidth="1"/>
    <col min="6662" max="6662" width="15.5703125" style="2131" customWidth="1"/>
    <col min="6663" max="6663" width="15.85546875" style="2131" customWidth="1"/>
    <col min="6664" max="6664" width="6.42578125" style="2131" customWidth="1"/>
    <col min="6665" max="6665" width="14.28515625" style="2131" bestFit="1" customWidth="1"/>
    <col min="6666" max="6666" width="9.140625" style="2131"/>
    <col min="6667" max="6667" width="12.7109375" style="2131" bestFit="1" customWidth="1"/>
    <col min="6668" max="6668" width="13.140625" style="2131" customWidth="1"/>
    <col min="6669" max="6912" width="9.140625" style="2131"/>
    <col min="6913" max="6913" width="4.7109375" style="2131" customWidth="1"/>
    <col min="6914" max="6914" width="6.7109375" style="2131" customWidth="1"/>
    <col min="6915" max="6915" width="8.85546875" style="2131" customWidth="1"/>
    <col min="6916" max="6916" width="46.42578125" style="2131" customWidth="1"/>
    <col min="6917" max="6917" width="12.85546875" style="2131" customWidth="1"/>
    <col min="6918" max="6918" width="15.5703125" style="2131" customWidth="1"/>
    <col min="6919" max="6919" width="15.85546875" style="2131" customWidth="1"/>
    <col min="6920" max="6920" width="6.42578125" style="2131" customWidth="1"/>
    <col min="6921" max="6921" width="14.28515625" style="2131" bestFit="1" customWidth="1"/>
    <col min="6922" max="6922" width="9.140625" style="2131"/>
    <col min="6923" max="6923" width="12.7109375" style="2131" bestFit="1" customWidth="1"/>
    <col min="6924" max="6924" width="13.140625" style="2131" customWidth="1"/>
    <col min="6925" max="7168" width="9.140625" style="2131"/>
    <col min="7169" max="7169" width="4.7109375" style="2131" customWidth="1"/>
    <col min="7170" max="7170" width="6.7109375" style="2131" customWidth="1"/>
    <col min="7171" max="7171" width="8.85546875" style="2131" customWidth="1"/>
    <col min="7172" max="7172" width="46.42578125" style="2131" customWidth="1"/>
    <col min="7173" max="7173" width="12.85546875" style="2131" customWidth="1"/>
    <col min="7174" max="7174" width="15.5703125" style="2131" customWidth="1"/>
    <col min="7175" max="7175" width="15.85546875" style="2131" customWidth="1"/>
    <col min="7176" max="7176" width="6.42578125" style="2131" customWidth="1"/>
    <col min="7177" max="7177" width="14.28515625" style="2131" bestFit="1" customWidth="1"/>
    <col min="7178" max="7178" width="9.140625" style="2131"/>
    <col min="7179" max="7179" width="12.7109375" style="2131" bestFit="1" customWidth="1"/>
    <col min="7180" max="7180" width="13.140625" style="2131" customWidth="1"/>
    <col min="7181" max="7424" width="9.140625" style="2131"/>
    <col min="7425" max="7425" width="4.7109375" style="2131" customWidth="1"/>
    <col min="7426" max="7426" width="6.7109375" style="2131" customWidth="1"/>
    <col min="7427" max="7427" width="8.85546875" style="2131" customWidth="1"/>
    <col min="7428" max="7428" width="46.42578125" style="2131" customWidth="1"/>
    <col min="7429" max="7429" width="12.85546875" style="2131" customWidth="1"/>
    <col min="7430" max="7430" width="15.5703125" style="2131" customWidth="1"/>
    <col min="7431" max="7431" width="15.85546875" style="2131" customWidth="1"/>
    <col min="7432" max="7432" width="6.42578125" style="2131" customWidth="1"/>
    <col min="7433" max="7433" width="14.28515625" style="2131" bestFit="1" customWidth="1"/>
    <col min="7434" max="7434" width="9.140625" style="2131"/>
    <col min="7435" max="7435" width="12.7109375" style="2131" bestFit="1" customWidth="1"/>
    <col min="7436" max="7436" width="13.140625" style="2131" customWidth="1"/>
    <col min="7437" max="7680" width="9.140625" style="2131"/>
    <col min="7681" max="7681" width="4.7109375" style="2131" customWidth="1"/>
    <col min="7682" max="7682" width="6.7109375" style="2131" customWidth="1"/>
    <col min="7683" max="7683" width="8.85546875" style="2131" customWidth="1"/>
    <col min="7684" max="7684" width="46.42578125" style="2131" customWidth="1"/>
    <col min="7685" max="7685" width="12.85546875" style="2131" customWidth="1"/>
    <col min="7686" max="7686" width="15.5703125" style="2131" customWidth="1"/>
    <col min="7687" max="7687" width="15.85546875" style="2131" customWidth="1"/>
    <col min="7688" max="7688" width="6.42578125" style="2131" customWidth="1"/>
    <col min="7689" max="7689" width="14.28515625" style="2131" bestFit="1" customWidth="1"/>
    <col min="7690" max="7690" width="9.140625" style="2131"/>
    <col min="7691" max="7691" width="12.7109375" style="2131" bestFit="1" customWidth="1"/>
    <col min="7692" max="7692" width="13.140625" style="2131" customWidth="1"/>
    <col min="7693" max="7936" width="9.140625" style="2131"/>
    <col min="7937" max="7937" width="4.7109375" style="2131" customWidth="1"/>
    <col min="7938" max="7938" width="6.7109375" style="2131" customWidth="1"/>
    <col min="7939" max="7939" width="8.85546875" style="2131" customWidth="1"/>
    <col min="7940" max="7940" width="46.42578125" style="2131" customWidth="1"/>
    <col min="7941" max="7941" width="12.85546875" style="2131" customWidth="1"/>
    <col min="7942" max="7942" width="15.5703125" style="2131" customWidth="1"/>
    <col min="7943" max="7943" width="15.85546875" style="2131" customWidth="1"/>
    <col min="7944" max="7944" width="6.42578125" style="2131" customWidth="1"/>
    <col min="7945" max="7945" width="14.28515625" style="2131" bestFit="1" customWidth="1"/>
    <col min="7946" max="7946" width="9.140625" style="2131"/>
    <col min="7947" max="7947" width="12.7109375" style="2131" bestFit="1" customWidth="1"/>
    <col min="7948" max="7948" width="13.140625" style="2131" customWidth="1"/>
    <col min="7949" max="8192" width="9.140625" style="2131"/>
    <col min="8193" max="8193" width="4.7109375" style="2131" customWidth="1"/>
    <col min="8194" max="8194" width="6.7109375" style="2131" customWidth="1"/>
    <col min="8195" max="8195" width="8.85546875" style="2131" customWidth="1"/>
    <col min="8196" max="8196" width="46.42578125" style="2131" customWidth="1"/>
    <col min="8197" max="8197" width="12.85546875" style="2131" customWidth="1"/>
    <col min="8198" max="8198" width="15.5703125" style="2131" customWidth="1"/>
    <col min="8199" max="8199" width="15.85546875" style="2131" customWidth="1"/>
    <col min="8200" max="8200" width="6.42578125" style="2131" customWidth="1"/>
    <col min="8201" max="8201" width="14.28515625" style="2131" bestFit="1" customWidth="1"/>
    <col min="8202" max="8202" width="9.140625" style="2131"/>
    <col min="8203" max="8203" width="12.7109375" style="2131" bestFit="1" customWidth="1"/>
    <col min="8204" max="8204" width="13.140625" style="2131" customWidth="1"/>
    <col min="8205" max="8448" width="9.140625" style="2131"/>
    <col min="8449" max="8449" width="4.7109375" style="2131" customWidth="1"/>
    <col min="8450" max="8450" width="6.7109375" style="2131" customWidth="1"/>
    <col min="8451" max="8451" width="8.85546875" style="2131" customWidth="1"/>
    <col min="8452" max="8452" width="46.42578125" style="2131" customWidth="1"/>
    <col min="8453" max="8453" width="12.85546875" style="2131" customWidth="1"/>
    <col min="8454" max="8454" width="15.5703125" style="2131" customWidth="1"/>
    <col min="8455" max="8455" width="15.85546875" style="2131" customWidth="1"/>
    <col min="8456" max="8456" width="6.42578125" style="2131" customWidth="1"/>
    <col min="8457" max="8457" width="14.28515625" style="2131" bestFit="1" customWidth="1"/>
    <col min="8458" max="8458" width="9.140625" style="2131"/>
    <col min="8459" max="8459" width="12.7109375" style="2131" bestFit="1" customWidth="1"/>
    <col min="8460" max="8460" width="13.140625" style="2131" customWidth="1"/>
    <col min="8461" max="8704" width="9.140625" style="2131"/>
    <col min="8705" max="8705" width="4.7109375" style="2131" customWidth="1"/>
    <col min="8706" max="8706" width="6.7109375" style="2131" customWidth="1"/>
    <col min="8707" max="8707" width="8.85546875" style="2131" customWidth="1"/>
    <col min="8708" max="8708" width="46.42578125" style="2131" customWidth="1"/>
    <col min="8709" max="8709" width="12.85546875" style="2131" customWidth="1"/>
    <col min="8710" max="8710" width="15.5703125" style="2131" customWidth="1"/>
    <col min="8711" max="8711" width="15.85546875" style="2131" customWidth="1"/>
    <col min="8712" max="8712" width="6.42578125" style="2131" customWidth="1"/>
    <col min="8713" max="8713" width="14.28515625" style="2131" bestFit="1" customWidth="1"/>
    <col min="8714" max="8714" width="9.140625" style="2131"/>
    <col min="8715" max="8715" width="12.7109375" style="2131" bestFit="1" customWidth="1"/>
    <col min="8716" max="8716" width="13.140625" style="2131" customWidth="1"/>
    <col min="8717" max="8960" width="9.140625" style="2131"/>
    <col min="8961" max="8961" width="4.7109375" style="2131" customWidth="1"/>
    <col min="8962" max="8962" width="6.7109375" style="2131" customWidth="1"/>
    <col min="8963" max="8963" width="8.85546875" style="2131" customWidth="1"/>
    <col min="8964" max="8964" width="46.42578125" style="2131" customWidth="1"/>
    <col min="8965" max="8965" width="12.85546875" style="2131" customWidth="1"/>
    <col min="8966" max="8966" width="15.5703125" style="2131" customWidth="1"/>
    <col min="8967" max="8967" width="15.85546875" style="2131" customWidth="1"/>
    <col min="8968" max="8968" width="6.42578125" style="2131" customWidth="1"/>
    <col min="8969" max="8969" width="14.28515625" style="2131" bestFit="1" customWidth="1"/>
    <col min="8970" max="8970" width="9.140625" style="2131"/>
    <col min="8971" max="8971" width="12.7109375" style="2131" bestFit="1" customWidth="1"/>
    <col min="8972" max="8972" width="13.140625" style="2131" customWidth="1"/>
    <col min="8973" max="9216" width="9.140625" style="2131"/>
    <col min="9217" max="9217" width="4.7109375" style="2131" customWidth="1"/>
    <col min="9218" max="9218" width="6.7109375" style="2131" customWidth="1"/>
    <col min="9219" max="9219" width="8.85546875" style="2131" customWidth="1"/>
    <col min="9220" max="9220" width="46.42578125" style="2131" customWidth="1"/>
    <col min="9221" max="9221" width="12.85546875" style="2131" customWidth="1"/>
    <col min="9222" max="9222" width="15.5703125" style="2131" customWidth="1"/>
    <col min="9223" max="9223" width="15.85546875" style="2131" customWidth="1"/>
    <col min="9224" max="9224" width="6.42578125" style="2131" customWidth="1"/>
    <col min="9225" max="9225" width="14.28515625" style="2131" bestFit="1" customWidth="1"/>
    <col min="9226" max="9226" width="9.140625" style="2131"/>
    <col min="9227" max="9227" width="12.7109375" style="2131" bestFit="1" customWidth="1"/>
    <col min="9228" max="9228" width="13.140625" style="2131" customWidth="1"/>
    <col min="9229" max="9472" width="9.140625" style="2131"/>
    <col min="9473" max="9473" width="4.7109375" style="2131" customWidth="1"/>
    <col min="9474" max="9474" width="6.7109375" style="2131" customWidth="1"/>
    <col min="9475" max="9475" width="8.85546875" style="2131" customWidth="1"/>
    <col min="9476" max="9476" width="46.42578125" style="2131" customWidth="1"/>
    <col min="9477" max="9477" width="12.85546875" style="2131" customWidth="1"/>
    <col min="9478" max="9478" width="15.5703125" style="2131" customWidth="1"/>
    <col min="9479" max="9479" width="15.85546875" style="2131" customWidth="1"/>
    <col min="9480" max="9480" width="6.42578125" style="2131" customWidth="1"/>
    <col min="9481" max="9481" width="14.28515625" style="2131" bestFit="1" customWidth="1"/>
    <col min="9482" max="9482" width="9.140625" style="2131"/>
    <col min="9483" max="9483" width="12.7109375" style="2131" bestFit="1" customWidth="1"/>
    <col min="9484" max="9484" width="13.140625" style="2131" customWidth="1"/>
    <col min="9485" max="9728" width="9.140625" style="2131"/>
    <col min="9729" max="9729" width="4.7109375" style="2131" customWidth="1"/>
    <col min="9730" max="9730" width="6.7109375" style="2131" customWidth="1"/>
    <col min="9731" max="9731" width="8.85546875" style="2131" customWidth="1"/>
    <col min="9732" max="9732" width="46.42578125" style="2131" customWidth="1"/>
    <col min="9733" max="9733" width="12.85546875" style="2131" customWidth="1"/>
    <col min="9734" max="9734" width="15.5703125" style="2131" customWidth="1"/>
    <col min="9735" max="9735" width="15.85546875" style="2131" customWidth="1"/>
    <col min="9736" max="9736" width="6.42578125" style="2131" customWidth="1"/>
    <col min="9737" max="9737" width="14.28515625" style="2131" bestFit="1" customWidth="1"/>
    <col min="9738" max="9738" width="9.140625" style="2131"/>
    <col min="9739" max="9739" width="12.7109375" style="2131" bestFit="1" customWidth="1"/>
    <col min="9740" max="9740" width="13.140625" style="2131" customWidth="1"/>
    <col min="9741" max="9984" width="9.140625" style="2131"/>
    <col min="9985" max="9985" width="4.7109375" style="2131" customWidth="1"/>
    <col min="9986" max="9986" width="6.7109375" style="2131" customWidth="1"/>
    <col min="9987" max="9987" width="8.85546875" style="2131" customWidth="1"/>
    <col min="9988" max="9988" width="46.42578125" style="2131" customWidth="1"/>
    <col min="9989" max="9989" width="12.85546875" style="2131" customWidth="1"/>
    <col min="9990" max="9990" width="15.5703125" style="2131" customWidth="1"/>
    <col min="9991" max="9991" width="15.85546875" style="2131" customWidth="1"/>
    <col min="9992" max="9992" width="6.42578125" style="2131" customWidth="1"/>
    <col min="9993" max="9993" width="14.28515625" style="2131" bestFit="1" customWidth="1"/>
    <col min="9994" max="9994" width="9.140625" style="2131"/>
    <col min="9995" max="9995" width="12.7109375" style="2131" bestFit="1" customWidth="1"/>
    <col min="9996" max="9996" width="13.140625" style="2131" customWidth="1"/>
    <col min="9997" max="10240" width="9.140625" style="2131"/>
    <col min="10241" max="10241" width="4.7109375" style="2131" customWidth="1"/>
    <col min="10242" max="10242" width="6.7109375" style="2131" customWidth="1"/>
    <col min="10243" max="10243" width="8.85546875" style="2131" customWidth="1"/>
    <col min="10244" max="10244" width="46.42578125" style="2131" customWidth="1"/>
    <col min="10245" max="10245" width="12.85546875" style="2131" customWidth="1"/>
    <col min="10246" max="10246" width="15.5703125" style="2131" customWidth="1"/>
    <col min="10247" max="10247" width="15.85546875" style="2131" customWidth="1"/>
    <col min="10248" max="10248" width="6.42578125" style="2131" customWidth="1"/>
    <col min="10249" max="10249" width="14.28515625" style="2131" bestFit="1" customWidth="1"/>
    <col min="10250" max="10250" width="9.140625" style="2131"/>
    <col min="10251" max="10251" width="12.7109375" style="2131" bestFit="1" customWidth="1"/>
    <col min="10252" max="10252" width="13.140625" style="2131" customWidth="1"/>
    <col min="10253" max="10496" width="9.140625" style="2131"/>
    <col min="10497" max="10497" width="4.7109375" style="2131" customWidth="1"/>
    <col min="10498" max="10498" width="6.7109375" style="2131" customWidth="1"/>
    <col min="10499" max="10499" width="8.85546875" style="2131" customWidth="1"/>
    <col min="10500" max="10500" width="46.42578125" style="2131" customWidth="1"/>
    <col min="10501" max="10501" width="12.85546875" style="2131" customWidth="1"/>
    <col min="10502" max="10502" width="15.5703125" style="2131" customWidth="1"/>
    <col min="10503" max="10503" width="15.85546875" style="2131" customWidth="1"/>
    <col min="10504" max="10504" width="6.42578125" style="2131" customWidth="1"/>
    <col min="10505" max="10505" width="14.28515625" style="2131" bestFit="1" customWidth="1"/>
    <col min="10506" max="10506" width="9.140625" style="2131"/>
    <col min="10507" max="10507" width="12.7109375" style="2131" bestFit="1" customWidth="1"/>
    <col min="10508" max="10508" width="13.140625" style="2131" customWidth="1"/>
    <col min="10509" max="10752" width="9.140625" style="2131"/>
    <col min="10753" max="10753" width="4.7109375" style="2131" customWidth="1"/>
    <col min="10754" max="10754" width="6.7109375" style="2131" customWidth="1"/>
    <col min="10755" max="10755" width="8.85546875" style="2131" customWidth="1"/>
    <col min="10756" max="10756" width="46.42578125" style="2131" customWidth="1"/>
    <col min="10757" max="10757" width="12.85546875" style="2131" customWidth="1"/>
    <col min="10758" max="10758" width="15.5703125" style="2131" customWidth="1"/>
    <col min="10759" max="10759" width="15.85546875" style="2131" customWidth="1"/>
    <col min="10760" max="10760" width="6.42578125" style="2131" customWidth="1"/>
    <col min="10761" max="10761" width="14.28515625" style="2131" bestFit="1" customWidth="1"/>
    <col min="10762" max="10762" width="9.140625" style="2131"/>
    <col min="10763" max="10763" width="12.7109375" style="2131" bestFit="1" customWidth="1"/>
    <col min="10764" max="10764" width="13.140625" style="2131" customWidth="1"/>
    <col min="10765" max="11008" width="9.140625" style="2131"/>
    <col min="11009" max="11009" width="4.7109375" style="2131" customWidth="1"/>
    <col min="11010" max="11010" width="6.7109375" style="2131" customWidth="1"/>
    <col min="11011" max="11011" width="8.85546875" style="2131" customWidth="1"/>
    <col min="11012" max="11012" width="46.42578125" style="2131" customWidth="1"/>
    <col min="11013" max="11013" width="12.85546875" style="2131" customWidth="1"/>
    <col min="11014" max="11014" width="15.5703125" style="2131" customWidth="1"/>
    <col min="11015" max="11015" width="15.85546875" style="2131" customWidth="1"/>
    <col min="11016" max="11016" width="6.42578125" style="2131" customWidth="1"/>
    <col min="11017" max="11017" width="14.28515625" style="2131" bestFit="1" customWidth="1"/>
    <col min="11018" max="11018" width="9.140625" style="2131"/>
    <col min="11019" max="11019" width="12.7109375" style="2131" bestFit="1" customWidth="1"/>
    <col min="11020" max="11020" width="13.140625" style="2131" customWidth="1"/>
    <col min="11021" max="11264" width="9.140625" style="2131"/>
    <col min="11265" max="11265" width="4.7109375" style="2131" customWidth="1"/>
    <col min="11266" max="11266" width="6.7109375" style="2131" customWidth="1"/>
    <col min="11267" max="11267" width="8.85546875" style="2131" customWidth="1"/>
    <col min="11268" max="11268" width="46.42578125" style="2131" customWidth="1"/>
    <col min="11269" max="11269" width="12.85546875" style="2131" customWidth="1"/>
    <col min="11270" max="11270" width="15.5703125" style="2131" customWidth="1"/>
    <col min="11271" max="11271" width="15.85546875" style="2131" customWidth="1"/>
    <col min="11272" max="11272" width="6.42578125" style="2131" customWidth="1"/>
    <col min="11273" max="11273" width="14.28515625" style="2131" bestFit="1" customWidth="1"/>
    <col min="11274" max="11274" width="9.140625" style="2131"/>
    <col min="11275" max="11275" width="12.7109375" style="2131" bestFit="1" customWidth="1"/>
    <col min="11276" max="11276" width="13.140625" style="2131" customWidth="1"/>
    <col min="11277" max="11520" width="9.140625" style="2131"/>
    <col min="11521" max="11521" width="4.7109375" style="2131" customWidth="1"/>
    <col min="11522" max="11522" width="6.7109375" style="2131" customWidth="1"/>
    <col min="11523" max="11523" width="8.85546875" style="2131" customWidth="1"/>
    <col min="11524" max="11524" width="46.42578125" style="2131" customWidth="1"/>
    <col min="11525" max="11525" width="12.85546875" style="2131" customWidth="1"/>
    <col min="11526" max="11526" width="15.5703125" style="2131" customWidth="1"/>
    <col min="11527" max="11527" width="15.85546875" style="2131" customWidth="1"/>
    <col min="11528" max="11528" width="6.42578125" style="2131" customWidth="1"/>
    <col min="11529" max="11529" width="14.28515625" style="2131" bestFit="1" customWidth="1"/>
    <col min="11530" max="11530" width="9.140625" style="2131"/>
    <col min="11531" max="11531" width="12.7109375" style="2131" bestFit="1" customWidth="1"/>
    <col min="11532" max="11532" width="13.140625" style="2131" customWidth="1"/>
    <col min="11533" max="11776" width="9.140625" style="2131"/>
    <col min="11777" max="11777" width="4.7109375" style="2131" customWidth="1"/>
    <col min="11778" max="11778" width="6.7109375" style="2131" customWidth="1"/>
    <col min="11779" max="11779" width="8.85546875" style="2131" customWidth="1"/>
    <col min="11780" max="11780" width="46.42578125" style="2131" customWidth="1"/>
    <col min="11781" max="11781" width="12.85546875" style="2131" customWidth="1"/>
    <col min="11782" max="11782" width="15.5703125" style="2131" customWidth="1"/>
    <col min="11783" max="11783" width="15.85546875" style="2131" customWidth="1"/>
    <col min="11784" max="11784" width="6.42578125" style="2131" customWidth="1"/>
    <col min="11785" max="11785" width="14.28515625" style="2131" bestFit="1" customWidth="1"/>
    <col min="11786" max="11786" width="9.140625" style="2131"/>
    <col min="11787" max="11787" width="12.7109375" style="2131" bestFit="1" customWidth="1"/>
    <col min="11788" max="11788" width="13.140625" style="2131" customWidth="1"/>
    <col min="11789" max="12032" width="9.140625" style="2131"/>
    <col min="12033" max="12033" width="4.7109375" style="2131" customWidth="1"/>
    <col min="12034" max="12034" width="6.7109375" style="2131" customWidth="1"/>
    <col min="12035" max="12035" width="8.85546875" style="2131" customWidth="1"/>
    <col min="12036" max="12036" width="46.42578125" style="2131" customWidth="1"/>
    <col min="12037" max="12037" width="12.85546875" style="2131" customWidth="1"/>
    <col min="12038" max="12038" width="15.5703125" style="2131" customWidth="1"/>
    <col min="12039" max="12039" width="15.85546875" style="2131" customWidth="1"/>
    <col min="12040" max="12040" width="6.42578125" style="2131" customWidth="1"/>
    <col min="12041" max="12041" width="14.28515625" style="2131" bestFit="1" customWidth="1"/>
    <col min="12042" max="12042" width="9.140625" style="2131"/>
    <col min="12043" max="12043" width="12.7109375" style="2131" bestFit="1" customWidth="1"/>
    <col min="12044" max="12044" width="13.140625" style="2131" customWidth="1"/>
    <col min="12045" max="12288" width="9.140625" style="2131"/>
    <col min="12289" max="12289" width="4.7109375" style="2131" customWidth="1"/>
    <col min="12290" max="12290" width="6.7109375" style="2131" customWidth="1"/>
    <col min="12291" max="12291" width="8.85546875" style="2131" customWidth="1"/>
    <col min="12292" max="12292" width="46.42578125" style="2131" customWidth="1"/>
    <col min="12293" max="12293" width="12.85546875" style="2131" customWidth="1"/>
    <col min="12294" max="12294" width="15.5703125" style="2131" customWidth="1"/>
    <col min="12295" max="12295" width="15.85546875" style="2131" customWidth="1"/>
    <col min="12296" max="12296" width="6.42578125" style="2131" customWidth="1"/>
    <col min="12297" max="12297" width="14.28515625" style="2131" bestFit="1" customWidth="1"/>
    <col min="12298" max="12298" width="9.140625" style="2131"/>
    <col min="12299" max="12299" width="12.7109375" style="2131" bestFit="1" customWidth="1"/>
    <col min="12300" max="12300" width="13.140625" style="2131" customWidth="1"/>
    <col min="12301" max="12544" width="9.140625" style="2131"/>
    <col min="12545" max="12545" width="4.7109375" style="2131" customWidth="1"/>
    <col min="12546" max="12546" width="6.7109375" style="2131" customWidth="1"/>
    <col min="12547" max="12547" width="8.85546875" style="2131" customWidth="1"/>
    <col min="12548" max="12548" width="46.42578125" style="2131" customWidth="1"/>
    <col min="12549" max="12549" width="12.85546875" style="2131" customWidth="1"/>
    <col min="12550" max="12550" width="15.5703125" style="2131" customWidth="1"/>
    <col min="12551" max="12551" width="15.85546875" style="2131" customWidth="1"/>
    <col min="12552" max="12552" width="6.42578125" style="2131" customWidth="1"/>
    <col min="12553" max="12553" width="14.28515625" style="2131" bestFit="1" customWidth="1"/>
    <col min="12554" max="12554" width="9.140625" style="2131"/>
    <col min="12555" max="12555" width="12.7109375" style="2131" bestFit="1" customWidth="1"/>
    <col min="12556" max="12556" width="13.140625" style="2131" customWidth="1"/>
    <col min="12557" max="12800" width="9.140625" style="2131"/>
    <col min="12801" max="12801" width="4.7109375" style="2131" customWidth="1"/>
    <col min="12802" max="12802" width="6.7109375" style="2131" customWidth="1"/>
    <col min="12803" max="12803" width="8.85546875" style="2131" customWidth="1"/>
    <col min="12804" max="12804" width="46.42578125" style="2131" customWidth="1"/>
    <col min="12805" max="12805" width="12.85546875" style="2131" customWidth="1"/>
    <col min="12806" max="12806" width="15.5703125" style="2131" customWidth="1"/>
    <col min="12807" max="12807" width="15.85546875" style="2131" customWidth="1"/>
    <col min="12808" max="12808" width="6.42578125" style="2131" customWidth="1"/>
    <col min="12809" max="12809" width="14.28515625" style="2131" bestFit="1" customWidth="1"/>
    <col min="12810" max="12810" width="9.140625" style="2131"/>
    <col min="12811" max="12811" width="12.7109375" style="2131" bestFit="1" customWidth="1"/>
    <col min="12812" max="12812" width="13.140625" style="2131" customWidth="1"/>
    <col min="12813" max="13056" width="9.140625" style="2131"/>
    <col min="13057" max="13057" width="4.7109375" style="2131" customWidth="1"/>
    <col min="13058" max="13058" width="6.7109375" style="2131" customWidth="1"/>
    <col min="13059" max="13059" width="8.85546875" style="2131" customWidth="1"/>
    <col min="13060" max="13060" width="46.42578125" style="2131" customWidth="1"/>
    <col min="13061" max="13061" width="12.85546875" style="2131" customWidth="1"/>
    <col min="13062" max="13062" width="15.5703125" style="2131" customWidth="1"/>
    <col min="13063" max="13063" width="15.85546875" style="2131" customWidth="1"/>
    <col min="13064" max="13064" width="6.42578125" style="2131" customWidth="1"/>
    <col min="13065" max="13065" width="14.28515625" style="2131" bestFit="1" customWidth="1"/>
    <col min="13066" max="13066" width="9.140625" style="2131"/>
    <col min="13067" max="13067" width="12.7109375" style="2131" bestFit="1" customWidth="1"/>
    <col min="13068" max="13068" width="13.140625" style="2131" customWidth="1"/>
    <col min="13069" max="13312" width="9.140625" style="2131"/>
    <col min="13313" max="13313" width="4.7109375" style="2131" customWidth="1"/>
    <col min="13314" max="13314" width="6.7109375" style="2131" customWidth="1"/>
    <col min="13315" max="13315" width="8.85546875" style="2131" customWidth="1"/>
    <col min="13316" max="13316" width="46.42578125" style="2131" customWidth="1"/>
    <col min="13317" max="13317" width="12.85546875" style="2131" customWidth="1"/>
    <col min="13318" max="13318" width="15.5703125" style="2131" customWidth="1"/>
    <col min="13319" max="13319" width="15.85546875" style="2131" customWidth="1"/>
    <col min="13320" max="13320" width="6.42578125" style="2131" customWidth="1"/>
    <col min="13321" max="13321" width="14.28515625" style="2131" bestFit="1" customWidth="1"/>
    <col min="13322" max="13322" width="9.140625" style="2131"/>
    <col min="13323" max="13323" width="12.7109375" style="2131" bestFit="1" customWidth="1"/>
    <col min="13324" max="13324" width="13.140625" style="2131" customWidth="1"/>
    <col min="13325" max="13568" width="9.140625" style="2131"/>
    <col min="13569" max="13569" width="4.7109375" style="2131" customWidth="1"/>
    <col min="13570" max="13570" width="6.7109375" style="2131" customWidth="1"/>
    <col min="13571" max="13571" width="8.85546875" style="2131" customWidth="1"/>
    <col min="13572" max="13572" width="46.42578125" style="2131" customWidth="1"/>
    <col min="13573" max="13573" width="12.85546875" style="2131" customWidth="1"/>
    <col min="13574" max="13574" width="15.5703125" style="2131" customWidth="1"/>
    <col min="13575" max="13575" width="15.85546875" style="2131" customWidth="1"/>
    <col min="13576" max="13576" width="6.42578125" style="2131" customWidth="1"/>
    <col min="13577" max="13577" width="14.28515625" style="2131" bestFit="1" customWidth="1"/>
    <col min="13578" max="13578" width="9.140625" style="2131"/>
    <col min="13579" max="13579" width="12.7109375" style="2131" bestFit="1" customWidth="1"/>
    <col min="13580" max="13580" width="13.140625" style="2131" customWidth="1"/>
    <col min="13581" max="13824" width="9.140625" style="2131"/>
    <col min="13825" max="13825" width="4.7109375" style="2131" customWidth="1"/>
    <col min="13826" max="13826" width="6.7109375" style="2131" customWidth="1"/>
    <col min="13827" max="13827" width="8.85546875" style="2131" customWidth="1"/>
    <col min="13828" max="13828" width="46.42578125" style="2131" customWidth="1"/>
    <col min="13829" max="13829" width="12.85546875" style="2131" customWidth="1"/>
    <col min="13830" max="13830" width="15.5703125" style="2131" customWidth="1"/>
    <col min="13831" max="13831" width="15.85546875" style="2131" customWidth="1"/>
    <col min="13832" max="13832" width="6.42578125" style="2131" customWidth="1"/>
    <col min="13833" max="13833" width="14.28515625" style="2131" bestFit="1" customWidth="1"/>
    <col min="13834" max="13834" width="9.140625" style="2131"/>
    <col min="13835" max="13835" width="12.7109375" style="2131" bestFit="1" customWidth="1"/>
    <col min="13836" max="13836" width="13.140625" style="2131" customWidth="1"/>
    <col min="13837" max="14080" width="9.140625" style="2131"/>
    <col min="14081" max="14081" width="4.7109375" style="2131" customWidth="1"/>
    <col min="14082" max="14082" width="6.7109375" style="2131" customWidth="1"/>
    <col min="14083" max="14083" width="8.85546875" style="2131" customWidth="1"/>
    <col min="14084" max="14084" width="46.42578125" style="2131" customWidth="1"/>
    <col min="14085" max="14085" width="12.85546875" style="2131" customWidth="1"/>
    <col min="14086" max="14086" width="15.5703125" style="2131" customWidth="1"/>
    <col min="14087" max="14087" width="15.85546875" style="2131" customWidth="1"/>
    <col min="14088" max="14088" width="6.42578125" style="2131" customWidth="1"/>
    <col min="14089" max="14089" width="14.28515625" style="2131" bestFit="1" customWidth="1"/>
    <col min="14090" max="14090" width="9.140625" style="2131"/>
    <col min="14091" max="14091" width="12.7109375" style="2131" bestFit="1" customWidth="1"/>
    <col min="14092" max="14092" width="13.140625" style="2131" customWidth="1"/>
    <col min="14093" max="14336" width="9.140625" style="2131"/>
    <col min="14337" max="14337" width="4.7109375" style="2131" customWidth="1"/>
    <col min="14338" max="14338" width="6.7109375" style="2131" customWidth="1"/>
    <col min="14339" max="14339" width="8.85546875" style="2131" customWidth="1"/>
    <col min="14340" max="14340" width="46.42578125" style="2131" customWidth="1"/>
    <col min="14341" max="14341" width="12.85546875" style="2131" customWidth="1"/>
    <col min="14342" max="14342" width="15.5703125" style="2131" customWidth="1"/>
    <col min="14343" max="14343" width="15.85546875" style="2131" customWidth="1"/>
    <col min="14344" max="14344" width="6.42578125" style="2131" customWidth="1"/>
    <col min="14345" max="14345" width="14.28515625" style="2131" bestFit="1" customWidth="1"/>
    <col min="14346" max="14346" width="9.140625" style="2131"/>
    <col min="14347" max="14347" width="12.7109375" style="2131" bestFit="1" customWidth="1"/>
    <col min="14348" max="14348" width="13.140625" style="2131" customWidth="1"/>
    <col min="14349" max="14592" width="9.140625" style="2131"/>
    <col min="14593" max="14593" width="4.7109375" style="2131" customWidth="1"/>
    <col min="14594" max="14594" width="6.7109375" style="2131" customWidth="1"/>
    <col min="14595" max="14595" width="8.85546875" style="2131" customWidth="1"/>
    <col min="14596" max="14596" width="46.42578125" style="2131" customWidth="1"/>
    <col min="14597" max="14597" width="12.85546875" style="2131" customWidth="1"/>
    <col min="14598" max="14598" width="15.5703125" style="2131" customWidth="1"/>
    <col min="14599" max="14599" width="15.85546875" style="2131" customWidth="1"/>
    <col min="14600" max="14600" width="6.42578125" style="2131" customWidth="1"/>
    <col min="14601" max="14601" width="14.28515625" style="2131" bestFit="1" customWidth="1"/>
    <col min="14602" max="14602" width="9.140625" style="2131"/>
    <col min="14603" max="14603" width="12.7109375" style="2131" bestFit="1" customWidth="1"/>
    <col min="14604" max="14604" width="13.140625" style="2131" customWidth="1"/>
    <col min="14605" max="14848" width="9.140625" style="2131"/>
    <col min="14849" max="14849" width="4.7109375" style="2131" customWidth="1"/>
    <col min="14850" max="14850" width="6.7109375" style="2131" customWidth="1"/>
    <col min="14851" max="14851" width="8.85546875" style="2131" customWidth="1"/>
    <col min="14852" max="14852" width="46.42578125" style="2131" customWidth="1"/>
    <col min="14853" max="14853" width="12.85546875" style="2131" customWidth="1"/>
    <col min="14854" max="14854" width="15.5703125" style="2131" customWidth="1"/>
    <col min="14855" max="14855" width="15.85546875" style="2131" customWidth="1"/>
    <col min="14856" max="14856" width="6.42578125" style="2131" customWidth="1"/>
    <col min="14857" max="14857" width="14.28515625" style="2131" bestFit="1" customWidth="1"/>
    <col min="14858" max="14858" width="9.140625" style="2131"/>
    <col min="14859" max="14859" width="12.7109375" style="2131" bestFit="1" customWidth="1"/>
    <col min="14860" max="14860" width="13.140625" style="2131" customWidth="1"/>
    <col min="14861" max="15104" width="9.140625" style="2131"/>
    <col min="15105" max="15105" width="4.7109375" style="2131" customWidth="1"/>
    <col min="15106" max="15106" width="6.7109375" style="2131" customWidth="1"/>
    <col min="15107" max="15107" width="8.85546875" style="2131" customWidth="1"/>
    <col min="15108" max="15108" width="46.42578125" style="2131" customWidth="1"/>
    <col min="15109" max="15109" width="12.85546875" style="2131" customWidth="1"/>
    <col min="15110" max="15110" width="15.5703125" style="2131" customWidth="1"/>
    <col min="15111" max="15111" width="15.85546875" style="2131" customWidth="1"/>
    <col min="15112" max="15112" width="6.42578125" style="2131" customWidth="1"/>
    <col min="15113" max="15113" width="14.28515625" style="2131" bestFit="1" customWidth="1"/>
    <col min="15114" max="15114" width="9.140625" style="2131"/>
    <col min="15115" max="15115" width="12.7109375" style="2131" bestFit="1" customWidth="1"/>
    <col min="15116" max="15116" width="13.140625" style="2131" customWidth="1"/>
    <col min="15117" max="15360" width="9.140625" style="2131"/>
    <col min="15361" max="15361" width="4.7109375" style="2131" customWidth="1"/>
    <col min="15362" max="15362" width="6.7109375" style="2131" customWidth="1"/>
    <col min="15363" max="15363" width="8.85546875" style="2131" customWidth="1"/>
    <col min="15364" max="15364" width="46.42578125" style="2131" customWidth="1"/>
    <col min="15365" max="15365" width="12.85546875" style="2131" customWidth="1"/>
    <col min="15366" max="15366" width="15.5703125" style="2131" customWidth="1"/>
    <col min="15367" max="15367" width="15.85546875" style="2131" customWidth="1"/>
    <col min="15368" max="15368" width="6.42578125" style="2131" customWidth="1"/>
    <col min="15369" max="15369" width="14.28515625" style="2131" bestFit="1" customWidth="1"/>
    <col min="15370" max="15370" width="9.140625" style="2131"/>
    <col min="15371" max="15371" width="12.7109375" style="2131" bestFit="1" customWidth="1"/>
    <col min="15372" max="15372" width="13.140625" style="2131" customWidth="1"/>
    <col min="15373" max="15616" width="9.140625" style="2131"/>
    <col min="15617" max="15617" width="4.7109375" style="2131" customWidth="1"/>
    <col min="15618" max="15618" width="6.7109375" style="2131" customWidth="1"/>
    <col min="15619" max="15619" width="8.85546875" style="2131" customWidth="1"/>
    <col min="15620" max="15620" width="46.42578125" style="2131" customWidth="1"/>
    <col min="15621" max="15621" width="12.85546875" style="2131" customWidth="1"/>
    <col min="15622" max="15622" width="15.5703125" style="2131" customWidth="1"/>
    <col min="15623" max="15623" width="15.85546875" style="2131" customWidth="1"/>
    <col min="15624" max="15624" width="6.42578125" style="2131" customWidth="1"/>
    <col min="15625" max="15625" width="14.28515625" style="2131" bestFit="1" customWidth="1"/>
    <col min="15626" max="15626" width="9.140625" style="2131"/>
    <col min="15627" max="15627" width="12.7109375" style="2131" bestFit="1" customWidth="1"/>
    <col min="15628" max="15628" width="13.140625" style="2131" customWidth="1"/>
    <col min="15629" max="15872" width="9.140625" style="2131"/>
    <col min="15873" max="15873" width="4.7109375" style="2131" customWidth="1"/>
    <col min="15874" max="15874" width="6.7109375" style="2131" customWidth="1"/>
    <col min="15875" max="15875" width="8.85546875" style="2131" customWidth="1"/>
    <col min="15876" max="15876" width="46.42578125" style="2131" customWidth="1"/>
    <col min="15877" max="15877" width="12.85546875" style="2131" customWidth="1"/>
    <col min="15878" max="15878" width="15.5703125" style="2131" customWidth="1"/>
    <col min="15879" max="15879" width="15.85546875" style="2131" customWidth="1"/>
    <col min="15880" max="15880" width="6.42578125" style="2131" customWidth="1"/>
    <col min="15881" max="15881" width="14.28515625" style="2131" bestFit="1" customWidth="1"/>
    <col min="15882" max="15882" width="9.140625" style="2131"/>
    <col min="15883" max="15883" width="12.7109375" style="2131" bestFit="1" customWidth="1"/>
    <col min="15884" max="15884" width="13.140625" style="2131" customWidth="1"/>
    <col min="15885" max="16128" width="9.140625" style="2131"/>
    <col min="16129" max="16129" width="4.7109375" style="2131" customWidth="1"/>
    <col min="16130" max="16130" width="6.7109375" style="2131" customWidth="1"/>
    <col min="16131" max="16131" width="8.85546875" style="2131" customWidth="1"/>
    <col min="16132" max="16132" width="46.42578125" style="2131" customWidth="1"/>
    <col min="16133" max="16133" width="12.85546875" style="2131" customWidth="1"/>
    <col min="16134" max="16134" width="15.5703125" style="2131" customWidth="1"/>
    <col min="16135" max="16135" width="15.85546875" style="2131" customWidth="1"/>
    <col min="16136" max="16136" width="6.42578125" style="2131" customWidth="1"/>
    <col min="16137" max="16137" width="14.28515625" style="2131" bestFit="1" customWidth="1"/>
    <col min="16138" max="16138" width="9.140625" style="2131"/>
    <col min="16139" max="16139" width="12.7109375" style="2131" bestFit="1" customWidth="1"/>
    <col min="16140" max="16140" width="13.140625" style="2131" customWidth="1"/>
    <col min="16141" max="16384" width="9.140625" style="2131"/>
  </cols>
  <sheetData>
    <row r="1" spans="1:8" ht="19.5" customHeight="1" thickBot="1" x14ac:dyDescent="0.3">
      <c r="A1" s="1944" t="s">
        <v>1614</v>
      </c>
      <c r="B1" s="1943"/>
      <c r="C1" s="2126"/>
      <c r="D1" s="1941"/>
      <c r="E1" s="1940"/>
      <c r="F1" s="1941"/>
      <c r="G1" s="2250"/>
      <c r="H1" s="1944"/>
    </row>
    <row r="2" spans="1:8" ht="18" x14ac:dyDescent="0.25">
      <c r="A2" s="2135"/>
      <c r="B2" s="2168"/>
      <c r="C2" s="2168"/>
      <c r="D2" s="2168"/>
      <c r="E2" s="2168"/>
      <c r="F2" s="2168"/>
      <c r="G2" s="2168"/>
      <c r="H2" s="2222" t="s">
        <v>1613</v>
      </c>
    </row>
    <row r="3" spans="1:8" ht="18" x14ac:dyDescent="0.25">
      <c r="A3" s="1939" t="s">
        <v>404</v>
      </c>
      <c r="B3" s="2168"/>
      <c r="C3" s="1970" t="s">
        <v>1736</v>
      </c>
      <c r="D3" s="2168"/>
      <c r="E3" s="2168"/>
      <c r="F3" s="2168"/>
      <c r="G3" s="2168"/>
      <c r="H3" s="2222"/>
    </row>
    <row r="4" spans="1:8" ht="18" x14ac:dyDescent="0.25">
      <c r="A4" s="2135"/>
      <c r="B4" s="2168"/>
      <c r="C4" s="1969" t="s">
        <v>1735</v>
      </c>
      <c r="D4" s="2168"/>
      <c r="E4" s="2168"/>
      <c r="F4" s="2168"/>
      <c r="G4" s="2168"/>
      <c r="H4" s="2222"/>
    </row>
    <row r="5" spans="1:8" ht="18" x14ac:dyDescent="0.25">
      <c r="A5" s="2134" t="s">
        <v>1612</v>
      </c>
      <c r="B5" s="2168"/>
      <c r="C5" s="2168"/>
      <c r="D5" s="2168"/>
      <c r="E5" s="2168"/>
      <c r="F5" s="2168"/>
      <c r="G5" s="2168"/>
      <c r="H5" s="2222"/>
    </row>
    <row r="6" spans="1:8" ht="18" x14ac:dyDescent="0.25">
      <c r="A6" s="2134"/>
      <c r="B6" s="2168"/>
      <c r="C6" s="2168"/>
      <c r="D6" s="2168"/>
      <c r="E6" s="2168"/>
      <c r="F6" s="2168"/>
      <c r="G6" s="2168"/>
      <c r="H6" s="2222"/>
    </row>
    <row r="7" spans="1:8" ht="18" x14ac:dyDescent="0.25">
      <c r="A7" s="2134"/>
      <c r="B7" s="2168"/>
      <c r="C7" s="2168"/>
      <c r="D7" s="2168"/>
      <c r="E7" s="2168"/>
      <c r="F7" s="2168"/>
      <c r="G7" s="2168"/>
      <c r="H7" s="2222"/>
    </row>
    <row r="8" spans="1:8" ht="15" x14ac:dyDescent="0.25">
      <c r="A8" s="2332" t="s">
        <v>1610</v>
      </c>
      <c r="B8" s="2198"/>
      <c r="C8" s="2198"/>
      <c r="D8" s="2198"/>
    </row>
    <row r="9" spans="1:8" ht="15.75" thickBot="1" x14ac:dyDescent="0.3">
      <c r="A9" s="2333" t="s">
        <v>1611</v>
      </c>
      <c r="B9" s="2335"/>
      <c r="C9" s="2335"/>
      <c r="H9" s="2240" t="s">
        <v>179</v>
      </c>
    </row>
    <row r="10" spans="1:8" s="1849" customFormat="1" ht="25.5" thickTop="1" thickBot="1" x14ac:dyDescent="0.25">
      <c r="A10" s="2138" t="s">
        <v>180</v>
      </c>
      <c r="B10" s="2139" t="s">
        <v>847</v>
      </c>
      <c r="C10" s="2139" t="s">
        <v>414</v>
      </c>
      <c r="D10" s="2140" t="s">
        <v>182</v>
      </c>
      <c r="E10" s="2171" t="s">
        <v>700</v>
      </c>
      <c r="F10" s="2171" t="s">
        <v>701</v>
      </c>
      <c r="G10" s="2172" t="s">
        <v>986</v>
      </c>
      <c r="H10" s="2173" t="s">
        <v>987</v>
      </c>
    </row>
    <row r="11" spans="1:8" s="1849" customFormat="1" ht="13.5" thickTop="1" thickBot="1" x14ac:dyDescent="0.25">
      <c r="A11" s="1854">
        <v>1</v>
      </c>
      <c r="B11" s="1853">
        <v>2</v>
      </c>
      <c r="C11" s="1853">
        <v>3</v>
      </c>
      <c r="D11" s="1853">
        <v>4</v>
      </c>
      <c r="E11" s="1852">
        <v>5</v>
      </c>
      <c r="F11" s="1852">
        <v>6</v>
      </c>
      <c r="G11" s="2223">
        <v>7</v>
      </c>
      <c r="H11" s="2251" t="s">
        <v>61</v>
      </c>
    </row>
    <row r="12" spans="1:8" s="2259" customFormat="1" ht="15.75" hidden="1" thickTop="1" x14ac:dyDescent="0.2">
      <c r="A12" s="2246">
        <v>3636</v>
      </c>
      <c r="B12" s="2253">
        <v>5011</v>
      </c>
      <c r="C12" s="2254">
        <v>38100880</v>
      </c>
      <c r="D12" s="2174" t="s">
        <v>225</v>
      </c>
      <c r="E12" s="2184"/>
      <c r="F12" s="2184"/>
      <c r="G12" s="2184"/>
      <c r="H12" s="2156" t="e">
        <f>G12/F12*100</f>
        <v>#DIV/0!</v>
      </c>
    </row>
    <row r="13" spans="1:8" s="2259" customFormat="1" ht="15.75" hidden="1" thickTop="1" x14ac:dyDescent="0.2">
      <c r="A13" s="2246">
        <v>3636</v>
      </c>
      <c r="B13" s="2253">
        <v>5011</v>
      </c>
      <c r="C13" s="2254">
        <v>38100882</v>
      </c>
      <c r="D13" s="2174" t="s">
        <v>225</v>
      </c>
      <c r="E13" s="2184"/>
      <c r="F13" s="2184"/>
      <c r="G13" s="2184"/>
      <c r="H13" s="2156">
        <v>0</v>
      </c>
    </row>
    <row r="14" spans="1:8" s="2259" customFormat="1" ht="15.75" hidden="1" thickTop="1" x14ac:dyDescent="0.2">
      <c r="A14" s="2246">
        <v>3636</v>
      </c>
      <c r="B14" s="2253">
        <v>5011</v>
      </c>
      <c r="C14" s="2254">
        <v>38500881</v>
      </c>
      <c r="D14" s="2174" t="s">
        <v>225</v>
      </c>
      <c r="E14" s="2184"/>
      <c r="F14" s="2184"/>
      <c r="G14" s="2184"/>
      <c r="H14" s="2156" t="e">
        <f>G14/F14*100</f>
        <v>#DIV/0!</v>
      </c>
    </row>
    <row r="15" spans="1:8" s="2259" customFormat="1" ht="15.75" thickTop="1" x14ac:dyDescent="0.2">
      <c r="A15" s="2246">
        <v>3636</v>
      </c>
      <c r="B15" s="2253">
        <v>5021</v>
      </c>
      <c r="C15" s="2254">
        <v>38100880</v>
      </c>
      <c r="D15" s="2174" t="s">
        <v>427</v>
      </c>
      <c r="E15" s="2184">
        <v>0</v>
      </c>
      <c r="F15" s="2184">
        <v>20</v>
      </c>
      <c r="G15" s="2184">
        <v>20</v>
      </c>
      <c r="H15" s="2156">
        <f>G15/F15*100</f>
        <v>100</v>
      </c>
    </row>
    <row r="16" spans="1:8" s="2259" customFormat="1" ht="15" hidden="1" x14ac:dyDescent="0.2">
      <c r="A16" s="2246">
        <v>3636</v>
      </c>
      <c r="B16" s="2253">
        <v>5021</v>
      </c>
      <c r="C16" s="2254">
        <v>38100882</v>
      </c>
      <c r="D16" s="2174" t="s">
        <v>427</v>
      </c>
      <c r="E16" s="2184"/>
      <c r="F16" s="2184"/>
      <c r="G16" s="2184"/>
      <c r="H16" s="2156">
        <v>0</v>
      </c>
    </row>
    <row r="17" spans="1:8" s="2259" customFormat="1" ht="15" x14ac:dyDescent="0.2">
      <c r="A17" s="2246">
        <v>3636</v>
      </c>
      <c r="B17" s="2253">
        <v>5021</v>
      </c>
      <c r="C17" s="2254">
        <v>38500881</v>
      </c>
      <c r="D17" s="2174" t="s">
        <v>427</v>
      </c>
      <c r="E17" s="2184">
        <v>0</v>
      </c>
      <c r="F17" s="2184">
        <v>59</v>
      </c>
      <c r="G17" s="2184">
        <v>59</v>
      </c>
      <c r="H17" s="2156">
        <f>G17/F17*100</f>
        <v>100</v>
      </c>
    </row>
    <row r="18" spans="1:8" s="2259" customFormat="1" ht="30" hidden="1" x14ac:dyDescent="0.2">
      <c r="A18" s="2246">
        <v>3636</v>
      </c>
      <c r="B18" s="2253">
        <v>5031</v>
      </c>
      <c r="C18" s="2254">
        <v>38100880</v>
      </c>
      <c r="D18" s="2174" t="s">
        <v>1459</v>
      </c>
      <c r="E18" s="2184"/>
      <c r="F18" s="2184"/>
      <c r="G18" s="2184"/>
      <c r="H18" s="2156" t="e">
        <f>G18/F18*100</f>
        <v>#DIV/0!</v>
      </c>
    </row>
    <row r="19" spans="1:8" s="2259" customFormat="1" ht="30" hidden="1" x14ac:dyDescent="0.2">
      <c r="A19" s="2246">
        <v>3636</v>
      </c>
      <c r="B19" s="2253">
        <v>5031</v>
      </c>
      <c r="C19" s="2254">
        <v>38100882</v>
      </c>
      <c r="D19" s="2174" t="s">
        <v>1459</v>
      </c>
      <c r="E19" s="2184"/>
      <c r="F19" s="2184"/>
      <c r="G19" s="2184"/>
      <c r="H19" s="2156">
        <v>0</v>
      </c>
    </row>
    <row r="20" spans="1:8" s="2259" customFormat="1" ht="30" hidden="1" x14ac:dyDescent="0.2">
      <c r="A20" s="2246">
        <v>3636</v>
      </c>
      <c r="B20" s="2253">
        <v>5031</v>
      </c>
      <c r="C20" s="2254">
        <v>38500881</v>
      </c>
      <c r="D20" s="2174" t="s">
        <v>1459</v>
      </c>
      <c r="E20" s="2184"/>
      <c r="F20" s="2184"/>
      <c r="G20" s="2184"/>
      <c r="H20" s="2156" t="e">
        <f>G20/F20*100</f>
        <v>#DIV/0!</v>
      </c>
    </row>
    <row r="21" spans="1:8" s="2259" customFormat="1" ht="30" hidden="1" x14ac:dyDescent="0.2">
      <c r="A21" s="2246">
        <v>3636</v>
      </c>
      <c r="B21" s="2253">
        <v>5032</v>
      </c>
      <c r="C21" s="2254">
        <v>38100880</v>
      </c>
      <c r="D21" s="2174" t="s">
        <v>1322</v>
      </c>
      <c r="E21" s="2184"/>
      <c r="F21" s="2184"/>
      <c r="G21" s="2184"/>
      <c r="H21" s="2156" t="e">
        <f>G21/F21*100</f>
        <v>#DIV/0!</v>
      </c>
    </row>
    <row r="22" spans="1:8" s="2259" customFormat="1" ht="30" hidden="1" x14ac:dyDescent="0.2">
      <c r="A22" s="2246">
        <v>3636</v>
      </c>
      <c r="B22" s="2253">
        <v>5032</v>
      </c>
      <c r="C22" s="2254">
        <v>38100882</v>
      </c>
      <c r="D22" s="2174" t="s">
        <v>1322</v>
      </c>
      <c r="E22" s="2184"/>
      <c r="F22" s="2184"/>
      <c r="G22" s="2184"/>
      <c r="H22" s="2156">
        <v>0</v>
      </c>
    </row>
    <row r="23" spans="1:8" s="2259" customFormat="1" ht="30" hidden="1" x14ac:dyDescent="0.2">
      <c r="A23" s="2246">
        <v>3636</v>
      </c>
      <c r="B23" s="2253">
        <v>5032</v>
      </c>
      <c r="C23" s="2254">
        <v>38500881</v>
      </c>
      <c r="D23" s="2174" t="s">
        <v>1322</v>
      </c>
      <c r="E23" s="2184"/>
      <c r="F23" s="2184"/>
      <c r="G23" s="2184"/>
      <c r="H23" s="2156" t="e">
        <f>G23/F23*100</f>
        <v>#DIV/0!</v>
      </c>
    </row>
    <row r="24" spans="1:8" s="2259" customFormat="1" ht="15" hidden="1" x14ac:dyDescent="0.2">
      <c r="A24" s="2246">
        <v>3636</v>
      </c>
      <c r="B24" s="2253">
        <v>5136</v>
      </c>
      <c r="C24" s="2254">
        <v>38100880</v>
      </c>
      <c r="D24" s="2174" t="s">
        <v>676</v>
      </c>
      <c r="E24" s="2184"/>
      <c r="F24" s="2184"/>
      <c r="G24" s="2184"/>
      <c r="H24" s="2156" t="e">
        <f>G24/F24*100</f>
        <v>#DIV/0!</v>
      </c>
    </row>
    <row r="25" spans="1:8" s="2259" customFormat="1" ht="15" hidden="1" x14ac:dyDescent="0.2">
      <c r="A25" s="2246">
        <v>3636</v>
      </c>
      <c r="B25" s="2253">
        <v>5136</v>
      </c>
      <c r="C25" s="2254">
        <v>38500881</v>
      </c>
      <c r="D25" s="2174" t="s">
        <v>676</v>
      </c>
      <c r="E25" s="2184"/>
      <c r="F25" s="2184"/>
      <c r="G25" s="2184"/>
      <c r="H25" s="2156" t="e">
        <f>G25/F25*100</f>
        <v>#DIV/0!</v>
      </c>
    </row>
    <row r="26" spans="1:8" s="2259" customFormat="1" ht="15" hidden="1" x14ac:dyDescent="0.2">
      <c r="A26" s="2246">
        <v>3636</v>
      </c>
      <c r="B26" s="2253">
        <v>5139</v>
      </c>
      <c r="C26" s="2254">
        <v>38100880</v>
      </c>
      <c r="D26" s="2174" t="s">
        <v>295</v>
      </c>
      <c r="E26" s="2184"/>
      <c r="F26" s="2184"/>
      <c r="G26" s="2184"/>
      <c r="H26" s="2156" t="e">
        <f>G26/F26*100</f>
        <v>#DIV/0!</v>
      </c>
    </row>
    <row r="27" spans="1:8" s="2259" customFormat="1" ht="15" hidden="1" x14ac:dyDescent="0.2">
      <c r="A27" s="2246">
        <v>3636</v>
      </c>
      <c r="B27" s="2253">
        <v>5139</v>
      </c>
      <c r="C27" s="2254">
        <v>38100882</v>
      </c>
      <c r="D27" s="2174" t="s">
        <v>295</v>
      </c>
      <c r="E27" s="2184"/>
      <c r="F27" s="2184"/>
      <c r="G27" s="2184"/>
      <c r="H27" s="2156">
        <v>0</v>
      </c>
    </row>
    <row r="28" spans="1:8" s="2259" customFormat="1" ht="15" hidden="1" x14ac:dyDescent="0.2">
      <c r="A28" s="2246">
        <v>3636</v>
      </c>
      <c r="B28" s="2253">
        <v>5139</v>
      </c>
      <c r="C28" s="2254">
        <v>38500881</v>
      </c>
      <c r="D28" s="2174" t="s">
        <v>295</v>
      </c>
      <c r="E28" s="2184"/>
      <c r="F28" s="2184"/>
      <c r="G28" s="2184"/>
      <c r="H28" s="2156" t="e">
        <f>G28/F28*100</f>
        <v>#DIV/0!</v>
      </c>
    </row>
    <row r="29" spans="1:8" s="2259" customFormat="1" ht="15" hidden="1" x14ac:dyDescent="0.2">
      <c r="A29" s="2246">
        <v>3636</v>
      </c>
      <c r="B29" s="2253">
        <v>5162</v>
      </c>
      <c r="C29" s="2254">
        <v>38100880</v>
      </c>
      <c r="D29" s="2174" t="s">
        <v>967</v>
      </c>
      <c r="E29" s="2184"/>
      <c r="F29" s="2184"/>
      <c r="G29" s="2184"/>
      <c r="H29" s="2156" t="e">
        <f>G29/F29*100</f>
        <v>#DIV/0!</v>
      </c>
    </row>
    <row r="30" spans="1:8" s="2259" customFormat="1" ht="15" hidden="1" x14ac:dyDescent="0.2">
      <c r="A30" s="2246">
        <v>3636</v>
      </c>
      <c r="B30" s="2253">
        <v>5162</v>
      </c>
      <c r="C30" s="2254">
        <v>38100882</v>
      </c>
      <c r="D30" s="2174" t="s">
        <v>967</v>
      </c>
      <c r="E30" s="2184"/>
      <c r="F30" s="2184"/>
      <c r="G30" s="2184"/>
      <c r="H30" s="2156">
        <v>0</v>
      </c>
    </row>
    <row r="31" spans="1:8" s="2185" customFormat="1" ht="15" hidden="1" x14ac:dyDescent="0.2">
      <c r="A31" s="2246">
        <v>3636</v>
      </c>
      <c r="B31" s="2257">
        <v>5162</v>
      </c>
      <c r="C31" s="2254">
        <v>38500881</v>
      </c>
      <c r="D31" s="2174" t="s">
        <v>967</v>
      </c>
      <c r="E31" s="2184"/>
      <c r="F31" s="2184"/>
      <c r="G31" s="2184"/>
      <c r="H31" s="2156" t="e">
        <f>G31/F31*100</f>
        <v>#DIV/0!</v>
      </c>
    </row>
    <row r="32" spans="1:8" s="2185" customFormat="1" ht="15" x14ac:dyDescent="0.2">
      <c r="A32" s="2246">
        <v>3636</v>
      </c>
      <c r="B32" s="2257">
        <v>5163</v>
      </c>
      <c r="C32" s="2254">
        <v>38100880</v>
      </c>
      <c r="D32" s="2174" t="s">
        <v>997</v>
      </c>
      <c r="E32" s="2184">
        <v>0</v>
      </c>
      <c r="F32" s="2184">
        <v>0</v>
      </c>
      <c r="G32" s="2184">
        <v>0</v>
      </c>
      <c r="H32" s="2156">
        <v>0</v>
      </c>
    </row>
    <row r="33" spans="1:8" ht="17.25" hidden="1" customHeight="1" x14ac:dyDescent="0.2">
      <c r="A33" s="2246">
        <v>3636</v>
      </c>
      <c r="B33" s="2257">
        <v>5163</v>
      </c>
      <c r="C33" s="2254">
        <v>38100882</v>
      </c>
      <c r="D33" s="2174" t="s">
        <v>997</v>
      </c>
      <c r="E33" s="2184"/>
      <c r="F33" s="2184"/>
      <c r="G33" s="2184"/>
      <c r="H33" s="2156">
        <v>0</v>
      </c>
    </row>
    <row r="34" spans="1:8" ht="17.25" customHeight="1" x14ac:dyDescent="0.2">
      <c r="A34" s="2246">
        <v>3636</v>
      </c>
      <c r="B34" s="2257">
        <v>5163</v>
      </c>
      <c r="C34" s="2254">
        <v>38500881</v>
      </c>
      <c r="D34" s="2174" t="s">
        <v>997</v>
      </c>
      <c r="E34" s="2184">
        <v>0</v>
      </c>
      <c r="F34" s="2184">
        <v>1</v>
      </c>
      <c r="G34" s="2184">
        <v>1</v>
      </c>
      <c r="H34" s="2156">
        <f>G34/F34*100</f>
        <v>100</v>
      </c>
    </row>
    <row r="35" spans="1:8" ht="17.25" hidden="1" customHeight="1" x14ac:dyDescent="0.2">
      <c r="A35" s="2246">
        <v>3636</v>
      </c>
      <c r="B35" s="2257">
        <v>5164</v>
      </c>
      <c r="C35" s="2254">
        <v>38100880</v>
      </c>
      <c r="D35" s="2174" t="s">
        <v>188</v>
      </c>
      <c r="E35" s="2184">
        <v>0</v>
      </c>
      <c r="F35" s="2184">
        <v>0</v>
      </c>
      <c r="G35" s="2184">
        <v>0</v>
      </c>
      <c r="H35" s="2156" t="e">
        <f>G35/F35*100</f>
        <v>#DIV/0!</v>
      </c>
    </row>
    <row r="36" spans="1:8" ht="17.25" hidden="1" customHeight="1" x14ac:dyDescent="0.2">
      <c r="A36" s="2246">
        <v>3636</v>
      </c>
      <c r="B36" s="2257">
        <v>5164</v>
      </c>
      <c r="C36" s="2254">
        <v>38100882</v>
      </c>
      <c r="D36" s="2174" t="s">
        <v>188</v>
      </c>
      <c r="E36" s="2184"/>
      <c r="F36" s="2184"/>
      <c r="G36" s="2184"/>
      <c r="H36" s="2156">
        <v>0</v>
      </c>
    </row>
    <row r="37" spans="1:8" ht="17.25" hidden="1" customHeight="1" x14ac:dyDescent="0.2">
      <c r="A37" s="2246">
        <v>3636</v>
      </c>
      <c r="B37" s="2257">
        <v>5164</v>
      </c>
      <c r="C37" s="2254">
        <v>38500881</v>
      </c>
      <c r="D37" s="2174" t="s">
        <v>188</v>
      </c>
      <c r="E37" s="2184">
        <v>0</v>
      </c>
      <c r="F37" s="2184">
        <v>0</v>
      </c>
      <c r="G37" s="2184">
        <v>0</v>
      </c>
      <c r="H37" s="2156" t="e">
        <f>G37/F37*100</f>
        <v>#DIV/0!</v>
      </c>
    </row>
    <row r="38" spans="1:8" ht="17.25" hidden="1" customHeight="1" x14ac:dyDescent="0.2">
      <c r="A38" s="2246">
        <v>3636</v>
      </c>
      <c r="B38" s="2257">
        <v>5166</v>
      </c>
      <c r="C38" s="2254">
        <v>38100880</v>
      </c>
      <c r="D38" s="2174" t="s">
        <v>677</v>
      </c>
      <c r="E38" s="2184">
        <v>0</v>
      </c>
      <c r="F38" s="2184">
        <v>0</v>
      </c>
      <c r="G38" s="2184">
        <v>0</v>
      </c>
      <c r="H38" s="2156" t="e">
        <f>G38/F38*100</f>
        <v>#DIV/0!</v>
      </c>
    </row>
    <row r="39" spans="1:8" ht="17.25" hidden="1" customHeight="1" x14ac:dyDescent="0.2">
      <c r="A39" s="2246">
        <v>3636</v>
      </c>
      <c r="B39" s="2257">
        <v>5166</v>
      </c>
      <c r="C39" s="2254">
        <v>38100882</v>
      </c>
      <c r="D39" s="2174" t="s">
        <v>677</v>
      </c>
      <c r="E39" s="2184"/>
      <c r="F39" s="2184"/>
      <c r="G39" s="2184"/>
      <c r="H39" s="2156">
        <v>0</v>
      </c>
    </row>
    <row r="40" spans="1:8" ht="17.25" hidden="1" customHeight="1" x14ac:dyDescent="0.2">
      <c r="A40" s="2246">
        <v>3636</v>
      </c>
      <c r="B40" s="2257">
        <v>5166</v>
      </c>
      <c r="C40" s="2254">
        <v>38500881</v>
      </c>
      <c r="D40" s="2174" t="s">
        <v>677</v>
      </c>
      <c r="E40" s="2184">
        <v>0</v>
      </c>
      <c r="F40" s="2184">
        <v>0</v>
      </c>
      <c r="G40" s="2184">
        <v>0</v>
      </c>
      <c r="H40" s="2156" t="e">
        <f>G40/F40*100</f>
        <v>#DIV/0!</v>
      </c>
    </row>
    <row r="41" spans="1:8" ht="17.25" hidden="1" customHeight="1" x14ac:dyDescent="0.2">
      <c r="A41" s="2246">
        <v>3636</v>
      </c>
      <c r="B41" s="2257">
        <v>5167</v>
      </c>
      <c r="C41" s="2254">
        <v>38100880</v>
      </c>
      <c r="D41" s="2174" t="s">
        <v>329</v>
      </c>
      <c r="E41" s="2184"/>
      <c r="F41" s="2184"/>
      <c r="G41" s="2184"/>
      <c r="H41" s="2156" t="e">
        <f>G41/F41*100</f>
        <v>#DIV/0!</v>
      </c>
    </row>
    <row r="42" spans="1:8" ht="17.25" hidden="1" customHeight="1" x14ac:dyDescent="0.2">
      <c r="A42" s="2246">
        <v>3636</v>
      </c>
      <c r="B42" s="2257">
        <v>5167</v>
      </c>
      <c r="C42" s="2254">
        <v>38100882</v>
      </c>
      <c r="D42" s="2174" t="s">
        <v>329</v>
      </c>
      <c r="E42" s="2184"/>
      <c r="F42" s="2184"/>
      <c r="G42" s="2184"/>
      <c r="H42" s="2156">
        <v>0</v>
      </c>
    </row>
    <row r="43" spans="1:8" ht="17.25" hidden="1" customHeight="1" x14ac:dyDescent="0.2">
      <c r="A43" s="2246">
        <v>3636</v>
      </c>
      <c r="B43" s="2257">
        <v>5167</v>
      </c>
      <c r="C43" s="2254">
        <v>38500881</v>
      </c>
      <c r="D43" s="2174" t="s">
        <v>329</v>
      </c>
      <c r="E43" s="2184"/>
      <c r="F43" s="2184"/>
      <c r="G43" s="2184"/>
      <c r="H43" s="2156" t="e">
        <f>G43/F43*100</f>
        <v>#DIV/0!</v>
      </c>
    </row>
    <row r="44" spans="1:8" ht="17.25" hidden="1" customHeight="1" x14ac:dyDescent="0.2">
      <c r="A44" s="2246">
        <v>3636</v>
      </c>
      <c r="B44" s="2257">
        <v>5169</v>
      </c>
      <c r="C44" s="2254">
        <v>38100880</v>
      </c>
      <c r="D44" s="2174" t="s">
        <v>955</v>
      </c>
      <c r="E44" s="2184">
        <v>0</v>
      </c>
      <c r="F44" s="2184">
        <v>0</v>
      </c>
      <c r="G44" s="2184">
        <v>0</v>
      </c>
      <c r="H44" s="2156" t="e">
        <f>G44/F44*100</f>
        <v>#DIV/0!</v>
      </c>
    </row>
    <row r="45" spans="1:8" ht="17.25" hidden="1" customHeight="1" x14ac:dyDescent="0.2">
      <c r="A45" s="2246">
        <v>3636</v>
      </c>
      <c r="B45" s="2257">
        <v>5169</v>
      </c>
      <c r="C45" s="2254">
        <v>38100882</v>
      </c>
      <c r="D45" s="2174" t="s">
        <v>955</v>
      </c>
      <c r="E45" s="2184"/>
      <c r="F45" s="2184"/>
      <c r="G45" s="2184"/>
      <c r="H45" s="2156">
        <v>0</v>
      </c>
    </row>
    <row r="46" spans="1:8" ht="17.25" hidden="1" customHeight="1" x14ac:dyDescent="0.2">
      <c r="A46" s="2246">
        <v>3636</v>
      </c>
      <c r="B46" s="2257">
        <v>5169</v>
      </c>
      <c r="C46" s="2254">
        <v>38500881</v>
      </c>
      <c r="D46" s="2174" t="s">
        <v>955</v>
      </c>
      <c r="E46" s="2184">
        <v>0</v>
      </c>
      <c r="F46" s="2184">
        <v>0</v>
      </c>
      <c r="G46" s="2184">
        <v>0</v>
      </c>
      <c r="H46" s="2156" t="e">
        <f>G46/F46*100</f>
        <v>#DIV/0!</v>
      </c>
    </row>
    <row r="47" spans="1:8" ht="17.25" hidden="1" customHeight="1" x14ac:dyDescent="0.2">
      <c r="A47" s="2246">
        <v>3636</v>
      </c>
      <c r="B47" s="2257">
        <v>5173</v>
      </c>
      <c r="C47" s="2254">
        <v>38100880</v>
      </c>
      <c r="D47" s="2174" t="s">
        <v>1296</v>
      </c>
      <c r="E47" s="2184">
        <v>0</v>
      </c>
      <c r="F47" s="2184">
        <v>0</v>
      </c>
      <c r="G47" s="2184">
        <v>0</v>
      </c>
      <c r="H47" s="2156" t="e">
        <f>G47/F47*100</f>
        <v>#DIV/0!</v>
      </c>
    </row>
    <row r="48" spans="1:8" ht="17.25" hidden="1" customHeight="1" x14ac:dyDescent="0.2">
      <c r="A48" s="2246">
        <v>3636</v>
      </c>
      <c r="B48" s="2257">
        <v>5173</v>
      </c>
      <c r="C48" s="2254">
        <v>38100882</v>
      </c>
      <c r="D48" s="2174" t="s">
        <v>1296</v>
      </c>
      <c r="E48" s="2184"/>
      <c r="F48" s="2184"/>
      <c r="G48" s="2184"/>
      <c r="H48" s="2156">
        <v>0</v>
      </c>
    </row>
    <row r="49" spans="1:9" ht="17.25" hidden="1" customHeight="1" x14ac:dyDescent="0.2">
      <c r="A49" s="2246">
        <v>3636</v>
      </c>
      <c r="B49" s="2257">
        <v>5173</v>
      </c>
      <c r="C49" s="2254">
        <v>38500881</v>
      </c>
      <c r="D49" s="2174" t="s">
        <v>1296</v>
      </c>
      <c r="E49" s="2184">
        <v>0</v>
      </c>
      <c r="F49" s="2184">
        <v>0</v>
      </c>
      <c r="G49" s="2184">
        <v>0</v>
      </c>
      <c r="H49" s="2156" t="e">
        <f>G49/F49*100</f>
        <v>#DIV/0!</v>
      </c>
    </row>
    <row r="50" spans="1:9" ht="17.25" customHeight="1" x14ac:dyDescent="0.2">
      <c r="A50" s="2246">
        <v>3636</v>
      </c>
      <c r="B50" s="2257">
        <v>5175</v>
      </c>
      <c r="C50" s="2254">
        <v>38100880</v>
      </c>
      <c r="D50" s="2174" t="s">
        <v>740</v>
      </c>
      <c r="E50" s="2184">
        <v>0</v>
      </c>
      <c r="F50" s="2184">
        <v>4</v>
      </c>
      <c r="G50" s="2184">
        <v>4</v>
      </c>
      <c r="H50" s="2156">
        <f>G50/F50*100</f>
        <v>100</v>
      </c>
    </row>
    <row r="51" spans="1:9" ht="17.25" hidden="1" customHeight="1" x14ac:dyDescent="0.2">
      <c r="A51" s="2246">
        <v>3636</v>
      </c>
      <c r="B51" s="2257">
        <v>5175</v>
      </c>
      <c r="C51" s="2254">
        <v>38100882</v>
      </c>
      <c r="D51" s="2174" t="s">
        <v>740</v>
      </c>
      <c r="E51" s="2184"/>
      <c r="F51" s="2184"/>
      <c r="G51" s="2184"/>
      <c r="H51" s="2156">
        <v>0</v>
      </c>
    </row>
    <row r="52" spans="1:9" ht="17.25" customHeight="1" thickBot="1" x14ac:dyDescent="0.25">
      <c r="A52" s="2246">
        <v>3636</v>
      </c>
      <c r="B52" s="2257">
        <v>5175</v>
      </c>
      <c r="C52" s="2254">
        <v>38500881</v>
      </c>
      <c r="D52" s="2174" t="s">
        <v>740</v>
      </c>
      <c r="E52" s="2184">
        <v>0</v>
      </c>
      <c r="F52" s="2184">
        <v>11</v>
      </c>
      <c r="G52" s="2184">
        <v>11</v>
      </c>
      <c r="H52" s="2156">
        <f>G52/F52*100</f>
        <v>100</v>
      </c>
    </row>
    <row r="53" spans="1:9" ht="15" hidden="1" customHeight="1" x14ac:dyDescent="0.2">
      <c r="A53" s="2246">
        <v>3636</v>
      </c>
      <c r="B53" s="2253">
        <v>5176</v>
      </c>
      <c r="C53" s="2254">
        <v>38100880</v>
      </c>
      <c r="D53" s="2174" t="s">
        <v>1402</v>
      </c>
      <c r="E53" s="2184"/>
      <c r="F53" s="2184"/>
      <c r="G53" s="2184"/>
      <c r="H53" s="2156" t="e">
        <f>G53/F53*100</f>
        <v>#DIV/0!</v>
      </c>
    </row>
    <row r="54" spans="1:9" ht="15.75" hidden="1" thickBot="1" x14ac:dyDescent="0.25">
      <c r="A54" s="2246">
        <v>3636</v>
      </c>
      <c r="B54" s="2253">
        <v>5176</v>
      </c>
      <c r="C54" s="2254">
        <v>38100881</v>
      </c>
      <c r="D54" s="2174" t="s">
        <v>1402</v>
      </c>
      <c r="E54" s="2184"/>
      <c r="F54" s="2184"/>
      <c r="G54" s="2184"/>
      <c r="H54" s="2156" t="e">
        <f>G54/F54*100</f>
        <v>#DIV/0!</v>
      </c>
    </row>
    <row r="55" spans="1:9" ht="15.75" hidden="1" thickBot="1" x14ac:dyDescent="0.25">
      <c r="A55" s="2246">
        <v>3636</v>
      </c>
      <c r="B55" s="2253">
        <v>6111</v>
      </c>
      <c r="C55" s="2254">
        <v>38100880</v>
      </c>
      <c r="D55" s="2174" t="s">
        <v>1002</v>
      </c>
      <c r="E55" s="2184"/>
      <c r="F55" s="2184"/>
      <c r="G55" s="2184"/>
      <c r="H55" s="2156" t="e">
        <f>G55/F55*100</f>
        <v>#DIV/0!</v>
      </c>
    </row>
    <row r="56" spans="1:9" ht="15.75" hidden="1" thickBot="1" x14ac:dyDescent="0.25">
      <c r="A56" s="2246">
        <v>3636</v>
      </c>
      <c r="B56" s="2253">
        <v>6111</v>
      </c>
      <c r="C56" s="2254">
        <v>38100882</v>
      </c>
      <c r="D56" s="2174" t="s">
        <v>1002</v>
      </c>
      <c r="E56" s="2184"/>
      <c r="F56" s="2184"/>
      <c r="G56" s="2184"/>
      <c r="H56" s="2156">
        <v>0</v>
      </c>
    </row>
    <row r="57" spans="1:9" s="2185" customFormat="1" ht="15.75" hidden="1" thickBot="1" x14ac:dyDescent="0.25">
      <c r="A57" s="2246">
        <v>3636</v>
      </c>
      <c r="B57" s="2253">
        <v>6111</v>
      </c>
      <c r="C57" s="2254">
        <v>38500881</v>
      </c>
      <c r="D57" s="2174" t="s">
        <v>1002</v>
      </c>
      <c r="E57" s="2184"/>
      <c r="F57" s="2184"/>
      <c r="G57" s="2184"/>
      <c r="H57" s="2156" t="e">
        <f>G57/F57*100</f>
        <v>#DIV/0!</v>
      </c>
    </row>
    <row r="58" spans="1:9" s="2185" customFormat="1" ht="15.75" hidden="1" thickBot="1" x14ac:dyDescent="0.25">
      <c r="A58" s="2246">
        <v>6409</v>
      </c>
      <c r="B58" s="2253">
        <v>5909</v>
      </c>
      <c r="C58" s="2254">
        <v>0</v>
      </c>
      <c r="D58" s="2174"/>
      <c r="E58" s="2184"/>
      <c r="F58" s="2184"/>
      <c r="G58" s="2184"/>
      <c r="H58" s="2156"/>
    </row>
    <row r="59" spans="1:9" s="2185" customFormat="1" ht="15.75" hidden="1" thickBot="1" x14ac:dyDescent="0.25">
      <c r="A59" s="2246">
        <v>6330</v>
      </c>
      <c r="B59" s="2253">
        <v>5345</v>
      </c>
      <c r="C59" s="2254">
        <v>0</v>
      </c>
      <c r="D59" s="2174" t="s">
        <v>853</v>
      </c>
      <c r="E59" s="2184"/>
      <c r="F59" s="2184"/>
      <c r="G59" s="2184"/>
      <c r="H59" s="2163">
        <v>0</v>
      </c>
    </row>
    <row r="60" spans="1:9" s="2164" customFormat="1" ht="16.5" thickTop="1" thickBot="1" x14ac:dyDescent="0.3">
      <c r="A60" s="2806" t="s">
        <v>849</v>
      </c>
      <c r="B60" s="2807"/>
      <c r="C60" s="2807"/>
      <c r="D60" s="2807"/>
      <c r="E60" s="2152">
        <f>SUM(E12:E59)</f>
        <v>0</v>
      </c>
      <c r="F60" s="2152">
        <f>SUM(F12:F59)</f>
        <v>95</v>
      </c>
      <c r="G60" s="2152">
        <f>SUM(G12:G59)</f>
        <v>95</v>
      </c>
      <c r="H60" s="2157">
        <f>G60/F60*100</f>
        <v>100</v>
      </c>
      <c r="I60" s="2262"/>
    </row>
    <row r="61" spans="1:9" ht="13.5" thickTop="1" x14ac:dyDescent="0.2">
      <c r="I61" s="2165"/>
    </row>
    <row r="62" spans="1:9" ht="15.75" thickBot="1" x14ac:dyDescent="0.3">
      <c r="A62" s="2136" t="s">
        <v>273</v>
      </c>
      <c r="D62" s="2130"/>
      <c r="E62" s="2131"/>
      <c r="H62" s="2240" t="s">
        <v>179</v>
      </c>
      <c r="I62" s="2239"/>
    </row>
    <row r="63" spans="1:9" ht="25.5" thickTop="1" thickBot="1" x14ac:dyDescent="0.25">
      <c r="A63" s="2138" t="s">
        <v>180</v>
      </c>
      <c r="B63" s="2139" t="s">
        <v>847</v>
      </c>
      <c r="C63" s="2139" t="s">
        <v>414</v>
      </c>
      <c r="D63" s="2140" t="s">
        <v>182</v>
      </c>
      <c r="E63" s="2171" t="s">
        <v>700</v>
      </c>
      <c r="F63" s="2171" t="s">
        <v>701</v>
      </c>
      <c r="G63" s="2172" t="s">
        <v>986</v>
      </c>
      <c r="H63" s="2173" t="s">
        <v>987</v>
      </c>
    </row>
    <row r="64" spans="1:9" ht="14.25" thickTop="1" thickBot="1" x14ac:dyDescent="0.25">
      <c r="A64" s="1854">
        <v>1</v>
      </c>
      <c r="B64" s="1853">
        <v>2</v>
      </c>
      <c r="C64" s="1853">
        <v>3</v>
      </c>
      <c r="D64" s="1853">
        <v>5</v>
      </c>
      <c r="E64" s="1852">
        <v>6</v>
      </c>
      <c r="F64" s="1852">
        <v>7</v>
      </c>
      <c r="G64" s="2223">
        <v>8</v>
      </c>
      <c r="H64" s="2146" t="s">
        <v>848</v>
      </c>
    </row>
    <row r="65" spans="1:12" s="2168" customFormat="1" ht="16.5" thickTop="1" thickBot="1" x14ac:dyDescent="0.3">
      <c r="A65" s="2238">
        <v>6330</v>
      </c>
      <c r="B65" s="2148">
        <v>5345</v>
      </c>
      <c r="C65" s="2630">
        <v>0</v>
      </c>
      <c r="D65" s="2234" t="s">
        <v>853</v>
      </c>
      <c r="E65" s="2170">
        <v>0</v>
      </c>
      <c r="F65" s="2170">
        <v>0</v>
      </c>
      <c r="G65" s="2236">
        <v>71</v>
      </c>
      <c r="H65" s="2153">
        <v>0</v>
      </c>
    </row>
    <row r="66" spans="1:12" s="2168" customFormat="1" ht="15.75" hidden="1" thickBot="1" x14ac:dyDescent="0.3">
      <c r="A66" s="2147">
        <v>6409</v>
      </c>
      <c r="B66" s="2148">
        <v>5909</v>
      </c>
      <c r="C66" s="2235"/>
      <c r="D66" s="2234" t="s">
        <v>870</v>
      </c>
      <c r="E66" s="2184">
        <v>0</v>
      </c>
      <c r="F66" s="2184">
        <v>0</v>
      </c>
      <c r="G66" s="2233">
        <v>0</v>
      </c>
      <c r="H66" s="2156">
        <v>0</v>
      </c>
    </row>
    <row r="67" spans="1:12" ht="16.5" thickTop="1" thickBot="1" x14ac:dyDescent="0.3">
      <c r="A67" s="2175" t="s">
        <v>849</v>
      </c>
      <c r="B67" s="2176"/>
      <c r="C67" s="2176"/>
      <c r="D67" s="2177"/>
      <c r="E67" s="2152">
        <f>SUM(E65:E66)</f>
        <v>0</v>
      </c>
      <c r="F67" s="2152">
        <f>SUM(F65:F66)</f>
        <v>0</v>
      </c>
      <c r="G67" s="2152">
        <f>SUM(G65:G66)</f>
        <v>71</v>
      </c>
      <c r="H67" s="2157">
        <v>0</v>
      </c>
    </row>
    <row r="68" spans="1:12" ht="13.5" thickTop="1" x14ac:dyDescent="0.2">
      <c r="I68" s="2165"/>
    </row>
    <row r="70" spans="1:12" ht="16.5" x14ac:dyDescent="0.25">
      <c r="A70" s="2206" t="s">
        <v>508</v>
      </c>
      <c r="B70" s="2207"/>
      <c r="C70" s="2208"/>
      <c r="D70" s="2209"/>
      <c r="E70" s="2210">
        <f>SUM(E71:E73)</f>
        <v>0</v>
      </c>
      <c r="F70" s="2210">
        <f>F71+F72+F73+F74</f>
        <v>95</v>
      </c>
      <c r="G70" s="2210">
        <f>G71+G72+G73+G74</f>
        <v>166</v>
      </c>
      <c r="H70" s="2232">
        <f>G70/F70*100</f>
        <v>174.73684210526318</v>
      </c>
      <c r="J70" s="2405">
        <f>J71+J72+J73</f>
        <v>0</v>
      </c>
      <c r="K70" s="2405">
        <f>K71+K72+K73</f>
        <v>94452.6</v>
      </c>
      <c r="L70" s="2405">
        <f>L71+L72+L73</f>
        <v>165577.1</v>
      </c>
    </row>
    <row r="71" spans="1:12" ht="15" x14ac:dyDescent="0.2">
      <c r="A71" s="1810" t="s">
        <v>288</v>
      </c>
      <c r="B71" s="1813"/>
      <c r="C71" s="1808"/>
      <c r="D71" s="2213"/>
      <c r="E71" s="1811">
        <f>E12+E13+E14+E15+E16+E17+E18+E19+E20+E21+E22+E23+E24+E25+E26+E27+E28+E29+E30+E31+E32+E33+E34+E35+E36+E37+E38+E39+E40+E41+E42+E43+E44+E45+E46+E47+E48+E49+E50+E51+E52+E53+E54</f>
        <v>0</v>
      </c>
      <c r="F71" s="1811">
        <f>F12+F13+F14+F15+F16+F17+F18+F19+F20+F21+F22+F23+F24+F25+F26+F27+F28+F29+F30+F31+F32+F33+F34+F35+F36+F37+F38+F39+F40+F41+F42+F43+F44+F45+F46+F47+F48+F49+F50+F51+F52+F53+F54</f>
        <v>95</v>
      </c>
      <c r="G71" s="1811">
        <f>G12+G13+G14+G15+G16+G17+G18+G19+G20+G21+G22+G23+G24+G25+G26+G27+G28+G29+G30+G31+G32+G33+G34+G35+G36+G37+G38+G39+G40+G41+G42+G43+G44+G45+G46+G47+G48+G49+G50+G51+G52+G53+G54</f>
        <v>95</v>
      </c>
      <c r="H71" s="2231">
        <f>G71/F71*100</f>
        <v>100</v>
      </c>
      <c r="J71" s="2412">
        <v>0</v>
      </c>
      <c r="K71" s="2412">
        <v>94452.6</v>
      </c>
      <c r="L71" s="2412">
        <v>94457.600000000006</v>
      </c>
    </row>
    <row r="72" spans="1:12" ht="15" x14ac:dyDescent="0.2">
      <c r="A72" s="1810" t="s">
        <v>289</v>
      </c>
      <c r="B72" s="1809"/>
      <c r="C72" s="1808"/>
      <c r="D72" s="2215"/>
      <c r="E72" s="1811">
        <f>E55+E56+E57</f>
        <v>0</v>
      </c>
      <c r="F72" s="1811">
        <f>F55+F56+F57</f>
        <v>0</v>
      </c>
      <c r="G72" s="1811">
        <f>G55+G56+G57</f>
        <v>0</v>
      </c>
      <c r="H72" s="2231">
        <v>0</v>
      </c>
      <c r="J72" s="2412">
        <v>0</v>
      </c>
      <c r="K72" s="2412">
        <v>0</v>
      </c>
      <c r="L72" s="2412">
        <v>0</v>
      </c>
    </row>
    <row r="73" spans="1:12" ht="15" x14ac:dyDescent="0.2">
      <c r="A73" s="1810" t="s">
        <v>509</v>
      </c>
      <c r="B73" s="1809"/>
      <c r="C73" s="1808"/>
      <c r="D73" s="2215"/>
      <c r="E73" s="1811">
        <f>E65</f>
        <v>0</v>
      </c>
      <c r="F73" s="1811">
        <f>F65</f>
        <v>0</v>
      </c>
      <c r="G73" s="1811">
        <f>G65</f>
        <v>71</v>
      </c>
      <c r="H73" s="2231">
        <v>0</v>
      </c>
      <c r="J73" s="2412">
        <v>0</v>
      </c>
      <c r="K73" s="2412">
        <v>0</v>
      </c>
      <c r="L73" s="2412">
        <v>71119.5</v>
      </c>
    </row>
    <row r="74" spans="1:12" ht="15" x14ac:dyDescent="0.2">
      <c r="A74" s="1810"/>
      <c r="B74" s="1809"/>
      <c r="C74" s="1808"/>
      <c r="D74" s="2215"/>
      <c r="E74" s="1811"/>
      <c r="F74" s="1811"/>
      <c r="G74" s="1811"/>
      <c r="H74" s="1807"/>
    </row>
    <row r="75" spans="1:12" ht="46.5" customHeight="1" thickBot="1" x14ac:dyDescent="0.4">
      <c r="A75" s="2800" t="s">
        <v>1610</v>
      </c>
      <c r="B75" s="2801"/>
      <c r="C75" s="2801"/>
      <c r="D75" s="2801"/>
      <c r="E75" s="1801">
        <f>SUM(E70)</f>
        <v>0</v>
      </c>
      <c r="F75" s="1801">
        <f>SUM(F70)</f>
        <v>95</v>
      </c>
      <c r="G75" s="1801">
        <f>SUM(G70)</f>
        <v>166</v>
      </c>
      <c r="H75" s="1800">
        <f>(G75/F75)*100</f>
        <v>174.73684210526318</v>
      </c>
    </row>
    <row r="76" spans="1:12" ht="13.5" thickTop="1" x14ac:dyDescent="0.2"/>
    <row r="195" spans="1:5" ht="13.5" thickBot="1" x14ac:dyDescent="0.25">
      <c r="A195" s="2179"/>
      <c r="B195" s="2179"/>
      <c r="C195" s="2179"/>
      <c r="D195" s="2264"/>
      <c r="E195" s="2265"/>
    </row>
    <row r="196" spans="1:5" ht="13.5" thickTop="1" x14ac:dyDescent="0.2">
      <c r="A196" s="2204"/>
      <c r="B196" s="2204"/>
      <c r="C196" s="2204"/>
      <c r="D196" s="2193"/>
      <c r="E196" s="2266"/>
    </row>
    <row r="197" spans="1:5" x14ac:dyDescent="0.2">
      <c r="D197" s="2131" t="e">
        <f>#REF!+#REF!</f>
        <v>#REF!</v>
      </c>
    </row>
  </sheetData>
  <mergeCells count="2">
    <mergeCell ref="A60:D60"/>
    <mergeCell ref="A75:D75"/>
  </mergeCells>
  <pageMargins left="0.98425196850393704" right="0.78740157480314965" top="0.98425196850393704" bottom="0.98425196850393704" header="0.51181102362204722" footer="0.51181102362204722"/>
  <pageSetup paperSize="9" scale="70" firstPageNumber="178" orientation="portrait" useFirstPageNumber="1" r:id="rId1"/>
  <headerFooter alignWithMargins="0">
    <oddFooter xml:space="preserve">&amp;L&amp;"Arial,Kurzíva"Zastupitelstvo Olomouckého kraje 28. 6. 2013
6.- Závěrečný  účet Olomuckého kraje za rok 2012
Příloha č. 3: Plnění rozpočtu výdajů Olomouckého kraje k 31.12.2012&amp;R&amp;"Arial,Kurzíva"Strana &amp;P (Celkem 484)
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39"/>
  <sheetViews>
    <sheetView view="pageBreakPreview" topLeftCell="A26" zoomScaleNormal="100" zoomScaleSheetLayoutView="100" workbookViewId="0">
      <selection activeCell="E33" sqref="E33"/>
    </sheetView>
  </sheetViews>
  <sheetFormatPr defaultRowHeight="12.75" x14ac:dyDescent="0.2"/>
  <cols>
    <col min="1" max="1" width="4.7109375" style="2345" customWidth="1"/>
    <col min="2" max="2" width="6.7109375" style="2345" customWidth="1"/>
    <col min="3" max="3" width="8.85546875" style="2345" customWidth="1"/>
    <col min="4" max="4" width="47.85546875" style="2345" customWidth="1"/>
    <col min="5" max="5" width="12.85546875" style="2345" customWidth="1"/>
    <col min="6" max="6" width="15.5703125" style="2345" customWidth="1"/>
    <col min="7" max="7" width="15.85546875" style="2345" customWidth="1"/>
    <col min="8" max="8" width="8.85546875" style="2345" customWidth="1"/>
    <col min="9" max="10" width="9.140625" style="2345"/>
    <col min="11" max="12" width="14.7109375" style="2345" bestFit="1" customWidth="1"/>
    <col min="13" max="256" width="9.140625" style="2345"/>
    <col min="257" max="257" width="4.7109375" style="2345" customWidth="1"/>
    <col min="258" max="258" width="6.7109375" style="2345" customWidth="1"/>
    <col min="259" max="259" width="8.85546875" style="2345" customWidth="1"/>
    <col min="260" max="260" width="47.85546875" style="2345" customWidth="1"/>
    <col min="261" max="261" width="12.85546875" style="2345" customWidth="1"/>
    <col min="262" max="262" width="15.5703125" style="2345" customWidth="1"/>
    <col min="263" max="263" width="15.85546875" style="2345" customWidth="1"/>
    <col min="264" max="264" width="6.42578125" style="2345" customWidth="1"/>
    <col min="265" max="266" width="9.140625" style="2345"/>
    <col min="267" max="268" width="14.7109375" style="2345" bestFit="1" customWidth="1"/>
    <col min="269" max="512" width="9.140625" style="2345"/>
    <col min="513" max="513" width="4.7109375" style="2345" customWidth="1"/>
    <col min="514" max="514" width="6.7109375" style="2345" customWidth="1"/>
    <col min="515" max="515" width="8.85546875" style="2345" customWidth="1"/>
    <col min="516" max="516" width="47.85546875" style="2345" customWidth="1"/>
    <col min="517" max="517" width="12.85546875" style="2345" customWidth="1"/>
    <col min="518" max="518" width="15.5703125" style="2345" customWidth="1"/>
    <col min="519" max="519" width="15.85546875" style="2345" customWidth="1"/>
    <col min="520" max="520" width="6.42578125" style="2345" customWidth="1"/>
    <col min="521" max="522" width="9.140625" style="2345"/>
    <col min="523" max="524" width="14.7109375" style="2345" bestFit="1" customWidth="1"/>
    <col min="525" max="768" width="9.140625" style="2345"/>
    <col min="769" max="769" width="4.7109375" style="2345" customWidth="1"/>
    <col min="770" max="770" width="6.7109375" style="2345" customWidth="1"/>
    <col min="771" max="771" width="8.85546875" style="2345" customWidth="1"/>
    <col min="772" max="772" width="47.85546875" style="2345" customWidth="1"/>
    <col min="773" max="773" width="12.85546875" style="2345" customWidth="1"/>
    <col min="774" max="774" width="15.5703125" style="2345" customWidth="1"/>
    <col min="775" max="775" width="15.85546875" style="2345" customWidth="1"/>
    <col min="776" max="776" width="6.42578125" style="2345" customWidth="1"/>
    <col min="777" max="778" width="9.140625" style="2345"/>
    <col min="779" max="780" width="14.7109375" style="2345" bestFit="1" customWidth="1"/>
    <col min="781" max="1024" width="9.140625" style="2345"/>
    <col min="1025" max="1025" width="4.7109375" style="2345" customWidth="1"/>
    <col min="1026" max="1026" width="6.7109375" style="2345" customWidth="1"/>
    <col min="1027" max="1027" width="8.85546875" style="2345" customWidth="1"/>
    <col min="1028" max="1028" width="47.85546875" style="2345" customWidth="1"/>
    <col min="1029" max="1029" width="12.85546875" style="2345" customWidth="1"/>
    <col min="1030" max="1030" width="15.5703125" style="2345" customWidth="1"/>
    <col min="1031" max="1031" width="15.85546875" style="2345" customWidth="1"/>
    <col min="1032" max="1032" width="6.42578125" style="2345" customWidth="1"/>
    <col min="1033" max="1034" width="9.140625" style="2345"/>
    <col min="1035" max="1036" width="14.7109375" style="2345" bestFit="1" customWidth="1"/>
    <col min="1037" max="1280" width="9.140625" style="2345"/>
    <col min="1281" max="1281" width="4.7109375" style="2345" customWidth="1"/>
    <col min="1282" max="1282" width="6.7109375" style="2345" customWidth="1"/>
    <col min="1283" max="1283" width="8.85546875" style="2345" customWidth="1"/>
    <col min="1284" max="1284" width="47.85546875" style="2345" customWidth="1"/>
    <col min="1285" max="1285" width="12.85546875" style="2345" customWidth="1"/>
    <col min="1286" max="1286" width="15.5703125" style="2345" customWidth="1"/>
    <col min="1287" max="1287" width="15.85546875" style="2345" customWidth="1"/>
    <col min="1288" max="1288" width="6.42578125" style="2345" customWidth="1"/>
    <col min="1289" max="1290" width="9.140625" style="2345"/>
    <col min="1291" max="1292" width="14.7109375" style="2345" bestFit="1" customWidth="1"/>
    <col min="1293" max="1536" width="9.140625" style="2345"/>
    <col min="1537" max="1537" width="4.7109375" style="2345" customWidth="1"/>
    <col min="1538" max="1538" width="6.7109375" style="2345" customWidth="1"/>
    <col min="1539" max="1539" width="8.85546875" style="2345" customWidth="1"/>
    <col min="1540" max="1540" width="47.85546875" style="2345" customWidth="1"/>
    <col min="1541" max="1541" width="12.85546875" style="2345" customWidth="1"/>
    <col min="1542" max="1542" width="15.5703125" style="2345" customWidth="1"/>
    <col min="1543" max="1543" width="15.85546875" style="2345" customWidth="1"/>
    <col min="1544" max="1544" width="6.42578125" style="2345" customWidth="1"/>
    <col min="1545" max="1546" width="9.140625" style="2345"/>
    <col min="1547" max="1548" width="14.7109375" style="2345" bestFit="1" customWidth="1"/>
    <col min="1549" max="1792" width="9.140625" style="2345"/>
    <col min="1793" max="1793" width="4.7109375" style="2345" customWidth="1"/>
    <col min="1794" max="1794" width="6.7109375" style="2345" customWidth="1"/>
    <col min="1795" max="1795" width="8.85546875" style="2345" customWidth="1"/>
    <col min="1796" max="1796" width="47.85546875" style="2345" customWidth="1"/>
    <col min="1797" max="1797" width="12.85546875" style="2345" customWidth="1"/>
    <col min="1798" max="1798" width="15.5703125" style="2345" customWidth="1"/>
    <col min="1799" max="1799" width="15.85546875" style="2345" customWidth="1"/>
    <col min="1800" max="1800" width="6.42578125" style="2345" customWidth="1"/>
    <col min="1801" max="1802" width="9.140625" style="2345"/>
    <col min="1803" max="1804" width="14.7109375" style="2345" bestFit="1" customWidth="1"/>
    <col min="1805" max="2048" width="9.140625" style="2345"/>
    <col min="2049" max="2049" width="4.7109375" style="2345" customWidth="1"/>
    <col min="2050" max="2050" width="6.7109375" style="2345" customWidth="1"/>
    <col min="2051" max="2051" width="8.85546875" style="2345" customWidth="1"/>
    <col min="2052" max="2052" width="47.85546875" style="2345" customWidth="1"/>
    <col min="2053" max="2053" width="12.85546875" style="2345" customWidth="1"/>
    <col min="2054" max="2054" width="15.5703125" style="2345" customWidth="1"/>
    <col min="2055" max="2055" width="15.85546875" style="2345" customWidth="1"/>
    <col min="2056" max="2056" width="6.42578125" style="2345" customWidth="1"/>
    <col min="2057" max="2058" width="9.140625" style="2345"/>
    <col min="2059" max="2060" width="14.7109375" style="2345" bestFit="1" customWidth="1"/>
    <col min="2061" max="2304" width="9.140625" style="2345"/>
    <col min="2305" max="2305" width="4.7109375" style="2345" customWidth="1"/>
    <col min="2306" max="2306" width="6.7109375" style="2345" customWidth="1"/>
    <col min="2307" max="2307" width="8.85546875" style="2345" customWidth="1"/>
    <col min="2308" max="2308" width="47.85546875" style="2345" customWidth="1"/>
    <col min="2309" max="2309" width="12.85546875" style="2345" customWidth="1"/>
    <col min="2310" max="2310" width="15.5703125" style="2345" customWidth="1"/>
    <col min="2311" max="2311" width="15.85546875" style="2345" customWidth="1"/>
    <col min="2312" max="2312" width="6.42578125" style="2345" customWidth="1"/>
    <col min="2313" max="2314" width="9.140625" style="2345"/>
    <col min="2315" max="2316" width="14.7109375" style="2345" bestFit="1" customWidth="1"/>
    <col min="2317" max="2560" width="9.140625" style="2345"/>
    <col min="2561" max="2561" width="4.7109375" style="2345" customWidth="1"/>
    <col min="2562" max="2562" width="6.7109375" style="2345" customWidth="1"/>
    <col min="2563" max="2563" width="8.85546875" style="2345" customWidth="1"/>
    <col min="2564" max="2564" width="47.85546875" style="2345" customWidth="1"/>
    <col min="2565" max="2565" width="12.85546875" style="2345" customWidth="1"/>
    <col min="2566" max="2566" width="15.5703125" style="2345" customWidth="1"/>
    <col min="2567" max="2567" width="15.85546875" style="2345" customWidth="1"/>
    <col min="2568" max="2568" width="6.42578125" style="2345" customWidth="1"/>
    <col min="2569" max="2570" width="9.140625" style="2345"/>
    <col min="2571" max="2572" width="14.7109375" style="2345" bestFit="1" customWidth="1"/>
    <col min="2573" max="2816" width="9.140625" style="2345"/>
    <col min="2817" max="2817" width="4.7109375" style="2345" customWidth="1"/>
    <col min="2818" max="2818" width="6.7109375" style="2345" customWidth="1"/>
    <col min="2819" max="2819" width="8.85546875" style="2345" customWidth="1"/>
    <col min="2820" max="2820" width="47.85546875" style="2345" customWidth="1"/>
    <col min="2821" max="2821" width="12.85546875" style="2345" customWidth="1"/>
    <col min="2822" max="2822" width="15.5703125" style="2345" customWidth="1"/>
    <col min="2823" max="2823" width="15.85546875" style="2345" customWidth="1"/>
    <col min="2824" max="2824" width="6.42578125" style="2345" customWidth="1"/>
    <col min="2825" max="2826" width="9.140625" style="2345"/>
    <col min="2827" max="2828" width="14.7109375" style="2345" bestFit="1" customWidth="1"/>
    <col min="2829" max="3072" width="9.140625" style="2345"/>
    <col min="3073" max="3073" width="4.7109375" style="2345" customWidth="1"/>
    <col min="3074" max="3074" width="6.7109375" style="2345" customWidth="1"/>
    <col min="3075" max="3075" width="8.85546875" style="2345" customWidth="1"/>
    <col min="3076" max="3076" width="47.85546875" style="2345" customWidth="1"/>
    <col min="3077" max="3077" width="12.85546875" style="2345" customWidth="1"/>
    <col min="3078" max="3078" width="15.5703125" style="2345" customWidth="1"/>
    <col min="3079" max="3079" width="15.85546875" style="2345" customWidth="1"/>
    <col min="3080" max="3080" width="6.42578125" style="2345" customWidth="1"/>
    <col min="3081" max="3082" width="9.140625" style="2345"/>
    <col min="3083" max="3084" width="14.7109375" style="2345" bestFit="1" customWidth="1"/>
    <col min="3085" max="3328" width="9.140625" style="2345"/>
    <col min="3329" max="3329" width="4.7109375" style="2345" customWidth="1"/>
    <col min="3330" max="3330" width="6.7109375" style="2345" customWidth="1"/>
    <col min="3331" max="3331" width="8.85546875" style="2345" customWidth="1"/>
    <col min="3332" max="3332" width="47.85546875" style="2345" customWidth="1"/>
    <col min="3333" max="3333" width="12.85546875" style="2345" customWidth="1"/>
    <col min="3334" max="3334" width="15.5703125" style="2345" customWidth="1"/>
    <col min="3335" max="3335" width="15.85546875" style="2345" customWidth="1"/>
    <col min="3336" max="3336" width="6.42578125" style="2345" customWidth="1"/>
    <col min="3337" max="3338" width="9.140625" style="2345"/>
    <col min="3339" max="3340" width="14.7109375" style="2345" bestFit="1" customWidth="1"/>
    <col min="3341" max="3584" width="9.140625" style="2345"/>
    <col min="3585" max="3585" width="4.7109375" style="2345" customWidth="1"/>
    <col min="3586" max="3586" width="6.7109375" style="2345" customWidth="1"/>
    <col min="3587" max="3587" width="8.85546875" style="2345" customWidth="1"/>
    <col min="3588" max="3588" width="47.85546875" style="2345" customWidth="1"/>
    <col min="3589" max="3589" width="12.85546875" style="2345" customWidth="1"/>
    <col min="3590" max="3590" width="15.5703125" style="2345" customWidth="1"/>
    <col min="3591" max="3591" width="15.85546875" style="2345" customWidth="1"/>
    <col min="3592" max="3592" width="6.42578125" style="2345" customWidth="1"/>
    <col min="3593" max="3594" width="9.140625" style="2345"/>
    <col min="3595" max="3596" width="14.7109375" style="2345" bestFit="1" customWidth="1"/>
    <col min="3597" max="3840" width="9.140625" style="2345"/>
    <col min="3841" max="3841" width="4.7109375" style="2345" customWidth="1"/>
    <col min="3842" max="3842" width="6.7109375" style="2345" customWidth="1"/>
    <col min="3843" max="3843" width="8.85546875" style="2345" customWidth="1"/>
    <col min="3844" max="3844" width="47.85546875" style="2345" customWidth="1"/>
    <col min="3845" max="3845" width="12.85546875" style="2345" customWidth="1"/>
    <col min="3846" max="3846" width="15.5703125" style="2345" customWidth="1"/>
    <col min="3847" max="3847" width="15.85546875" style="2345" customWidth="1"/>
    <col min="3848" max="3848" width="6.42578125" style="2345" customWidth="1"/>
    <col min="3849" max="3850" width="9.140625" style="2345"/>
    <col min="3851" max="3852" width="14.7109375" style="2345" bestFit="1" customWidth="1"/>
    <col min="3853" max="4096" width="9.140625" style="2345"/>
    <col min="4097" max="4097" width="4.7109375" style="2345" customWidth="1"/>
    <col min="4098" max="4098" width="6.7109375" style="2345" customWidth="1"/>
    <col min="4099" max="4099" width="8.85546875" style="2345" customWidth="1"/>
    <col min="4100" max="4100" width="47.85546875" style="2345" customWidth="1"/>
    <col min="4101" max="4101" width="12.85546875" style="2345" customWidth="1"/>
    <col min="4102" max="4102" width="15.5703125" style="2345" customWidth="1"/>
    <col min="4103" max="4103" width="15.85546875" style="2345" customWidth="1"/>
    <col min="4104" max="4104" width="6.42578125" style="2345" customWidth="1"/>
    <col min="4105" max="4106" width="9.140625" style="2345"/>
    <col min="4107" max="4108" width="14.7109375" style="2345" bestFit="1" customWidth="1"/>
    <col min="4109" max="4352" width="9.140625" style="2345"/>
    <col min="4353" max="4353" width="4.7109375" style="2345" customWidth="1"/>
    <col min="4354" max="4354" width="6.7109375" style="2345" customWidth="1"/>
    <col min="4355" max="4355" width="8.85546875" style="2345" customWidth="1"/>
    <col min="4356" max="4356" width="47.85546875" style="2345" customWidth="1"/>
    <col min="4357" max="4357" width="12.85546875" style="2345" customWidth="1"/>
    <col min="4358" max="4358" width="15.5703125" style="2345" customWidth="1"/>
    <col min="4359" max="4359" width="15.85546875" style="2345" customWidth="1"/>
    <col min="4360" max="4360" width="6.42578125" style="2345" customWidth="1"/>
    <col min="4361" max="4362" width="9.140625" style="2345"/>
    <col min="4363" max="4364" width="14.7109375" style="2345" bestFit="1" customWidth="1"/>
    <col min="4365" max="4608" width="9.140625" style="2345"/>
    <col min="4609" max="4609" width="4.7109375" style="2345" customWidth="1"/>
    <col min="4610" max="4610" width="6.7109375" style="2345" customWidth="1"/>
    <col min="4611" max="4611" width="8.85546875" style="2345" customWidth="1"/>
    <col min="4612" max="4612" width="47.85546875" style="2345" customWidth="1"/>
    <col min="4613" max="4613" width="12.85546875" style="2345" customWidth="1"/>
    <col min="4614" max="4614" width="15.5703125" style="2345" customWidth="1"/>
    <col min="4615" max="4615" width="15.85546875" style="2345" customWidth="1"/>
    <col min="4616" max="4616" width="6.42578125" style="2345" customWidth="1"/>
    <col min="4617" max="4618" width="9.140625" style="2345"/>
    <col min="4619" max="4620" width="14.7109375" style="2345" bestFit="1" customWidth="1"/>
    <col min="4621" max="4864" width="9.140625" style="2345"/>
    <col min="4865" max="4865" width="4.7109375" style="2345" customWidth="1"/>
    <col min="4866" max="4866" width="6.7109375" style="2345" customWidth="1"/>
    <col min="4867" max="4867" width="8.85546875" style="2345" customWidth="1"/>
    <col min="4868" max="4868" width="47.85546875" style="2345" customWidth="1"/>
    <col min="4869" max="4869" width="12.85546875" style="2345" customWidth="1"/>
    <col min="4870" max="4870" width="15.5703125" style="2345" customWidth="1"/>
    <col min="4871" max="4871" width="15.85546875" style="2345" customWidth="1"/>
    <col min="4872" max="4872" width="6.42578125" style="2345" customWidth="1"/>
    <col min="4873" max="4874" width="9.140625" style="2345"/>
    <col min="4875" max="4876" width="14.7109375" style="2345" bestFit="1" customWidth="1"/>
    <col min="4877" max="5120" width="9.140625" style="2345"/>
    <col min="5121" max="5121" width="4.7109375" style="2345" customWidth="1"/>
    <col min="5122" max="5122" width="6.7109375" style="2345" customWidth="1"/>
    <col min="5123" max="5123" width="8.85546875" style="2345" customWidth="1"/>
    <col min="5124" max="5124" width="47.85546875" style="2345" customWidth="1"/>
    <col min="5125" max="5125" width="12.85546875" style="2345" customWidth="1"/>
    <col min="5126" max="5126" width="15.5703125" style="2345" customWidth="1"/>
    <col min="5127" max="5127" width="15.85546875" style="2345" customWidth="1"/>
    <col min="5128" max="5128" width="6.42578125" style="2345" customWidth="1"/>
    <col min="5129" max="5130" width="9.140625" style="2345"/>
    <col min="5131" max="5132" width="14.7109375" style="2345" bestFit="1" customWidth="1"/>
    <col min="5133" max="5376" width="9.140625" style="2345"/>
    <col min="5377" max="5377" width="4.7109375" style="2345" customWidth="1"/>
    <col min="5378" max="5378" width="6.7109375" style="2345" customWidth="1"/>
    <col min="5379" max="5379" width="8.85546875" style="2345" customWidth="1"/>
    <col min="5380" max="5380" width="47.85546875" style="2345" customWidth="1"/>
    <col min="5381" max="5381" width="12.85546875" style="2345" customWidth="1"/>
    <col min="5382" max="5382" width="15.5703125" style="2345" customWidth="1"/>
    <col min="5383" max="5383" width="15.85546875" style="2345" customWidth="1"/>
    <col min="5384" max="5384" width="6.42578125" style="2345" customWidth="1"/>
    <col min="5385" max="5386" width="9.140625" style="2345"/>
    <col min="5387" max="5388" width="14.7109375" style="2345" bestFit="1" customWidth="1"/>
    <col min="5389" max="5632" width="9.140625" style="2345"/>
    <col min="5633" max="5633" width="4.7109375" style="2345" customWidth="1"/>
    <col min="5634" max="5634" width="6.7109375" style="2345" customWidth="1"/>
    <col min="5635" max="5635" width="8.85546875" style="2345" customWidth="1"/>
    <col min="5636" max="5636" width="47.85546875" style="2345" customWidth="1"/>
    <col min="5637" max="5637" width="12.85546875" style="2345" customWidth="1"/>
    <col min="5638" max="5638" width="15.5703125" style="2345" customWidth="1"/>
    <col min="5639" max="5639" width="15.85546875" style="2345" customWidth="1"/>
    <col min="5640" max="5640" width="6.42578125" style="2345" customWidth="1"/>
    <col min="5641" max="5642" width="9.140625" style="2345"/>
    <col min="5643" max="5644" width="14.7109375" style="2345" bestFit="1" customWidth="1"/>
    <col min="5645" max="5888" width="9.140625" style="2345"/>
    <col min="5889" max="5889" width="4.7109375" style="2345" customWidth="1"/>
    <col min="5890" max="5890" width="6.7109375" style="2345" customWidth="1"/>
    <col min="5891" max="5891" width="8.85546875" style="2345" customWidth="1"/>
    <col min="5892" max="5892" width="47.85546875" style="2345" customWidth="1"/>
    <col min="5893" max="5893" width="12.85546875" style="2345" customWidth="1"/>
    <col min="5894" max="5894" width="15.5703125" style="2345" customWidth="1"/>
    <col min="5895" max="5895" width="15.85546875" style="2345" customWidth="1"/>
    <col min="5896" max="5896" width="6.42578125" style="2345" customWidth="1"/>
    <col min="5897" max="5898" width="9.140625" style="2345"/>
    <col min="5899" max="5900" width="14.7109375" style="2345" bestFit="1" customWidth="1"/>
    <col min="5901" max="6144" width="9.140625" style="2345"/>
    <col min="6145" max="6145" width="4.7109375" style="2345" customWidth="1"/>
    <col min="6146" max="6146" width="6.7109375" style="2345" customWidth="1"/>
    <col min="6147" max="6147" width="8.85546875" style="2345" customWidth="1"/>
    <col min="6148" max="6148" width="47.85546875" style="2345" customWidth="1"/>
    <col min="6149" max="6149" width="12.85546875" style="2345" customWidth="1"/>
    <col min="6150" max="6150" width="15.5703125" style="2345" customWidth="1"/>
    <col min="6151" max="6151" width="15.85546875" style="2345" customWidth="1"/>
    <col min="6152" max="6152" width="6.42578125" style="2345" customWidth="1"/>
    <col min="6153" max="6154" width="9.140625" style="2345"/>
    <col min="6155" max="6156" width="14.7109375" style="2345" bestFit="1" customWidth="1"/>
    <col min="6157" max="6400" width="9.140625" style="2345"/>
    <col min="6401" max="6401" width="4.7109375" style="2345" customWidth="1"/>
    <col min="6402" max="6402" width="6.7109375" style="2345" customWidth="1"/>
    <col min="6403" max="6403" width="8.85546875" style="2345" customWidth="1"/>
    <col min="6404" max="6404" width="47.85546875" style="2345" customWidth="1"/>
    <col min="6405" max="6405" width="12.85546875" style="2345" customWidth="1"/>
    <col min="6406" max="6406" width="15.5703125" style="2345" customWidth="1"/>
    <col min="6407" max="6407" width="15.85546875" style="2345" customWidth="1"/>
    <col min="6408" max="6408" width="6.42578125" style="2345" customWidth="1"/>
    <col min="6409" max="6410" width="9.140625" style="2345"/>
    <col min="6411" max="6412" width="14.7109375" style="2345" bestFit="1" customWidth="1"/>
    <col min="6413" max="6656" width="9.140625" style="2345"/>
    <col min="6657" max="6657" width="4.7109375" style="2345" customWidth="1"/>
    <col min="6658" max="6658" width="6.7109375" style="2345" customWidth="1"/>
    <col min="6659" max="6659" width="8.85546875" style="2345" customWidth="1"/>
    <col min="6660" max="6660" width="47.85546875" style="2345" customWidth="1"/>
    <col min="6661" max="6661" width="12.85546875" style="2345" customWidth="1"/>
    <col min="6662" max="6662" width="15.5703125" style="2345" customWidth="1"/>
    <col min="6663" max="6663" width="15.85546875" style="2345" customWidth="1"/>
    <col min="6664" max="6664" width="6.42578125" style="2345" customWidth="1"/>
    <col min="6665" max="6666" width="9.140625" style="2345"/>
    <col min="6667" max="6668" width="14.7109375" style="2345" bestFit="1" customWidth="1"/>
    <col min="6669" max="6912" width="9.140625" style="2345"/>
    <col min="6913" max="6913" width="4.7109375" style="2345" customWidth="1"/>
    <col min="6914" max="6914" width="6.7109375" style="2345" customWidth="1"/>
    <col min="6915" max="6915" width="8.85546875" style="2345" customWidth="1"/>
    <col min="6916" max="6916" width="47.85546875" style="2345" customWidth="1"/>
    <col min="6917" max="6917" width="12.85546875" style="2345" customWidth="1"/>
    <col min="6918" max="6918" width="15.5703125" style="2345" customWidth="1"/>
    <col min="6919" max="6919" width="15.85546875" style="2345" customWidth="1"/>
    <col min="6920" max="6920" width="6.42578125" style="2345" customWidth="1"/>
    <col min="6921" max="6922" width="9.140625" style="2345"/>
    <col min="6923" max="6924" width="14.7109375" style="2345" bestFit="1" customWidth="1"/>
    <col min="6925" max="7168" width="9.140625" style="2345"/>
    <col min="7169" max="7169" width="4.7109375" style="2345" customWidth="1"/>
    <col min="7170" max="7170" width="6.7109375" style="2345" customWidth="1"/>
    <col min="7171" max="7171" width="8.85546875" style="2345" customWidth="1"/>
    <col min="7172" max="7172" width="47.85546875" style="2345" customWidth="1"/>
    <col min="7173" max="7173" width="12.85546875" style="2345" customWidth="1"/>
    <col min="7174" max="7174" width="15.5703125" style="2345" customWidth="1"/>
    <col min="7175" max="7175" width="15.85546875" style="2345" customWidth="1"/>
    <col min="7176" max="7176" width="6.42578125" style="2345" customWidth="1"/>
    <col min="7177" max="7178" width="9.140625" style="2345"/>
    <col min="7179" max="7180" width="14.7109375" style="2345" bestFit="1" customWidth="1"/>
    <col min="7181" max="7424" width="9.140625" style="2345"/>
    <col min="7425" max="7425" width="4.7109375" style="2345" customWidth="1"/>
    <col min="7426" max="7426" width="6.7109375" style="2345" customWidth="1"/>
    <col min="7427" max="7427" width="8.85546875" style="2345" customWidth="1"/>
    <col min="7428" max="7428" width="47.85546875" style="2345" customWidth="1"/>
    <col min="7429" max="7429" width="12.85546875" style="2345" customWidth="1"/>
    <col min="7430" max="7430" width="15.5703125" style="2345" customWidth="1"/>
    <col min="7431" max="7431" width="15.85546875" style="2345" customWidth="1"/>
    <col min="7432" max="7432" width="6.42578125" style="2345" customWidth="1"/>
    <col min="7433" max="7434" width="9.140625" style="2345"/>
    <col min="7435" max="7436" width="14.7109375" style="2345" bestFit="1" customWidth="1"/>
    <col min="7437" max="7680" width="9.140625" style="2345"/>
    <col min="7681" max="7681" width="4.7109375" style="2345" customWidth="1"/>
    <col min="7682" max="7682" width="6.7109375" style="2345" customWidth="1"/>
    <col min="7683" max="7683" width="8.85546875" style="2345" customWidth="1"/>
    <col min="7684" max="7684" width="47.85546875" style="2345" customWidth="1"/>
    <col min="7685" max="7685" width="12.85546875" style="2345" customWidth="1"/>
    <col min="7686" max="7686" width="15.5703125" style="2345" customWidth="1"/>
    <col min="7687" max="7687" width="15.85546875" style="2345" customWidth="1"/>
    <col min="7688" max="7688" width="6.42578125" style="2345" customWidth="1"/>
    <col min="7689" max="7690" width="9.140625" style="2345"/>
    <col min="7691" max="7692" width="14.7109375" style="2345" bestFit="1" customWidth="1"/>
    <col min="7693" max="7936" width="9.140625" style="2345"/>
    <col min="7937" max="7937" width="4.7109375" style="2345" customWidth="1"/>
    <col min="7938" max="7938" width="6.7109375" style="2345" customWidth="1"/>
    <col min="7939" max="7939" width="8.85546875" style="2345" customWidth="1"/>
    <col min="7940" max="7940" width="47.85546875" style="2345" customWidth="1"/>
    <col min="7941" max="7941" width="12.85546875" style="2345" customWidth="1"/>
    <col min="7942" max="7942" width="15.5703125" style="2345" customWidth="1"/>
    <col min="7943" max="7943" width="15.85546875" style="2345" customWidth="1"/>
    <col min="7944" max="7944" width="6.42578125" style="2345" customWidth="1"/>
    <col min="7945" max="7946" width="9.140625" style="2345"/>
    <col min="7947" max="7948" width="14.7109375" style="2345" bestFit="1" customWidth="1"/>
    <col min="7949" max="8192" width="9.140625" style="2345"/>
    <col min="8193" max="8193" width="4.7109375" style="2345" customWidth="1"/>
    <col min="8194" max="8194" width="6.7109375" style="2345" customWidth="1"/>
    <col min="8195" max="8195" width="8.85546875" style="2345" customWidth="1"/>
    <col min="8196" max="8196" width="47.85546875" style="2345" customWidth="1"/>
    <col min="8197" max="8197" width="12.85546875" style="2345" customWidth="1"/>
    <col min="8198" max="8198" width="15.5703125" style="2345" customWidth="1"/>
    <col min="8199" max="8199" width="15.85546875" style="2345" customWidth="1"/>
    <col min="8200" max="8200" width="6.42578125" style="2345" customWidth="1"/>
    <col min="8201" max="8202" width="9.140625" style="2345"/>
    <col min="8203" max="8204" width="14.7109375" style="2345" bestFit="1" customWidth="1"/>
    <col min="8205" max="8448" width="9.140625" style="2345"/>
    <col min="8449" max="8449" width="4.7109375" style="2345" customWidth="1"/>
    <col min="8450" max="8450" width="6.7109375" style="2345" customWidth="1"/>
    <col min="8451" max="8451" width="8.85546875" style="2345" customWidth="1"/>
    <col min="8452" max="8452" width="47.85546875" style="2345" customWidth="1"/>
    <col min="8453" max="8453" width="12.85546875" style="2345" customWidth="1"/>
    <col min="8454" max="8454" width="15.5703125" style="2345" customWidth="1"/>
    <col min="8455" max="8455" width="15.85546875" style="2345" customWidth="1"/>
    <col min="8456" max="8456" width="6.42578125" style="2345" customWidth="1"/>
    <col min="8457" max="8458" width="9.140625" style="2345"/>
    <col min="8459" max="8460" width="14.7109375" style="2345" bestFit="1" customWidth="1"/>
    <col min="8461" max="8704" width="9.140625" style="2345"/>
    <col min="8705" max="8705" width="4.7109375" style="2345" customWidth="1"/>
    <col min="8706" max="8706" width="6.7109375" style="2345" customWidth="1"/>
    <col min="8707" max="8707" width="8.85546875" style="2345" customWidth="1"/>
    <col min="8708" max="8708" width="47.85546875" style="2345" customWidth="1"/>
    <col min="8709" max="8709" width="12.85546875" style="2345" customWidth="1"/>
    <col min="8710" max="8710" width="15.5703125" style="2345" customWidth="1"/>
    <col min="8711" max="8711" width="15.85546875" style="2345" customWidth="1"/>
    <col min="8712" max="8712" width="6.42578125" style="2345" customWidth="1"/>
    <col min="8713" max="8714" width="9.140625" style="2345"/>
    <col min="8715" max="8716" width="14.7109375" style="2345" bestFit="1" customWidth="1"/>
    <col min="8717" max="8960" width="9.140625" style="2345"/>
    <col min="8961" max="8961" width="4.7109375" style="2345" customWidth="1"/>
    <col min="8962" max="8962" width="6.7109375" style="2345" customWidth="1"/>
    <col min="8963" max="8963" width="8.85546875" style="2345" customWidth="1"/>
    <col min="8964" max="8964" width="47.85546875" style="2345" customWidth="1"/>
    <col min="8965" max="8965" width="12.85546875" style="2345" customWidth="1"/>
    <col min="8966" max="8966" width="15.5703125" style="2345" customWidth="1"/>
    <col min="8967" max="8967" width="15.85546875" style="2345" customWidth="1"/>
    <col min="8968" max="8968" width="6.42578125" style="2345" customWidth="1"/>
    <col min="8969" max="8970" width="9.140625" style="2345"/>
    <col min="8971" max="8972" width="14.7109375" style="2345" bestFit="1" customWidth="1"/>
    <col min="8973" max="9216" width="9.140625" style="2345"/>
    <col min="9217" max="9217" width="4.7109375" style="2345" customWidth="1"/>
    <col min="9218" max="9218" width="6.7109375" style="2345" customWidth="1"/>
    <col min="9219" max="9219" width="8.85546875" style="2345" customWidth="1"/>
    <col min="9220" max="9220" width="47.85546875" style="2345" customWidth="1"/>
    <col min="9221" max="9221" width="12.85546875" style="2345" customWidth="1"/>
    <col min="9222" max="9222" width="15.5703125" style="2345" customWidth="1"/>
    <col min="9223" max="9223" width="15.85546875" style="2345" customWidth="1"/>
    <col min="9224" max="9224" width="6.42578125" style="2345" customWidth="1"/>
    <col min="9225" max="9226" width="9.140625" style="2345"/>
    <col min="9227" max="9228" width="14.7109375" style="2345" bestFit="1" customWidth="1"/>
    <col min="9229" max="9472" width="9.140625" style="2345"/>
    <col min="9473" max="9473" width="4.7109375" style="2345" customWidth="1"/>
    <col min="9474" max="9474" width="6.7109375" style="2345" customWidth="1"/>
    <col min="9475" max="9475" width="8.85546875" style="2345" customWidth="1"/>
    <col min="9476" max="9476" width="47.85546875" style="2345" customWidth="1"/>
    <col min="9477" max="9477" width="12.85546875" style="2345" customWidth="1"/>
    <col min="9478" max="9478" width="15.5703125" style="2345" customWidth="1"/>
    <col min="9479" max="9479" width="15.85546875" style="2345" customWidth="1"/>
    <col min="9480" max="9480" width="6.42578125" style="2345" customWidth="1"/>
    <col min="9481" max="9482" width="9.140625" style="2345"/>
    <col min="9483" max="9484" width="14.7109375" style="2345" bestFit="1" customWidth="1"/>
    <col min="9485" max="9728" width="9.140625" style="2345"/>
    <col min="9729" max="9729" width="4.7109375" style="2345" customWidth="1"/>
    <col min="9730" max="9730" width="6.7109375" style="2345" customWidth="1"/>
    <col min="9731" max="9731" width="8.85546875" style="2345" customWidth="1"/>
    <col min="9732" max="9732" width="47.85546875" style="2345" customWidth="1"/>
    <col min="9733" max="9733" width="12.85546875" style="2345" customWidth="1"/>
    <col min="9734" max="9734" width="15.5703125" style="2345" customWidth="1"/>
    <col min="9735" max="9735" width="15.85546875" style="2345" customWidth="1"/>
    <col min="9736" max="9736" width="6.42578125" style="2345" customWidth="1"/>
    <col min="9737" max="9738" width="9.140625" style="2345"/>
    <col min="9739" max="9740" width="14.7109375" style="2345" bestFit="1" customWidth="1"/>
    <col min="9741" max="9984" width="9.140625" style="2345"/>
    <col min="9985" max="9985" width="4.7109375" style="2345" customWidth="1"/>
    <col min="9986" max="9986" width="6.7109375" style="2345" customWidth="1"/>
    <col min="9987" max="9987" width="8.85546875" style="2345" customWidth="1"/>
    <col min="9988" max="9988" width="47.85546875" style="2345" customWidth="1"/>
    <col min="9989" max="9989" width="12.85546875" style="2345" customWidth="1"/>
    <col min="9990" max="9990" width="15.5703125" style="2345" customWidth="1"/>
    <col min="9991" max="9991" width="15.85546875" style="2345" customWidth="1"/>
    <col min="9992" max="9992" width="6.42578125" style="2345" customWidth="1"/>
    <col min="9993" max="9994" width="9.140625" style="2345"/>
    <col min="9995" max="9996" width="14.7109375" style="2345" bestFit="1" customWidth="1"/>
    <col min="9997" max="10240" width="9.140625" style="2345"/>
    <col min="10241" max="10241" width="4.7109375" style="2345" customWidth="1"/>
    <col min="10242" max="10242" width="6.7109375" style="2345" customWidth="1"/>
    <col min="10243" max="10243" width="8.85546875" style="2345" customWidth="1"/>
    <col min="10244" max="10244" width="47.85546875" style="2345" customWidth="1"/>
    <col min="10245" max="10245" width="12.85546875" style="2345" customWidth="1"/>
    <col min="10246" max="10246" width="15.5703125" style="2345" customWidth="1"/>
    <col min="10247" max="10247" width="15.85546875" style="2345" customWidth="1"/>
    <col min="10248" max="10248" width="6.42578125" style="2345" customWidth="1"/>
    <col min="10249" max="10250" width="9.140625" style="2345"/>
    <col min="10251" max="10252" width="14.7109375" style="2345" bestFit="1" customWidth="1"/>
    <col min="10253" max="10496" width="9.140625" style="2345"/>
    <col min="10497" max="10497" width="4.7109375" style="2345" customWidth="1"/>
    <col min="10498" max="10498" width="6.7109375" style="2345" customWidth="1"/>
    <col min="10499" max="10499" width="8.85546875" style="2345" customWidth="1"/>
    <col min="10500" max="10500" width="47.85546875" style="2345" customWidth="1"/>
    <col min="10501" max="10501" width="12.85546875" style="2345" customWidth="1"/>
    <col min="10502" max="10502" width="15.5703125" style="2345" customWidth="1"/>
    <col min="10503" max="10503" width="15.85546875" style="2345" customWidth="1"/>
    <col min="10504" max="10504" width="6.42578125" style="2345" customWidth="1"/>
    <col min="10505" max="10506" width="9.140625" style="2345"/>
    <col min="10507" max="10508" width="14.7109375" style="2345" bestFit="1" customWidth="1"/>
    <col min="10509" max="10752" width="9.140625" style="2345"/>
    <col min="10753" max="10753" width="4.7109375" style="2345" customWidth="1"/>
    <col min="10754" max="10754" width="6.7109375" style="2345" customWidth="1"/>
    <col min="10755" max="10755" width="8.85546875" style="2345" customWidth="1"/>
    <col min="10756" max="10756" width="47.85546875" style="2345" customWidth="1"/>
    <col min="10757" max="10757" width="12.85546875" style="2345" customWidth="1"/>
    <col min="10758" max="10758" width="15.5703125" style="2345" customWidth="1"/>
    <col min="10759" max="10759" width="15.85546875" style="2345" customWidth="1"/>
    <col min="10760" max="10760" width="6.42578125" style="2345" customWidth="1"/>
    <col min="10761" max="10762" width="9.140625" style="2345"/>
    <col min="10763" max="10764" width="14.7109375" style="2345" bestFit="1" customWidth="1"/>
    <col min="10765" max="11008" width="9.140625" style="2345"/>
    <col min="11009" max="11009" width="4.7109375" style="2345" customWidth="1"/>
    <col min="11010" max="11010" width="6.7109375" style="2345" customWidth="1"/>
    <col min="11011" max="11011" width="8.85546875" style="2345" customWidth="1"/>
    <col min="11012" max="11012" width="47.85546875" style="2345" customWidth="1"/>
    <col min="11013" max="11013" width="12.85546875" style="2345" customWidth="1"/>
    <col min="11014" max="11014" width="15.5703125" style="2345" customWidth="1"/>
    <col min="11015" max="11015" width="15.85546875" style="2345" customWidth="1"/>
    <col min="11016" max="11016" width="6.42578125" style="2345" customWidth="1"/>
    <col min="11017" max="11018" width="9.140625" style="2345"/>
    <col min="11019" max="11020" width="14.7109375" style="2345" bestFit="1" customWidth="1"/>
    <col min="11021" max="11264" width="9.140625" style="2345"/>
    <col min="11265" max="11265" width="4.7109375" style="2345" customWidth="1"/>
    <col min="11266" max="11266" width="6.7109375" style="2345" customWidth="1"/>
    <col min="11267" max="11267" width="8.85546875" style="2345" customWidth="1"/>
    <col min="11268" max="11268" width="47.85546875" style="2345" customWidth="1"/>
    <col min="11269" max="11269" width="12.85546875" style="2345" customWidth="1"/>
    <col min="11270" max="11270" width="15.5703125" style="2345" customWidth="1"/>
    <col min="11271" max="11271" width="15.85546875" style="2345" customWidth="1"/>
    <col min="11272" max="11272" width="6.42578125" style="2345" customWidth="1"/>
    <col min="11273" max="11274" width="9.140625" style="2345"/>
    <col min="11275" max="11276" width="14.7109375" style="2345" bestFit="1" customWidth="1"/>
    <col min="11277" max="11520" width="9.140625" style="2345"/>
    <col min="11521" max="11521" width="4.7109375" style="2345" customWidth="1"/>
    <col min="11522" max="11522" width="6.7109375" style="2345" customWidth="1"/>
    <col min="11523" max="11523" width="8.85546875" style="2345" customWidth="1"/>
    <col min="11524" max="11524" width="47.85546875" style="2345" customWidth="1"/>
    <col min="11525" max="11525" width="12.85546875" style="2345" customWidth="1"/>
    <col min="11526" max="11526" width="15.5703125" style="2345" customWidth="1"/>
    <col min="11527" max="11527" width="15.85546875" style="2345" customWidth="1"/>
    <col min="11528" max="11528" width="6.42578125" style="2345" customWidth="1"/>
    <col min="11529" max="11530" width="9.140625" style="2345"/>
    <col min="11531" max="11532" width="14.7109375" style="2345" bestFit="1" customWidth="1"/>
    <col min="11533" max="11776" width="9.140625" style="2345"/>
    <col min="11777" max="11777" width="4.7109375" style="2345" customWidth="1"/>
    <col min="11778" max="11778" width="6.7109375" style="2345" customWidth="1"/>
    <col min="11779" max="11779" width="8.85546875" style="2345" customWidth="1"/>
    <col min="11780" max="11780" width="47.85546875" style="2345" customWidth="1"/>
    <col min="11781" max="11781" width="12.85546875" style="2345" customWidth="1"/>
    <col min="11782" max="11782" width="15.5703125" style="2345" customWidth="1"/>
    <col min="11783" max="11783" width="15.85546875" style="2345" customWidth="1"/>
    <col min="11784" max="11784" width="6.42578125" style="2345" customWidth="1"/>
    <col min="11785" max="11786" width="9.140625" style="2345"/>
    <col min="11787" max="11788" width="14.7109375" style="2345" bestFit="1" customWidth="1"/>
    <col min="11789" max="12032" width="9.140625" style="2345"/>
    <col min="12033" max="12033" width="4.7109375" style="2345" customWidth="1"/>
    <col min="12034" max="12034" width="6.7109375" style="2345" customWidth="1"/>
    <col min="12035" max="12035" width="8.85546875" style="2345" customWidth="1"/>
    <col min="12036" max="12036" width="47.85546875" style="2345" customWidth="1"/>
    <col min="12037" max="12037" width="12.85546875" style="2345" customWidth="1"/>
    <col min="12038" max="12038" width="15.5703125" style="2345" customWidth="1"/>
    <col min="12039" max="12039" width="15.85546875" style="2345" customWidth="1"/>
    <col min="12040" max="12040" width="6.42578125" style="2345" customWidth="1"/>
    <col min="12041" max="12042" width="9.140625" style="2345"/>
    <col min="12043" max="12044" width="14.7109375" style="2345" bestFit="1" customWidth="1"/>
    <col min="12045" max="12288" width="9.140625" style="2345"/>
    <col min="12289" max="12289" width="4.7109375" style="2345" customWidth="1"/>
    <col min="12290" max="12290" width="6.7109375" style="2345" customWidth="1"/>
    <col min="12291" max="12291" width="8.85546875" style="2345" customWidth="1"/>
    <col min="12292" max="12292" width="47.85546875" style="2345" customWidth="1"/>
    <col min="12293" max="12293" width="12.85546875" style="2345" customWidth="1"/>
    <col min="12294" max="12294" width="15.5703125" style="2345" customWidth="1"/>
    <col min="12295" max="12295" width="15.85546875" style="2345" customWidth="1"/>
    <col min="12296" max="12296" width="6.42578125" style="2345" customWidth="1"/>
    <col min="12297" max="12298" width="9.140625" style="2345"/>
    <col min="12299" max="12300" width="14.7109375" style="2345" bestFit="1" customWidth="1"/>
    <col min="12301" max="12544" width="9.140625" style="2345"/>
    <col min="12545" max="12545" width="4.7109375" style="2345" customWidth="1"/>
    <col min="12546" max="12546" width="6.7109375" style="2345" customWidth="1"/>
    <col min="12547" max="12547" width="8.85546875" style="2345" customWidth="1"/>
    <col min="12548" max="12548" width="47.85546875" style="2345" customWidth="1"/>
    <col min="12549" max="12549" width="12.85546875" style="2345" customWidth="1"/>
    <col min="12550" max="12550" width="15.5703125" style="2345" customWidth="1"/>
    <col min="12551" max="12551" width="15.85546875" style="2345" customWidth="1"/>
    <col min="12552" max="12552" width="6.42578125" style="2345" customWidth="1"/>
    <col min="12553" max="12554" width="9.140625" style="2345"/>
    <col min="12555" max="12556" width="14.7109375" style="2345" bestFit="1" customWidth="1"/>
    <col min="12557" max="12800" width="9.140625" style="2345"/>
    <col min="12801" max="12801" width="4.7109375" style="2345" customWidth="1"/>
    <col min="12802" max="12802" width="6.7109375" style="2345" customWidth="1"/>
    <col min="12803" max="12803" width="8.85546875" style="2345" customWidth="1"/>
    <col min="12804" max="12804" width="47.85546875" style="2345" customWidth="1"/>
    <col min="12805" max="12805" width="12.85546875" style="2345" customWidth="1"/>
    <col min="12806" max="12806" width="15.5703125" style="2345" customWidth="1"/>
    <col min="12807" max="12807" width="15.85546875" style="2345" customWidth="1"/>
    <col min="12808" max="12808" width="6.42578125" style="2345" customWidth="1"/>
    <col min="12809" max="12810" width="9.140625" style="2345"/>
    <col min="12811" max="12812" width="14.7109375" style="2345" bestFit="1" customWidth="1"/>
    <col min="12813" max="13056" width="9.140625" style="2345"/>
    <col min="13057" max="13057" width="4.7109375" style="2345" customWidth="1"/>
    <col min="13058" max="13058" width="6.7109375" style="2345" customWidth="1"/>
    <col min="13059" max="13059" width="8.85546875" style="2345" customWidth="1"/>
    <col min="13060" max="13060" width="47.85546875" style="2345" customWidth="1"/>
    <col min="13061" max="13061" width="12.85546875" style="2345" customWidth="1"/>
    <col min="13062" max="13062" width="15.5703125" style="2345" customWidth="1"/>
    <col min="13063" max="13063" width="15.85546875" style="2345" customWidth="1"/>
    <col min="13064" max="13064" width="6.42578125" style="2345" customWidth="1"/>
    <col min="13065" max="13066" width="9.140625" style="2345"/>
    <col min="13067" max="13068" width="14.7109375" style="2345" bestFit="1" customWidth="1"/>
    <col min="13069" max="13312" width="9.140625" style="2345"/>
    <col min="13313" max="13313" width="4.7109375" style="2345" customWidth="1"/>
    <col min="13314" max="13314" width="6.7109375" style="2345" customWidth="1"/>
    <col min="13315" max="13315" width="8.85546875" style="2345" customWidth="1"/>
    <col min="13316" max="13316" width="47.85546875" style="2345" customWidth="1"/>
    <col min="13317" max="13317" width="12.85546875" style="2345" customWidth="1"/>
    <col min="13318" max="13318" width="15.5703125" style="2345" customWidth="1"/>
    <col min="13319" max="13319" width="15.85546875" style="2345" customWidth="1"/>
    <col min="13320" max="13320" width="6.42578125" style="2345" customWidth="1"/>
    <col min="13321" max="13322" width="9.140625" style="2345"/>
    <col min="13323" max="13324" width="14.7109375" style="2345" bestFit="1" customWidth="1"/>
    <col min="13325" max="13568" width="9.140625" style="2345"/>
    <col min="13569" max="13569" width="4.7109375" style="2345" customWidth="1"/>
    <col min="13570" max="13570" width="6.7109375" style="2345" customWidth="1"/>
    <col min="13571" max="13571" width="8.85546875" style="2345" customWidth="1"/>
    <col min="13572" max="13572" width="47.85546875" style="2345" customWidth="1"/>
    <col min="13573" max="13573" width="12.85546875" style="2345" customWidth="1"/>
    <col min="13574" max="13574" width="15.5703125" style="2345" customWidth="1"/>
    <col min="13575" max="13575" width="15.85546875" style="2345" customWidth="1"/>
    <col min="13576" max="13576" width="6.42578125" style="2345" customWidth="1"/>
    <col min="13577" max="13578" width="9.140625" style="2345"/>
    <col min="13579" max="13580" width="14.7109375" style="2345" bestFit="1" customWidth="1"/>
    <col min="13581" max="13824" width="9.140625" style="2345"/>
    <col min="13825" max="13825" width="4.7109375" style="2345" customWidth="1"/>
    <col min="13826" max="13826" width="6.7109375" style="2345" customWidth="1"/>
    <col min="13827" max="13827" width="8.85546875" style="2345" customWidth="1"/>
    <col min="13828" max="13828" width="47.85546875" style="2345" customWidth="1"/>
    <col min="13829" max="13829" width="12.85546875" style="2345" customWidth="1"/>
    <col min="13830" max="13830" width="15.5703125" style="2345" customWidth="1"/>
    <col min="13831" max="13831" width="15.85546875" style="2345" customWidth="1"/>
    <col min="13832" max="13832" width="6.42578125" style="2345" customWidth="1"/>
    <col min="13833" max="13834" width="9.140625" style="2345"/>
    <col min="13835" max="13836" width="14.7109375" style="2345" bestFit="1" customWidth="1"/>
    <col min="13837" max="14080" width="9.140625" style="2345"/>
    <col min="14081" max="14081" width="4.7109375" style="2345" customWidth="1"/>
    <col min="14082" max="14082" width="6.7109375" style="2345" customWidth="1"/>
    <col min="14083" max="14083" width="8.85546875" style="2345" customWidth="1"/>
    <col min="14084" max="14084" width="47.85546875" style="2345" customWidth="1"/>
    <col min="14085" max="14085" width="12.85546875" style="2345" customWidth="1"/>
    <col min="14086" max="14086" width="15.5703125" style="2345" customWidth="1"/>
    <col min="14087" max="14087" width="15.85546875" style="2345" customWidth="1"/>
    <col min="14088" max="14088" width="6.42578125" style="2345" customWidth="1"/>
    <col min="14089" max="14090" width="9.140625" style="2345"/>
    <col min="14091" max="14092" width="14.7109375" style="2345" bestFit="1" customWidth="1"/>
    <col min="14093" max="14336" width="9.140625" style="2345"/>
    <col min="14337" max="14337" width="4.7109375" style="2345" customWidth="1"/>
    <col min="14338" max="14338" width="6.7109375" style="2345" customWidth="1"/>
    <col min="14339" max="14339" width="8.85546875" style="2345" customWidth="1"/>
    <col min="14340" max="14340" width="47.85546875" style="2345" customWidth="1"/>
    <col min="14341" max="14341" width="12.85546875" style="2345" customWidth="1"/>
    <col min="14342" max="14342" width="15.5703125" style="2345" customWidth="1"/>
    <col min="14343" max="14343" width="15.85546875" style="2345" customWidth="1"/>
    <col min="14344" max="14344" width="6.42578125" style="2345" customWidth="1"/>
    <col min="14345" max="14346" width="9.140625" style="2345"/>
    <col min="14347" max="14348" width="14.7109375" style="2345" bestFit="1" customWidth="1"/>
    <col min="14349" max="14592" width="9.140625" style="2345"/>
    <col min="14593" max="14593" width="4.7109375" style="2345" customWidth="1"/>
    <col min="14594" max="14594" width="6.7109375" style="2345" customWidth="1"/>
    <col min="14595" max="14595" width="8.85546875" style="2345" customWidth="1"/>
    <col min="14596" max="14596" width="47.85546875" style="2345" customWidth="1"/>
    <col min="14597" max="14597" width="12.85546875" style="2345" customWidth="1"/>
    <col min="14598" max="14598" width="15.5703125" style="2345" customWidth="1"/>
    <col min="14599" max="14599" width="15.85546875" style="2345" customWidth="1"/>
    <col min="14600" max="14600" width="6.42578125" style="2345" customWidth="1"/>
    <col min="14601" max="14602" width="9.140625" style="2345"/>
    <col min="14603" max="14604" width="14.7109375" style="2345" bestFit="1" customWidth="1"/>
    <col min="14605" max="14848" width="9.140625" style="2345"/>
    <col min="14849" max="14849" width="4.7109375" style="2345" customWidth="1"/>
    <col min="14850" max="14850" width="6.7109375" style="2345" customWidth="1"/>
    <col min="14851" max="14851" width="8.85546875" style="2345" customWidth="1"/>
    <col min="14852" max="14852" width="47.85546875" style="2345" customWidth="1"/>
    <col min="14853" max="14853" width="12.85546875" style="2345" customWidth="1"/>
    <col min="14854" max="14854" width="15.5703125" style="2345" customWidth="1"/>
    <col min="14855" max="14855" width="15.85546875" style="2345" customWidth="1"/>
    <col min="14856" max="14856" width="6.42578125" style="2345" customWidth="1"/>
    <col min="14857" max="14858" width="9.140625" style="2345"/>
    <col min="14859" max="14860" width="14.7109375" style="2345" bestFit="1" customWidth="1"/>
    <col min="14861" max="15104" width="9.140625" style="2345"/>
    <col min="15105" max="15105" width="4.7109375" style="2345" customWidth="1"/>
    <col min="15106" max="15106" width="6.7109375" style="2345" customWidth="1"/>
    <col min="15107" max="15107" width="8.85546875" style="2345" customWidth="1"/>
    <col min="15108" max="15108" width="47.85546875" style="2345" customWidth="1"/>
    <col min="15109" max="15109" width="12.85546875" style="2345" customWidth="1"/>
    <col min="15110" max="15110" width="15.5703125" style="2345" customWidth="1"/>
    <col min="15111" max="15111" width="15.85546875" style="2345" customWidth="1"/>
    <col min="15112" max="15112" width="6.42578125" style="2345" customWidth="1"/>
    <col min="15113" max="15114" width="9.140625" style="2345"/>
    <col min="15115" max="15116" width="14.7109375" style="2345" bestFit="1" customWidth="1"/>
    <col min="15117" max="15360" width="9.140625" style="2345"/>
    <col min="15361" max="15361" width="4.7109375" style="2345" customWidth="1"/>
    <col min="15362" max="15362" width="6.7109375" style="2345" customWidth="1"/>
    <col min="15363" max="15363" width="8.85546875" style="2345" customWidth="1"/>
    <col min="15364" max="15364" width="47.85546875" style="2345" customWidth="1"/>
    <col min="15365" max="15365" width="12.85546875" style="2345" customWidth="1"/>
    <col min="15366" max="15366" width="15.5703125" style="2345" customWidth="1"/>
    <col min="15367" max="15367" width="15.85546875" style="2345" customWidth="1"/>
    <col min="15368" max="15368" width="6.42578125" style="2345" customWidth="1"/>
    <col min="15369" max="15370" width="9.140625" style="2345"/>
    <col min="15371" max="15372" width="14.7109375" style="2345" bestFit="1" customWidth="1"/>
    <col min="15373" max="15616" width="9.140625" style="2345"/>
    <col min="15617" max="15617" width="4.7109375" style="2345" customWidth="1"/>
    <col min="15618" max="15618" width="6.7109375" style="2345" customWidth="1"/>
    <col min="15619" max="15619" width="8.85546875" style="2345" customWidth="1"/>
    <col min="15620" max="15620" width="47.85546875" style="2345" customWidth="1"/>
    <col min="15621" max="15621" width="12.85546875" style="2345" customWidth="1"/>
    <col min="15622" max="15622" width="15.5703125" style="2345" customWidth="1"/>
    <col min="15623" max="15623" width="15.85546875" style="2345" customWidth="1"/>
    <col min="15624" max="15624" width="6.42578125" style="2345" customWidth="1"/>
    <col min="15625" max="15626" width="9.140625" style="2345"/>
    <col min="15627" max="15628" width="14.7109375" style="2345" bestFit="1" customWidth="1"/>
    <col min="15629" max="15872" width="9.140625" style="2345"/>
    <col min="15873" max="15873" width="4.7109375" style="2345" customWidth="1"/>
    <col min="15874" max="15874" width="6.7109375" style="2345" customWidth="1"/>
    <col min="15875" max="15875" width="8.85546875" style="2345" customWidth="1"/>
    <col min="15876" max="15876" width="47.85546875" style="2345" customWidth="1"/>
    <col min="15877" max="15877" width="12.85546875" style="2345" customWidth="1"/>
    <col min="15878" max="15878" width="15.5703125" style="2345" customWidth="1"/>
    <col min="15879" max="15879" width="15.85546875" style="2345" customWidth="1"/>
    <col min="15880" max="15880" width="6.42578125" style="2345" customWidth="1"/>
    <col min="15881" max="15882" width="9.140625" style="2345"/>
    <col min="15883" max="15884" width="14.7109375" style="2345" bestFit="1" customWidth="1"/>
    <col min="15885" max="16128" width="9.140625" style="2345"/>
    <col min="16129" max="16129" width="4.7109375" style="2345" customWidth="1"/>
    <col min="16130" max="16130" width="6.7109375" style="2345" customWidth="1"/>
    <col min="16131" max="16131" width="8.85546875" style="2345" customWidth="1"/>
    <col min="16132" max="16132" width="47.85546875" style="2345" customWidth="1"/>
    <col min="16133" max="16133" width="12.85546875" style="2345" customWidth="1"/>
    <col min="16134" max="16134" width="15.5703125" style="2345" customWidth="1"/>
    <col min="16135" max="16135" width="15.85546875" style="2345" customWidth="1"/>
    <col min="16136" max="16136" width="6.42578125" style="2345" customWidth="1"/>
    <col min="16137" max="16138" width="9.140625" style="2345"/>
    <col min="16139" max="16140" width="14.7109375" style="2345" bestFit="1" customWidth="1"/>
    <col min="16141" max="16384" width="9.140625" style="2345"/>
  </cols>
  <sheetData>
    <row r="1" spans="1:8" ht="18.75" thickBot="1" x14ac:dyDescent="0.3">
      <c r="A1" s="2134" t="s">
        <v>1618</v>
      </c>
      <c r="B1" s="2340"/>
      <c r="C1" s="2341"/>
      <c r="D1" s="2342"/>
      <c r="E1" s="2343"/>
      <c r="F1" s="2342"/>
      <c r="G1" s="2344"/>
      <c r="H1" s="2339"/>
    </row>
    <row r="2" spans="1:8" ht="18" x14ac:dyDescent="0.25">
      <c r="A2" s="2346"/>
      <c r="B2" s="2347"/>
      <c r="C2" s="2347"/>
      <c r="D2" s="2347"/>
      <c r="E2" s="2347"/>
      <c r="F2" s="2347"/>
      <c r="G2" s="2347"/>
      <c r="H2" s="2348" t="s">
        <v>1617</v>
      </c>
    </row>
    <row r="3" spans="1:8" ht="18" x14ac:dyDescent="0.25">
      <c r="A3" s="2349" t="s">
        <v>404</v>
      </c>
      <c r="B3" s="2347"/>
      <c r="C3" s="2350" t="s">
        <v>379</v>
      </c>
      <c r="D3" s="2347"/>
      <c r="E3" s="2347"/>
      <c r="F3" s="2347"/>
      <c r="G3" s="2347"/>
      <c r="H3" s="2348"/>
    </row>
    <row r="4" spans="1:8" ht="18" x14ac:dyDescent="0.25">
      <c r="A4" s="2346"/>
      <c r="B4" s="2347"/>
      <c r="C4" s="2350" t="s">
        <v>380</v>
      </c>
      <c r="D4" s="2347"/>
      <c r="E4" s="2347"/>
      <c r="F4" s="2347"/>
      <c r="G4" s="2347"/>
      <c r="H4" s="2348"/>
    </row>
    <row r="5" spans="1:8" ht="18" x14ac:dyDescent="0.25">
      <c r="A5" s="2134" t="s">
        <v>1616</v>
      </c>
      <c r="B5" s="2347"/>
      <c r="C5" s="2347"/>
      <c r="D5" s="2347"/>
      <c r="E5" s="2347"/>
      <c r="F5" s="2347"/>
      <c r="G5" s="2347"/>
      <c r="H5" s="2348"/>
    </row>
    <row r="6" spans="1:8" x14ac:dyDescent="0.2">
      <c r="A6" s="2352"/>
      <c r="B6" s="2352"/>
      <c r="C6" s="2352"/>
      <c r="E6" s="2353"/>
      <c r="F6" s="2353"/>
      <c r="G6" s="2353"/>
    </row>
    <row r="7" spans="1:8" ht="15.75" thickBot="1" x14ac:dyDescent="0.3">
      <c r="A7" s="2338" t="s">
        <v>273</v>
      </c>
      <c r="B7" s="2352"/>
      <c r="C7" s="2352"/>
      <c r="E7" s="2353"/>
      <c r="F7" s="2353"/>
      <c r="G7" s="2353"/>
      <c r="H7" s="2354" t="s">
        <v>179</v>
      </c>
    </row>
    <row r="8" spans="1:8" ht="25.5" thickTop="1" thickBot="1" x14ac:dyDescent="0.25">
      <c r="A8" s="2138" t="s">
        <v>180</v>
      </c>
      <c r="B8" s="2139" t="s">
        <v>847</v>
      </c>
      <c r="C8" s="2139" t="s">
        <v>414</v>
      </c>
      <c r="D8" s="2140" t="s">
        <v>182</v>
      </c>
      <c r="E8" s="2171" t="s">
        <v>700</v>
      </c>
      <c r="F8" s="2171" t="s">
        <v>701</v>
      </c>
      <c r="G8" s="2172" t="s">
        <v>986</v>
      </c>
      <c r="H8" s="2173" t="s">
        <v>987</v>
      </c>
    </row>
    <row r="9" spans="1:8" ht="14.25" thickTop="1" thickBot="1" x14ac:dyDescent="0.25">
      <c r="A9" s="1854">
        <v>1</v>
      </c>
      <c r="B9" s="1853">
        <v>2</v>
      </c>
      <c r="C9" s="1853">
        <v>3</v>
      </c>
      <c r="D9" s="1853">
        <v>4</v>
      </c>
      <c r="E9" s="1852">
        <v>5</v>
      </c>
      <c r="F9" s="1852">
        <v>6</v>
      </c>
      <c r="G9" s="2223">
        <v>7</v>
      </c>
      <c r="H9" s="2251" t="s">
        <v>61</v>
      </c>
    </row>
    <row r="10" spans="1:8" ht="15.75" thickTop="1" x14ac:dyDescent="0.2">
      <c r="A10" s="2366">
        <v>3299</v>
      </c>
      <c r="B10" s="2367">
        <v>5011</v>
      </c>
      <c r="C10" s="2367">
        <v>32133007</v>
      </c>
      <c r="D10" s="2368" t="s">
        <v>225</v>
      </c>
      <c r="E10" s="2369">
        <v>0</v>
      </c>
      <c r="F10" s="2369">
        <v>485</v>
      </c>
      <c r="G10" s="2369">
        <v>349</v>
      </c>
      <c r="H10" s="2370">
        <f t="shared" ref="H10:H27" si="0">G10/F10*100</f>
        <v>71.958762886597938</v>
      </c>
    </row>
    <row r="11" spans="1:8" ht="15" x14ac:dyDescent="0.2">
      <c r="A11" s="2371">
        <v>3299</v>
      </c>
      <c r="B11" s="2372">
        <v>5011</v>
      </c>
      <c r="C11" s="2372">
        <v>32533007</v>
      </c>
      <c r="D11" s="2373" t="s">
        <v>225</v>
      </c>
      <c r="E11" s="2374">
        <v>0</v>
      </c>
      <c r="F11" s="2374">
        <v>2747</v>
      </c>
      <c r="G11" s="2374">
        <v>1976</v>
      </c>
      <c r="H11" s="2375">
        <f t="shared" si="0"/>
        <v>71.93301783764106</v>
      </c>
    </row>
    <row r="12" spans="1:8" ht="30" x14ac:dyDescent="0.2">
      <c r="A12" s="2371">
        <v>3299</v>
      </c>
      <c r="B12" s="2372">
        <v>5031</v>
      </c>
      <c r="C12" s="2372">
        <v>32133007</v>
      </c>
      <c r="D12" s="2373" t="s">
        <v>1459</v>
      </c>
      <c r="E12" s="2374">
        <v>0</v>
      </c>
      <c r="F12" s="2374">
        <v>121</v>
      </c>
      <c r="G12" s="2374">
        <v>87</v>
      </c>
      <c r="H12" s="2375">
        <f t="shared" si="0"/>
        <v>71.900826446281002</v>
      </c>
    </row>
    <row r="13" spans="1:8" ht="30" x14ac:dyDescent="0.2">
      <c r="A13" s="2371">
        <v>3299</v>
      </c>
      <c r="B13" s="2372">
        <v>5031</v>
      </c>
      <c r="C13" s="2372">
        <v>32533007</v>
      </c>
      <c r="D13" s="2373" t="s">
        <v>1459</v>
      </c>
      <c r="E13" s="2374">
        <v>0</v>
      </c>
      <c r="F13" s="2374">
        <v>687</v>
      </c>
      <c r="G13" s="2374">
        <v>494</v>
      </c>
      <c r="H13" s="2375">
        <f t="shared" si="0"/>
        <v>71.906841339155747</v>
      </c>
    </row>
    <row r="14" spans="1:8" ht="30" x14ac:dyDescent="0.2">
      <c r="A14" s="2371">
        <v>3299</v>
      </c>
      <c r="B14" s="2372">
        <v>5032</v>
      </c>
      <c r="C14" s="2372">
        <v>32133007</v>
      </c>
      <c r="D14" s="2373" t="s">
        <v>1322</v>
      </c>
      <c r="E14" s="2374">
        <v>0</v>
      </c>
      <c r="F14" s="2374">
        <v>44</v>
      </c>
      <c r="G14" s="2374">
        <v>31</v>
      </c>
      <c r="H14" s="2375">
        <f t="shared" si="0"/>
        <v>70.454545454545453</v>
      </c>
    </row>
    <row r="15" spans="1:8" ht="30" x14ac:dyDescent="0.2">
      <c r="A15" s="2371">
        <v>3299</v>
      </c>
      <c r="B15" s="2372">
        <v>5032</v>
      </c>
      <c r="C15" s="2372">
        <v>32533007</v>
      </c>
      <c r="D15" s="2373" t="s">
        <v>1322</v>
      </c>
      <c r="E15" s="2374">
        <v>0</v>
      </c>
      <c r="F15" s="2374">
        <v>247</v>
      </c>
      <c r="G15" s="2374">
        <v>178</v>
      </c>
      <c r="H15" s="2375">
        <f t="shared" si="0"/>
        <v>72.064777327935232</v>
      </c>
    </row>
    <row r="16" spans="1:8" ht="15" x14ac:dyDescent="0.2">
      <c r="A16" s="2371">
        <v>3299</v>
      </c>
      <c r="B16" s="2372">
        <v>5137</v>
      </c>
      <c r="C16" s="2376">
        <v>32133007</v>
      </c>
      <c r="D16" s="2373" t="s">
        <v>173</v>
      </c>
      <c r="E16" s="2374">
        <v>0</v>
      </c>
      <c r="F16" s="2374">
        <v>14</v>
      </c>
      <c r="G16" s="2374">
        <v>0</v>
      </c>
      <c r="H16" s="2375">
        <f t="shared" si="0"/>
        <v>0</v>
      </c>
    </row>
    <row r="17" spans="1:9" ht="15" x14ac:dyDescent="0.2">
      <c r="A17" s="2371">
        <v>3299</v>
      </c>
      <c r="B17" s="2372">
        <v>5137</v>
      </c>
      <c r="C17" s="2376">
        <v>32533007</v>
      </c>
      <c r="D17" s="2373" t="s">
        <v>173</v>
      </c>
      <c r="E17" s="2374">
        <v>0</v>
      </c>
      <c r="F17" s="2374">
        <v>79</v>
      </c>
      <c r="G17" s="2374">
        <v>0</v>
      </c>
      <c r="H17" s="2375">
        <f t="shared" si="0"/>
        <v>0</v>
      </c>
    </row>
    <row r="18" spans="1:9" ht="15" x14ac:dyDescent="0.2">
      <c r="A18" s="2371">
        <v>3299</v>
      </c>
      <c r="B18" s="2372">
        <v>5163</v>
      </c>
      <c r="C18" s="2376">
        <v>32133007</v>
      </c>
      <c r="D18" s="2373" t="s">
        <v>997</v>
      </c>
      <c r="E18" s="2374">
        <v>0</v>
      </c>
      <c r="F18" s="2374">
        <v>6</v>
      </c>
      <c r="G18" s="2374">
        <v>2</v>
      </c>
      <c r="H18" s="2375">
        <f t="shared" si="0"/>
        <v>33.333333333333329</v>
      </c>
    </row>
    <row r="19" spans="1:9" ht="15" x14ac:dyDescent="0.2">
      <c r="A19" s="2371">
        <v>3299</v>
      </c>
      <c r="B19" s="2372">
        <v>5163</v>
      </c>
      <c r="C19" s="2376">
        <v>32533007</v>
      </c>
      <c r="D19" s="2373" t="s">
        <v>997</v>
      </c>
      <c r="E19" s="2374">
        <v>0</v>
      </c>
      <c r="F19" s="2374">
        <v>35</v>
      </c>
      <c r="G19" s="2374">
        <v>13</v>
      </c>
      <c r="H19" s="2375">
        <f t="shared" si="0"/>
        <v>37.142857142857146</v>
      </c>
    </row>
    <row r="20" spans="1:9" ht="15" x14ac:dyDescent="0.2">
      <c r="A20" s="2371">
        <v>3299</v>
      </c>
      <c r="B20" s="2372">
        <v>5166</v>
      </c>
      <c r="C20" s="2376">
        <v>32133007</v>
      </c>
      <c r="D20" s="2373" t="s">
        <v>677</v>
      </c>
      <c r="E20" s="2374">
        <v>0</v>
      </c>
      <c r="F20" s="2374">
        <v>90</v>
      </c>
      <c r="G20" s="2374">
        <v>0</v>
      </c>
      <c r="H20" s="2375">
        <f t="shared" si="0"/>
        <v>0</v>
      </c>
    </row>
    <row r="21" spans="1:9" ht="15" x14ac:dyDescent="0.2">
      <c r="A21" s="2371">
        <v>3299</v>
      </c>
      <c r="B21" s="2372">
        <v>5166</v>
      </c>
      <c r="C21" s="2376">
        <v>32533007</v>
      </c>
      <c r="D21" s="2373" t="s">
        <v>677</v>
      </c>
      <c r="E21" s="2374">
        <v>0</v>
      </c>
      <c r="F21" s="2374">
        <v>510</v>
      </c>
      <c r="G21" s="2374">
        <v>0</v>
      </c>
      <c r="H21" s="2375">
        <f t="shared" si="0"/>
        <v>0</v>
      </c>
    </row>
    <row r="22" spans="1:9" ht="15" x14ac:dyDescent="0.2">
      <c r="A22" s="2371">
        <v>3299</v>
      </c>
      <c r="B22" s="2372">
        <v>5167</v>
      </c>
      <c r="C22" s="2376">
        <v>32133007</v>
      </c>
      <c r="D22" s="2373" t="s">
        <v>1000</v>
      </c>
      <c r="E22" s="2374">
        <v>0</v>
      </c>
      <c r="F22" s="2374">
        <v>21</v>
      </c>
      <c r="G22" s="2374">
        <v>7</v>
      </c>
      <c r="H22" s="2375">
        <f t="shared" si="0"/>
        <v>33.333333333333329</v>
      </c>
    </row>
    <row r="23" spans="1:9" ht="15" x14ac:dyDescent="0.2">
      <c r="A23" s="2371">
        <v>3299</v>
      </c>
      <c r="B23" s="2372">
        <v>5167</v>
      </c>
      <c r="C23" s="2376">
        <v>32533007</v>
      </c>
      <c r="D23" s="2373" t="s">
        <v>1000</v>
      </c>
      <c r="E23" s="2374">
        <v>0</v>
      </c>
      <c r="F23" s="2374">
        <v>120</v>
      </c>
      <c r="G23" s="2374">
        <v>41</v>
      </c>
      <c r="H23" s="2375">
        <f t="shared" si="0"/>
        <v>34.166666666666664</v>
      </c>
    </row>
    <row r="24" spans="1:9" ht="15" hidden="1" x14ac:dyDescent="0.2">
      <c r="A24" s="2371">
        <v>3636</v>
      </c>
      <c r="B24" s="2372">
        <v>6901</v>
      </c>
      <c r="C24" s="2376">
        <v>32133926</v>
      </c>
      <c r="D24" s="2373" t="s">
        <v>468</v>
      </c>
      <c r="E24" s="2374">
        <v>0</v>
      </c>
      <c r="F24" s="2374">
        <v>0</v>
      </c>
      <c r="G24" s="2374">
        <v>0</v>
      </c>
      <c r="H24" s="2375" t="e">
        <f t="shared" si="0"/>
        <v>#DIV/0!</v>
      </c>
    </row>
    <row r="25" spans="1:9" ht="15" hidden="1" x14ac:dyDescent="0.2">
      <c r="A25" s="2371">
        <v>3636</v>
      </c>
      <c r="B25" s="2372">
        <v>6901</v>
      </c>
      <c r="C25" s="2376">
        <v>32533926</v>
      </c>
      <c r="D25" s="2373" t="s">
        <v>468</v>
      </c>
      <c r="E25" s="2374">
        <v>0</v>
      </c>
      <c r="F25" s="2374">
        <v>0</v>
      </c>
      <c r="G25" s="2374">
        <v>0</v>
      </c>
      <c r="H25" s="2375" t="e">
        <f t="shared" si="0"/>
        <v>#DIV/0!</v>
      </c>
    </row>
    <row r="26" spans="1:9" s="2347" customFormat="1" ht="15.75" thickBot="1" x14ac:dyDescent="0.3">
      <c r="A26" s="2422">
        <v>6330</v>
      </c>
      <c r="B26" s="2393">
        <v>5345</v>
      </c>
      <c r="C26" s="2423" t="s">
        <v>838</v>
      </c>
      <c r="D26" s="2394" t="s">
        <v>853</v>
      </c>
      <c r="E26" s="2424">
        <v>0</v>
      </c>
      <c r="F26" s="2424">
        <v>0</v>
      </c>
      <c r="G26" s="2424">
        <v>35</v>
      </c>
      <c r="H26" s="2377">
        <v>0</v>
      </c>
    </row>
    <row r="27" spans="1:9" ht="16.5" thickTop="1" thickBot="1" x14ac:dyDescent="0.3">
      <c r="A27" s="2806" t="s">
        <v>849</v>
      </c>
      <c r="B27" s="2807"/>
      <c r="C27" s="2807"/>
      <c r="D27" s="2807"/>
      <c r="E27" s="2152">
        <f>SUM(E10:E25)</f>
        <v>0</v>
      </c>
      <c r="F27" s="2152">
        <f>SUM(F10:F26)</f>
        <v>5206</v>
      </c>
      <c r="G27" s="2152">
        <f>SUM(G10:G26)</f>
        <v>3213</v>
      </c>
      <c r="H27" s="2157">
        <f t="shared" si="0"/>
        <v>61.717249327698809</v>
      </c>
    </row>
    <row r="28" spans="1:9" ht="13.5" thickTop="1" x14ac:dyDescent="0.2"/>
    <row r="29" spans="1:9" ht="15" x14ac:dyDescent="0.25">
      <c r="A29" s="2338"/>
      <c r="B29" s="2352"/>
      <c r="C29" s="2352"/>
      <c r="D29" s="2352"/>
      <c r="F29" s="2353"/>
      <c r="G29" s="2353"/>
      <c r="H29" s="2354"/>
      <c r="I29" s="2425"/>
    </row>
    <row r="33" spans="1:12" ht="16.5" x14ac:dyDescent="0.25">
      <c r="A33" s="2399" t="s">
        <v>508</v>
      </c>
      <c r="B33" s="2400"/>
      <c r="C33" s="2401"/>
      <c r="D33" s="2402"/>
      <c r="E33" s="2403">
        <f>SUM(E34:E36)</f>
        <v>0</v>
      </c>
      <c r="F33" s="2403">
        <f>F34+F35+F36+F37</f>
        <v>5206</v>
      </c>
      <c r="G33" s="2403">
        <f>G34+G35+G36+G37</f>
        <v>3213</v>
      </c>
      <c r="H33" s="2404">
        <f>G33/F33*100</f>
        <v>61.717249327698809</v>
      </c>
      <c r="J33" s="2405">
        <f>J34+J35+J36</f>
        <v>0</v>
      </c>
      <c r="K33" s="2405">
        <f>K34+K35+K36</f>
        <v>5205577</v>
      </c>
      <c r="L33" s="2405">
        <f>L34+L35+L36</f>
        <v>3213032.92</v>
      </c>
    </row>
    <row r="34" spans="1:12" ht="15" x14ac:dyDescent="0.2">
      <c r="A34" s="2406" t="s">
        <v>288</v>
      </c>
      <c r="B34" s="2407"/>
      <c r="C34" s="2408"/>
      <c r="D34" s="2409"/>
      <c r="E34" s="2410">
        <f>E10+E11+E12+E13+E14+E15+E16+E17+E18+E19+E20+E21+E22+E23</f>
        <v>0</v>
      </c>
      <c r="F34" s="2410">
        <f>F10+F11+F12+F13+F14+F15+F16+F17+F18+F19+F20+F21+F22+F23</f>
        <v>5206</v>
      </c>
      <c r="G34" s="2410">
        <f>G10+G11+G12+G13+G14+G15+G16+G17+G18+G19+G20+G21+G22+G23</f>
        <v>3178</v>
      </c>
      <c r="H34" s="2411">
        <f>G34/F34*100</f>
        <v>61.044948136765278</v>
      </c>
      <c r="J34" s="2412">
        <v>0</v>
      </c>
      <c r="K34" s="2412">
        <v>5205577</v>
      </c>
      <c r="L34" s="2412">
        <f>3178222.92-240</f>
        <v>3177982.92</v>
      </c>
    </row>
    <row r="35" spans="1:12" ht="15" x14ac:dyDescent="0.2">
      <c r="A35" s="2406" t="s">
        <v>289</v>
      </c>
      <c r="B35" s="2413"/>
      <c r="C35" s="2408"/>
      <c r="D35" s="2414"/>
      <c r="E35" s="2410">
        <f>E24+E25</f>
        <v>0</v>
      </c>
      <c r="F35" s="2410">
        <f>F24+F25</f>
        <v>0</v>
      </c>
      <c r="G35" s="2410">
        <f>G24+G25</f>
        <v>0</v>
      </c>
      <c r="H35" s="2411">
        <v>0</v>
      </c>
      <c r="J35" s="2412">
        <v>0</v>
      </c>
      <c r="K35" s="2412">
        <v>0</v>
      </c>
      <c r="L35" s="2412">
        <v>0</v>
      </c>
    </row>
    <row r="36" spans="1:12" ht="15" x14ac:dyDescent="0.2">
      <c r="A36" s="2406" t="s">
        <v>509</v>
      </c>
      <c r="B36" s="2413"/>
      <c r="C36" s="2408"/>
      <c r="D36" s="2414"/>
      <c r="E36" s="2410">
        <v>0</v>
      </c>
      <c r="F36" s="2410">
        <v>0</v>
      </c>
      <c r="G36" s="2410">
        <f>G26</f>
        <v>35</v>
      </c>
      <c r="H36" s="2411">
        <v>0</v>
      </c>
      <c r="J36" s="2412">
        <v>0</v>
      </c>
      <c r="K36" s="2412">
        <v>0</v>
      </c>
      <c r="L36" s="2412">
        <v>35050</v>
      </c>
    </row>
    <row r="37" spans="1:12" ht="16.5" customHeight="1" x14ac:dyDescent="0.2">
      <c r="A37" s="2406"/>
      <c r="B37" s="2413"/>
      <c r="C37" s="2408"/>
      <c r="D37" s="2414"/>
      <c r="E37" s="2410"/>
      <c r="F37" s="2410"/>
      <c r="G37" s="2410"/>
      <c r="H37" s="2415"/>
    </row>
    <row r="38" spans="1:12" ht="69.75" customHeight="1" thickBot="1" x14ac:dyDescent="0.4">
      <c r="A38" s="2819" t="s">
        <v>1615</v>
      </c>
      <c r="B38" s="2827"/>
      <c r="C38" s="2827"/>
      <c r="D38" s="2827"/>
      <c r="E38" s="2416">
        <f>SUM(E33)</f>
        <v>0</v>
      </c>
      <c r="F38" s="2416">
        <f>SUM(F33)</f>
        <v>5206</v>
      </c>
      <c r="G38" s="2416">
        <f>SUM(G33)</f>
        <v>3213</v>
      </c>
      <c r="H38" s="2417">
        <f>G38/F38*100</f>
        <v>61.717249327698809</v>
      </c>
    </row>
    <row r="39" spans="1:12" ht="13.5" thickTop="1" x14ac:dyDescent="0.2"/>
  </sheetData>
  <mergeCells count="2">
    <mergeCell ref="A27:D27"/>
    <mergeCell ref="A38:D38"/>
  </mergeCells>
  <pageMargins left="0.70866141732283472" right="0.70866141732283472" top="0.78740157480314965" bottom="0.78740157480314965" header="0.31496062992125984" footer="0.31496062992125984"/>
  <pageSetup paperSize="9" scale="70" firstPageNumber="179" orientation="portrait" useFirstPageNumber="1" r:id="rId1"/>
  <headerFooter>
    <oddFooter xml:space="preserve">&amp;L&amp;"Arial,Kurzíva"Zastupitelstvo Olomouckého kraje 28. 6. 2013
6.- Závěrečný  účet Olomuckého kraje za rok 2012
Příloha č. 3: Plnění rozpočtu výdajů Olomouckého kraje k 31.12.2012&amp;R&amp;"Arial,Kurzíva"Strana &amp;P (Celkem 484)
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191"/>
  <sheetViews>
    <sheetView view="pageBreakPreview" topLeftCell="A72" zoomScaleNormal="100" zoomScaleSheetLayoutView="100" workbookViewId="0">
      <selection activeCell="F73" sqref="F73"/>
    </sheetView>
  </sheetViews>
  <sheetFormatPr defaultRowHeight="12.75" x14ac:dyDescent="0.2"/>
  <cols>
    <col min="1" max="1" width="4.7109375" style="2352" customWidth="1"/>
    <col min="2" max="2" width="6.7109375" style="2352" customWidth="1"/>
    <col min="3" max="3" width="8.85546875" style="2352" customWidth="1"/>
    <col min="4" max="4" width="46.42578125" style="2345" customWidth="1"/>
    <col min="5" max="5" width="12.85546875" style="2353" customWidth="1"/>
    <col min="6" max="6" width="15.5703125" style="2353" customWidth="1"/>
    <col min="7" max="7" width="15.85546875" style="2353" customWidth="1"/>
    <col min="8" max="8" width="8.85546875" style="2345" customWidth="1"/>
    <col min="9" max="9" width="14.28515625" style="2345" bestFit="1" customWidth="1"/>
    <col min="10" max="10" width="9.140625" style="2345"/>
    <col min="11" max="11" width="12.7109375" style="2345" bestFit="1" customWidth="1"/>
    <col min="12" max="12" width="13.140625" style="2345" customWidth="1"/>
    <col min="13" max="256" width="9.140625" style="2345"/>
    <col min="257" max="257" width="4.7109375" style="2345" customWidth="1"/>
    <col min="258" max="258" width="6.7109375" style="2345" customWidth="1"/>
    <col min="259" max="259" width="8.85546875" style="2345" customWidth="1"/>
    <col min="260" max="260" width="46.42578125" style="2345" customWidth="1"/>
    <col min="261" max="261" width="12.85546875" style="2345" customWidth="1"/>
    <col min="262" max="262" width="15.5703125" style="2345" customWidth="1"/>
    <col min="263" max="263" width="15.85546875" style="2345" customWidth="1"/>
    <col min="264" max="264" width="6.42578125" style="2345" customWidth="1"/>
    <col min="265" max="265" width="14.28515625" style="2345" bestFit="1" customWidth="1"/>
    <col min="266" max="266" width="9.140625" style="2345"/>
    <col min="267" max="267" width="12.7109375" style="2345" bestFit="1" customWidth="1"/>
    <col min="268" max="268" width="13.140625" style="2345" customWidth="1"/>
    <col min="269" max="512" width="9.140625" style="2345"/>
    <col min="513" max="513" width="4.7109375" style="2345" customWidth="1"/>
    <col min="514" max="514" width="6.7109375" style="2345" customWidth="1"/>
    <col min="515" max="515" width="8.85546875" style="2345" customWidth="1"/>
    <col min="516" max="516" width="46.42578125" style="2345" customWidth="1"/>
    <col min="517" max="517" width="12.85546875" style="2345" customWidth="1"/>
    <col min="518" max="518" width="15.5703125" style="2345" customWidth="1"/>
    <col min="519" max="519" width="15.85546875" style="2345" customWidth="1"/>
    <col min="520" max="520" width="6.42578125" style="2345" customWidth="1"/>
    <col min="521" max="521" width="14.28515625" style="2345" bestFit="1" customWidth="1"/>
    <col min="522" max="522" width="9.140625" style="2345"/>
    <col min="523" max="523" width="12.7109375" style="2345" bestFit="1" customWidth="1"/>
    <col min="524" max="524" width="13.140625" style="2345" customWidth="1"/>
    <col min="525" max="768" width="9.140625" style="2345"/>
    <col min="769" max="769" width="4.7109375" style="2345" customWidth="1"/>
    <col min="770" max="770" width="6.7109375" style="2345" customWidth="1"/>
    <col min="771" max="771" width="8.85546875" style="2345" customWidth="1"/>
    <col min="772" max="772" width="46.42578125" style="2345" customWidth="1"/>
    <col min="773" max="773" width="12.85546875" style="2345" customWidth="1"/>
    <col min="774" max="774" width="15.5703125" style="2345" customWidth="1"/>
    <col min="775" max="775" width="15.85546875" style="2345" customWidth="1"/>
    <col min="776" max="776" width="6.42578125" style="2345" customWidth="1"/>
    <col min="777" max="777" width="14.28515625" style="2345" bestFit="1" customWidth="1"/>
    <col min="778" max="778" width="9.140625" style="2345"/>
    <col min="779" max="779" width="12.7109375" style="2345" bestFit="1" customWidth="1"/>
    <col min="780" max="780" width="13.140625" style="2345" customWidth="1"/>
    <col min="781" max="1024" width="9.140625" style="2345"/>
    <col min="1025" max="1025" width="4.7109375" style="2345" customWidth="1"/>
    <col min="1026" max="1026" width="6.7109375" style="2345" customWidth="1"/>
    <col min="1027" max="1027" width="8.85546875" style="2345" customWidth="1"/>
    <col min="1028" max="1028" width="46.42578125" style="2345" customWidth="1"/>
    <col min="1029" max="1029" width="12.85546875" style="2345" customWidth="1"/>
    <col min="1030" max="1030" width="15.5703125" style="2345" customWidth="1"/>
    <col min="1031" max="1031" width="15.85546875" style="2345" customWidth="1"/>
    <col min="1032" max="1032" width="6.42578125" style="2345" customWidth="1"/>
    <col min="1033" max="1033" width="14.28515625" style="2345" bestFit="1" customWidth="1"/>
    <col min="1034" max="1034" width="9.140625" style="2345"/>
    <col min="1035" max="1035" width="12.7109375" style="2345" bestFit="1" customWidth="1"/>
    <col min="1036" max="1036" width="13.140625" style="2345" customWidth="1"/>
    <col min="1037" max="1280" width="9.140625" style="2345"/>
    <col min="1281" max="1281" width="4.7109375" style="2345" customWidth="1"/>
    <col min="1282" max="1282" width="6.7109375" style="2345" customWidth="1"/>
    <col min="1283" max="1283" width="8.85546875" style="2345" customWidth="1"/>
    <col min="1284" max="1284" width="46.42578125" style="2345" customWidth="1"/>
    <col min="1285" max="1285" width="12.85546875" style="2345" customWidth="1"/>
    <col min="1286" max="1286" width="15.5703125" style="2345" customWidth="1"/>
    <col min="1287" max="1287" width="15.85546875" style="2345" customWidth="1"/>
    <col min="1288" max="1288" width="6.42578125" style="2345" customWidth="1"/>
    <col min="1289" max="1289" width="14.28515625" style="2345" bestFit="1" customWidth="1"/>
    <col min="1290" max="1290" width="9.140625" style="2345"/>
    <col min="1291" max="1291" width="12.7109375" style="2345" bestFit="1" customWidth="1"/>
    <col min="1292" max="1292" width="13.140625" style="2345" customWidth="1"/>
    <col min="1293" max="1536" width="9.140625" style="2345"/>
    <col min="1537" max="1537" width="4.7109375" style="2345" customWidth="1"/>
    <col min="1538" max="1538" width="6.7109375" style="2345" customWidth="1"/>
    <col min="1539" max="1539" width="8.85546875" style="2345" customWidth="1"/>
    <col min="1540" max="1540" width="46.42578125" style="2345" customWidth="1"/>
    <col min="1541" max="1541" width="12.85546875" style="2345" customWidth="1"/>
    <col min="1542" max="1542" width="15.5703125" style="2345" customWidth="1"/>
    <col min="1543" max="1543" width="15.85546875" style="2345" customWidth="1"/>
    <col min="1544" max="1544" width="6.42578125" style="2345" customWidth="1"/>
    <col min="1545" max="1545" width="14.28515625" style="2345" bestFit="1" customWidth="1"/>
    <col min="1546" max="1546" width="9.140625" style="2345"/>
    <col min="1547" max="1547" width="12.7109375" style="2345" bestFit="1" customWidth="1"/>
    <col min="1548" max="1548" width="13.140625" style="2345" customWidth="1"/>
    <col min="1549" max="1792" width="9.140625" style="2345"/>
    <col min="1793" max="1793" width="4.7109375" style="2345" customWidth="1"/>
    <col min="1794" max="1794" width="6.7109375" style="2345" customWidth="1"/>
    <col min="1795" max="1795" width="8.85546875" style="2345" customWidth="1"/>
    <col min="1796" max="1796" width="46.42578125" style="2345" customWidth="1"/>
    <col min="1797" max="1797" width="12.85546875" style="2345" customWidth="1"/>
    <col min="1798" max="1798" width="15.5703125" style="2345" customWidth="1"/>
    <col min="1799" max="1799" width="15.85546875" style="2345" customWidth="1"/>
    <col min="1800" max="1800" width="6.42578125" style="2345" customWidth="1"/>
    <col min="1801" max="1801" width="14.28515625" style="2345" bestFit="1" customWidth="1"/>
    <col min="1802" max="1802" width="9.140625" style="2345"/>
    <col min="1803" max="1803" width="12.7109375" style="2345" bestFit="1" customWidth="1"/>
    <col min="1804" max="1804" width="13.140625" style="2345" customWidth="1"/>
    <col min="1805" max="2048" width="9.140625" style="2345"/>
    <col min="2049" max="2049" width="4.7109375" style="2345" customWidth="1"/>
    <col min="2050" max="2050" width="6.7109375" style="2345" customWidth="1"/>
    <col min="2051" max="2051" width="8.85546875" style="2345" customWidth="1"/>
    <col min="2052" max="2052" width="46.42578125" style="2345" customWidth="1"/>
    <col min="2053" max="2053" width="12.85546875" style="2345" customWidth="1"/>
    <col min="2054" max="2054" width="15.5703125" style="2345" customWidth="1"/>
    <col min="2055" max="2055" width="15.85546875" style="2345" customWidth="1"/>
    <col min="2056" max="2056" width="6.42578125" style="2345" customWidth="1"/>
    <col min="2057" max="2057" width="14.28515625" style="2345" bestFit="1" customWidth="1"/>
    <col min="2058" max="2058" width="9.140625" style="2345"/>
    <col min="2059" max="2059" width="12.7109375" style="2345" bestFit="1" customWidth="1"/>
    <col min="2060" max="2060" width="13.140625" style="2345" customWidth="1"/>
    <col min="2061" max="2304" width="9.140625" style="2345"/>
    <col min="2305" max="2305" width="4.7109375" style="2345" customWidth="1"/>
    <col min="2306" max="2306" width="6.7109375" style="2345" customWidth="1"/>
    <col min="2307" max="2307" width="8.85546875" style="2345" customWidth="1"/>
    <col min="2308" max="2308" width="46.42578125" style="2345" customWidth="1"/>
    <col min="2309" max="2309" width="12.85546875" style="2345" customWidth="1"/>
    <col min="2310" max="2310" width="15.5703125" style="2345" customWidth="1"/>
    <col min="2311" max="2311" width="15.85546875" style="2345" customWidth="1"/>
    <col min="2312" max="2312" width="6.42578125" style="2345" customWidth="1"/>
    <col min="2313" max="2313" width="14.28515625" style="2345" bestFit="1" customWidth="1"/>
    <col min="2314" max="2314" width="9.140625" style="2345"/>
    <col min="2315" max="2315" width="12.7109375" style="2345" bestFit="1" customWidth="1"/>
    <col min="2316" max="2316" width="13.140625" style="2345" customWidth="1"/>
    <col min="2317" max="2560" width="9.140625" style="2345"/>
    <col min="2561" max="2561" width="4.7109375" style="2345" customWidth="1"/>
    <col min="2562" max="2562" width="6.7109375" style="2345" customWidth="1"/>
    <col min="2563" max="2563" width="8.85546875" style="2345" customWidth="1"/>
    <col min="2564" max="2564" width="46.42578125" style="2345" customWidth="1"/>
    <col min="2565" max="2565" width="12.85546875" style="2345" customWidth="1"/>
    <col min="2566" max="2566" width="15.5703125" style="2345" customWidth="1"/>
    <col min="2567" max="2567" width="15.85546875" style="2345" customWidth="1"/>
    <col min="2568" max="2568" width="6.42578125" style="2345" customWidth="1"/>
    <col min="2569" max="2569" width="14.28515625" style="2345" bestFit="1" customWidth="1"/>
    <col min="2570" max="2570" width="9.140625" style="2345"/>
    <col min="2571" max="2571" width="12.7109375" style="2345" bestFit="1" customWidth="1"/>
    <col min="2572" max="2572" width="13.140625" style="2345" customWidth="1"/>
    <col min="2573" max="2816" width="9.140625" style="2345"/>
    <col min="2817" max="2817" width="4.7109375" style="2345" customWidth="1"/>
    <col min="2818" max="2818" width="6.7109375" style="2345" customWidth="1"/>
    <col min="2819" max="2819" width="8.85546875" style="2345" customWidth="1"/>
    <col min="2820" max="2820" width="46.42578125" style="2345" customWidth="1"/>
    <col min="2821" max="2821" width="12.85546875" style="2345" customWidth="1"/>
    <col min="2822" max="2822" width="15.5703125" style="2345" customWidth="1"/>
    <col min="2823" max="2823" width="15.85546875" style="2345" customWidth="1"/>
    <col min="2824" max="2824" width="6.42578125" style="2345" customWidth="1"/>
    <col min="2825" max="2825" width="14.28515625" style="2345" bestFit="1" customWidth="1"/>
    <col min="2826" max="2826" width="9.140625" style="2345"/>
    <col min="2827" max="2827" width="12.7109375" style="2345" bestFit="1" customWidth="1"/>
    <col min="2828" max="2828" width="13.140625" style="2345" customWidth="1"/>
    <col min="2829" max="3072" width="9.140625" style="2345"/>
    <col min="3073" max="3073" width="4.7109375" style="2345" customWidth="1"/>
    <col min="3074" max="3074" width="6.7109375" style="2345" customWidth="1"/>
    <col min="3075" max="3075" width="8.85546875" style="2345" customWidth="1"/>
    <col min="3076" max="3076" width="46.42578125" style="2345" customWidth="1"/>
    <col min="3077" max="3077" width="12.85546875" style="2345" customWidth="1"/>
    <col min="3078" max="3078" width="15.5703125" style="2345" customWidth="1"/>
    <col min="3079" max="3079" width="15.85546875" style="2345" customWidth="1"/>
    <col min="3080" max="3080" width="6.42578125" style="2345" customWidth="1"/>
    <col min="3081" max="3081" width="14.28515625" style="2345" bestFit="1" customWidth="1"/>
    <col min="3082" max="3082" width="9.140625" style="2345"/>
    <col min="3083" max="3083" width="12.7109375" style="2345" bestFit="1" customWidth="1"/>
    <col min="3084" max="3084" width="13.140625" style="2345" customWidth="1"/>
    <col min="3085" max="3328" width="9.140625" style="2345"/>
    <col min="3329" max="3329" width="4.7109375" style="2345" customWidth="1"/>
    <col min="3330" max="3330" width="6.7109375" style="2345" customWidth="1"/>
    <col min="3331" max="3331" width="8.85546875" style="2345" customWidth="1"/>
    <col min="3332" max="3332" width="46.42578125" style="2345" customWidth="1"/>
    <col min="3333" max="3333" width="12.85546875" style="2345" customWidth="1"/>
    <col min="3334" max="3334" width="15.5703125" style="2345" customWidth="1"/>
    <col min="3335" max="3335" width="15.85546875" style="2345" customWidth="1"/>
    <col min="3336" max="3336" width="6.42578125" style="2345" customWidth="1"/>
    <col min="3337" max="3337" width="14.28515625" style="2345" bestFit="1" customWidth="1"/>
    <col min="3338" max="3338" width="9.140625" style="2345"/>
    <col min="3339" max="3339" width="12.7109375" style="2345" bestFit="1" customWidth="1"/>
    <col min="3340" max="3340" width="13.140625" style="2345" customWidth="1"/>
    <col min="3341" max="3584" width="9.140625" style="2345"/>
    <col min="3585" max="3585" width="4.7109375" style="2345" customWidth="1"/>
    <col min="3586" max="3586" width="6.7109375" style="2345" customWidth="1"/>
    <col min="3587" max="3587" width="8.85546875" style="2345" customWidth="1"/>
    <col min="3588" max="3588" width="46.42578125" style="2345" customWidth="1"/>
    <col min="3589" max="3589" width="12.85546875" style="2345" customWidth="1"/>
    <col min="3590" max="3590" width="15.5703125" style="2345" customWidth="1"/>
    <col min="3591" max="3591" width="15.85546875" style="2345" customWidth="1"/>
    <col min="3592" max="3592" width="6.42578125" style="2345" customWidth="1"/>
    <col min="3593" max="3593" width="14.28515625" style="2345" bestFit="1" customWidth="1"/>
    <col min="3594" max="3594" width="9.140625" style="2345"/>
    <col min="3595" max="3595" width="12.7109375" style="2345" bestFit="1" customWidth="1"/>
    <col min="3596" max="3596" width="13.140625" style="2345" customWidth="1"/>
    <col min="3597" max="3840" width="9.140625" style="2345"/>
    <col min="3841" max="3841" width="4.7109375" style="2345" customWidth="1"/>
    <col min="3842" max="3842" width="6.7109375" style="2345" customWidth="1"/>
    <col min="3843" max="3843" width="8.85546875" style="2345" customWidth="1"/>
    <col min="3844" max="3844" width="46.42578125" style="2345" customWidth="1"/>
    <col min="3845" max="3845" width="12.85546875" style="2345" customWidth="1"/>
    <col min="3846" max="3846" width="15.5703125" style="2345" customWidth="1"/>
    <col min="3847" max="3847" width="15.85546875" style="2345" customWidth="1"/>
    <col min="3848" max="3848" width="6.42578125" style="2345" customWidth="1"/>
    <col min="3849" max="3849" width="14.28515625" style="2345" bestFit="1" customWidth="1"/>
    <col min="3850" max="3850" width="9.140625" style="2345"/>
    <col min="3851" max="3851" width="12.7109375" style="2345" bestFit="1" customWidth="1"/>
    <col min="3852" max="3852" width="13.140625" style="2345" customWidth="1"/>
    <col min="3853" max="4096" width="9.140625" style="2345"/>
    <col min="4097" max="4097" width="4.7109375" style="2345" customWidth="1"/>
    <col min="4098" max="4098" width="6.7109375" style="2345" customWidth="1"/>
    <col min="4099" max="4099" width="8.85546875" style="2345" customWidth="1"/>
    <col min="4100" max="4100" width="46.42578125" style="2345" customWidth="1"/>
    <col min="4101" max="4101" width="12.85546875" style="2345" customWidth="1"/>
    <col min="4102" max="4102" width="15.5703125" style="2345" customWidth="1"/>
    <col min="4103" max="4103" width="15.85546875" style="2345" customWidth="1"/>
    <col min="4104" max="4104" width="6.42578125" style="2345" customWidth="1"/>
    <col min="4105" max="4105" width="14.28515625" style="2345" bestFit="1" customWidth="1"/>
    <col min="4106" max="4106" width="9.140625" style="2345"/>
    <col min="4107" max="4107" width="12.7109375" style="2345" bestFit="1" customWidth="1"/>
    <col min="4108" max="4108" width="13.140625" style="2345" customWidth="1"/>
    <col min="4109" max="4352" width="9.140625" style="2345"/>
    <col min="4353" max="4353" width="4.7109375" style="2345" customWidth="1"/>
    <col min="4354" max="4354" width="6.7109375" style="2345" customWidth="1"/>
    <col min="4355" max="4355" width="8.85546875" style="2345" customWidth="1"/>
    <col min="4356" max="4356" width="46.42578125" style="2345" customWidth="1"/>
    <col min="4357" max="4357" width="12.85546875" style="2345" customWidth="1"/>
    <col min="4358" max="4358" width="15.5703125" style="2345" customWidth="1"/>
    <col min="4359" max="4359" width="15.85546875" style="2345" customWidth="1"/>
    <col min="4360" max="4360" width="6.42578125" style="2345" customWidth="1"/>
    <col min="4361" max="4361" width="14.28515625" style="2345" bestFit="1" customWidth="1"/>
    <col min="4362" max="4362" width="9.140625" style="2345"/>
    <col min="4363" max="4363" width="12.7109375" style="2345" bestFit="1" customWidth="1"/>
    <col min="4364" max="4364" width="13.140625" style="2345" customWidth="1"/>
    <col min="4365" max="4608" width="9.140625" style="2345"/>
    <col min="4609" max="4609" width="4.7109375" style="2345" customWidth="1"/>
    <col min="4610" max="4610" width="6.7109375" style="2345" customWidth="1"/>
    <col min="4611" max="4611" width="8.85546875" style="2345" customWidth="1"/>
    <col min="4612" max="4612" width="46.42578125" style="2345" customWidth="1"/>
    <col min="4613" max="4613" width="12.85546875" style="2345" customWidth="1"/>
    <col min="4614" max="4614" width="15.5703125" style="2345" customWidth="1"/>
    <col min="4615" max="4615" width="15.85546875" style="2345" customWidth="1"/>
    <col min="4616" max="4616" width="6.42578125" style="2345" customWidth="1"/>
    <col min="4617" max="4617" width="14.28515625" style="2345" bestFit="1" customWidth="1"/>
    <col min="4618" max="4618" width="9.140625" style="2345"/>
    <col min="4619" max="4619" width="12.7109375" style="2345" bestFit="1" customWidth="1"/>
    <col min="4620" max="4620" width="13.140625" style="2345" customWidth="1"/>
    <col min="4621" max="4864" width="9.140625" style="2345"/>
    <col min="4865" max="4865" width="4.7109375" style="2345" customWidth="1"/>
    <col min="4866" max="4866" width="6.7109375" style="2345" customWidth="1"/>
    <col min="4867" max="4867" width="8.85546875" style="2345" customWidth="1"/>
    <col min="4868" max="4868" width="46.42578125" style="2345" customWidth="1"/>
    <col min="4869" max="4869" width="12.85546875" style="2345" customWidth="1"/>
    <col min="4870" max="4870" width="15.5703125" style="2345" customWidth="1"/>
    <col min="4871" max="4871" width="15.85546875" style="2345" customWidth="1"/>
    <col min="4872" max="4872" width="6.42578125" style="2345" customWidth="1"/>
    <col min="4873" max="4873" width="14.28515625" style="2345" bestFit="1" customWidth="1"/>
    <col min="4874" max="4874" width="9.140625" style="2345"/>
    <col min="4875" max="4875" width="12.7109375" style="2345" bestFit="1" customWidth="1"/>
    <col min="4876" max="4876" width="13.140625" style="2345" customWidth="1"/>
    <col min="4877" max="5120" width="9.140625" style="2345"/>
    <col min="5121" max="5121" width="4.7109375" style="2345" customWidth="1"/>
    <col min="5122" max="5122" width="6.7109375" style="2345" customWidth="1"/>
    <col min="5123" max="5123" width="8.85546875" style="2345" customWidth="1"/>
    <col min="5124" max="5124" width="46.42578125" style="2345" customWidth="1"/>
    <col min="5125" max="5125" width="12.85546875" style="2345" customWidth="1"/>
    <col min="5126" max="5126" width="15.5703125" style="2345" customWidth="1"/>
    <col min="5127" max="5127" width="15.85546875" style="2345" customWidth="1"/>
    <col min="5128" max="5128" width="6.42578125" style="2345" customWidth="1"/>
    <col min="5129" max="5129" width="14.28515625" style="2345" bestFit="1" customWidth="1"/>
    <col min="5130" max="5130" width="9.140625" style="2345"/>
    <col min="5131" max="5131" width="12.7109375" style="2345" bestFit="1" customWidth="1"/>
    <col min="5132" max="5132" width="13.140625" style="2345" customWidth="1"/>
    <col min="5133" max="5376" width="9.140625" style="2345"/>
    <col min="5377" max="5377" width="4.7109375" style="2345" customWidth="1"/>
    <col min="5378" max="5378" width="6.7109375" style="2345" customWidth="1"/>
    <col min="5379" max="5379" width="8.85546875" style="2345" customWidth="1"/>
    <col min="5380" max="5380" width="46.42578125" style="2345" customWidth="1"/>
    <col min="5381" max="5381" width="12.85546875" style="2345" customWidth="1"/>
    <col min="5382" max="5382" width="15.5703125" style="2345" customWidth="1"/>
    <col min="5383" max="5383" width="15.85546875" style="2345" customWidth="1"/>
    <col min="5384" max="5384" width="6.42578125" style="2345" customWidth="1"/>
    <col min="5385" max="5385" width="14.28515625" style="2345" bestFit="1" customWidth="1"/>
    <col min="5386" max="5386" width="9.140625" style="2345"/>
    <col min="5387" max="5387" width="12.7109375" style="2345" bestFit="1" customWidth="1"/>
    <col min="5388" max="5388" width="13.140625" style="2345" customWidth="1"/>
    <col min="5389" max="5632" width="9.140625" style="2345"/>
    <col min="5633" max="5633" width="4.7109375" style="2345" customWidth="1"/>
    <col min="5634" max="5634" width="6.7109375" style="2345" customWidth="1"/>
    <col min="5635" max="5635" width="8.85546875" style="2345" customWidth="1"/>
    <col min="5636" max="5636" width="46.42578125" style="2345" customWidth="1"/>
    <col min="5637" max="5637" width="12.85546875" style="2345" customWidth="1"/>
    <col min="5638" max="5638" width="15.5703125" style="2345" customWidth="1"/>
    <col min="5639" max="5639" width="15.85546875" style="2345" customWidth="1"/>
    <col min="5640" max="5640" width="6.42578125" style="2345" customWidth="1"/>
    <col min="5641" max="5641" width="14.28515625" style="2345" bestFit="1" customWidth="1"/>
    <col min="5642" max="5642" width="9.140625" style="2345"/>
    <col min="5643" max="5643" width="12.7109375" style="2345" bestFit="1" customWidth="1"/>
    <col min="5644" max="5644" width="13.140625" style="2345" customWidth="1"/>
    <col min="5645" max="5888" width="9.140625" style="2345"/>
    <col min="5889" max="5889" width="4.7109375" style="2345" customWidth="1"/>
    <col min="5890" max="5890" width="6.7109375" style="2345" customWidth="1"/>
    <col min="5891" max="5891" width="8.85546875" style="2345" customWidth="1"/>
    <col min="5892" max="5892" width="46.42578125" style="2345" customWidth="1"/>
    <col min="5893" max="5893" width="12.85546875" style="2345" customWidth="1"/>
    <col min="5894" max="5894" width="15.5703125" style="2345" customWidth="1"/>
    <col min="5895" max="5895" width="15.85546875" style="2345" customWidth="1"/>
    <col min="5896" max="5896" width="6.42578125" style="2345" customWidth="1"/>
    <col min="5897" max="5897" width="14.28515625" style="2345" bestFit="1" customWidth="1"/>
    <col min="5898" max="5898" width="9.140625" style="2345"/>
    <col min="5899" max="5899" width="12.7109375" style="2345" bestFit="1" customWidth="1"/>
    <col min="5900" max="5900" width="13.140625" style="2345" customWidth="1"/>
    <col min="5901" max="6144" width="9.140625" style="2345"/>
    <col min="6145" max="6145" width="4.7109375" style="2345" customWidth="1"/>
    <col min="6146" max="6146" width="6.7109375" style="2345" customWidth="1"/>
    <col min="6147" max="6147" width="8.85546875" style="2345" customWidth="1"/>
    <col min="6148" max="6148" width="46.42578125" style="2345" customWidth="1"/>
    <col min="6149" max="6149" width="12.85546875" style="2345" customWidth="1"/>
    <col min="6150" max="6150" width="15.5703125" style="2345" customWidth="1"/>
    <col min="6151" max="6151" width="15.85546875" style="2345" customWidth="1"/>
    <col min="6152" max="6152" width="6.42578125" style="2345" customWidth="1"/>
    <col min="6153" max="6153" width="14.28515625" style="2345" bestFit="1" customWidth="1"/>
    <col min="6154" max="6154" width="9.140625" style="2345"/>
    <col min="6155" max="6155" width="12.7109375" style="2345" bestFit="1" customWidth="1"/>
    <col min="6156" max="6156" width="13.140625" style="2345" customWidth="1"/>
    <col min="6157" max="6400" width="9.140625" style="2345"/>
    <col min="6401" max="6401" width="4.7109375" style="2345" customWidth="1"/>
    <col min="6402" max="6402" width="6.7109375" style="2345" customWidth="1"/>
    <col min="6403" max="6403" width="8.85546875" style="2345" customWidth="1"/>
    <col min="6404" max="6404" width="46.42578125" style="2345" customWidth="1"/>
    <col min="6405" max="6405" width="12.85546875" style="2345" customWidth="1"/>
    <col min="6406" max="6406" width="15.5703125" style="2345" customWidth="1"/>
    <col min="6407" max="6407" width="15.85546875" style="2345" customWidth="1"/>
    <col min="6408" max="6408" width="6.42578125" style="2345" customWidth="1"/>
    <col min="6409" max="6409" width="14.28515625" style="2345" bestFit="1" customWidth="1"/>
    <col min="6410" max="6410" width="9.140625" style="2345"/>
    <col min="6411" max="6411" width="12.7109375" style="2345" bestFit="1" customWidth="1"/>
    <col min="6412" max="6412" width="13.140625" style="2345" customWidth="1"/>
    <col min="6413" max="6656" width="9.140625" style="2345"/>
    <col min="6657" max="6657" width="4.7109375" style="2345" customWidth="1"/>
    <col min="6658" max="6658" width="6.7109375" style="2345" customWidth="1"/>
    <col min="6659" max="6659" width="8.85546875" style="2345" customWidth="1"/>
    <col min="6660" max="6660" width="46.42578125" style="2345" customWidth="1"/>
    <col min="6661" max="6661" width="12.85546875" style="2345" customWidth="1"/>
    <col min="6662" max="6662" width="15.5703125" style="2345" customWidth="1"/>
    <col min="6663" max="6663" width="15.85546875" style="2345" customWidth="1"/>
    <col min="6664" max="6664" width="6.42578125" style="2345" customWidth="1"/>
    <col min="6665" max="6665" width="14.28515625" style="2345" bestFit="1" customWidth="1"/>
    <col min="6666" max="6666" width="9.140625" style="2345"/>
    <col min="6667" max="6667" width="12.7109375" style="2345" bestFit="1" customWidth="1"/>
    <col min="6668" max="6668" width="13.140625" style="2345" customWidth="1"/>
    <col min="6669" max="6912" width="9.140625" style="2345"/>
    <col min="6913" max="6913" width="4.7109375" style="2345" customWidth="1"/>
    <col min="6914" max="6914" width="6.7109375" style="2345" customWidth="1"/>
    <col min="6915" max="6915" width="8.85546875" style="2345" customWidth="1"/>
    <col min="6916" max="6916" width="46.42578125" style="2345" customWidth="1"/>
    <col min="6917" max="6917" width="12.85546875" style="2345" customWidth="1"/>
    <col min="6918" max="6918" width="15.5703125" style="2345" customWidth="1"/>
    <col min="6919" max="6919" width="15.85546875" style="2345" customWidth="1"/>
    <col min="6920" max="6920" width="6.42578125" style="2345" customWidth="1"/>
    <col min="6921" max="6921" width="14.28515625" style="2345" bestFit="1" customWidth="1"/>
    <col min="6922" max="6922" width="9.140625" style="2345"/>
    <col min="6923" max="6923" width="12.7109375" style="2345" bestFit="1" customWidth="1"/>
    <col min="6924" max="6924" width="13.140625" style="2345" customWidth="1"/>
    <col min="6925" max="7168" width="9.140625" style="2345"/>
    <col min="7169" max="7169" width="4.7109375" style="2345" customWidth="1"/>
    <col min="7170" max="7170" width="6.7109375" style="2345" customWidth="1"/>
    <col min="7171" max="7171" width="8.85546875" style="2345" customWidth="1"/>
    <col min="7172" max="7172" width="46.42578125" style="2345" customWidth="1"/>
    <col min="7173" max="7173" width="12.85546875" style="2345" customWidth="1"/>
    <col min="7174" max="7174" width="15.5703125" style="2345" customWidth="1"/>
    <col min="7175" max="7175" width="15.85546875" style="2345" customWidth="1"/>
    <col min="7176" max="7176" width="6.42578125" style="2345" customWidth="1"/>
    <col min="7177" max="7177" width="14.28515625" style="2345" bestFit="1" customWidth="1"/>
    <col min="7178" max="7178" width="9.140625" style="2345"/>
    <col min="7179" max="7179" width="12.7109375" style="2345" bestFit="1" customWidth="1"/>
    <col min="7180" max="7180" width="13.140625" style="2345" customWidth="1"/>
    <col min="7181" max="7424" width="9.140625" style="2345"/>
    <col min="7425" max="7425" width="4.7109375" style="2345" customWidth="1"/>
    <col min="7426" max="7426" width="6.7109375" style="2345" customWidth="1"/>
    <col min="7427" max="7427" width="8.85546875" style="2345" customWidth="1"/>
    <col min="7428" max="7428" width="46.42578125" style="2345" customWidth="1"/>
    <col min="7429" max="7429" width="12.85546875" style="2345" customWidth="1"/>
    <col min="7430" max="7430" width="15.5703125" style="2345" customWidth="1"/>
    <col min="7431" max="7431" width="15.85546875" style="2345" customWidth="1"/>
    <col min="7432" max="7432" width="6.42578125" style="2345" customWidth="1"/>
    <col min="7433" max="7433" width="14.28515625" style="2345" bestFit="1" customWidth="1"/>
    <col min="7434" max="7434" width="9.140625" style="2345"/>
    <col min="7435" max="7435" width="12.7109375" style="2345" bestFit="1" customWidth="1"/>
    <col min="7436" max="7436" width="13.140625" style="2345" customWidth="1"/>
    <col min="7437" max="7680" width="9.140625" style="2345"/>
    <col min="7681" max="7681" width="4.7109375" style="2345" customWidth="1"/>
    <col min="7682" max="7682" width="6.7109375" style="2345" customWidth="1"/>
    <col min="7683" max="7683" width="8.85546875" style="2345" customWidth="1"/>
    <col min="7684" max="7684" width="46.42578125" style="2345" customWidth="1"/>
    <col min="7685" max="7685" width="12.85546875" style="2345" customWidth="1"/>
    <col min="7686" max="7686" width="15.5703125" style="2345" customWidth="1"/>
    <col min="7687" max="7687" width="15.85546875" style="2345" customWidth="1"/>
    <col min="7688" max="7688" width="6.42578125" style="2345" customWidth="1"/>
    <col min="7689" max="7689" width="14.28515625" style="2345" bestFit="1" customWidth="1"/>
    <col min="7690" max="7690" width="9.140625" style="2345"/>
    <col min="7691" max="7691" width="12.7109375" style="2345" bestFit="1" customWidth="1"/>
    <col min="7692" max="7692" width="13.140625" style="2345" customWidth="1"/>
    <col min="7693" max="7936" width="9.140625" style="2345"/>
    <col min="7937" max="7937" width="4.7109375" style="2345" customWidth="1"/>
    <col min="7938" max="7938" width="6.7109375" style="2345" customWidth="1"/>
    <col min="7939" max="7939" width="8.85546875" style="2345" customWidth="1"/>
    <col min="7940" max="7940" width="46.42578125" style="2345" customWidth="1"/>
    <col min="7941" max="7941" width="12.85546875" style="2345" customWidth="1"/>
    <col min="7942" max="7942" width="15.5703125" style="2345" customWidth="1"/>
    <col min="7943" max="7943" width="15.85546875" style="2345" customWidth="1"/>
    <col min="7944" max="7944" width="6.42578125" style="2345" customWidth="1"/>
    <col min="7945" max="7945" width="14.28515625" style="2345" bestFit="1" customWidth="1"/>
    <col min="7946" max="7946" width="9.140625" style="2345"/>
    <col min="7947" max="7947" width="12.7109375" style="2345" bestFit="1" customWidth="1"/>
    <col min="7948" max="7948" width="13.140625" style="2345" customWidth="1"/>
    <col min="7949" max="8192" width="9.140625" style="2345"/>
    <col min="8193" max="8193" width="4.7109375" style="2345" customWidth="1"/>
    <col min="8194" max="8194" width="6.7109375" style="2345" customWidth="1"/>
    <col min="8195" max="8195" width="8.85546875" style="2345" customWidth="1"/>
    <col min="8196" max="8196" width="46.42578125" style="2345" customWidth="1"/>
    <col min="8197" max="8197" width="12.85546875" style="2345" customWidth="1"/>
    <col min="8198" max="8198" width="15.5703125" style="2345" customWidth="1"/>
    <col min="8199" max="8199" width="15.85546875" style="2345" customWidth="1"/>
    <col min="8200" max="8200" width="6.42578125" style="2345" customWidth="1"/>
    <col min="8201" max="8201" width="14.28515625" style="2345" bestFit="1" customWidth="1"/>
    <col min="8202" max="8202" width="9.140625" style="2345"/>
    <col min="8203" max="8203" width="12.7109375" style="2345" bestFit="1" customWidth="1"/>
    <col min="8204" max="8204" width="13.140625" style="2345" customWidth="1"/>
    <col min="8205" max="8448" width="9.140625" style="2345"/>
    <col min="8449" max="8449" width="4.7109375" style="2345" customWidth="1"/>
    <col min="8450" max="8450" width="6.7109375" style="2345" customWidth="1"/>
    <col min="8451" max="8451" width="8.85546875" style="2345" customWidth="1"/>
    <col min="8452" max="8452" width="46.42578125" style="2345" customWidth="1"/>
    <col min="8453" max="8453" width="12.85546875" style="2345" customWidth="1"/>
    <col min="8454" max="8454" width="15.5703125" style="2345" customWidth="1"/>
    <col min="8455" max="8455" width="15.85546875" style="2345" customWidth="1"/>
    <col min="8456" max="8456" width="6.42578125" style="2345" customWidth="1"/>
    <col min="8457" max="8457" width="14.28515625" style="2345" bestFit="1" customWidth="1"/>
    <col min="8458" max="8458" width="9.140625" style="2345"/>
    <col min="8459" max="8459" width="12.7109375" style="2345" bestFit="1" customWidth="1"/>
    <col min="8460" max="8460" width="13.140625" style="2345" customWidth="1"/>
    <col min="8461" max="8704" width="9.140625" style="2345"/>
    <col min="8705" max="8705" width="4.7109375" style="2345" customWidth="1"/>
    <col min="8706" max="8706" width="6.7109375" style="2345" customWidth="1"/>
    <col min="8707" max="8707" width="8.85546875" style="2345" customWidth="1"/>
    <col min="8708" max="8708" width="46.42578125" style="2345" customWidth="1"/>
    <col min="8709" max="8709" width="12.85546875" style="2345" customWidth="1"/>
    <col min="8710" max="8710" width="15.5703125" style="2345" customWidth="1"/>
    <col min="8711" max="8711" width="15.85546875" style="2345" customWidth="1"/>
    <col min="8712" max="8712" width="6.42578125" style="2345" customWidth="1"/>
    <col min="8713" max="8713" width="14.28515625" style="2345" bestFit="1" customWidth="1"/>
    <col min="8714" max="8714" width="9.140625" style="2345"/>
    <col min="8715" max="8715" width="12.7109375" style="2345" bestFit="1" customWidth="1"/>
    <col min="8716" max="8716" width="13.140625" style="2345" customWidth="1"/>
    <col min="8717" max="8960" width="9.140625" style="2345"/>
    <col min="8961" max="8961" width="4.7109375" style="2345" customWidth="1"/>
    <col min="8962" max="8962" width="6.7109375" style="2345" customWidth="1"/>
    <col min="8963" max="8963" width="8.85546875" style="2345" customWidth="1"/>
    <col min="8964" max="8964" width="46.42578125" style="2345" customWidth="1"/>
    <col min="8965" max="8965" width="12.85546875" style="2345" customWidth="1"/>
    <col min="8966" max="8966" width="15.5703125" style="2345" customWidth="1"/>
    <col min="8967" max="8967" width="15.85546875" style="2345" customWidth="1"/>
    <col min="8968" max="8968" width="6.42578125" style="2345" customWidth="1"/>
    <col min="8969" max="8969" width="14.28515625" style="2345" bestFit="1" customWidth="1"/>
    <col min="8970" max="8970" width="9.140625" style="2345"/>
    <col min="8971" max="8971" width="12.7109375" style="2345" bestFit="1" customWidth="1"/>
    <col min="8972" max="8972" width="13.140625" style="2345" customWidth="1"/>
    <col min="8973" max="9216" width="9.140625" style="2345"/>
    <col min="9217" max="9217" width="4.7109375" style="2345" customWidth="1"/>
    <col min="9218" max="9218" width="6.7109375" style="2345" customWidth="1"/>
    <col min="9219" max="9219" width="8.85546875" style="2345" customWidth="1"/>
    <col min="9220" max="9220" width="46.42578125" style="2345" customWidth="1"/>
    <col min="9221" max="9221" width="12.85546875" style="2345" customWidth="1"/>
    <col min="9222" max="9222" width="15.5703125" style="2345" customWidth="1"/>
    <col min="9223" max="9223" width="15.85546875" style="2345" customWidth="1"/>
    <col min="9224" max="9224" width="6.42578125" style="2345" customWidth="1"/>
    <col min="9225" max="9225" width="14.28515625" style="2345" bestFit="1" customWidth="1"/>
    <col min="9226" max="9226" width="9.140625" style="2345"/>
    <col min="9227" max="9227" width="12.7109375" style="2345" bestFit="1" customWidth="1"/>
    <col min="9228" max="9228" width="13.140625" style="2345" customWidth="1"/>
    <col min="9229" max="9472" width="9.140625" style="2345"/>
    <col min="9473" max="9473" width="4.7109375" style="2345" customWidth="1"/>
    <col min="9474" max="9474" width="6.7109375" style="2345" customWidth="1"/>
    <col min="9475" max="9475" width="8.85546875" style="2345" customWidth="1"/>
    <col min="9476" max="9476" width="46.42578125" style="2345" customWidth="1"/>
    <col min="9477" max="9477" width="12.85546875" style="2345" customWidth="1"/>
    <col min="9478" max="9478" width="15.5703125" style="2345" customWidth="1"/>
    <col min="9479" max="9479" width="15.85546875" style="2345" customWidth="1"/>
    <col min="9480" max="9480" width="6.42578125" style="2345" customWidth="1"/>
    <col min="9481" max="9481" width="14.28515625" style="2345" bestFit="1" customWidth="1"/>
    <col min="9482" max="9482" width="9.140625" style="2345"/>
    <col min="9483" max="9483" width="12.7109375" style="2345" bestFit="1" customWidth="1"/>
    <col min="9484" max="9484" width="13.140625" style="2345" customWidth="1"/>
    <col min="9485" max="9728" width="9.140625" style="2345"/>
    <col min="9729" max="9729" width="4.7109375" style="2345" customWidth="1"/>
    <col min="9730" max="9730" width="6.7109375" style="2345" customWidth="1"/>
    <col min="9731" max="9731" width="8.85546875" style="2345" customWidth="1"/>
    <col min="9732" max="9732" width="46.42578125" style="2345" customWidth="1"/>
    <col min="9733" max="9733" width="12.85546875" style="2345" customWidth="1"/>
    <col min="9734" max="9734" width="15.5703125" style="2345" customWidth="1"/>
    <col min="9735" max="9735" width="15.85546875" style="2345" customWidth="1"/>
    <col min="9736" max="9736" width="6.42578125" style="2345" customWidth="1"/>
    <col min="9737" max="9737" width="14.28515625" style="2345" bestFit="1" customWidth="1"/>
    <col min="9738" max="9738" width="9.140625" style="2345"/>
    <col min="9739" max="9739" width="12.7109375" style="2345" bestFit="1" customWidth="1"/>
    <col min="9740" max="9740" width="13.140625" style="2345" customWidth="1"/>
    <col min="9741" max="9984" width="9.140625" style="2345"/>
    <col min="9985" max="9985" width="4.7109375" style="2345" customWidth="1"/>
    <col min="9986" max="9986" width="6.7109375" style="2345" customWidth="1"/>
    <col min="9987" max="9987" width="8.85546875" style="2345" customWidth="1"/>
    <col min="9988" max="9988" width="46.42578125" style="2345" customWidth="1"/>
    <col min="9989" max="9989" width="12.85546875" style="2345" customWidth="1"/>
    <col min="9990" max="9990" width="15.5703125" style="2345" customWidth="1"/>
    <col min="9991" max="9991" width="15.85546875" style="2345" customWidth="1"/>
    <col min="9992" max="9992" width="6.42578125" style="2345" customWidth="1"/>
    <col min="9993" max="9993" width="14.28515625" style="2345" bestFit="1" customWidth="1"/>
    <col min="9994" max="9994" width="9.140625" style="2345"/>
    <col min="9995" max="9995" width="12.7109375" style="2345" bestFit="1" customWidth="1"/>
    <col min="9996" max="9996" width="13.140625" style="2345" customWidth="1"/>
    <col min="9997" max="10240" width="9.140625" style="2345"/>
    <col min="10241" max="10241" width="4.7109375" style="2345" customWidth="1"/>
    <col min="10242" max="10242" width="6.7109375" style="2345" customWidth="1"/>
    <col min="10243" max="10243" width="8.85546875" style="2345" customWidth="1"/>
    <col min="10244" max="10244" width="46.42578125" style="2345" customWidth="1"/>
    <col min="10245" max="10245" width="12.85546875" style="2345" customWidth="1"/>
    <col min="10246" max="10246" width="15.5703125" style="2345" customWidth="1"/>
    <col min="10247" max="10247" width="15.85546875" style="2345" customWidth="1"/>
    <col min="10248" max="10248" width="6.42578125" style="2345" customWidth="1"/>
    <col min="10249" max="10249" width="14.28515625" style="2345" bestFit="1" customWidth="1"/>
    <col min="10250" max="10250" width="9.140625" style="2345"/>
    <col min="10251" max="10251" width="12.7109375" style="2345" bestFit="1" customWidth="1"/>
    <col min="10252" max="10252" width="13.140625" style="2345" customWidth="1"/>
    <col min="10253" max="10496" width="9.140625" style="2345"/>
    <col min="10497" max="10497" width="4.7109375" style="2345" customWidth="1"/>
    <col min="10498" max="10498" width="6.7109375" style="2345" customWidth="1"/>
    <col min="10499" max="10499" width="8.85546875" style="2345" customWidth="1"/>
    <col min="10500" max="10500" width="46.42578125" style="2345" customWidth="1"/>
    <col min="10501" max="10501" width="12.85546875" style="2345" customWidth="1"/>
    <col min="10502" max="10502" width="15.5703125" style="2345" customWidth="1"/>
    <col min="10503" max="10503" width="15.85546875" style="2345" customWidth="1"/>
    <col min="10504" max="10504" width="6.42578125" style="2345" customWidth="1"/>
    <col min="10505" max="10505" width="14.28515625" style="2345" bestFit="1" customWidth="1"/>
    <col min="10506" max="10506" width="9.140625" style="2345"/>
    <col min="10507" max="10507" width="12.7109375" style="2345" bestFit="1" customWidth="1"/>
    <col min="10508" max="10508" width="13.140625" style="2345" customWidth="1"/>
    <col min="10509" max="10752" width="9.140625" style="2345"/>
    <col min="10753" max="10753" width="4.7109375" style="2345" customWidth="1"/>
    <col min="10754" max="10754" width="6.7109375" style="2345" customWidth="1"/>
    <col min="10755" max="10755" width="8.85546875" style="2345" customWidth="1"/>
    <col min="10756" max="10756" width="46.42578125" style="2345" customWidth="1"/>
    <col min="10757" max="10757" width="12.85546875" style="2345" customWidth="1"/>
    <col min="10758" max="10758" width="15.5703125" style="2345" customWidth="1"/>
    <col min="10759" max="10759" width="15.85546875" style="2345" customWidth="1"/>
    <col min="10760" max="10760" width="6.42578125" style="2345" customWidth="1"/>
    <col min="10761" max="10761" width="14.28515625" style="2345" bestFit="1" customWidth="1"/>
    <col min="10762" max="10762" width="9.140625" style="2345"/>
    <col min="10763" max="10763" width="12.7109375" style="2345" bestFit="1" customWidth="1"/>
    <col min="10764" max="10764" width="13.140625" style="2345" customWidth="1"/>
    <col min="10765" max="11008" width="9.140625" style="2345"/>
    <col min="11009" max="11009" width="4.7109375" style="2345" customWidth="1"/>
    <col min="11010" max="11010" width="6.7109375" style="2345" customWidth="1"/>
    <col min="11011" max="11011" width="8.85546875" style="2345" customWidth="1"/>
    <col min="11012" max="11012" width="46.42578125" style="2345" customWidth="1"/>
    <col min="11013" max="11013" width="12.85546875" style="2345" customWidth="1"/>
    <col min="11014" max="11014" width="15.5703125" style="2345" customWidth="1"/>
    <col min="11015" max="11015" width="15.85546875" style="2345" customWidth="1"/>
    <col min="11016" max="11016" width="6.42578125" style="2345" customWidth="1"/>
    <col min="11017" max="11017" width="14.28515625" style="2345" bestFit="1" customWidth="1"/>
    <col min="11018" max="11018" width="9.140625" style="2345"/>
    <col min="11019" max="11019" width="12.7109375" style="2345" bestFit="1" customWidth="1"/>
    <col min="11020" max="11020" width="13.140625" style="2345" customWidth="1"/>
    <col min="11021" max="11264" width="9.140625" style="2345"/>
    <col min="11265" max="11265" width="4.7109375" style="2345" customWidth="1"/>
    <col min="11266" max="11266" width="6.7109375" style="2345" customWidth="1"/>
    <col min="11267" max="11267" width="8.85546875" style="2345" customWidth="1"/>
    <col min="11268" max="11268" width="46.42578125" style="2345" customWidth="1"/>
    <col min="11269" max="11269" width="12.85546875" style="2345" customWidth="1"/>
    <col min="11270" max="11270" width="15.5703125" style="2345" customWidth="1"/>
    <col min="11271" max="11271" width="15.85546875" style="2345" customWidth="1"/>
    <col min="11272" max="11272" width="6.42578125" style="2345" customWidth="1"/>
    <col min="11273" max="11273" width="14.28515625" style="2345" bestFit="1" customWidth="1"/>
    <col min="11274" max="11274" width="9.140625" style="2345"/>
    <col min="11275" max="11275" width="12.7109375" style="2345" bestFit="1" customWidth="1"/>
    <col min="11276" max="11276" width="13.140625" style="2345" customWidth="1"/>
    <col min="11277" max="11520" width="9.140625" style="2345"/>
    <col min="11521" max="11521" width="4.7109375" style="2345" customWidth="1"/>
    <col min="11522" max="11522" width="6.7109375" style="2345" customWidth="1"/>
    <col min="11523" max="11523" width="8.85546875" style="2345" customWidth="1"/>
    <col min="11524" max="11524" width="46.42578125" style="2345" customWidth="1"/>
    <col min="11525" max="11525" width="12.85546875" style="2345" customWidth="1"/>
    <col min="11526" max="11526" width="15.5703125" style="2345" customWidth="1"/>
    <col min="11527" max="11527" width="15.85546875" style="2345" customWidth="1"/>
    <col min="11528" max="11528" width="6.42578125" style="2345" customWidth="1"/>
    <col min="11529" max="11529" width="14.28515625" style="2345" bestFit="1" customWidth="1"/>
    <col min="11530" max="11530" width="9.140625" style="2345"/>
    <col min="11531" max="11531" width="12.7109375" style="2345" bestFit="1" customWidth="1"/>
    <col min="11532" max="11532" width="13.140625" style="2345" customWidth="1"/>
    <col min="11533" max="11776" width="9.140625" style="2345"/>
    <col min="11777" max="11777" width="4.7109375" style="2345" customWidth="1"/>
    <col min="11778" max="11778" width="6.7109375" style="2345" customWidth="1"/>
    <col min="11779" max="11779" width="8.85546875" style="2345" customWidth="1"/>
    <col min="11780" max="11780" width="46.42578125" style="2345" customWidth="1"/>
    <col min="11781" max="11781" width="12.85546875" style="2345" customWidth="1"/>
    <col min="11782" max="11782" width="15.5703125" style="2345" customWidth="1"/>
    <col min="11783" max="11783" width="15.85546875" style="2345" customWidth="1"/>
    <col min="11784" max="11784" width="6.42578125" style="2345" customWidth="1"/>
    <col min="11785" max="11785" width="14.28515625" style="2345" bestFit="1" customWidth="1"/>
    <col min="11786" max="11786" width="9.140625" style="2345"/>
    <col min="11787" max="11787" width="12.7109375" style="2345" bestFit="1" customWidth="1"/>
    <col min="11788" max="11788" width="13.140625" style="2345" customWidth="1"/>
    <col min="11789" max="12032" width="9.140625" style="2345"/>
    <col min="12033" max="12033" width="4.7109375" style="2345" customWidth="1"/>
    <col min="12034" max="12034" width="6.7109375" style="2345" customWidth="1"/>
    <col min="12035" max="12035" width="8.85546875" style="2345" customWidth="1"/>
    <col min="12036" max="12036" width="46.42578125" style="2345" customWidth="1"/>
    <col min="12037" max="12037" width="12.85546875" style="2345" customWidth="1"/>
    <col min="12038" max="12038" width="15.5703125" style="2345" customWidth="1"/>
    <col min="12039" max="12039" width="15.85546875" style="2345" customWidth="1"/>
    <col min="12040" max="12040" width="6.42578125" style="2345" customWidth="1"/>
    <col min="12041" max="12041" width="14.28515625" style="2345" bestFit="1" customWidth="1"/>
    <col min="12042" max="12042" width="9.140625" style="2345"/>
    <col min="12043" max="12043" width="12.7109375" style="2345" bestFit="1" customWidth="1"/>
    <col min="12044" max="12044" width="13.140625" style="2345" customWidth="1"/>
    <col min="12045" max="12288" width="9.140625" style="2345"/>
    <col min="12289" max="12289" width="4.7109375" style="2345" customWidth="1"/>
    <col min="12290" max="12290" width="6.7109375" style="2345" customWidth="1"/>
    <col min="12291" max="12291" width="8.85546875" style="2345" customWidth="1"/>
    <col min="12292" max="12292" width="46.42578125" style="2345" customWidth="1"/>
    <col min="12293" max="12293" width="12.85546875" style="2345" customWidth="1"/>
    <col min="12294" max="12294" width="15.5703125" style="2345" customWidth="1"/>
    <col min="12295" max="12295" width="15.85546875" style="2345" customWidth="1"/>
    <col min="12296" max="12296" width="6.42578125" style="2345" customWidth="1"/>
    <col min="12297" max="12297" width="14.28515625" style="2345" bestFit="1" customWidth="1"/>
    <col min="12298" max="12298" width="9.140625" style="2345"/>
    <col min="12299" max="12299" width="12.7109375" style="2345" bestFit="1" customWidth="1"/>
    <col min="12300" max="12300" width="13.140625" style="2345" customWidth="1"/>
    <col min="12301" max="12544" width="9.140625" style="2345"/>
    <col min="12545" max="12545" width="4.7109375" style="2345" customWidth="1"/>
    <col min="12546" max="12546" width="6.7109375" style="2345" customWidth="1"/>
    <col min="12547" max="12547" width="8.85546875" style="2345" customWidth="1"/>
    <col min="12548" max="12548" width="46.42578125" style="2345" customWidth="1"/>
    <col min="12549" max="12549" width="12.85546875" style="2345" customWidth="1"/>
    <col min="12550" max="12550" width="15.5703125" style="2345" customWidth="1"/>
    <col min="12551" max="12551" width="15.85546875" style="2345" customWidth="1"/>
    <col min="12552" max="12552" width="6.42578125" style="2345" customWidth="1"/>
    <col min="12553" max="12553" width="14.28515625" style="2345" bestFit="1" customWidth="1"/>
    <col min="12554" max="12554" width="9.140625" style="2345"/>
    <col min="12555" max="12555" width="12.7109375" style="2345" bestFit="1" customWidth="1"/>
    <col min="12556" max="12556" width="13.140625" style="2345" customWidth="1"/>
    <col min="12557" max="12800" width="9.140625" style="2345"/>
    <col min="12801" max="12801" width="4.7109375" style="2345" customWidth="1"/>
    <col min="12802" max="12802" width="6.7109375" style="2345" customWidth="1"/>
    <col min="12803" max="12803" width="8.85546875" style="2345" customWidth="1"/>
    <col min="12804" max="12804" width="46.42578125" style="2345" customWidth="1"/>
    <col min="12805" max="12805" width="12.85546875" style="2345" customWidth="1"/>
    <col min="12806" max="12806" width="15.5703125" style="2345" customWidth="1"/>
    <col min="12807" max="12807" width="15.85546875" style="2345" customWidth="1"/>
    <col min="12808" max="12808" width="6.42578125" style="2345" customWidth="1"/>
    <col min="12809" max="12809" width="14.28515625" style="2345" bestFit="1" customWidth="1"/>
    <col min="12810" max="12810" width="9.140625" style="2345"/>
    <col min="12811" max="12811" width="12.7109375" style="2345" bestFit="1" customWidth="1"/>
    <col min="12812" max="12812" width="13.140625" style="2345" customWidth="1"/>
    <col min="12813" max="13056" width="9.140625" style="2345"/>
    <col min="13057" max="13057" width="4.7109375" style="2345" customWidth="1"/>
    <col min="13058" max="13058" width="6.7109375" style="2345" customWidth="1"/>
    <col min="13059" max="13059" width="8.85546875" style="2345" customWidth="1"/>
    <col min="13060" max="13060" width="46.42578125" style="2345" customWidth="1"/>
    <col min="13061" max="13061" width="12.85546875" style="2345" customWidth="1"/>
    <col min="13062" max="13062" width="15.5703125" style="2345" customWidth="1"/>
    <col min="13063" max="13063" width="15.85546875" style="2345" customWidth="1"/>
    <col min="13064" max="13064" width="6.42578125" style="2345" customWidth="1"/>
    <col min="13065" max="13065" width="14.28515625" style="2345" bestFit="1" customWidth="1"/>
    <col min="13066" max="13066" width="9.140625" style="2345"/>
    <col min="13067" max="13067" width="12.7109375" style="2345" bestFit="1" customWidth="1"/>
    <col min="13068" max="13068" width="13.140625" style="2345" customWidth="1"/>
    <col min="13069" max="13312" width="9.140625" style="2345"/>
    <col min="13313" max="13313" width="4.7109375" style="2345" customWidth="1"/>
    <col min="13314" max="13314" width="6.7109375" style="2345" customWidth="1"/>
    <col min="13315" max="13315" width="8.85546875" style="2345" customWidth="1"/>
    <col min="13316" max="13316" width="46.42578125" style="2345" customWidth="1"/>
    <col min="13317" max="13317" width="12.85546875" style="2345" customWidth="1"/>
    <col min="13318" max="13318" width="15.5703125" style="2345" customWidth="1"/>
    <col min="13319" max="13319" width="15.85546875" style="2345" customWidth="1"/>
    <col min="13320" max="13320" width="6.42578125" style="2345" customWidth="1"/>
    <col min="13321" max="13321" width="14.28515625" style="2345" bestFit="1" customWidth="1"/>
    <col min="13322" max="13322" width="9.140625" style="2345"/>
    <col min="13323" max="13323" width="12.7109375" style="2345" bestFit="1" customWidth="1"/>
    <col min="13324" max="13324" width="13.140625" style="2345" customWidth="1"/>
    <col min="13325" max="13568" width="9.140625" style="2345"/>
    <col min="13569" max="13569" width="4.7109375" style="2345" customWidth="1"/>
    <col min="13570" max="13570" width="6.7109375" style="2345" customWidth="1"/>
    <col min="13571" max="13571" width="8.85546875" style="2345" customWidth="1"/>
    <col min="13572" max="13572" width="46.42578125" style="2345" customWidth="1"/>
    <col min="13573" max="13573" width="12.85546875" style="2345" customWidth="1"/>
    <col min="13574" max="13574" width="15.5703125" style="2345" customWidth="1"/>
    <col min="13575" max="13575" width="15.85546875" style="2345" customWidth="1"/>
    <col min="13576" max="13576" width="6.42578125" style="2345" customWidth="1"/>
    <col min="13577" max="13577" width="14.28515625" style="2345" bestFit="1" customWidth="1"/>
    <col min="13578" max="13578" width="9.140625" style="2345"/>
    <col min="13579" max="13579" width="12.7109375" style="2345" bestFit="1" customWidth="1"/>
    <col min="13580" max="13580" width="13.140625" style="2345" customWidth="1"/>
    <col min="13581" max="13824" width="9.140625" style="2345"/>
    <col min="13825" max="13825" width="4.7109375" style="2345" customWidth="1"/>
    <col min="13826" max="13826" width="6.7109375" style="2345" customWidth="1"/>
    <col min="13827" max="13827" width="8.85546875" style="2345" customWidth="1"/>
    <col min="13828" max="13828" width="46.42578125" style="2345" customWidth="1"/>
    <col min="13829" max="13829" width="12.85546875" style="2345" customWidth="1"/>
    <col min="13830" max="13830" width="15.5703125" style="2345" customWidth="1"/>
    <col min="13831" max="13831" width="15.85546875" style="2345" customWidth="1"/>
    <col min="13832" max="13832" width="6.42578125" style="2345" customWidth="1"/>
    <col min="13833" max="13833" width="14.28515625" style="2345" bestFit="1" customWidth="1"/>
    <col min="13834" max="13834" width="9.140625" style="2345"/>
    <col min="13835" max="13835" width="12.7109375" style="2345" bestFit="1" customWidth="1"/>
    <col min="13836" max="13836" width="13.140625" style="2345" customWidth="1"/>
    <col min="13837" max="14080" width="9.140625" style="2345"/>
    <col min="14081" max="14081" width="4.7109375" style="2345" customWidth="1"/>
    <col min="14082" max="14082" width="6.7109375" style="2345" customWidth="1"/>
    <col min="14083" max="14083" width="8.85546875" style="2345" customWidth="1"/>
    <col min="14084" max="14084" width="46.42578125" style="2345" customWidth="1"/>
    <col min="14085" max="14085" width="12.85546875" style="2345" customWidth="1"/>
    <col min="14086" max="14086" width="15.5703125" style="2345" customWidth="1"/>
    <col min="14087" max="14087" width="15.85546875" style="2345" customWidth="1"/>
    <col min="14088" max="14088" width="6.42578125" style="2345" customWidth="1"/>
    <col min="14089" max="14089" width="14.28515625" style="2345" bestFit="1" customWidth="1"/>
    <col min="14090" max="14090" width="9.140625" style="2345"/>
    <col min="14091" max="14091" width="12.7109375" style="2345" bestFit="1" customWidth="1"/>
    <col min="14092" max="14092" width="13.140625" style="2345" customWidth="1"/>
    <col min="14093" max="14336" width="9.140625" style="2345"/>
    <col min="14337" max="14337" width="4.7109375" style="2345" customWidth="1"/>
    <col min="14338" max="14338" width="6.7109375" style="2345" customWidth="1"/>
    <col min="14339" max="14339" width="8.85546875" style="2345" customWidth="1"/>
    <col min="14340" max="14340" width="46.42578125" style="2345" customWidth="1"/>
    <col min="14341" max="14341" width="12.85546875" style="2345" customWidth="1"/>
    <col min="14342" max="14342" width="15.5703125" style="2345" customWidth="1"/>
    <col min="14343" max="14343" width="15.85546875" style="2345" customWidth="1"/>
    <col min="14344" max="14344" width="6.42578125" style="2345" customWidth="1"/>
    <col min="14345" max="14345" width="14.28515625" style="2345" bestFit="1" customWidth="1"/>
    <col min="14346" max="14346" width="9.140625" style="2345"/>
    <col min="14347" max="14347" width="12.7109375" style="2345" bestFit="1" customWidth="1"/>
    <col min="14348" max="14348" width="13.140625" style="2345" customWidth="1"/>
    <col min="14349" max="14592" width="9.140625" style="2345"/>
    <col min="14593" max="14593" width="4.7109375" style="2345" customWidth="1"/>
    <col min="14594" max="14594" width="6.7109375" style="2345" customWidth="1"/>
    <col min="14595" max="14595" width="8.85546875" style="2345" customWidth="1"/>
    <col min="14596" max="14596" width="46.42578125" style="2345" customWidth="1"/>
    <col min="14597" max="14597" width="12.85546875" style="2345" customWidth="1"/>
    <col min="14598" max="14598" width="15.5703125" style="2345" customWidth="1"/>
    <col min="14599" max="14599" width="15.85546875" style="2345" customWidth="1"/>
    <col min="14600" max="14600" width="6.42578125" style="2345" customWidth="1"/>
    <col min="14601" max="14601" width="14.28515625" style="2345" bestFit="1" customWidth="1"/>
    <col min="14602" max="14602" width="9.140625" style="2345"/>
    <col min="14603" max="14603" width="12.7109375" style="2345" bestFit="1" customWidth="1"/>
    <col min="14604" max="14604" width="13.140625" style="2345" customWidth="1"/>
    <col min="14605" max="14848" width="9.140625" style="2345"/>
    <col min="14849" max="14849" width="4.7109375" style="2345" customWidth="1"/>
    <col min="14850" max="14850" width="6.7109375" style="2345" customWidth="1"/>
    <col min="14851" max="14851" width="8.85546875" style="2345" customWidth="1"/>
    <col min="14852" max="14852" width="46.42578125" style="2345" customWidth="1"/>
    <col min="14853" max="14853" width="12.85546875" style="2345" customWidth="1"/>
    <col min="14854" max="14854" width="15.5703125" style="2345" customWidth="1"/>
    <col min="14855" max="14855" width="15.85546875" style="2345" customWidth="1"/>
    <col min="14856" max="14856" width="6.42578125" style="2345" customWidth="1"/>
    <col min="14857" max="14857" width="14.28515625" style="2345" bestFit="1" customWidth="1"/>
    <col min="14858" max="14858" width="9.140625" style="2345"/>
    <col min="14859" max="14859" width="12.7109375" style="2345" bestFit="1" customWidth="1"/>
    <col min="14860" max="14860" width="13.140625" style="2345" customWidth="1"/>
    <col min="14861" max="15104" width="9.140625" style="2345"/>
    <col min="15105" max="15105" width="4.7109375" style="2345" customWidth="1"/>
    <col min="15106" max="15106" width="6.7109375" style="2345" customWidth="1"/>
    <col min="15107" max="15107" width="8.85546875" style="2345" customWidth="1"/>
    <col min="15108" max="15108" width="46.42578125" style="2345" customWidth="1"/>
    <col min="15109" max="15109" width="12.85546875" style="2345" customWidth="1"/>
    <col min="15110" max="15110" width="15.5703125" style="2345" customWidth="1"/>
    <col min="15111" max="15111" width="15.85546875" style="2345" customWidth="1"/>
    <col min="15112" max="15112" width="6.42578125" style="2345" customWidth="1"/>
    <col min="15113" max="15113" width="14.28515625" style="2345" bestFit="1" customWidth="1"/>
    <col min="15114" max="15114" width="9.140625" style="2345"/>
    <col min="15115" max="15115" width="12.7109375" style="2345" bestFit="1" customWidth="1"/>
    <col min="15116" max="15116" width="13.140625" style="2345" customWidth="1"/>
    <col min="15117" max="15360" width="9.140625" style="2345"/>
    <col min="15361" max="15361" width="4.7109375" style="2345" customWidth="1"/>
    <col min="15362" max="15362" width="6.7109375" style="2345" customWidth="1"/>
    <col min="15363" max="15363" width="8.85546875" style="2345" customWidth="1"/>
    <col min="15364" max="15364" width="46.42578125" style="2345" customWidth="1"/>
    <col min="15365" max="15365" width="12.85546875" style="2345" customWidth="1"/>
    <col min="15366" max="15366" width="15.5703125" style="2345" customWidth="1"/>
    <col min="15367" max="15367" width="15.85546875" style="2345" customWidth="1"/>
    <col min="15368" max="15368" width="6.42578125" style="2345" customWidth="1"/>
    <col min="15369" max="15369" width="14.28515625" style="2345" bestFit="1" customWidth="1"/>
    <col min="15370" max="15370" width="9.140625" style="2345"/>
    <col min="15371" max="15371" width="12.7109375" style="2345" bestFit="1" customWidth="1"/>
    <col min="15372" max="15372" width="13.140625" style="2345" customWidth="1"/>
    <col min="15373" max="15616" width="9.140625" style="2345"/>
    <col min="15617" max="15617" width="4.7109375" style="2345" customWidth="1"/>
    <col min="15618" max="15618" width="6.7109375" style="2345" customWidth="1"/>
    <col min="15619" max="15619" width="8.85546875" style="2345" customWidth="1"/>
    <col min="15620" max="15620" width="46.42578125" style="2345" customWidth="1"/>
    <col min="15621" max="15621" width="12.85546875" style="2345" customWidth="1"/>
    <col min="15622" max="15622" width="15.5703125" style="2345" customWidth="1"/>
    <col min="15623" max="15623" width="15.85546875" style="2345" customWidth="1"/>
    <col min="15624" max="15624" width="6.42578125" style="2345" customWidth="1"/>
    <col min="15625" max="15625" width="14.28515625" style="2345" bestFit="1" customWidth="1"/>
    <col min="15626" max="15626" width="9.140625" style="2345"/>
    <col min="15627" max="15627" width="12.7109375" style="2345" bestFit="1" customWidth="1"/>
    <col min="15628" max="15628" width="13.140625" style="2345" customWidth="1"/>
    <col min="15629" max="15872" width="9.140625" style="2345"/>
    <col min="15873" max="15873" width="4.7109375" style="2345" customWidth="1"/>
    <col min="15874" max="15874" width="6.7109375" style="2345" customWidth="1"/>
    <col min="15875" max="15875" width="8.85546875" style="2345" customWidth="1"/>
    <col min="15876" max="15876" width="46.42578125" style="2345" customWidth="1"/>
    <col min="15877" max="15877" width="12.85546875" style="2345" customWidth="1"/>
    <col min="15878" max="15878" width="15.5703125" style="2345" customWidth="1"/>
    <col min="15879" max="15879" width="15.85546875" style="2345" customWidth="1"/>
    <col min="15880" max="15880" width="6.42578125" style="2345" customWidth="1"/>
    <col min="15881" max="15881" width="14.28515625" style="2345" bestFit="1" customWidth="1"/>
    <col min="15882" max="15882" width="9.140625" style="2345"/>
    <col min="15883" max="15883" width="12.7109375" style="2345" bestFit="1" customWidth="1"/>
    <col min="15884" max="15884" width="13.140625" style="2345" customWidth="1"/>
    <col min="15885" max="16128" width="9.140625" style="2345"/>
    <col min="16129" max="16129" width="4.7109375" style="2345" customWidth="1"/>
    <col min="16130" max="16130" width="6.7109375" style="2345" customWidth="1"/>
    <col min="16131" max="16131" width="8.85546875" style="2345" customWidth="1"/>
    <col min="16132" max="16132" width="46.42578125" style="2345" customWidth="1"/>
    <col min="16133" max="16133" width="12.85546875" style="2345" customWidth="1"/>
    <col min="16134" max="16134" width="15.5703125" style="2345" customWidth="1"/>
    <col min="16135" max="16135" width="15.85546875" style="2345" customWidth="1"/>
    <col min="16136" max="16136" width="6.42578125" style="2345" customWidth="1"/>
    <col min="16137" max="16137" width="14.28515625" style="2345" bestFit="1" customWidth="1"/>
    <col min="16138" max="16138" width="9.140625" style="2345"/>
    <col min="16139" max="16139" width="12.7109375" style="2345" bestFit="1" customWidth="1"/>
    <col min="16140" max="16140" width="13.140625" style="2345" customWidth="1"/>
    <col min="16141" max="16384" width="9.140625" style="2345"/>
  </cols>
  <sheetData>
    <row r="1" spans="1:8" ht="19.5" customHeight="1" thickBot="1" x14ac:dyDescent="0.3">
      <c r="A1" s="2339" t="s">
        <v>1868</v>
      </c>
      <c r="B1" s="2340"/>
      <c r="C1" s="2341"/>
      <c r="D1" s="2342"/>
      <c r="E1" s="2343"/>
      <c r="F1" s="2342"/>
      <c r="G1" s="2344"/>
      <c r="H1" s="2339"/>
    </row>
    <row r="2" spans="1:8" ht="18" x14ac:dyDescent="0.25">
      <c r="A2" s="2346"/>
      <c r="B2" s="2347"/>
      <c r="C2" s="2347"/>
      <c r="D2" s="2347"/>
      <c r="E2" s="2347"/>
      <c r="F2" s="2347"/>
      <c r="G2" s="2347"/>
      <c r="H2" s="2348" t="s">
        <v>1869</v>
      </c>
    </row>
    <row r="3" spans="1:8" ht="18" x14ac:dyDescent="0.25">
      <c r="A3" s="2349" t="s">
        <v>404</v>
      </c>
      <c r="B3" s="2347"/>
      <c r="C3" s="2350" t="s">
        <v>379</v>
      </c>
      <c r="D3" s="2347"/>
      <c r="E3" s="2347"/>
      <c r="F3" s="2347"/>
      <c r="G3" s="2347"/>
      <c r="H3" s="2348"/>
    </row>
    <row r="4" spans="1:8" ht="18" x14ac:dyDescent="0.25">
      <c r="A4" s="2346"/>
      <c r="B4" s="2347"/>
      <c r="C4" s="2350" t="s">
        <v>380</v>
      </c>
      <c r="D4" s="2347"/>
      <c r="E4" s="2347"/>
      <c r="F4" s="2347"/>
      <c r="G4" s="2347"/>
      <c r="H4" s="2348"/>
    </row>
    <row r="5" spans="1:8" ht="18" x14ac:dyDescent="0.25">
      <c r="A5" s="2351" t="s">
        <v>1612</v>
      </c>
      <c r="B5" s="2347"/>
      <c r="C5" s="2347"/>
      <c r="D5" s="2347"/>
      <c r="E5" s="2347"/>
      <c r="F5" s="2347"/>
      <c r="G5" s="2347"/>
      <c r="H5" s="2348"/>
    </row>
    <row r="6" spans="1:8" ht="18" x14ac:dyDescent="0.25">
      <c r="A6" s="2351"/>
      <c r="B6" s="2347"/>
      <c r="C6" s="2347"/>
      <c r="D6" s="2347"/>
      <c r="E6" s="2347"/>
      <c r="F6" s="2347"/>
      <c r="G6" s="2347"/>
      <c r="H6" s="2348"/>
    </row>
    <row r="7" spans="1:8" ht="18" x14ac:dyDescent="0.25">
      <c r="A7" s="2351"/>
      <c r="B7" s="2347"/>
      <c r="C7" s="2347"/>
      <c r="D7" s="2347"/>
      <c r="E7" s="2347"/>
      <c r="F7" s="2347"/>
      <c r="G7" s="2347"/>
      <c r="H7" s="2348"/>
    </row>
    <row r="8" spans="1:8" ht="15" x14ac:dyDescent="0.25">
      <c r="A8" s="2426" t="s">
        <v>1870</v>
      </c>
      <c r="B8" s="2347"/>
      <c r="C8" s="2347"/>
      <c r="D8" s="2347"/>
    </row>
    <row r="9" spans="1:8" ht="15.75" thickBot="1" x14ac:dyDescent="0.3">
      <c r="A9" s="2427" t="s">
        <v>1871</v>
      </c>
      <c r="B9" s="2428"/>
      <c r="C9" s="2428"/>
      <c r="H9" s="2354" t="s">
        <v>179</v>
      </c>
    </row>
    <row r="10" spans="1:8" s="2429" customFormat="1" ht="25.5" thickTop="1" thickBot="1" x14ac:dyDescent="0.25">
      <c r="A10" s="2355" t="s">
        <v>180</v>
      </c>
      <c r="B10" s="2356" t="s">
        <v>847</v>
      </c>
      <c r="C10" s="2356" t="s">
        <v>414</v>
      </c>
      <c r="D10" s="2357" t="s">
        <v>182</v>
      </c>
      <c r="E10" s="2358" t="s">
        <v>700</v>
      </c>
      <c r="F10" s="2358" t="s">
        <v>701</v>
      </c>
      <c r="G10" s="2359" t="s">
        <v>986</v>
      </c>
      <c r="H10" s="2360" t="s">
        <v>987</v>
      </c>
    </row>
    <row r="11" spans="1:8" s="2429" customFormat="1" ht="13.5" thickTop="1" thickBot="1" x14ac:dyDescent="0.25">
      <c r="A11" s="2361">
        <v>1</v>
      </c>
      <c r="B11" s="2362">
        <v>2</v>
      </c>
      <c r="C11" s="2362">
        <v>3</v>
      </c>
      <c r="D11" s="2362">
        <v>4</v>
      </c>
      <c r="E11" s="2363">
        <v>5</v>
      </c>
      <c r="F11" s="2363">
        <v>6</v>
      </c>
      <c r="G11" s="2364">
        <v>7</v>
      </c>
      <c r="H11" s="2365" t="s">
        <v>61</v>
      </c>
    </row>
    <row r="12" spans="1:8" s="2431" customFormat="1" ht="15.75" hidden="1" thickTop="1" x14ac:dyDescent="0.2">
      <c r="A12" s="2371">
        <v>3636</v>
      </c>
      <c r="B12" s="2372">
        <v>5011</v>
      </c>
      <c r="C12" s="2430">
        <v>38100880</v>
      </c>
      <c r="D12" s="2373" t="s">
        <v>225</v>
      </c>
      <c r="E12" s="2374"/>
      <c r="F12" s="2374"/>
      <c r="G12" s="2374"/>
      <c r="H12" s="2375" t="e">
        <f>G12/F12*100</f>
        <v>#DIV/0!</v>
      </c>
    </row>
    <row r="13" spans="1:8" s="2431" customFormat="1" ht="15.75" hidden="1" thickTop="1" x14ac:dyDescent="0.2">
      <c r="A13" s="2371">
        <v>3636</v>
      </c>
      <c r="B13" s="2372">
        <v>5011</v>
      </c>
      <c r="C13" s="2430">
        <v>38100882</v>
      </c>
      <c r="D13" s="2373" t="s">
        <v>225</v>
      </c>
      <c r="E13" s="2374"/>
      <c r="F13" s="2374"/>
      <c r="G13" s="2374"/>
      <c r="H13" s="2375">
        <v>0</v>
      </c>
    </row>
    <row r="14" spans="1:8" s="2431" customFormat="1" ht="15.75" hidden="1" thickTop="1" x14ac:dyDescent="0.2">
      <c r="A14" s="2371">
        <v>3636</v>
      </c>
      <c r="B14" s="2372">
        <v>5011</v>
      </c>
      <c r="C14" s="2430">
        <v>38500881</v>
      </c>
      <c r="D14" s="2373" t="s">
        <v>225</v>
      </c>
      <c r="E14" s="2374"/>
      <c r="F14" s="2374"/>
      <c r="G14" s="2374"/>
      <c r="H14" s="2375" t="e">
        <f>G14/F14*100</f>
        <v>#DIV/0!</v>
      </c>
    </row>
    <row r="15" spans="1:8" s="2431" customFormat="1" ht="15.75" thickTop="1" x14ac:dyDescent="0.2">
      <c r="A15" s="2371">
        <v>3299</v>
      </c>
      <c r="B15" s="2372">
        <v>5169</v>
      </c>
      <c r="C15" s="2430">
        <v>32133007</v>
      </c>
      <c r="D15" s="2373" t="s">
        <v>955</v>
      </c>
      <c r="E15" s="2374">
        <v>0</v>
      </c>
      <c r="F15" s="2374">
        <v>15</v>
      </c>
      <c r="G15" s="2374">
        <v>5</v>
      </c>
      <c r="H15" s="2375">
        <f>G15/F15*100</f>
        <v>33.333333333333329</v>
      </c>
    </row>
    <row r="16" spans="1:8" s="2431" customFormat="1" ht="15" hidden="1" x14ac:dyDescent="0.2">
      <c r="A16" s="2371">
        <v>3299</v>
      </c>
      <c r="B16" s="2372">
        <v>5021</v>
      </c>
      <c r="C16" s="2430">
        <v>38100882</v>
      </c>
      <c r="D16" s="2373" t="s">
        <v>427</v>
      </c>
      <c r="E16" s="2374"/>
      <c r="F16" s="2374"/>
      <c r="G16" s="2374"/>
      <c r="H16" s="2375">
        <v>0</v>
      </c>
    </row>
    <row r="17" spans="1:8" s="2431" customFormat="1" ht="15.75" thickBot="1" x14ac:dyDescent="0.25">
      <c r="A17" s="2371">
        <v>3299</v>
      </c>
      <c r="B17" s="2372">
        <v>5169</v>
      </c>
      <c r="C17" s="2430">
        <v>32533007</v>
      </c>
      <c r="D17" s="2373" t="s">
        <v>955</v>
      </c>
      <c r="E17" s="2374">
        <v>0</v>
      </c>
      <c r="F17" s="2374">
        <v>85</v>
      </c>
      <c r="G17" s="2374">
        <v>28</v>
      </c>
      <c r="H17" s="2375">
        <f>G17/F17*100</f>
        <v>32.941176470588232</v>
      </c>
    </row>
    <row r="18" spans="1:8" s="2431" customFormat="1" ht="30.75" hidden="1" thickBot="1" x14ac:dyDescent="0.25">
      <c r="A18" s="2371">
        <v>3636</v>
      </c>
      <c r="B18" s="2372">
        <v>5031</v>
      </c>
      <c r="C18" s="2430">
        <v>38100880</v>
      </c>
      <c r="D18" s="2373" t="s">
        <v>1459</v>
      </c>
      <c r="E18" s="2374"/>
      <c r="F18" s="2374"/>
      <c r="G18" s="2374"/>
      <c r="H18" s="2375" t="e">
        <f>G18/F18*100</f>
        <v>#DIV/0!</v>
      </c>
    </row>
    <row r="19" spans="1:8" s="2431" customFormat="1" ht="30.75" hidden="1" thickBot="1" x14ac:dyDescent="0.25">
      <c r="A19" s="2371">
        <v>3636</v>
      </c>
      <c r="B19" s="2372">
        <v>5031</v>
      </c>
      <c r="C19" s="2430">
        <v>38100882</v>
      </c>
      <c r="D19" s="2373" t="s">
        <v>1459</v>
      </c>
      <c r="E19" s="2374"/>
      <c r="F19" s="2374"/>
      <c r="G19" s="2374"/>
      <c r="H19" s="2375">
        <v>0</v>
      </c>
    </row>
    <row r="20" spans="1:8" s="2431" customFormat="1" ht="30.75" hidden="1" thickBot="1" x14ac:dyDescent="0.25">
      <c r="A20" s="2371">
        <v>3636</v>
      </c>
      <c r="B20" s="2372">
        <v>5031</v>
      </c>
      <c r="C20" s="2430">
        <v>38500881</v>
      </c>
      <c r="D20" s="2373" t="s">
        <v>1459</v>
      </c>
      <c r="E20" s="2374"/>
      <c r="F20" s="2374"/>
      <c r="G20" s="2374"/>
      <c r="H20" s="2375" t="e">
        <f>G20/F20*100</f>
        <v>#DIV/0!</v>
      </c>
    </row>
    <row r="21" spans="1:8" s="2431" customFormat="1" ht="30.75" hidden="1" thickBot="1" x14ac:dyDescent="0.25">
      <c r="A21" s="2371">
        <v>3636</v>
      </c>
      <c r="B21" s="2372">
        <v>5032</v>
      </c>
      <c r="C21" s="2430">
        <v>38100880</v>
      </c>
      <c r="D21" s="2373" t="s">
        <v>1322</v>
      </c>
      <c r="E21" s="2374"/>
      <c r="F21" s="2374"/>
      <c r="G21" s="2374"/>
      <c r="H21" s="2375" t="e">
        <f>G21/F21*100</f>
        <v>#DIV/0!</v>
      </c>
    </row>
    <row r="22" spans="1:8" s="2431" customFormat="1" ht="30.75" hidden="1" thickBot="1" x14ac:dyDescent="0.25">
      <c r="A22" s="2371">
        <v>3636</v>
      </c>
      <c r="B22" s="2372">
        <v>5032</v>
      </c>
      <c r="C22" s="2430">
        <v>38100882</v>
      </c>
      <c r="D22" s="2373" t="s">
        <v>1322</v>
      </c>
      <c r="E22" s="2374"/>
      <c r="F22" s="2374"/>
      <c r="G22" s="2374"/>
      <c r="H22" s="2375">
        <v>0</v>
      </c>
    </row>
    <row r="23" spans="1:8" s="2431" customFormat="1" ht="30.75" hidden="1" thickBot="1" x14ac:dyDescent="0.25">
      <c r="A23" s="2371">
        <v>3636</v>
      </c>
      <c r="B23" s="2372">
        <v>5032</v>
      </c>
      <c r="C23" s="2430">
        <v>38500881</v>
      </c>
      <c r="D23" s="2373" t="s">
        <v>1322</v>
      </c>
      <c r="E23" s="2374"/>
      <c r="F23" s="2374"/>
      <c r="G23" s="2374"/>
      <c r="H23" s="2375" t="e">
        <f>G23/F23*100</f>
        <v>#DIV/0!</v>
      </c>
    </row>
    <row r="24" spans="1:8" s="2431" customFormat="1" ht="15.75" hidden="1" thickBot="1" x14ac:dyDescent="0.25">
      <c r="A24" s="2371">
        <v>3636</v>
      </c>
      <c r="B24" s="2372">
        <v>5136</v>
      </c>
      <c r="C24" s="2430">
        <v>38100880</v>
      </c>
      <c r="D24" s="2373" t="s">
        <v>676</v>
      </c>
      <c r="E24" s="2374"/>
      <c r="F24" s="2374"/>
      <c r="G24" s="2374"/>
      <c r="H24" s="2375" t="e">
        <f>G24/F24*100</f>
        <v>#DIV/0!</v>
      </c>
    </row>
    <row r="25" spans="1:8" s="2431" customFormat="1" ht="15.75" hidden="1" thickBot="1" x14ac:dyDescent="0.25">
      <c r="A25" s="2371">
        <v>3636</v>
      </c>
      <c r="B25" s="2372">
        <v>5136</v>
      </c>
      <c r="C25" s="2430">
        <v>38500881</v>
      </c>
      <c r="D25" s="2373" t="s">
        <v>676</v>
      </c>
      <c r="E25" s="2374"/>
      <c r="F25" s="2374"/>
      <c r="G25" s="2374"/>
      <c r="H25" s="2375" t="e">
        <f>G25/F25*100</f>
        <v>#DIV/0!</v>
      </c>
    </row>
    <row r="26" spans="1:8" s="2431" customFormat="1" ht="15.75" hidden="1" thickBot="1" x14ac:dyDescent="0.25">
      <c r="A26" s="2371">
        <v>3636</v>
      </c>
      <c r="B26" s="2372">
        <v>5139</v>
      </c>
      <c r="C26" s="2430">
        <v>38100880</v>
      </c>
      <c r="D26" s="2373" t="s">
        <v>295</v>
      </c>
      <c r="E26" s="2374"/>
      <c r="F26" s="2374"/>
      <c r="G26" s="2374"/>
      <c r="H26" s="2375" t="e">
        <f>G26/F26*100</f>
        <v>#DIV/0!</v>
      </c>
    </row>
    <row r="27" spans="1:8" s="2431" customFormat="1" ht="15.75" hidden="1" thickBot="1" x14ac:dyDescent="0.25">
      <c r="A27" s="2371">
        <v>3636</v>
      </c>
      <c r="B27" s="2372">
        <v>5139</v>
      </c>
      <c r="C27" s="2430">
        <v>38100882</v>
      </c>
      <c r="D27" s="2373" t="s">
        <v>295</v>
      </c>
      <c r="E27" s="2374"/>
      <c r="F27" s="2374"/>
      <c r="G27" s="2374"/>
      <c r="H27" s="2375">
        <v>0</v>
      </c>
    </row>
    <row r="28" spans="1:8" s="2431" customFormat="1" ht="15.75" hidden="1" thickBot="1" x14ac:dyDescent="0.25">
      <c r="A28" s="2371">
        <v>3636</v>
      </c>
      <c r="B28" s="2372">
        <v>5139</v>
      </c>
      <c r="C28" s="2430">
        <v>38500881</v>
      </c>
      <c r="D28" s="2373" t="s">
        <v>295</v>
      </c>
      <c r="E28" s="2374"/>
      <c r="F28" s="2374"/>
      <c r="G28" s="2374"/>
      <c r="H28" s="2375" t="e">
        <f>G28/F28*100</f>
        <v>#DIV/0!</v>
      </c>
    </row>
    <row r="29" spans="1:8" s="2431" customFormat="1" ht="15.75" hidden="1" thickBot="1" x14ac:dyDescent="0.25">
      <c r="A29" s="2371">
        <v>3636</v>
      </c>
      <c r="B29" s="2372">
        <v>5162</v>
      </c>
      <c r="C29" s="2430">
        <v>38100880</v>
      </c>
      <c r="D29" s="2373" t="s">
        <v>967</v>
      </c>
      <c r="E29" s="2374"/>
      <c r="F29" s="2374"/>
      <c r="G29" s="2374"/>
      <c r="H29" s="2375" t="e">
        <f>G29/F29*100</f>
        <v>#DIV/0!</v>
      </c>
    </row>
    <row r="30" spans="1:8" s="2431" customFormat="1" ht="15.75" hidden="1" thickBot="1" x14ac:dyDescent="0.25">
      <c r="A30" s="2371">
        <v>3636</v>
      </c>
      <c r="B30" s="2372">
        <v>5162</v>
      </c>
      <c r="C30" s="2430">
        <v>38100882</v>
      </c>
      <c r="D30" s="2373" t="s">
        <v>967</v>
      </c>
      <c r="E30" s="2374"/>
      <c r="F30" s="2374"/>
      <c r="G30" s="2374"/>
      <c r="H30" s="2375">
        <v>0</v>
      </c>
    </row>
    <row r="31" spans="1:8" s="2433" customFormat="1" ht="15.75" hidden="1" thickBot="1" x14ac:dyDescent="0.25">
      <c r="A31" s="2371">
        <v>3636</v>
      </c>
      <c r="B31" s="2432">
        <v>5162</v>
      </c>
      <c r="C31" s="2430">
        <v>38500881</v>
      </c>
      <c r="D31" s="2373" t="s">
        <v>967</v>
      </c>
      <c r="E31" s="2374"/>
      <c r="F31" s="2374"/>
      <c r="G31" s="2374"/>
      <c r="H31" s="2375" t="e">
        <f>G31/F31*100</f>
        <v>#DIV/0!</v>
      </c>
    </row>
    <row r="32" spans="1:8" s="2433" customFormat="1" ht="15.75" hidden="1" thickBot="1" x14ac:dyDescent="0.25">
      <c r="A32" s="2371">
        <v>3636</v>
      </c>
      <c r="B32" s="2432">
        <v>5163</v>
      </c>
      <c r="C32" s="2430">
        <v>38100880</v>
      </c>
      <c r="D32" s="2373" t="s">
        <v>997</v>
      </c>
      <c r="E32" s="2374">
        <v>0</v>
      </c>
      <c r="F32" s="2374">
        <v>0</v>
      </c>
      <c r="G32" s="2374">
        <v>0</v>
      </c>
      <c r="H32" s="2375">
        <v>0</v>
      </c>
    </row>
    <row r="33" spans="1:8" ht="17.25" hidden="1" customHeight="1" x14ac:dyDescent="0.2">
      <c r="A33" s="2371">
        <v>3636</v>
      </c>
      <c r="B33" s="2432">
        <v>5163</v>
      </c>
      <c r="C33" s="2430">
        <v>38100882</v>
      </c>
      <c r="D33" s="2373" t="s">
        <v>997</v>
      </c>
      <c r="E33" s="2374"/>
      <c r="F33" s="2374"/>
      <c r="G33" s="2374"/>
      <c r="H33" s="2375">
        <v>0</v>
      </c>
    </row>
    <row r="34" spans="1:8" ht="17.25" hidden="1" customHeight="1" x14ac:dyDescent="0.2">
      <c r="A34" s="2371">
        <v>3636</v>
      </c>
      <c r="B34" s="2432">
        <v>5163</v>
      </c>
      <c r="C34" s="2430">
        <v>38500881</v>
      </c>
      <c r="D34" s="2373" t="s">
        <v>997</v>
      </c>
      <c r="E34" s="2374">
        <v>0</v>
      </c>
      <c r="F34" s="2374">
        <v>0</v>
      </c>
      <c r="G34" s="2374">
        <v>0</v>
      </c>
      <c r="H34" s="2375" t="e">
        <f>G34/F34*100</f>
        <v>#DIV/0!</v>
      </c>
    </row>
    <row r="35" spans="1:8" ht="17.25" hidden="1" customHeight="1" x14ac:dyDescent="0.2">
      <c r="A35" s="2371">
        <v>3636</v>
      </c>
      <c r="B35" s="2432">
        <v>5164</v>
      </c>
      <c r="C35" s="2430">
        <v>38100880</v>
      </c>
      <c r="D35" s="2373" t="s">
        <v>188</v>
      </c>
      <c r="E35" s="2374">
        <v>0</v>
      </c>
      <c r="F35" s="2374">
        <v>0</v>
      </c>
      <c r="G35" s="2374">
        <v>0</v>
      </c>
      <c r="H35" s="2375" t="e">
        <f>G35/F35*100</f>
        <v>#DIV/0!</v>
      </c>
    </row>
    <row r="36" spans="1:8" ht="17.25" hidden="1" customHeight="1" x14ac:dyDescent="0.2">
      <c r="A36" s="2371">
        <v>3636</v>
      </c>
      <c r="B36" s="2432">
        <v>5164</v>
      </c>
      <c r="C36" s="2430">
        <v>38100882</v>
      </c>
      <c r="D36" s="2373" t="s">
        <v>188</v>
      </c>
      <c r="E36" s="2374"/>
      <c r="F36" s="2374"/>
      <c r="G36" s="2374"/>
      <c r="H36" s="2375">
        <v>0</v>
      </c>
    </row>
    <row r="37" spans="1:8" ht="17.25" hidden="1" customHeight="1" x14ac:dyDescent="0.2">
      <c r="A37" s="2371">
        <v>3636</v>
      </c>
      <c r="B37" s="2432">
        <v>5164</v>
      </c>
      <c r="C37" s="2430">
        <v>38500881</v>
      </c>
      <c r="D37" s="2373" t="s">
        <v>188</v>
      </c>
      <c r="E37" s="2374">
        <v>0</v>
      </c>
      <c r="F37" s="2374">
        <v>0</v>
      </c>
      <c r="G37" s="2374">
        <v>0</v>
      </c>
      <c r="H37" s="2375" t="e">
        <f>G37/F37*100</f>
        <v>#DIV/0!</v>
      </c>
    </row>
    <row r="38" spans="1:8" ht="17.25" hidden="1" customHeight="1" x14ac:dyDescent="0.2">
      <c r="A38" s="2371">
        <v>3636</v>
      </c>
      <c r="B38" s="2432">
        <v>5166</v>
      </c>
      <c r="C38" s="2430">
        <v>38100880</v>
      </c>
      <c r="D38" s="2373" t="s">
        <v>677</v>
      </c>
      <c r="E38" s="2374">
        <v>0</v>
      </c>
      <c r="F38" s="2374">
        <v>0</v>
      </c>
      <c r="G38" s="2374">
        <v>0</v>
      </c>
      <c r="H38" s="2375" t="e">
        <f>G38/F38*100</f>
        <v>#DIV/0!</v>
      </c>
    </row>
    <row r="39" spans="1:8" ht="17.25" hidden="1" customHeight="1" x14ac:dyDescent="0.2">
      <c r="A39" s="2371">
        <v>3636</v>
      </c>
      <c r="B39" s="2432">
        <v>5166</v>
      </c>
      <c r="C39" s="2430">
        <v>38100882</v>
      </c>
      <c r="D39" s="2373" t="s">
        <v>677</v>
      </c>
      <c r="E39" s="2374"/>
      <c r="F39" s="2374"/>
      <c r="G39" s="2374"/>
      <c r="H39" s="2375">
        <v>0</v>
      </c>
    </row>
    <row r="40" spans="1:8" ht="17.25" hidden="1" customHeight="1" x14ac:dyDescent="0.2">
      <c r="A40" s="2371">
        <v>3636</v>
      </c>
      <c r="B40" s="2432">
        <v>5166</v>
      </c>
      <c r="C40" s="2430">
        <v>38500881</v>
      </c>
      <c r="D40" s="2373" t="s">
        <v>677</v>
      </c>
      <c r="E40" s="2374">
        <v>0</v>
      </c>
      <c r="F40" s="2374">
        <v>0</v>
      </c>
      <c r="G40" s="2374">
        <v>0</v>
      </c>
      <c r="H40" s="2375" t="e">
        <f>G40/F40*100</f>
        <v>#DIV/0!</v>
      </c>
    </row>
    <row r="41" spans="1:8" ht="17.25" hidden="1" customHeight="1" x14ac:dyDescent="0.2">
      <c r="A41" s="2371">
        <v>3636</v>
      </c>
      <c r="B41" s="2432">
        <v>5167</v>
      </c>
      <c r="C41" s="2430">
        <v>38100880</v>
      </c>
      <c r="D41" s="2373" t="s">
        <v>329</v>
      </c>
      <c r="E41" s="2374"/>
      <c r="F41" s="2374"/>
      <c r="G41" s="2374"/>
      <c r="H41" s="2375" t="e">
        <f>G41/F41*100</f>
        <v>#DIV/0!</v>
      </c>
    </row>
    <row r="42" spans="1:8" ht="17.25" hidden="1" customHeight="1" x14ac:dyDescent="0.2">
      <c r="A42" s="2371">
        <v>3636</v>
      </c>
      <c r="B42" s="2432">
        <v>5167</v>
      </c>
      <c r="C42" s="2430">
        <v>38100882</v>
      </c>
      <c r="D42" s="2373" t="s">
        <v>329</v>
      </c>
      <c r="E42" s="2374"/>
      <c r="F42" s="2374"/>
      <c r="G42" s="2374"/>
      <c r="H42" s="2375">
        <v>0</v>
      </c>
    </row>
    <row r="43" spans="1:8" ht="17.25" hidden="1" customHeight="1" x14ac:dyDescent="0.2">
      <c r="A43" s="2371">
        <v>3636</v>
      </c>
      <c r="B43" s="2432">
        <v>5167</v>
      </c>
      <c r="C43" s="2430">
        <v>38500881</v>
      </c>
      <c r="D43" s="2373" t="s">
        <v>329</v>
      </c>
      <c r="E43" s="2374"/>
      <c r="F43" s="2374"/>
      <c r="G43" s="2374"/>
      <c r="H43" s="2375" t="e">
        <f>G43/F43*100</f>
        <v>#DIV/0!</v>
      </c>
    </row>
    <row r="44" spans="1:8" ht="17.25" hidden="1" customHeight="1" x14ac:dyDescent="0.2">
      <c r="A44" s="2371">
        <v>3636</v>
      </c>
      <c r="B44" s="2432">
        <v>5169</v>
      </c>
      <c r="C44" s="2430">
        <v>38100880</v>
      </c>
      <c r="D44" s="2373" t="s">
        <v>955</v>
      </c>
      <c r="E44" s="2374">
        <v>0</v>
      </c>
      <c r="F44" s="2374">
        <v>0</v>
      </c>
      <c r="G44" s="2374">
        <v>0</v>
      </c>
      <c r="H44" s="2375" t="e">
        <f>G44/F44*100</f>
        <v>#DIV/0!</v>
      </c>
    </row>
    <row r="45" spans="1:8" ht="17.25" hidden="1" customHeight="1" x14ac:dyDescent="0.2">
      <c r="A45" s="2371">
        <v>3636</v>
      </c>
      <c r="B45" s="2432">
        <v>5169</v>
      </c>
      <c r="C45" s="2430">
        <v>38100882</v>
      </c>
      <c r="D45" s="2373" t="s">
        <v>955</v>
      </c>
      <c r="E45" s="2374"/>
      <c r="F45" s="2374"/>
      <c r="G45" s="2374"/>
      <c r="H45" s="2375">
        <v>0</v>
      </c>
    </row>
    <row r="46" spans="1:8" ht="17.25" hidden="1" customHeight="1" x14ac:dyDescent="0.2">
      <c r="A46" s="2371">
        <v>3636</v>
      </c>
      <c r="B46" s="2432">
        <v>5169</v>
      </c>
      <c r="C46" s="2430">
        <v>38500881</v>
      </c>
      <c r="D46" s="2373" t="s">
        <v>955</v>
      </c>
      <c r="E46" s="2374">
        <v>0</v>
      </c>
      <c r="F46" s="2374">
        <v>0</v>
      </c>
      <c r="G46" s="2374">
        <v>0</v>
      </c>
      <c r="H46" s="2375" t="e">
        <f>G46/F46*100</f>
        <v>#DIV/0!</v>
      </c>
    </row>
    <row r="47" spans="1:8" ht="17.25" hidden="1" customHeight="1" x14ac:dyDescent="0.2">
      <c r="A47" s="2371">
        <v>3636</v>
      </c>
      <c r="B47" s="2432">
        <v>5173</v>
      </c>
      <c r="C47" s="2430">
        <v>38100880</v>
      </c>
      <c r="D47" s="2373" t="s">
        <v>1296</v>
      </c>
      <c r="E47" s="2374">
        <v>0</v>
      </c>
      <c r="F47" s="2374">
        <v>0</v>
      </c>
      <c r="G47" s="2374">
        <v>0</v>
      </c>
      <c r="H47" s="2375" t="e">
        <f>G47/F47*100</f>
        <v>#DIV/0!</v>
      </c>
    </row>
    <row r="48" spans="1:8" ht="17.25" hidden="1" customHeight="1" x14ac:dyDescent="0.2">
      <c r="A48" s="2371">
        <v>3636</v>
      </c>
      <c r="B48" s="2432">
        <v>5173</v>
      </c>
      <c r="C48" s="2430">
        <v>38100882</v>
      </c>
      <c r="D48" s="2373" t="s">
        <v>1296</v>
      </c>
      <c r="E48" s="2374"/>
      <c r="F48" s="2374"/>
      <c r="G48" s="2374"/>
      <c r="H48" s="2375">
        <v>0</v>
      </c>
    </row>
    <row r="49" spans="1:12" ht="17.25" hidden="1" customHeight="1" x14ac:dyDescent="0.2">
      <c r="A49" s="2371">
        <v>3636</v>
      </c>
      <c r="B49" s="2432">
        <v>5173</v>
      </c>
      <c r="C49" s="2430">
        <v>38500881</v>
      </c>
      <c r="D49" s="2373" t="s">
        <v>1296</v>
      </c>
      <c r="E49" s="2374">
        <v>0</v>
      </c>
      <c r="F49" s="2374">
        <v>0</v>
      </c>
      <c r="G49" s="2374">
        <v>0</v>
      </c>
      <c r="H49" s="2375" t="e">
        <f>G49/F49*100</f>
        <v>#DIV/0!</v>
      </c>
    </row>
    <row r="50" spans="1:12" ht="17.25" hidden="1" customHeight="1" x14ac:dyDescent="0.2">
      <c r="A50" s="2371">
        <v>3636</v>
      </c>
      <c r="B50" s="2432">
        <v>5175</v>
      </c>
      <c r="C50" s="2430">
        <v>38100880</v>
      </c>
      <c r="D50" s="2373" t="s">
        <v>740</v>
      </c>
      <c r="E50" s="2374">
        <v>0</v>
      </c>
      <c r="F50" s="2374">
        <v>0</v>
      </c>
      <c r="G50" s="2374">
        <v>0</v>
      </c>
      <c r="H50" s="2375" t="e">
        <f>G50/F50*100</f>
        <v>#DIV/0!</v>
      </c>
    </row>
    <row r="51" spans="1:12" ht="17.25" hidden="1" customHeight="1" x14ac:dyDescent="0.2">
      <c r="A51" s="2371">
        <v>3636</v>
      </c>
      <c r="B51" s="2432">
        <v>5175</v>
      </c>
      <c r="C51" s="2430">
        <v>38100882</v>
      </c>
      <c r="D51" s="2373" t="s">
        <v>740</v>
      </c>
      <c r="E51" s="2374"/>
      <c r="F51" s="2374"/>
      <c r="G51" s="2374"/>
      <c r="H51" s="2375">
        <v>0</v>
      </c>
    </row>
    <row r="52" spans="1:12" ht="17.25" hidden="1" customHeight="1" thickBot="1" x14ac:dyDescent="0.25">
      <c r="A52" s="2371">
        <v>3636</v>
      </c>
      <c r="B52" s="2432">
        <v>5175</v>
      </c>
      <c r="C52" s="2430">
        <v>38500881</v>
      </c>
      <c r="D52" s="2373" t="s">
        <v>740</v>
      </c>
      <c r="E52" s="2374">
        <v>0</v>
      </c>
      <c r="F52" s="2374">
        <v>0</v>
      </c>
      <c r="G52" s="2374">
        <v>0</v>
      </c>
      <c r="H52" s="2375" t="e">
        <f>G52/F52*100</f>
        <v>#DIV/0!</v>
      </c>
    </row>
    <row r="53" spans="1:12" ht="15" hidden="1" customHeight="1" x14ac:dyDescent="0.2">
      <c r="A53" s="2371">
        <v>3636</v>
      </c>
      <c r="B53" s="2372">
        <v>5176</v>
      </c>
      <c r="C53" s="2430">
        <v>38100880</v>
      </c>
      <c r="D53" s="2373" t="s">
        <v>1402</v>
      </c>
      <c r="E53" s="2374"/>
      <c r="F53" s="2374"/>
      <c r="G53" s="2374"/>
      <c r="H53" s="2375" t="e">
        <f>G53/F53*100</f>
        <v>#DIV/0!</v>
      </c>
    </row>
    <row r="54" spans="1:12" ht="15.75" hidden="1" thickBot="1" x14ac:dyDescent="0.25">
      <c r="A54" s="2371">
        <v>3636</v>
      </c>
      <c r="B54" s="2372">
        <v>5176</v>
      </c>
      <c r="C54" s="2430">
        <v>38100881</v>
      </c>
      <c r="D54" s="2373" t="s">
        <v>1402</v>
      </c>
      <c r="E54" s="2374"/>
      <c r="F54" s="2374"/>
      <c r="G54" s="2374"/>
      <c r="H54" s="2375" t="e">
        <f>G54/F54*100</f>
        <v>#DIV/0!</v>
      </c>
    </row>
    <row r="55" spans="1:12" ht="15.75" hidden="1" thickBot="1" x14ac:dyDescent="0.25">
      <c r="A55" s="2371">
        <v>3636</v>
      </c>
      <c r="B55" s="2372">
        <v>6111</v>
      </c>
      <c r="C55" s="2430">
        <v>38100880</v>
      </c>
      <c r="D55" s="2373" t="s">
        <v>1002</v>
      </c>
      <c r="E55" s="2374"/>
      <c r="F55" s="2374"/>
      <c r="G55" s="2374"/>
      <c r="H55" s="2375" t="e">
        <f>G55/F55*100</f>
        <v>#DIV/0!</v>
      </c>
    </row>
    <row r="56" spans="1:12" ht="15.75" hidden="1" thickBot="1" x14ac:dyDescent="0.25">
      <c r="A56" s="2371">
        <v>3636</v>
      </c>
      <c r="B56" s="2372">
        <v>6111</v>
      </c>
      <c r="C56" s="2430">
        <v>38100882</v>
      </c>
      <c r="D56" s="2373" t="s">
        <v>1002</v>
      </c>
      <c r="E56" s="2374"/>
      <c r="F56" s="2374"/>
      <c r="G56" s="2374"/>
      <c r="H56" s="2375">
        <v>0</v>
      </c>
    </row>
    <row r="57" spans="1:12" s="2433" customFormat="1" ht="15.75" hidden="1" thickBot="1" x14ac:dyDescent="0.25">
      <c r="A57" s="2371">
        <v>3636</v>
      </c>
      <c r="B57" s="2372">
        <v>6111</v>
      </c>
      <c r="C57" s="2430">
        <v>38500881</v>
      </c>
      <c r="D57" s="2373" t="s">
        <v>1002</v>
      </c>
      <c r="E57" s="2374"/>
      <c r="F57" s="2374"/>
      <c r="G57" s="2374"/>
      <c r="H57" s="2375" t="e">
        <f>G57/F57*100</f>
        <v>#DIV/0!</v>
      </c>
    </row>
    <row r="58" spans="1:12" s="2433" customFormat="1" ht="15.75" hidden="1" thickBot="1" x14ac:dyDescent="0.25">
      <c r="A58" s="2371">
        <v>6409</v>
      </c>
      <c r="B58" s="2372">
        <v>5909</v>
      </c>
      <c r="C58" s="2430">
        <v>0</v>
      </c>
      <c r="D58" s="2373"/>
      <c r="E58" s="2374"/>
      <c r="F58" s="2374"/>
      <c r="G58" s="2374"/>
      <c r="H58" s="2375"/>
    </row>
    <row r="59" spans="1:12" s="2433" customFormat="1" ht="15.75" hidden="1" thickBot="1" x14ac:dyDescent="0.25">
      <c r="A59" s="2371">
        <v>6330</v>
      </c>
      <c r="B59" s="2372">
        <v>5345</v>
      </c>
      <c r="C59" s="2430">
        <v>0</v>
      </c>
      <c r="D59" s="2373" t="s">
        <v>853</v>
      </c>
      <c r="E59" s="2374"/>
      <c r="F59" s="2374"/>
      <c r="G59" s="2374"/>
      <c r="H59" s="2377">
        <v>0</v>
      </c>
    </row>
    <row r="60" spans="1:12" s="2435" customFormat="1" ht="16.5" thickTop="1" thickBot="1" x14ac:dyDescent="0.3">
      <c r="A60" s="2825" t="s">
        <v>849</v>
      </c>
      <c r="B60" s="2826"/>
      <c r="C60" s="2826"/>
      <c r="D60" s="2826"/>
      <c r="E60" s="2378">
        <f>SUM(E12:E59)</f>
        <v>0</v>
      </c>
      <c r="F60" s="2378">
        <f>SUM(F12:F59)</f>
        <v>100</v>
      </c>
      <c r="G60" s="2378">
        <f>SUM(G12:G59)</f>
        <v>33</v>
      </c>
      <c r="H60" s="2379">
        <f>G60/F60*100</f>
        <v>33</v>
      </c>
      <c r="I60" s="2434"/>
    </row>
    <row r="61" spans="1:12" ht="13.5" thickTop="1" x14ac:dyDescent="0.2">
      <c r="I61" s="2353"/>
    </row>
    <row r="62" spans="1:12" x14ac:dyDescent="0.2">
      <c r="I62" s="2353"/>
    </row>
    <row r="64" spans="1:12" ht="16.5" x14ac:dyDescent="0.25">
      <c r="A64" s="2399" t="s">
        <v>508</v>
      </c>
      <c r="B64" s="2400"/>
      <c r="C64" s="2401"/>
      <c r="D64" s="2402"/>
      <c r="E64" s="2403">
        <f>SUM(E65:E67)</f>
        <v>0</v>
      </c>
      <c r="F64" s="2403">
        <f>F65+F66+F67+F68</f>
        <v>100</v>
      </c>
      <c r="G64" s="2403">
        <f>G65+G66+G67+G68</f>
        <v>33</v>
      </c>
      <c r="H64" s="2404">
        <f>G64/F64*100</f>
        <v>33</v>
      </c>
      <c r="J64" s="2405">
        <f>J65+J66+J67</f>
        <v>0</v>
      </c>
      <c r="K64" s="2405">
        <f>K65+K66+K67</f>
        <v>100014</v>
      </c>
      <c r="L64" s="2405">
        <f>L65+L66+L67</f>
        <v>33163</v>
      </c>
    </row>
    <row r="65" spans="1:12" ht="15" x14ac:dyDescent="0.2">
      <c r="A65" s="2406" t="s">
        <v>288</v>
      </c>
      <c r="B65" s="2407"/>
      <c r="C65" s="2408"/>
      <c r="D65" s="2409"/>
      <c r="E65" s="2410">
        <f>E12+E13+E14+E15+E16+E17+E18+E19+E20+E21+E22+E23+E24+E25+E26+E27+E28+E29+E30+E31+E32+E33+E34+E35+E36+E37+E38+E39+E40+E41+E42+E43+E44+E45+E46+E47+E48+E49+E50+E51+E52+E53+E54</f>
        <v>0</v>
      </c>
      <c r="F65" s="2410">
        <f>F12+F13+F14+F15+F16+F17+F18+F19+F20+F21+F22+F23+F24+F25+F26+F27+F28+F29+F30+F31+F32+F33+F34+F35+F36+F37+F38+F39+F40+F41+F42+F43+F44+F45+F46+F47+F48+F49+F50+F51+F52+F53+F54</f>
        <v>100</v>
      </c>
      <c r="G65" s="2410">
        <f>G12+G13+G14+G15+G16+G17+G18+G19+G20+G21+G22+G23+G24+G25+G26+G27+G28+G29+G30+G31+G32+G33+G34+G35+G36+G37+G38+G39+G40+G41+G42+G43+G44+G45+G46+G47+G48+G49+G50+G51+G52+G53+G54</f>
        <v>33</v>
      </c>
      <c r="H65" s="2411">
        <f>G65/F65*100</f>
        <v>33</v>
      </c>
      <c r="J65" s="2412">
        <v>0</v>
      </c>
      <c r="K65" s="2412">
        <v>100014</v>
      </c>
      <c r="L65" s="2412">
        <v>33163</v>
      </c>
    </row>
    <row r="66" spans="1:12" ht="15" x14ac:dyDescent="0.2">
      <c r="A66" s="2406" t="s">
        <v>289</v>
      </c>
      <c r="B66" s="2413"/>
      <c r="C66" s="2408"/>
      <c r="D66" s="2414"/>
      <c r="E66" s="2410">
        <f>E55+E56+E57</f>
        <v>0</v>
      </c>
      <c r="F66" s="2410">
        <f>F55+F56+F57</f>
        <v>0</v>
      </c>
      <c r="G66" s="2410">
        <f>G55+G56+G57</f>
        <v>0</v>
      </c>
      <c r="H66" s="2411">
        <v>0</v>
      </c>
      <c r="J66" s="2412">
        <v>0</v>
      </c>
      <c r="K66" s="2412">
        <v>0</v>
      </c>
      <c r="L66" s="2412">
        <v>0</v>
      </c>
    </row>
    <row r="67" spans="1:12" ht="15" x14ac:dyDescent="0.2">
      <c r="A67" s="2406" t="s">
        <v>509</v>
      </c>
      <c r="B67" s="2413"/>
      <c r="C67" s="2408"/>
      <c r="D67" s="2414"/>
      <c r="E67" s="2410">
        <v>0</v>
      </c>
      <c r="F67" s="2410">
        <v>0</v>
      </c>
      <c r="G67" s="2410">
        <v>0</v>
      </c>
      <c r="H67" s="2411">
        <v>0</v>
      </c>
      <c r="J67" s="2412">
        <v>0</v>
      </c>
      <c r="K67" s="2412">
        <v>0</v>
      </c>
      <c r="L67" s="2412">
        <v>0</v>
      </c>
    </row>
    <row r="68" spans="1:12" ht="15" x14ac:dyDescent="0.2">
      <c r="A68" s="2406"/>
      <c r="B68" s="2413"/>
      <c r="C68" s="2408"/>
      <c r="D68" s="2414"/>
      <c r="E68" s="2410"/>
      <c r="F68" s="2410"/>
      <c r="G68" s="2410"/>
      <c r="H68" s="2415"/>
    </row>
    <row r="69" spans="1:12" ht="46.5" customHeight="1" thickBot="1" x14ac:dyDescent="0.4">
      <c r="A69" s="2819" t="s">
        <v>1870</v>
      </c>
      <c r="B69" s="2820"/>
      <c r="C69" s="2820"/>
      <c r="D69" s="2820"/>
      <c r="E69" s="2416">
        <f>SUM(E64)</f>
        <v>0</v>
      </c>
      <c r="F69" s="2416">
        <f>SUM(F64)</f>
        <v>100</v>
      </c>
      <c r="G69" s="2416">
        <f>SUM(G64)</f>
        <v>33</v>
      </c>
      <c r="H69" s="2417">
        <f>(G69/F69)*100</f>
        <v>33</v>
      </c>
    </row>
    <row r="70" spans="1:12" ht="13.5" thickTop="1" x14ac:dyDescent="0.2"/>
    <row r="189" spans="1:5" ht="13.5" thickBot="1" x14ac:dyDescent="0.25">
      <c r="A189" s="2436"/>
      <c r="B189" s="2436"/>
      <c r="C189" s="2436"/>
      <c r="D189" s="2437"/>
      <c r="E189" s="2438"/>
    </row>
    <row r="190" spans="1:5" ht="13.5" thickTop="1" x14ac:dyDescent="0.2">
      <c r="A190" s="2439"/>
      <c r="B190" s="2439"/>
      <c r="C190" s="2439"/>
      <c r="D190" s="2440"/>
      <c r="E190" s="2441"/>
    </row>
    <row r="191" spans="1:5" x14ac:dyDescent="0.2">
      <c r="D191" s="2345" t="e">
        <f>#REF!+#REF!</f>
        <v>#REF!</v>
      </c>
    </row>
  </sheetData>
  <mergeCells count="2">
    <mergeCell ref="A60:D60"/>
    <mergeCell ref="A69:D69"/>
  </mergeCells>
  <pageMargins left="0.70866141732283472" right="0.70866141732283472" top="0.78740157480314965" bottom="0.78740157480314965" header="0.31496062992125984" footer="0.31496062992125984"/>
  <pageSetup paperSize="9" scale="74" firstPageNumber="180" orientation="portrait" useFirstPageNumber="1" r:id="rId1"/>
  <headerFooter>
    <oddFooter xml:space="preserve">&amp;L&amp;"Arial,Kurzíva"Zastupitelstvo Olomouckého kraje 28. 6. 2013
6.- Závěrečný  účet Olomuckého kraje za rok 2012
Příloha č. 3: Plnění rozpočtu výdajů Olomouckého kraje k 31.12.2012&amp;R&amp;"Arial,Kurzíva"Strana &amp;P (Celkem 484)
</oddFooter>
  </headerFooter>
  <colBreaks count="1" manualBreakCount="1">
    <brk id="8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 enableFormatConditionsCalculation="0">
    <tabColor rgb="FF92D050"/>
  </sheetPr>
  <dimension ref="A1:K58"/>
  <sheetViews>
    <sheetView showGridLines="0" view="pageBreakPreview" zoomScaleNormal="100" zoomScaleSheetLayoutView="100" workbookViewId="0">
      <selection activeCell="D74" sqref="D74"/>
    </sheetView>
  </sheetViews>
  <sheetFormatPr defaultRowHeight="12.75" x14ac:dyDescent="0.2"/>
  <cols>
    <col min="1" max="1" width="4.7109375" style="669" customWidth="1"/>
    <col min="2" max="2" width="4.7109375" style="558" customWidth="1"/>
    <col min="3" max="3" width="8.5703125" style="558" customWidth="1"/>
    <col min="4" max="4" width="47.28515625" style="558" customWidth="1"/>
    <col min="5" max="7" width="13.5703125" style="517" customWidth="1"/>
    <col min="8" max="8" width="7.42578125" style="692" customWidth="1"/>
    <col min="9" max="16384" width="9.140625" style="558"/>
  </cols>
  <sheetData>
    <row r="1" spans="1:9" ht="18.75" thickBot="1" x14ac:dyDescent="0.3">
      <c r="A1" s="487" t="s">
        <v>1406</v>
      </c>
      <c r="B1" s="488"/>
      <c r="C1" s="488"/>
      <c r="D1" s="499"/>
      <c r="E1" s="516"/>
      <c r="F1" s="491" t="s">
        <v>184</v>
      </c>
      <c r="I1" s="17"/>
    </row>
    <row r="2" spans="1:9" ht="12.75" customHeight="1" x14ac:dyDescent="0.25">
      <c r="A2" s="6"/>
      <c r="B2" s="28"/>
      <c r="C2" s="28"/>
      <c r="D2" s="10"/>
      <c r="E2" s="137"/>
      <c r="F2" s="137"/>
      <c r="G2" s="16"/>
      <c r="H2" s="194"/>
      <c r="I2" s="17"/>
    </row>
    <row r="3" spans="1:9" ht="12.75" customHeight="1" x14ac:dyDescent="0.25">
      <c r="A3" s="67" t="s">
        <v>404</v>
      </c>
      <c r="B3" s="28"/>
      <c r="C3" s="526" t="s">
        <v>373</v>
      </c>
      <c r="D3" s="653"/>
      <c r="E3" s="137"/>
      <c r="F3" s="16"/>
      <c r="G3" s="17"/>
      <c r="H3" s="194"/>
    </row>
    <row r="4" spans="1:9" ht="12.75" customHeight="1" x14ac:dyDescent="0.25">
      <c r="A4" s="6"/>
      <c r="B4" s="28"/>
      <c r="C4" s="526" t="s">
        <v>374</v>
      </c>
      <c r="D4" s="699"/>
      <c r="E4" s="138"/>
      <c r="F4" s="16"/>
      <c r="G4" s="17"/>
      <c r="H4" s="194"/>
    </row>
    <row r="5" spans="1:9" ht="12.75" customHeight="1" x14ac:dyDescent="0.25">
      <c r="A5" s="6"/>
      <c r="B5" s="28"/>
      <c r="C5" s="526"/>
      <c r="D5" s="699"/>
      <c r="E5" s="138"/>
      <c r="F5" s="16"/>
      <c r="G5" s="17"/>
      <c r="H5" s="194"/>
    </row>
    <row r="6" spans="1:9" ht="18" x14ac:dyDescent="0.25">
      <c r="A6" s="33" t="s">
        <v>988</v>
      </c>
      <c r="B6" s="28"/>
      <c r="C6" s="28"/>
      <c r="D6" s="10"/>
      <c r="E6" s="137"/>
      <c r="F6" s="137"/>
      <c r="G6" s="16"/>
      <c r="H6" s="194"/>
      <c r="I6" s="17"/>
    </row>
    <row r="7" spans="1:9" ht="13.5" thickBot="1" x14ac:dyDescent="0.25">
      <c r="A7" s="655"/>
      <c r="B7" s="655"/>
      <c r="C7" s="655"/>
      <c r="D7" s="656"/>
      <c r="G7" s="1014"/>
      <c r="H7" s="692" t="s">
        <v>179</v>
      </c>
    </row>
    <row r="8" spans="1:9" s="107" customFormat="1" ht="20.25" customHeight="1" thickTop="1" thickBot="1" x14ac:dyDescent="0.25">
      <c r="A8" s="657" t="s">
        <v>180</v>
      </c>
      <c r="B8" s="658" t="s">
        <v>181</v>
      </c>
      <c r="C8" s="660" t="s">
        <v>783</v>
      </c>
      <c r="D8" s="660" t="s">
        <v>182</v>
      </c>
      <c r="E8" s="660" t="s">
        <v>183</v>
      </c>
      <c r="F8" s="660" t="s">
        <v>985</v>
      </c>
      <c r="G8" s="660" t="s">
        <v>986</v>
      </c>
      <c r="H8" s="661" t="s">
        <v>987</v>
      </c>
    </row>
    <row r="9" spans="1:9" s="386" customFormat="1" ht="13.5" thickTop="1" thickBot="1" x14ac:dyDescent="0.25">
      <c r="A9" s="592">
        <v>1</v>
      </c>
      <c r="B9" s="593">
        <v>2</v>
      </c>
      <c r="C9" s="593">
        <v>3</v>
      </c>
      <c r="D9" s="593">
        <v>4</v>
      </c>
      <c r="E9" s="593">
        <v>5</v>
      </c>
      <c r="F9" s="567">
        <v>6</v>
      </c>
      <c r="G9" s="567">
        <v>7</v>
      </c>
      <c r="H9" s="662" t="s">
        <v>61</v>
      </c>
      <c r="I9" s="107"/>
    </row>
    <row r="10" spans="1:9" s="1166" customFormat="1" ht="15.75" thickTop="1" x14ac:dyDescent="0.25">
      <c r="A10" s="222">
        <v>6172</v>
      </c>
      <c r="B10" s="1170">
        <v>5163</v>
      </c>
      <c r="C10" s="1477"/>
      <c r="D10" s="1229" t="s">
        <v>997</v>
      </c>
      <c r="E10" s="1182">
        <v>20908</v>
      </c>
      <c r="F10" s="1460">
        <v>14659</v>
      </c>
      <c r="G10" s="372">
        <v>14659</v>
      </c>
      <c r="H10" s="1471">
        <f t="shared" ref="H10:H19" si="0">(G10/F10)*100</f>
        <v>100</v>
      </c>
    </row>
    <row r="11" spans="1:9" s="1166" customFormat="1" ht="15" x14ac:dyDescent="0.25">
      <c r="A11" s="50">
        <v>6172</v>
      </c>
      <c r="B11" s="19">
        <v>5164</v>
      </c>
      <c r="C11" s="1216"/>
      <c r="D11" s="1167" t="s">
        <v>188</v>
      </c>
      <c r="E11" s="48">
        <v>70</v>
      </c>
      <c r="F11" s="168">
        <v>86</v>
      </c>
      <c r="G11" s="315">
        <v>76</v>
      </c>
      <c r="H11" s="1172">
        <f>(G11/F11)*100</f>
        <v>88.372093023255815</v>
      </c>
    </row>
    <row r="12" spans="1:9" s="1166" customFormat="1" ht="15" x14ac:dyDescent="0.25">
      <c r="A12" s="50">
        <v>6172</v>
      </c>
      <c r="B12" s="19">
        <v>5166</v>
      </c>
      <c r="C12" s="1216"/>
      <c r="D12" s="1167" t="s">
        <v>677</v>
      </c>
      <c r="E12" s="48">
        <v>1800</v>
      </c>
      <c r="F12" s="462">
        <f>F13+F14+F15</f>
        <v>1704</v>
      </c>
      <c r="G12" s="462">
        <f>G13+G14+G15</f>
        <v>1120</v>
      </c>
      <c r="H12" s="1172">
        <f>(G12/F12)*100</f>
        <v>65.727699530516432</v>
      </c>
    </row>
    <row r="13" spans="1:9" s="1166" customFormat="1" ht="14.25" x14ac:dyDescent="0.2">
      <c r="A13" s="50"/>
      <c r="B13" s="19"/>
      <c r="C13" s="1179" t="s">
        <v>838</v>
      </c>
      <c r="D13" s="1173" t="s">
        <v>1415</v>
      </c>
      <c r="E13" s="55">
        <v>1800</v>
      </c>
      <c r="F13" s="314">
        <v>1544</v>
      </c>
      <c r="G13" s="316">
        <v>1007</v>
      </c>
      <c r="H13" s="1175">
        <f t="shared" si="0"/>
        <v>65.220207253886002</v>
      </c>
    </row>
    <row r="14" spans="1:9" s="1166" customFormat="1" ht="15" x14ac:dyDescent="0.25">
      <c r="A14" s="50"/>
      <c r="B14" s="19"/>
      <c r="C14" s="1179" t="s">
        <v>201</v>
      </c>
      <c r="D14" s="1173" t="s">
        <v>738</v>
      </c>
      <c r="E14" s="48"/>
      <c r="F14" s="314">
        <v>50</v>
      </c>
      <c r="G14" s="316">
        <v>14</v>
      </c>
      <c r="H14" s="1175">
        <f t="shared" si="0"/>
        <v>28.000000000000004</v>
      </c>
    </row>
    <row r="15" spans="1:9" s="1166" customFormat="1" ht="15" x14ac:dyDescent="0.25">
      <c r="A15" s="50"/>
      <c r="B15" s="19"/>
      <c r="C15" s="1179" t="s">
        <v>22</v>
      </c>
      <c r="D15" s="1174" t="s">
        <v>1351</v>
      </c>
      <c r="E15" s="48"/>
      <c r="F15" s="314">
        <v>110</v>
      </c>
      <c r="G15" s="316">
        <v>99</v>
      </c>
      <c r="H15" s="1175">
        <f t="shared" si="0"/>
        <v>90</v>
      </c>
    </row>
    <row r="16" spans="1:9" s="1166" customFormat="1" ht="15" x14ac:dyDescent="0.25">
      <c r="A16" s="50">
        <v>6172</v>
      </c>
      <c r="B16" s="19">
        <v>5169</v>
      </c>
      <c r="C16" s="1216"/>
      <c r="D16" s="1167" t="s">
        <v>955</v>
      </c>
      <c r="E16" s="48">
        <v>24</v>
      </c>
      <c r="F16" s="462">
        <f>F17+F19+F18</f>
        <v>104</v>
      </c>
      <c r="G16" s="462">
        <f>G17+G19+G18</f>
        <v>37</v>
      </c>
      <c r="H16" s="1172">
        <f t="shared" si="0"/>
        <v>35.57692307692308</v>
      </c>
    </row>
    <row r="17" spans="1:9" s="1166" customFormat="1" ht="14.25" x14ac:dyDescent="0.2">
      <c r="A17" s="50"/>
      <c r="B17" s="19"/>
      <c r="C17" s="1179" t="s">
        <v>838</v>
      </c>
      <c r="D17" s="1173" t="s">
        <v>1415</v>
      </c>
      <c r="E17" s="55">
        <v>24</v>
      </c>
      <c r="F17" s="314">
        <v>44</v>
      </c>
      <c r="G17" s="316">
        <v>25</v>
      </c>
      <c r="H17" s="1175">
        <f t="shared" si="0"/>
        <v>56.81818181818182</v>
      </c>
    </row>
    <row r="18" spans="1:9" s="1166" customFormat="1" ht="14.25" x14ac:dyDescent="0.2">
      <c r="A18" s="50"/>
      <c r="B18" s="19"/>
      <c r="C18" s="1179" t="s">
        <v>839</v>
      </c>
      <c r="D18" s="1173" t="s">
        <v>995</v>
      </c>
      <c r="E18" s="55"/>
      <c r="F18" s="314">
        <v>10</v>
      </c>
      <c r="G18" s="316">
        <v>10</v>
      </c>
      <c r="H18" s="1175">
        <f t="shared" si="0"/>
        <v>100</v>
      </c>
    </row>
    <row r="19" spans="1:9" s="1166" customFormat="1" ht="15" x14ac:dyDescent="0.25">
      <c r="A19" s="50"/>
      <c r="B19" s="19"/>
      <c r="C19" s="1179" t="s">
        <v>201</v>
      </c>
      <c r="D19" s="1173" t="s">
        <v>738</v>
      </c>
      <c r="E19" s="48"/>
      <c r="F19" s="314">
        <v>50</v>
      </c>
      <c r="G19" s="316">
        <v>2</v>
      </c>
      <c r="H19" s="1175">
        <f t="shared" si="0"/>
        <v>4</v>
      </c>
    </row>
    <row r="20" spans="1:9" s="1166" customFormat="1" ht="15" x14ac:dyDescent="0.25">
      <c r="A20" s="50">
        <v>6172</v>
      </c>
      <c r="B20" s="19">
        <v>5192</v>
      </c>
      <c r="C20" s="1179"/>
      <c r="D20" s="1167" t="s">
        <v>1380</v>
      </c>
      <c r="E20" s="48">
        <v>1</v>
      </c>
      <c r="F20" s="313">
        <v>1</v>
      </c>
      <c r="G20" s="315">
        <v>0</v>
      </c>
      <c r="H20" s="1172">
        <v>0</v>
      </c>
    </row>
    <row r="21" spans="1:9" s="1166" customFormat="1" ht="15" x14ac:dyDescent="0.25">
      <c r="A21" s="50">
        <v>6172</v>
      </c>
      <c r="B21" s="19">
        <v>5362</v>
      </c>
      <c r="C21" s="1214"/>
      <c r="D21" s="1167" t="s">
        <v>837</v>
      </c>
      <c r="E21" s="48">
        <v>2</v>
      </c>
      <c r="F21" s="168">
        <v>122</v>
      </c>
      <c r="G21" s="315">
        <v>13</v>
      </c>
      <c r="H21" s="1172">
        <v>0</v>
      </c>
    </row>
    <row r="22" spans="1:9" s="1166" customFormat="1" ht="15.75" thickBot="1" x14ac:dyDescent="0.3">
      <c r="A22" s="1186">
        <v>6172</v>
      </c>
      <c r="B22" s="1193">
        <v>5499</v>
      </c>
      <c r="C22" s="1218"/>
      <c r="D22" s="1217" t="s">
        <v>412</v>
      </c>
      <c r="E22" s="1194">
        <v>2</v>
      </c>
      <c r="F22" s="459">
        <v>2</v>
      </c>
      <c r="G22" s="458">
        <v>0</v>
      </c>
      <c r="H22" s="1476">
        <f>(G22/F22)*100</f>
        <v>0</v>
      </c>
    </row>
    <row r="23" spans="1:9" s="362" customFormat="1" ht="35.25" customHeight="1" thickTop="1" thickBot="1" x14ac:dyDescent="0.3">
      <c r="A23" s="663" t="s">
        <v>268</v>
      </c>
      <c r="B23" s="664"/>
      <c r="C23" s="665"/>
      <c r="D23" s="666"/>
      <c r="E23" s="667">
        <f>E10+E11+E12+E16+E21+E22+E20</f>
        <v>22807</v>
      </c>
      <c r="F23" s="667">
        <f>F10+F11+F12+F16+F21+F22+F20</f>
        <v>16678</v>
      </c>
      <c r="G23" s="667">
        <f>G10+G11+G12+G16+G21+G22+G20</f>
        <v>15905</v>
      </c>
      <c r="H23" s="668">
        <f>(G23/F23)*100</f>
        <v>95.365151696846141</v>
      </c>
    </row>
    <row r="24" spans="1:9" s="1104" customFormat="1" ht="12.75" customHeight="1" thickTop="1" x14ac:dyDescent="0.25">
      <c r="B24" s="1105"/>
      <c r="C24" s="1106"/>
      <c r="D24" s="1107"/>
      <c r="E24" s="1108"/>
      <c r="F24" s="1108"/>
      <c r="G24" s="1108"/>
      <c r="H24" s="1109"/>
    </row>
    <row r="25" spans="1:9" s="693" customFormat="1" ht="15.75" x14ac:dyDescent="0.25">
      <c r="A25" s="33"/>
      <c r="E25" s="699"/>
      <c r="F25" s="699"/>
      <c r="G25" s="699"/>
      <c r="H25" s="700"/>
    </row>
    <row r="26" spans="1:9" s="693" customFormat="1" ht="15.75" x14ac:dyDescent="0.25">
      <c r="A26" s="33"/>
      <c r="E26" s="699"/>
      <c r="F26" s="699"/>
      <c r="G26" s="699"/>
      <c r="H26" s="700"/>
    </row>
    <row r="27" spans="1:9" s="693" customFormat="1" ht="15.75" x14ac:dyDescent="0.25">
      <c r="A27" s="33"/>
      <c r="E27" s="699"/>
      <c r="F27" s="699"/>
      <c r="G27" s="699"/>
      <c r="H27" s="700"/>
    </row>
    <row r="28" spans="1:9" s="693" customFormat="1" ht="15.75" x14ac:dyDescent="0.25">
      <c r="A28" s="33"/>
      <c r="E28" s="699"/>
      <c r="F28" s="699"/>
      <c r="G28" s="699"/>
      <c r="H28" s="700"/>
    </row>
    <row r="29" spans="1:9" s="693" customFormat="1" ht="15.75" x14ac:dyDescent="0.25">
      <c r="A29" s="33" t="s">
        <v>956</v>
      </c>
      <c r="E29" s="699"/>
      <c r="F29" s="699"/>
      <c r="G29" s="699"/>
      <c r="H29" s="700"/>
    </row>
    <row r="30" spans="1:9" s="693" customFormat="1" ht="16.5" thickBot="1" x14ac:dyDescent="0.3">
      <c r="A30" s="33"/>
      <c r="E30" s="699"/>
      <c r="F30" s="699"/>
      <c r="G30" s="699"/>
      <c r="H30" s="700" t="s">
        <v>1379</v>
      </c>
    </row>
    <row r="31" spans="1:9" s="107" customFormat="1" ht="20.25" customHeight="1" thickTop="1" thickBot="1" x14ac:dyDescent="0.25">
      <c r="A31" s="657" t="s">
        <v>180</v>
      </c>
      <c r="B31" s="658" t="s">
        <v>181</v>
      </c>
      <c r="C31" s="660" t="s">
        <v>783</v>
      </c>
      <c r="D31" s="660" t="s">
        <v>182</v>
      </c>
      <c r="E31" s="660" t="s">
        <v>183</v>
      </c>
      <c r="F31" s="660" t="s">
        <v>985</v>
      </c>
      <c r="G31" s="660" t="s">
        <v>986</v>
      </c>
      <c r="H31" s="661" t="s">
        <v>987</v>
      </c>
    </row>
    <row r="32" spans="1:9" s="386" customFormat="1" ht="13.5" thickTop="1" thickBot="1" x14ac:dyDescent="0.25">
      <c r="A32" s="592">
        <v>1</v>
      </c>
      <c r="B32" s="593">
        <v>2</v>
      </c>
      <c r="C32" s="593">
        <v>3</v>
      </c>
      <c r="D32" s="593">
        <v>4</v>
      </c>
      <c r="E32" s="593">
        <v>5</v>
      </c>
      <c r="F32" s="567">
        <v>6</v>
      </c>
      <c r="G32" s="567">
        <v>7</v>
      </c>
      <c r="H32" s="662" t="s">
        <v>61</v>
      </c>
      <c r="I32" s="107"/>
    </row>
    <row r="33" spans="1:10" s="1166" customFormat="1" ht="15.75" thickTop="1" x14ac:dyDescent="0.25">
      <c r="A33" s="1205">
        <v>6172</v>
      </c>
      <c r="B33" s="1283">
        <v>6121</v>
      </c>
      <c r="C33" s="1475"/>
      <c r="D33" s="1229" t="s">
        <v>671</v>
      </c>
      <c r="E33" s="1182"/>
      <c r="F33" s="466">
        <f>F34+F35+F36+F37</f>
        <v>4965</v>
      </c>
      <c r="G33" s="466">
        <f>G34+G35+G36+G37</f>
        <v>4963</v>
      </c>
      <c r="H33" s="1471">
        <f>(G33/F33)*100</f>
        <v>99.959718026183282</v>
      </c>
    </row>
    <row r="34" spans="1:10" s="1166" customFormat="1" ht="15" x14ac:dyDescent="0.25">
      <c r="A34" s="34"/>
      <c r="B34" s="1199"/>
      <c r="C34" s="1179" t="s">
        <v>202</v>
      </c>
      <c r="D34" s="1173" t="s">
        <v>791</v>
      </c>
      <c r="E34" s="48"/>
      <c r="F34" s="314">
        <v>2902</v>
      </c>
      <c r="G34" s="316">
        <v>2902</v>
      </c>
      <c r="H34" s="1175">
        <f t="shared" ref="H34:H48" si="1">(G34/F34)*100</f>
        <v>100</v>
      </c>
    </row>
    <row r="35" spans="1:10" s="1166" customFormat="1" ht="15" x14ac:dyDescent="0.25">
      <c r="A35" s="34"/>
      <c r="B35" s="1199"/>
      <c r="C35" s="1179" t="s">
        <v>203</v>
      </c>
      <c r="D35" s="1173" t="s">
        <v>994</v>
      </c>
      <c r="E35" s="48"/>
      <c r="F35" s="314">
        <v>180</v>
      </c>
      <c r="G35" s="316">
        <v>178</v>
      </c>
      <c r="H35" s="1175">
        <f t="shared" si="1"/>
        <v>98.888888888888886</v>
      </c>
    </row>
    <row r="36" spans="1:10" s="1166" customFormat="1" ht="15" x14ac:dyDescent="0.25">
      <c r="A36" s="34"/>
      <c r="B36" s="1199"/>
      <c r="C36" s="1179" t="s">
        <v>840</v>
      </c>
      <c r="D36" s="1173" t="s">
        <v>869</v>
      </c>
      <c r="E36" s="48"/>
      <c r="F36" s="314">
        <v>105</v>
      </c>
      <c r="G36" s="316">
        <v>105</v>
      </c>
      <c r="H36" s="1175">
        <f t="shared" si="1"/>
        <v>100</v>
      </c>
    </row>
    <row r="37" spans="1:10" s="1166" customFormat="1" ht="15" x14ac:dyDescent="0.25">
      <c r="A37" s="34"/>
      <c r="B37" s="1199"/>
      <c r="C37" s="1179" t="s">
        <v>1536</v>
      </c>
      <c r="D37" s="1955" t="s">
        <v>1537</v>
      </c>
      <c r="E37" s="48"/>
      <c r="F37" s="314">
        <v>1778</v>
      </c>
      <c r="G37" s="316">
        <v>1778</v>
      </c>
      <c r="H37" s="1175">
        <f t="shared" si="1"/>
        <v>100</v>
      </c>
    </row>
    <row r="38" spans="1:10" s="1166" customFormat="1" ht="15" x14ac:dyDescent="0.25">
      <c r="A38" s="34">
        <v>6172</v>
      </c>
      <c r="B38" s="1199">
        <v>6122</v>
      </c>
      <c r="C38" s="1179"/>
      <c r="D38" s="128" t="s">
        <v>672</v>
      </c>
      <c r="E38" s="48"/>
      <c r="F38" s="313">
        <v>162</v>
      </c>
      <c r="G38" s="315">
        <v>162</v>
      </c>
      <c r="H38" s="203">
        <f t="shared" si="1"/>
        <v>100</v>
      </c>
    </row>
    <row r="39" spans="1:10" s="1166" customFormat="1" ht="15" x14ac:dyDescent="0.25">
      <c r="A39" s="34"/>
      <c r="B39" s="1199"/>
      <c r="C39" s="1179" t="s">
        <v>840</v>
      </c>
      <c r="D39" s="1173" t="s">
        <v>869</v>
      </c>
      <c r="E39" s="48"/>
      <c r="F39" s="314">
        <v>162</v>
      </c>
      <c r="G39" s="316">
        <v>162</v>
      </c>
      <c r="H39" s="1175">
        <f t="shared" si="1"/>
        <v>100</v>
      </c>
    </row>
    <row r="40" spans="1:10" s="1166" customFormat="1" ht="15.75" x14ac:dyDescent="0.25">
      <c r="A40" s="34">
        <v>6172</v>
      </c>
      <c r="B40" s="1199">
        <v>6130</v>
      </c>
      <c r="C40" s="1214"/>
      <c r="D40" s="1167" t="s">
        <v>959</v>
      </c>
      <c r="E40" s="48">
        <v>1358</v>
      </c>
      <c r="F40" s="462">
        <f>F41+F42+F43+F47+F44+F45+F46</f>
        <v>4438</v>
      </c>
      <c r="G40" s="462">
        <f>G41+G42+G43+G47+G44+G45+G46</f>
        <v>2746</v>
      </c>
      <c r="H40" s="1172">
        <f>(G40/F40)*100</f>
        <v>61.874718341595312</v>
      </c>
      <c r="J40" s="1208"/>
    </row>
    <row r="41" spans="1:10" s="1166" customFormat="1" ht="15" x14ac:dyDescent="0.2">
      <c r="A41" s="34"/>
      <c r="B41" s="1199"/>
      <c r="C41" s="1214" t="s">
        <v>838</v>
      </c>
      <c r="D41" s="1173" t="s">
        <v>739</v>
      </c>
      <c r="E41" s="55">
        <v>1358</v>
      </c>
      <c r="F41" s="314">
        <v>2432</v>
      </c>
      <c r="G41" s="316">
        <v>1134</v>
      </c>
      <c r="H41" s="1175">
        <f t="shared" si="1"/>
        <v>46.628289473684212</v>
      </c>
      <c r="J41" s="1181"/>
    </row>
    <row r="42" spans="1:10" s="1166" customFormat="1" ht="15" x14ac:dyDescent="0.2">
      <c r="A42" s="34"/>
      <c r="B42" s="1199"/>
      <c r="C42" s="1179" t="s">
        <v>202</v>
      </c>
      <c r="D42" s="1173" t="s">
        <v>791</v>
      </c>
      <c r="E42" s="55"/>
      <c r="F42" s="314">
        <v>196</v>
      </c>
      <c r="G42" s="316">
        <v>196</v>
      </c>
      <c r="H42" s="1175">
        <f t="shared" si="1"/>
        <v>100</v>
      </c>
      <c r="J42" s="1181"/>
    </row>
    <row r="43" spans="1:10" s="1166" customFormat="1" ht="15" x14ac:dyDescent="0.2">
      <c r="A43" s="34"/>
      <c r="B43" s="1199"/>
      <c r="C43" s="1179" t="s">
        <v>201</v>
      </c>
      <c r="D43" s="1173" t="s">
        <v>738</v>
      </c>
      <c r="E43" s="55"/>
      <c r="F43" s="314">
        <v>685</v>
      </c>
      <c r="G43" s="316">
        <v>364</v>
      </c>
      <c r="H43" s="1175">
        <f t="shared" si="1"/>
        <v>53.138686131386862</v>
      </c>
      <c r="J43" s="1181"/>
    </row>
    <row r="44" spans="1:10" s="1166" customFormat="1" ht="15" x14ac:dyDescent="0.2">
      <c r="A44" s="34"/>
      <c r="B44" s="1199"/>
      <c r="C44" s="1179" t="s">
        <v>203</v>
      </c>
      <c r="D44" s="1173" t="s">
        <v>994</v>
      </c>
      <c r="E44" s="55"/>
      <c r="F44" s="314">
        <v>75</v>
      </c>
      <c r="G44" s="316">
        <v>74</v>
      </c>
      <c r="H44" s="1175">
        <f t="shared" si="1"/>
        <v>98.666666666666671</v>
      </c>
      <c r="J44" s="1181"/>
    </row>
    <row r="45" spans="1:10" s="1166" customFormat="1" ht="15" x14ac:dyDescent="0.2">
      <c r="A45" s="34"/>
      <c r="B45" s="1199"/>
      <c r="C45" s="1179" t="s">
        <v>840</v>
      </c>
      <c r="D45" s="1173" t="s">
        <v>869</v>
      </c>
      <c r="E45" s="55"/>
      <c r="F45" s="314">
        <v>54</v>
      </c>
      <c r="G45" s="316">
        <v>53</v>
      </c>
      <c r="H45" s="1175">
        <f t="shared" si="1"/>
        <v>98.148148148148152</v>
      </c>
      <c r="J45" s="1181"/>
    </row>
    <row r="46" spans="1:10" s="1166" customFormat="1" ht="15" x14ac:dyDescent="0.2">
      <c r="A46" s="34"/>
      <c r="B46" s="1199"/>
      <c r="C46" s="1179" t="s">
        <v>1536</v>
      </c>
      <c r="D46" s="1955" t="s">
        <v>1537</v>
      </c>
      <c r="E46" s="55"/>
      <c r="F46" s="314">
        <v>672</v>
      </c>
      <c r="G46" s="316">
        <v>601</v>
      </c>
      <c r="H46" s="1175">
        <f t="shared" si="1"/>
        <v>89.43452380952381</v>
      </c>
      <c r="J46" s="1181"/>
    </row>
    <row r="47" spans="1:10" s="1166" customFormat="1" ht="15.75" thickBot="1" x14ac:dyDescent="0.25">
      <c r="A47" s="1206"/>
      <c r="B47" s="1203"/>
      <c r="C47" s="1192" t="s">
        <v>586</v>
      </c>
      <c r="D47" s="1397" t="s">
        <v>587</v>
      </c>
      <c r="E47" s="1211"/>
      <c r="F47" s="456">
        <v>324</v>
      </c>
      <c r="G47" s="457">
        <v>324</v>
      </c>
      <c r="H47" s="1474">
        <f t="shared" si="1"/>
        <v>100</v>
      </c>
      <c r="J47" s="1181"/>
    </row>
    <row r="48" spans="1:10" s="362" customFormat="1" ht="35.25" customHeight="1" thickTop="1" thickBot="1" x14ac:dyDescent="0.3">
      <c r="A48" s="663" t="s">
        <v>267</v>
      </c>
      <c r="B48" s="664"/>
      <c r="C48" s="665"/>
      <c r="D48" s="666"/>
      <c r="E48" s="667">
        <f>E40</f>
        <v>1358</v>
      </c>
      <c r="F48" s="667">
        <f>F33+F40+F38</f>
        <v>9565</v>
      </c>
      <c r="G48" s="667">
        <f>G33+G40+G38</f>
        <v>7871</v>
      </c>
      <c r="H48" s="682">
        <f t="shared" si="1"/>
        <v>82.28959749085206</v>
      </c>
    </row>
    <row r="49" spans="1:11" ht="15.75" thickTop="1" x14ac:dyDescent="0.25">
      <c r="A49" s="803"/>
      <c r="B49" s="139"/>
      <c r="C49" s="139"/>
      <c r="D49" s="803"/>
      <c r="E49" s="181"/>
      <c r="F49" s="969"/>
      <c r="G49" s="181"/>
      <c r="H49" s="213"/>
    </row>
    <row r="50" spans="1:11" s="693" customFormat="1" ht="16.5" x14ac:dyDescent="0.25">
      <c r="A50" s="363" t="s">
        <v>526</v>
      </c>
      <c r="B50" s="364"/>
      <c r="C50" s="365"/>
      <c r="D50" s="365"/>
      <c r="E50" s="1110">
        <f>E51+E52+E53+E54</f>
        <v>24165</v>
      </c>
      <c r="F50" s="1110">
        <f>F51+F52+F53+F54</f>
        <v>26243</v>
      </c>
      <c r="G50" s="1110">
        <f>G51+G52+G53+G54</f>
        <v>23776</v>
      </c>
      <c r="H50" s="846">
        <f>(G50/F50)*100</f>
        <v>90.599397934687346</v>
      </c>
    </row>
    <row r="51" spans="1:11" ht="15" x14ac:dyDescent="0.2">
      <c r="A51" s="581" t="s">
        <v>288</v>
      </c>
      <c r="B51" s="611"/>
      <c r="C51" s="612"/>
      <c r="D51" s="612"/>
      <c r="E51" s="1111">
        <f>E23</f>
        <v>22807</v>
      </c>
      <c r="F51" s="1111">
        <f>F23-F53</f>
        <v>16678</v>
      </c>
      <c r="G51" s="1111">
        <f>G23-G53</f>
        <v>15905</v>
      </c>
      <c r="H51" s="847">
        <f>(G51/F51)*100</f>
        <v>95.365151696846141</v>
      </c>
    </row>
    <row r="52" spans="1:11" ht="15" x14ac:dyDescent="0.2">
      <c r="A52" s="581" t="s">
        <v>289</v>
      </c>
      <c r="B52" s="616"/>
      <c r="C52" s="612"/>
      <c r="D52" s="612"/>
      <c r="E52" s="1010">
        <f>E48</f>
        <v>1358</v>
      </c>
      <c r="F52" s="1010">
        <f>F48-F54</f>
        <v>9241</v>
      </c>
      <c r="G52" s="1010">
        <f>G48-G54</f>
        <v>7547</v>
      </c>
      <c r="H52" s="847">
        <f>(G52/F52)*100</f>
        <v>81.668650578941666</v>
      </c>
    </row>
    <row r="53" spans="1:11" ht="15" x14ac:dyDescent="0.2">
      <c r="A53" s="581" t="s">
        <v>227</v>
      </c>
      <c r="B53" s="616"/>
      <c r="C53" s="612"/>
      <c r="D53" s="612"/>
      <c r="E53" s="1009">
        <v>0</v>
      </c>
      <c r="F53" s="614">
        <v>0</v>
      </c>
      <c r="G53" s="614">
        <v>0</v>
      </c>
      <c r="H53" s="847">
        <v>0</v>
      </c>
    </row>
    <row r="54" spans="1:11" ht="15" x14ac:dyDescent="0.2">
      <c r="A54" s="581" t="s">
        <v>1291</v>
      </c>
      <c r="B54" s="616"/>
      <c r="C54" s="612"/>
      <c r="D54" s="612"/>
      <c r="E54" s="1009">
        <v>0</v>
      </c>
      <c r="F54" s="618">
        <f>F47</f>
        <v>324</v>
      </c>
      <c r="G54" s="618">
        <f>G47</f>
        <v>324</v>
      </c>
      <c r="H54" s="847">
        <f>(G54/F54)*100</f>
        <v>100</v>
      </c>
    </row>
    <row r="55" spans="1:11" ht="15" x14ac:dyDescent="0.25">
      <c r="A55" s="803"/>
      <c r="B55" s="139"/>
      <c r="C55" s="139"/>
      <c r="D55" s="803"/>
      <c r="E55" s="181"/>
      <c r="F55" s="969"/>
      <c r="G55" s="181"/>
      <c r="H55" s="213"/>
      <c r="J55" s="517"/>
      <c r="K55" s="517"/>
    </row>
    <row r="57" spans="1:11" s="58" customFormat="1" ht="47.25" customHeight="1" thickBot="1" x14ac:dyDescent="0.4">
      <c r="A57" s="674" t="s">
        <v>1333</v>
      </c>
      <c r="B57" s="675"/>
      <c r="C57" s="676"/>
      <c r="D57" s="677"/>
      <c r="E57" s="619">
        <f>SUM(E23,E48)</f>
        <v>24165</v>
      </c>
      <c r="F57" s="619">
        <f>SUM(F23,F48)</f>
        <v>26243</v>
      </c>
      <c r="G57" s="619">
        <f>SUM(G23,G48)</f>
        <v>23776</v>
      </c>
      <c r="H57" s="802">
        <f>(G57/F57)*100</f>
        <v>90.599397934687346</v>
      </c>
    </row>
    <row r="58" spans="1:11" ht="13.5" thickTop="1" x14ac:dyDescent="0.2"/>
  </sheetData>
  <phoneticPr fontId="0" type="noConversion"/>
  <pageMargins left="0.98425196850393704" right="0.98425196850393704" top="0.98425196850393704" bottom="0.98425196850393704" header="0.51181102362204722" footer="0.51181102362204722"/>
  <pageSetup paperSize="9" scale="70" firstPageNumber="36" orientation="portrait" useFirstPageNumber="1" r:id="rId1"/>
  <headerFooter alignWithMargins="0">
    <oddFooter xml:space="preserve">&amp;L&amp;"Arial,Kurzíva"Zastupitelstvo Olomouckého kraje 28. 6. 2013
6.- Závěrečný  účet Olomuckého kraje za rok 2012
Příloha č. 3: Plnění rozpočtu výdajů Olomouckého kraje k 31.12.2012&amp;R&amp;"Arial,Kurzíva"Strana &amp;P (Celkem 484)
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181"/>
  <sheetViews>
    <sheetView view="pageBreakPreview" topLeftCell="A53" zoomScaleNormal="100" zoomScaleSheetLayoutView="100" workbookViewId="0">
      <selection activeCell="G49" sqref="G49"/>
    </sheetView>
  </sheetViews>
  <sheetFormatPr defaultRowHeight="12.75" x14ac:dyDescent="0.2"/>
  <cols>
    <col min="1" max="1" width="4.7109375" style="2352" customWidth="1"/>
    <col min="2" max="2" width="6.7109375" style="2352" customWidth="1"/>
    <col min="3" max="3" width="8.85546875" style="2352" customWidth="1"/>
    <col min="4" max="4" width="46.42578125" style="2345" customWidth="1"/>
    <col min="5" max="5" width="12.85546875" style="2353" customWidth="1"/>
    <col min="6" max="6" width="15.5703125" style="2353" customWidth="1"/>
    <col min="7" max="7" width="15.85546875" style="2353" customWidth="1"/>
    <col min="8" max="8" width="8.28515625" style="2345" customWidth="1"/>
    <col min="9" max="9" width="14.28515625" style="2345" bestFit="1" customWidth="1"/>
    <col min="10" max="10" width="9.140625" style="2345"/>
    <col min="11" max="11" width="12.7109375" style="2345" bestFit="1" customWidth="1"/>
    <col min="12" max="12" width="13.140625" style="2345" customWidth="1"/>
    <col min="13" max="256" width="9.140625" style="2345"/>
    <col min="257" max="257" width="4.7109375" style="2345" customWidth="1"/>
    <col min="258" max="258" width="6.7109375" style="2345" customWidth="1"/>
    <col min="259" max="259" width="8.85546875" style="2345" customWidth="1"/>
    <col min="260" max="260" width="46.42578125" style="2345" customWidth="1"/>
    <col min="261" max="261" width="12.85546875" style="2345" customWidth="1"/>
    <col min="262" max="262" width="15.5703125" style="2345" customWidth="1"/>
    <col min="263" max="263" width="15.85546875" style="2345" customWidth="1"/>
    <col min="264" max="264" width="6.42578125" style="2345" customWidth="1"/>
    <col min="265" max="265" width="14.28515625" style="2345" bestFit="1" customWidth="1"/>
    <col min="266" max="266" width="9.140625" style="2345"/>
    <col min="267" max="267" width="12.7109375" style="2345" bestFit="1" customWidth="1"/>
    <col min="268" max="268" width="13.140625" style="2345" customWidth="1"/>
    <col min="269" max="512" width="9.140625" style="2345"/>
    <col min="513" max="513" width="4.7109375" style="2345" customWidth="1"/>
    <col min="514" max="514" width="6.7109375" style="2345" customWidth="1"/>
    <col min="515" max="515" width="8.85546875" style="2345" customWidth="1"/>
    <col min="516" max="516" width="46.42578125" style="2345" customWidth="1"/>
    <col min="517" max="517" width="12.85546875" style="2345" customWidth="1"/>
    <col min="518" max="518" width="15.5703125" style="2345" customWidth="1"/>
    <col min="519" max="519" width="15.85546875" style="2345" customWidth="1"/>
    <col min="520" max="520" width="6.42578125" style="2345" customWidth="1"/>
    <col min="521" max="521" width="14.28515625" style="2345" bestFit="1" customWidth="1"/>
    <col min="522" max="522" width="9.140625" style="2345"/>
    <col min="523" max="523" width="12.7109375" style="2345" bestFit="1" customWidth="1"/>
    <col min="524" max="524" width="13.140625" style="2345" customWidth="1"/>
    <col min="525" max="768" width="9.140625" style="2345"/>
    <col min="769" max="769" width="4.7109375" style="2345" customWidth="1"/>
    <col min="770" max="770" width="6.7109375" style="2345" customWidth="1"/>
    <col min="771" max="771" width="8.85546875" style="2345" customWidth="1"/>
    <col min="772" max="772" width="46.42578125" style="2345" customWidth="1"/>
    <col min="773" max="773" width="12.85546875" style="2345" customWidth="1"/>
    <col min="774" max="774" width="15.5703125" style="2345" customWidth="1"/>
    <col min="775" max="775" width="15.85546875" style="2345" customWidth="1"/>
    <col min="776" max="776" width="6.42578125" style="2345" customWidth="1"/>
    <col min="777" max="777" width="14.28515625" style="2345" bestFit="1" customWidth="1"/>
    <col min="778" max="778" width="9.140625" style="2345"/>
    <col min="779" max="779" width="12.7109375" style="2345" bestFit="1" customWidth="1"/>
    <col min="780" max="780" width="13.140625" style="2345" customWidth="1"/>
    <col min="781" max="1024" width="9.140625" style="2345"/>
    <col min="1025" max="1025" width="4.7109375" style="2345" customWidth="1"/>
    <col min="1026" max="1026" width="6.7109375" style="2345" customWidth="1"/>
    <col min="1027" max="1027" width="8.85546875" style="2345" customWidth="1"/>
    <col min="1028" max="1028" width="46.42578125" style="2345" customWidth="1"/>
    <col min="1029" max="1029" width="12.85546875" style="2345" customWidth="1"/>
    <col min="1030" max="1030" width="15.5703125" style="2345" customWidth="1"/>
    <col min="1031" max="1031" width="15.85546875" style="2345" customWidth="1"/>
    <col min="1032" max="1032" width="6.42578125" style="2345" customWidth="1"/>
    <col min="1033" max="1033" width="14.28515625" style="2345" bestFit="1" customWidth="1"/>
    <col min="1034" max="1034" width="9.140625" style="2345"/>
    <col min="1035" max="1035" width="12.7109375" style="2345" bestFit="1" customWidth="1"/>
    <col min="1036" max="1036" width="13.140625" style="2345" customWidth="1"/>
    <col min="1037" max="1280" width="9.140625" style="2345"/>
    <col min="1281" max="1281" width="4.7109375" style="2345" customWidth="1"/>
    <col min="1282" max="1282" width="6.7109375" style="2345" customWidth="1"/>
    <col min="1283" max="1283" width="8.85546875" style="2345" customWidth="1"/>
    <col min="1284" max="1284" width="46.42578125" style="2345" customWidth="1"/>
    <col min="1285" max="1285" width="12.85546875" style="2345" customWidth="1"/>
    <col min="1286" max="1286" width="15.5703125" style="2345" customWidth="1"/>
    <col min="1287" max="1287" width="15.85546875" style="2345" customWidth="1"/>
    <col min="1288" max="1288" width="6.42578125" style="2345" customWidth="1"/>
    <col min="1289" max="1289" width="14.28515625" style="2345" bestFit="1" customWidth="1"/>
    <col min="1290" max="1290" width="9.140625" style="2345"/>
    <col min="1291" max="1291" width="12.7109375" style="2345" bestFit="1" customWidth="1"/>
    <col min="1292" max="1292" width="13.140625" style="2345" customWidth="1"/>
    <col min="1293" max="1536" width="9.140625" style="2345"/>
    <col min="1537" max="1537" width="4.7109375" style="2345" customWidth="1"/>
    <col min="1538" max="1538" width="6.7109375" style="2345" customWidth="1"/>
    <col min="1539" max="1539" width="8.85546875" style="2345" customWidth="1"/>
    <col min="1540" max="1540" width="46.42578125" style="2345" customWidth="1"/>
    <col min="1541" max="1541" width="12.85546875" style="2345" customWidth="1"/>
    <col min="1542" max="1542" width="15.5703125" style="2345" customWidth="1"/>
    <col min="1543" max="1543" width="15.85546875" style="2345" customWidth="1"/>
    <col min="1544" max="1544" width="6.42578125" style="2345" customWidth="1"/>
    <col min="1545" max="1545" width="14.28515625" style="2345" bestFit="1" customWidth="1"/>
    <col min="1546" max="1546" width="9.140625" style="2345"/>
    <col min="1547" max="1547" width="12.7109375" style="2345" bestFit="1" customWidth="1"/>
    <col min="1548" max="1548" width="13.140625" style="2345" customWidth="1"/>
    <col min="1549" max="1792" width="9.140625" style="2345"/>
    <col min="1793" max="1793" width="4.7109375" style="2345" customWidth="1"/>
    <col min="1794" max="1794" width="6.7109375" style="2345" customWidth="1"/>
    <col min="1795" max="1795" width="8.85546875" style="2345" customWidth="1"/>
    <col min="1796" max="1796" width="46.42578125" style="2345" customWidth="1"/>
    <col min="1797" max="1797" width="12.85546875" style="2345" customWidth="1"/>
    <col min="1798" max="1798" width="15.5703125" style="2345" customWidth="1"/>
    <col min="1799" max="1799" width="15.85546875" style="2345" customWidth="1"/>
    <col min="1800" max="1800" width="6.42578125" style="2345" customWidth="1"/>
    <col min="1801" max="1801" width="14.28515625" style="2345" bestFit="1" customWidth="1"/>
    <col min="1802" max="1802" width="9.140625" style="2345"/>
    <col min="1803" max="1803" width="12.7109375" style="2345" bestFit="1" customWidth="1"/>
    <col min="1804" max="1804" width="13.140625" style="2345" customWidth="1"/>
    <col min="1805" max="2048" width="9.140625" style="2345"/>
    <col min="2049" max="2049" width="4.7109375" style="2345" customWidth="1"/>
    <col min="2050" max="2050" width="6.7109375" style="2345" customWidth="1"/>
    <col min="2051" max="2051" width="8.85546875" style="2345" customWidth="1"/>
    <col min="2052" max="2052" width="46.42578125" style="2345" customWidth="1"/>
    <col min="2053" max="2053" width="12.85546875" style="2345" customWidth="1"/>
    <col min="2054" max="2054" width="15.5703125" style="2345" customWidth="1"/>
    <col min="2055" max="2055" width="15.85546875" style="2345" customWidth="1"/>
    <col min="2056" max="2056" width="6.42578125" style="2345" customWidth="1"/>
    <col min="2057" max="2057" width="14.28515625" style="2345" bestFit="1" customWidth="1"/>
    <col min="2058" max="2058" width="9.140625" style="2345"/>
    <col min="2059" max="2059" width="12.7109375" style="2345" bestFit="1" customWidth="1"/>
    <col min="2060" max="2060" width="13.140625" style="2345" customWidth="1"/>
    <col min="2061" max="2304" width="9.140625" style="2345"/>
    <col min="2305" max="2305" width="4.7109375" style="2345" customWidth="1"/>
    <col min="2306" max="2306" width="6.7109375" style="2345" customWidth="1"/>
    <col min="2307" max="2307" width="8.85546875" style="2345" customWidth="1"/>
    <col min="2308" max="2308" width="46.42578125" style="2345" customWidth="1"/>
    <col min="2309" max="2309" width="12.85546875" style="2345" customWidth="1"/>
    <col min="2310" max="2310" width="15.5703125" style="2345" customWidth="1"/>
    <col min="2311" max="2311" width="15.85546875" style="2345" customWidth="1"/>
    <col min="2312" max="2312" width="6.42578125" style="2345" customWidth="1"/>
    <col min="2313" max="2313" width="14.28515625" style="2345" bestFit="1" customWidth="1"/>
    <col min="2314" max="2314" width="9.140625" style="2345"/>
    <col min="2315" max="2315" width="12.7109375" style="2345" bestFit="1" customWidth="1"/>
    <col min="2316" max="2316" width="13.140625" style="2345" customWidth="1"/>
    <col min="2317" max="2560" width="9.140625" style="2345"/>
    <col min="2561" max="2561" width="4.7109375" style="2345" customWidth="1"/>
    <col min="2562" max="2562" width="6.7109375" style="2345" customWidth="1"/>
    <col min="2563" max="2563" width="8.85546875" style="2345" customWidth="1"/>
    <col min="2564" max="2564" width="46.42578125" style="2345" customWidth="1"/>
    <col min="2565" max="2565" width="12.85546875" style="2345" customWidth="1"/>
    <col min="2566" max="2566" width="15.5703125" style="2345" customWidth="1"/>
    <col min="2567" max="2567" width="15.85546875" style="2345" customWidth="1"/>
    <col min="2568" max="2568" width="6.42578125" style="2345" customWidth="1"/>
    <col min="2569" max="2569" width="14.28515625" style="2345" bestFit="1" customWidth="1"/>
    <col min="2570" max="2570" width="9.140625" style="2345"/>
    <col min="2571" max="2571" width="12.7109375" style="2345" bestFit="1" customWidth="1"/>
    <col min="2572" max="2572" width="13.140625" style="2345" customWidth="1"/>
    <col min="2573" max="2816" width="9.140625" style="2345"/>
    <col min="2817" max="2817" width="4.7109375" style="2345" customWidth="1"/>
    <col min="2818" max="2818" width="6.7109375" style="2345" customWidth="1"/>
    <col min="2819" max="2819" width="8.85546875" style="2345" customWidth="1"/>
    <col min="2820" max="2820" width="46.42578125" style="2345" customWidth="1"/>
    <col min="2821" max="2821" width="12.85546875" style="2345" customWidth="1"/>
    <col min="2822" max="2822" width="15.5703125" style="2345" customWidth="1"/>
    <col min="2823" max="2823" width="15.85546875" style="2345" customWidth="1"/>
    <col min="2824" max="2824" width="6.42578125" style="2345" customWidth="1"/>
    <col min="2825" max="2825" width="14.28515625" style="2345" bestFit="1" customWidth="1"/>
    <col min="2826" max="2826" width="9.140625" style="2345"/>
    <col min="2827" max="2827" width="12.7109375" style="2345" bestFit="1" customWidth="1"/>
    <col min="2828" max="2828" width="13.140625" style="2345" customWidth="1"/>
    <col min="2829" max="3072" width="9.140625" style="2345"/>
    <col min="3073" max="3073" width="4.7109375" style="2345" customWidth="1"/>
    <col min="3074" max="3074" width="6.7109375" style="2345" customWidth="1"/>
    <col min="3075" max="3075" width="8.85546875" style="2345" customWidth="1"/>
    <col min="3076" max="3076" width="46.42578125" style="2345" customWidth="1"/>
    <col min="3077" max="3077" width="12.85546875" style="2345" customWidth="1"/>
    <col min="3078" max="3078" width="15.5703125" style="2345" customWidth="1"/>
    <col min="3079" max="3079" width="15.85546875" style="2345" customWidth="1"/>
    <col min="3080" max="3080" width="6.42578125" style="2345" customWidth="1"/>
    <col min="3081" max="3081" width="14.28515625" style="2345" bestFit="1" customWidth="1"/>
    <col min="3082" max="3082" width="9.140625" style="2345"/>
    <col min="3083" max="3083" width="12.7109375" style="2345" bestFit="1" customWidth="1"/>
    <col min="3084" max="3084" width="13.140625" style="2345" customWidth="1"/>
    <col min="3085" max="3328" width="9.140625" style="2345"/>
    <col min="3329" max="3329" width="4.7109375" style="2345" customWidth="1"/>
    <col min="3330" max="3330" width="6.7109375" style="2345" customWidth="1"/>
    <col min="3331" max="3331" width="8.85546875" style="2345" customWidth="1"/>
    <col min="3332" max="3332" width="46.42578125" style="2345" customWidth="1"/>
    <col min="3333" max="3333" width="12.85546875" style="2345" customWidth="1"/>
    <col min="3334" max="3334" width="15.5703125" style="2345" customWidth="1"/>
    <col min="3335" max="3335" width="15.85546875" style="2345" customWidth="1"/>
    <col min="3336" max="3336" width="6.42578125" style="2345" customWidth="1"/>
    <col min="3337" max="3337" width="14.28515625" style="2345" bestFit="1" customWidth="1"/>
    <col min="3338" max="3338" width="9.140625" style="2345"/>
    <col min="3339" max="3339" width="12.7109375" style="2345" bestFit="1" customWidth="1"/>
    <col min="3340" max="3340" width="13.140625" style="2345" customWidth="1"/>
    <col min="3341" max="3584" width="9.140625" style="2345"/>
    <col min="3585" max="3585" width="4.7109375" style="2345" customWidth="1"/>
    <col min="3586" max="3586" width="6.7109375" style="2345" customWidth="1"/>
    <col min="3587" max="3587" width="8.85546875" style="2345" customWidth="1"/>
    <col min="3588" max="3588" width="46.42578125" style="2345" customWidth="1"/>
    <col min="3589" max="3589" width="12.85546875" style="2345" customWidth="1"/>
    <col min="3590" max="3590" width="15.5703125" style="2345" customWidth="1"/>
    <col min="3591" max="3591" width="15.85546875" style="2345" customWidth="1"/>
    <col min="3592" max="3592" width="6.42578125" style="2345" customWidth="1"/>
    <col min="3593" max="3593" width="14.28515625" style="2345" bestFit="1" customWidth="1"/>
    <col min="3594" max="3594" width="9.140625" style="2345"/>
    <col min="3595" max="3595" width="12.7109375" style="2345" bestFit="1" customWidth="1"/>
    <col min="3596" max="3596" width="13.140625" style="2345" customWidth="1"/>
    <col min="3597" max="3840" width="9.140625" style="2345"/>
    <col min="3841" max="3841" width="4.7109375" style="2345" customWidth="1"/>
    <col min="3842" max="3842" width="6.7109375" style="2345" customWidth="1"/>
    <col min="3843" max="3843" width="8.85546875" style="2345" customWidth="1"/>
    <col min="3844" max="3844" width="46.42578125" style="2345" customWidth="1"/>
    <col min="3845" max="3845" width="12.85546875" style="2345" customWidth="1"/>
    <col min="3846" max="3846" width="15.5703125" style="2345" customWidth="1"/>
    <col min="3847" max="3847" width="15.85546875" style="2345" customWidth="1"/>
    <col min="3848" max="3848" width="6.42578125" style="2345" customWidth="1"/>
    <col min="3849" max="3849" width="14.28515625" style="2345" bestFit="1" customWidth="1"/>
    <col min="3850" max="3850" width="9.140625" style="2345"/>
    <col min="3851" max="3851" width="12.7109375" style="2345" bestFit="1" customWidth="1"/>
    <col min="3852" max="3852" width="13.140625" style="2345" customWidth="1"/>
    <col min="3853" max="4096" width="9.140625" style="2345"/>
    <col min="4097" max="4097" width="4.7109375" style="2345" customWidth="1"/>
    <col min="4098" max="4098" width="6.7109375" style="2345" customWidth="1"/>
    <col min="4099" max="4099" width="8.85546875" style="2345" customWidth="1"/>
    <col min="4100" max="4100" width="46.42578125" style="2345" customWidth="1"/>
    <col min="4101" max="4101" width="12.85546875" style="2345" customWidth="1"/>
    <col min="4102" max="4102" width="15.5703125" style="2345" customWidth="1"/>
    <col min="4103" max="4103" width="15.85546875" style="2345" customWidth="1"/>
    <col min="4104" max="4104" width="6.42578125" style="2345" customWidth="1"/>
    <col min="4105" max="4105" width="14.28515625" style="2345" bestFit="1" customWidth="1"/>
    <col min="4106" max="4106" width="9.140625" style="2345"/>
    <col min="4107" max="4107" width="12.7109375" style="2345" bestFit="1" customWidth="1"/>
    <col min="4108" max="4108" width="13.140625" style="2345" customWidth="1"/>
    <col min="4109" max="4352" width="9.140625" style="2345"/>
    <col min="4353" max="4353" width="4.7109375" style="2345" customWidth="1"/>
    <col min="4354" max="4354" width="6.7109375" style="2345" customWidth="1"/>
    <col min="4355" max="4355" width="8.85546875" style="2345" customWidth="1"/>
    <col min="4356" max="4356" width="46.42578125" style="2345" customWidth="1"/>
    <col min="4357" max="4357" width="12.85546875" style="2345" customWidth="1"/>
    <col min="4358" max="4358" width="15.5703125" style="2345" customWidth="1"/>
    <col min="4359" max="4359" width="15.85546875" style="2345" customWidth="1"/>
    <col min="4360" max="4360" width="6.42578125" style="2345" customWidth="1"/>
    <col min="4361" max="4361" width="14.28515625" style="2345" bestFit="1" customWidth="1"/>
    <col min="4362" max="4362" width="9.140625" style="2345"/>
    <col min="4363" max="4363" width="12.7109375" style="2345" bestFit="1" customWidth="1"/>
    <col min="4364" max="4364" width="13.140625" style="2345" customWidth="1"/>
    <col min="4365" max="4608" width="9.140625" style="2345"/>
    <col min="4609" max="4609" width="4.7109375" style="2345" customWidth="1"/>
    <col min="4610" max="4610" width="6.7109375" style="2345" customWidth="1"/>
    <col min="4611" max="4611" width="8.85546875" style="2345" customWidth="1"/>
    <col min="4612" max="4612" width="46.42578125" style="2345" customWidth="1"/>
    <col min="4613" max="4613" width="12.85546875" style="2345" customWidth="1"/>
    <col min="4614" max="4614" width="15.5703125" style="2345" customWidth="1"/>
    <col min="4615" max="4615" width="15.85546875" style="2345" customWidth="1"/>
    <col min="4616" max="4616" width="6.42578125" style="2345" customWidth="1"/>
    <col min="4617" max="4617" width="14.28515625" style="2345" bestFit="1" customWidth="1"/>
    <col min="4618" max="4618" width="9.140625" style="2345"/>
    <col min="4619" max="4619" width="12.7109375" style="2345" bestFit="1" customWidth="1"/>
    <col min="4620" max="4620" width="13.140625" style="2345" customWidth="1"/>
    <col min="4621" max="4864" width="9.140625" style="2345"/>
    <col min="4865" max="4865" width="4.7109375" style="2345" customWidth="1"/>
    <col min="4866" max="4866" width="6.7109375" style="2345" customWidth="1"/>
    <col min="4867" max="4867" width="8.85546875" style="2345" customWidth="1"/>
    <col min="4868" max="4868" width="46.42578125" style="2345" customWidth="1"/>
    <col min="4869" max="4869" width="12.85546875" style="2345" customWidth="1"/>
    <col min="4870" max="4870" width="15.5703125" style="2345" customWidth="1"/>
    <col min="4871" max="4871" width="15.85546875" style="2345" customWidth="1"/>
    <col min="4872" max="4872" width="6.42578125" style="2345" customWidth="1"/>
    <col min="4873" max="4873" width="14.28515625" style="2345" bestFit="1" customWidth="1"/>
    <col min="4874" max="4874" width="9.140625" style="2345"/>
    <col min="4875" max="4875" width="12.7109375" style="2345" bestFit="1" customWidth="1"/>
    <col min="4876" max="4876" width="13.140625" style="2345" customWidth="1"/>
    <col min="4877" max="5120" width="9.140625" style="2345"/>
    <col min="5121" max="5121" width="4.7109375" style="2345" customWidth="1"/>
    <col min="5122" max="5122" width="6.7109375" style="2345" customWidth="1"/>
    <col min="5123" max="5123" width="8.85546875" style="2345" customWidth="1"/>
    <col min="5124" max="5124" width="46.42578125" style="2345" customWidth="1"/>
    <col min="5125" max="5125" width="12.85546875" style="2345" customWidth="1"/>
    <col min="5126" max="5126" width="15.5703125" style="2345" customWidth="1"/>
    <col min="5127" max="5127" width="15.85546875" style="2345" customWidth="1"/>
    <col min="5128" max="5128" width="6.42578125" style="2345" customWidth="1"/>
    <col min="5129" max="5129" width="14.28515625" style="2345" bestFit="1" customWidth="1"/>
    <col min="5130" max="5130" width="9.140625" style="2345"/>
    <col min="5131" max="5131" width="12.7109375" style="2345" bestFit="1" customWidth="1"/>
    <col min="5132" max="5132" width="13.140625" style="2345" customWidth="1"/>
    <col min="5133" max="5376" width="9.140625" style="2345"/>
    <col min="5377" max="5377" width="4.7109375" style="2345" customWidth="1"/>
    <col min="5378" max="5378" width="6.7109375" style="2345" customWidth="1"/>
    <col min="5379" max="5379" width="8.85546875" style="2345" customWidth="1"/>
    <col min="5380" max="5380" width="46.42578125" style="2345" customWidth="1"/>
    <col min="5381" max="5381" width="12.85546875" style="2345" customWidth="1"/>
    <col min="5382" max="5382" width="15.5703125" style="2345" customWidth="1"/>
    <col min="5383" max="5383" width="15.85546875" style="2345" customWidth="1"/>
    <col min="5384" max="5384" width="6.42578125" style="2345" customWidth="1"/>
    <col min="5385" max="5385" width="14.28515625" style="2345" bestFit="1" customWidth="1"/>
    <col min="5386" max="5386" width="9.140625" style="2345"/>
    <col min="5387" max="5387" width="12.7109375" style="2345" bestFit="1" customWidth="1"/>
    <col min="5388" max="5388" width="13.140625" style="2345" customWidth="1"/>
    <col min="5389" max="5632" width="9.140625" style="2345"/>
    <col min="5633" max="5633" width="4.7109375" style="2345" customWidth="1"/>
    <col min="5634" max="5634" width="6.7109375" style="2345" customWidth="1"/>
    <col min="5635" max="5635" width="8.85546875" style="2345" customWidth="1"/>
    <col min="5636" max="5636" width="46.42578125" style="2345" customWidth="1"/>
    <col min="5637" max="5637" width="12.85546875" style="2345" customWidth="1"/>
    <col min="5638" max="5638" width="15.5703125" style="2345" customWidth="1"/>
    <col min="5639" max="5639" width="15.85546875" style="2345" customWidth="1"/>
    <col min="5640" max="5640" width="6.42578125" style="2345" customWidth="1"/>
    <col min="5641" max="5641" width="14.28515625" style="2345" bestFit="1" customWidth="1"/>
    <col min="5642" max="5642" width="9.140625" style="2345"/>
    <col min="5643" max="5643" width="12.7109375" style="2345" bestFit="1" customWidth="1"/>
    <col min="5644" max="5644" width="13.140625" style="2345" customWidth="1"/>
    <col min="5645" max="5888" width="9.140625" style="2345"/>
    <col min="5889" max="5889" width="4.7109375" style="2345" customWidth="1"/>
    <col min="5890" max="5890" width="6.7109375" style="2345" customWidth="1"/>
    <col min="5891" max="5891" width="8.85546875" style="2345" customWidth="1"/>
    <col min="5892" max="5892" width="46.42578125" style="2345" customWidth="1"/>
    <col min="5893" max="5893" width="12.85546875" style="2345" customWidth="1"/>
    <col min="5894" max="5894" width="15.5703125" style="2345" customWidth="1"/>
    <col min="5895" max="5895" width="15.85546875" style="2345" customWidth="1"/>
    <col min="5896" max="5896" width="6.42578125" style="2345" customWidth="1"/>
    <col min="5897" max="5897" width="14.28515625" style="2345" bestFit="1" customWidth="1"/>
    <col min="5898" max="5898" width="9.140625" style="2345"/>
    <col min="5899" max="5899" width="12.7109375" style="2345" bestFit="1" customWidth="1"/>
    <col min="5900" max="5900" width="13.140625" style="2345" customWidth="1"/>
    <col min="5901" max="6144" width="9.140625" style="2345"/>
    <col min="6145" max="6145" width="4.7109375" style="2345" customWidth="1"/>
    <col min="6146" max="6146" width="6.7109375" style="2345" customWidth="1"/>
    <col min="6147" max="6147" width="8.85546875" style="2345" customWidth="1"/>
    <col min="6148" max="6148" width="46.42578125" style="2345" customWidth="1"/>
    <col min="6149" max="6149" width="12.85546875" style="2345" customWidth="1"/>
    <col min="6150" max="6150" width="15.5703125" style="2345" customWidth="1"/>
    <col min="6151" max="6151" width="15.85546875" style="2345" customWidth="1"/>
    <col min="6152" max="6152" width="6.42578125" style="2345" customWidth="1"/>
    <col min="6153" max="6153" width="14.28515625" style="2345" bestFit="1" customWidth="1"/>
    <col min="6154" max="6154" width="9.140625" style="2345"/>
    <col min="6155" max="6155" width="12.7109375" style="2345" bestFit="1" customWidth="1"/>
    <col min="6156" max="6156" width="13.140625" style="2345" customWidth="1"/>
    <col min="6157" max="6400" width="9.140625" style="2345"/>
    <col min="6401" max="6401" width="4.7109375" style="2345" customWidth="1"/>
    <col min="6402" max="6402" width="6.7109375" style="2345" customWidth="1"/>
    <col min="6403" max="6403" width="8.85546875" style="2345" customWidth="1"/>
    <col min="6404" max="6404" width="46.42578125" style="2345" customWidth="1"/>
    <col min="6405" max="6405" width="12.85546875" style="2345" customWidth="1"/>
    <col min="6406" max="6406" width="15.5703125" style="2345" customWidth="1"/>
    <col min="6407" max="6407" width="15.85546875" style="2345" customWidth="1"/>
    <col min="6408" max="6408" width="6.42578125" style="2345" customWidth="1"/>
    <col min="6409" max="6409" width="14.28515625" style="2345" bestFit="1" customWidth="1"/>
    <col min="6410" max="6410" width="9.140625" style="2345"/>
    <col min="6411" max="6411" width="12.7109375" style="2345" bestFit="1" customWidth="1"/>
    <col min="6412" max="6412" width="13.140625" style="2345" customWidth="1"/>
    <col min="6413" max="6656" width="9.140625" style="2345"/>
    <col min="6657" max="6657" width="4.7109375" style="2345" customWidth="1"/>
    <col min="6658" max="6658" width="6.7109375" style="2345" customWidth="1"/>
    <col min="6659" max="6659" width="8.85546875" style="2345" customWidth="1"/>
    <col min="6660" max="6660" width="46.42578125" style="2345" customWidth="1"/>
    <col min="6661" max="6661" width="12.85546875" style="2345" customWidth="1"/>
    <col min="6662" max="6662" width="15.5703125" style="2345" customWidth="1"/>
    <col min="6663" max="6663" width="15.85546875" style="2345" customWidth="1"/>
    <col min="6664" max="6664" width="6.42578125" style="2345" customWidth="1"/>
    <col min="6665" max="6665" width="14.28515625" style="2345" bestFit="1" customWidth="1"/>
    <col min="6666" max="6666" width="9.140625" style="2345"/>
    <col min="6667" max="6667" width="12.7109375" style="2345" bestFit="1" customWidth="1"/>
    <col min="6668" max="6668" width="13.140625" style="2345" customWidth="1"/>
    <col min="6669" max="6912" width="9.140625" style="2345"/>
    <col min="6913" max="6913" width="4.7109375" style="2345" customWidth="1"/>
    <col min="6914" max="6914" width="6.7109375" style="2345" customWidth="1"/>
    <col min="6915" max="6915" width="8.85546875" style="2345" customWidth="1"/>
    <col min="6916" max="6916" width="46.42578125" style="2345" customWidth="1"/>
    <col min="6917" max="6917" width="12.85546875" style="2345" customWidth="1"/>
    <col min="6918" max="6918" width="15.5703125" style="2345" customWidth="1"/>
    <col min="6919" max="6919" width="15.85546875" style="2345" customWidth="1"/>
    <col min="6920" max="6920" width="6.42578125" style="2345" customWidth="1"/>
    <col min="6921" max="6921" width="14.28515625" style="2345" bestFit="1" customWidth="1"/>
    <col min="6922" max="6922" width="9.140625" style="2345"/>
    <col min="6923" max="6923" width="12.7109375" style="2345" bestFit="1" customWidth="1"/>
    <col min="6924" max="6924" width="13.140625" style="2345" customWidth="1"/>
    <col min="6925" max="7168" width="9.140625" style="2345"/>
    <col min="7169" max="7169" width="4.7109375" style="2345" customWidth="1"/>
    <col min="7170" max="7170" width="6.7109375" style="2345" customWidth="1"/>
    <col min="7171" max="7171" width="8.85546875" style="2345" customWidth="1"/>
    <col min="7172" max="7172" width="46.42578125" style="2345" customWidth="1"/>
    <col min="7173" max="7173" width="12.85546875" style="2345" customWidth="1"/>
    <col min="7174" max="7174" width="15.5703125" style="2345" customWidth="1"/>
    <col min="7175" max="7175" width="15.85546875" style="2345" customWidth="1"/>
    <col min="7176" max="7176" width="6.42578125" style="2345" customWidth="1"/>
    <col min="7177" max="7177" width="14.28515625" style="2345" bestFit="1" customWidth="1"/>
    <col min="7178" max="7178" width="9.140625" style="2345"/>
    <col min="7179" max="7179" width="12.7109375" style="2345" bestFit="1" customWidth="1"/>
    <col min="7180" max="7180" width="13.140625" style="2345" customWidth="1"/>
    <col min="7181" max="7424" width="9.140625" style="2345"/>
    <col min="7425" max="7425" width="4.7109375" style="2345" customWidth="1"/>
    <col min="7426" max="7426" width="6.7109375" style="2345" customWidth="1"/>
    <col min="7427" max="7427" width="8.85546875" style="2345" customWidth="1"/>
    <col min="7428" max="7428" width="46.42578125" style="2345" customWidth="1"/>
    <col min="7429" max="7429" width="12.85546875" style="2345" customWidth="1"/>
    <col min="7430" max="7430" width="15.5703125" style="2345" customWidth="1"/>
    <col min="7431" max="7431" width="15.85546875" style="2345" customWidth="1"/>
    <col min="7432" max="7432" width="6.42578125" style="2345" customWidth="1"/>
    <col min="7433" max="7433" width="14.28515625" style="2345" bestFit="1" customWidth="1"/>
    <col min="7434" max="7434" width="9.140625" style="2345"/>
    <col min="7435" max="7435" width="12.7109375" style="2345" bestFit="1" customWidth="1"/>
    <col min="7436" max="7436" width="13.140625" style="2345" customWidth="1"/>
    <col min="7437" max="7680" width="9.140625" style="2345"/>
    <col min="7681" max="7681" width="4.7109375" style="2345" customWidth="1"/>
    <col min="7682" max="7682" width="6.7109375" style="2345" customWidth="1"/>
    <col min="7683" max="7683" width="8.85546875" style="2345" customWidth="1"/>
    <col min="7684" max="7684" width="46.42578125" style="2345" customWidth="1"/>
    <col min="7685" max="7685" width="12.85546875" style="2345" customWidth="1"/>
    <col min="7686" max="7686" width="15.5703125" style="2345" customWidth="1"/>
    <col min="7687" max="7687" width="15.85546875" style="2345" customWidth="1"/>
    <col min="7688" max="7688" width="6.42578125" style="2345" customWidth="1"/>
    <col min="7689" max="7689" width="14.28515625" style="2345" bestFit="1" customWidth="1"/>
    <col min="7690" max="7690" width="9.140625" style="2345"/>
    <col min="7691" max="7691" width="12.7109375" style="2345" bestFit="1" customWidth="1"/>
    <col min="7692" max="7692" width="13.140625" style="2345" customWidth="1"/>
    <col min="7693" max="7936" width="9.140625" style="2345"/>
    <col min="7937" max="7937" width="4.7109375" style="2345" customWidth="1"/>
    <col min="7938" max="7938" width="6.7109375" style="2345" customWidth="1"/>
    <col min="7939" max="7939" width="8.85546875" style="2345" customWidth="1"/>
    <col min="7940" max="7940" width="46.42578125" style="2345" customWidth="1"/>
    <col min="7941" max="7941" width="12.85546875" style="2345" customWidth="1"/>
    <col min="7942" max="7942" width="15.5703125" style="2345" customWidth="1"/>
    <col min="7943" max="7943" width="15.85546875" style="2345" customWidth="1"/>
    <col min="7944" max="7944" width="6.42578125" style="2345" customWidth="1"/>
    <col min="7945" max="7945" width="14.28515625" style="2345" bestFit="1" customWidth="1"/>
    <col min="7946" max="7946" width="9.140625" style="2345"/>
    <col min="7947" max="7947" width="12.7109375" style="2345" bestFit="1" customWidth="1"/>
    <col min="7948" max="7948" width="13.140625" style="2345" customWidth="1"/>
    <col min="7949" max="8192" width="9.140625" style="2345"/>
    <col min="8193" max="8193" width="4.7109375" style="2345" customWidth="1"/>
    <col min="8194" max="8194" width="6.7109375" style="2345" customWidth="1"/>
    <col min="8195" max="8195" width="8.85546875" style="2345" customWidth="1"/>
    <col min="8196" max="8196" width="46.42578125" style="2345" customWidth="1"/>
    <col min="8197" max="8197" width="12.85546875" style="2345" customWidth="1"/>
    <col min="8198" max="8198" width="15.5703125" style="2345" customWidth="1"/>
    <col min="8199" max="8199" width="15.85546875" style="2345" customWidth="1"/>
    <col min="8200" max="8200" width="6.42578125" style="2345" customWidth="1"/>
    <col min="8201" max="8201" width="14.28515625" style="2345" bestFit="1" customWidth="1"/>
    <col min="8202" max="8202" width="9.140625" style="2345"/>
    <col min="8203" max="8203" width="12.7109375" style="2345" bestFit="1" customWidth="1"/>
    <col min="8204" max="8204" width="13.140625" style="2345" customWidth="1"/>
    <col min="8205" max="8448" width="9.140625" style="2345"/>
    <col min="8449" max="8449" width="4.7109375" style="2345" customWidth="1"/>
    <col min="8450" max="8450" width="6.7109375" style="2345" customWidth="1"/>
    <col min="8451" max="8451" width="8.85546875" style="2345" customWidth="1"/>
    <col min="8452" max="8452" width="46.42578125" style="2345" customWidth="1"/>
    <col min="8453" max="8453" width="12.85546875" style="2345" customWidth="1"/>
    <col min="8454" max="8454" width="15.5703125" style="2345" customWidth="1"/>
    <col min="8455" max="8455" width="15.85546875" style="2345" customWidth="1"/>
    <col min="8456" max="8456" width="6.42578125" style="2345" customWidth="1"/>
    <col min="8457" max="8457" width="14.28515625" style="2345" bestFit="1" customWidth="1"/>
    <col min="8458" max="8458" width="9.140625" style="2345"/>
    <col min="8459" max="8459" width="12.7109375" style="2345" bestFit="1" customWidth="1"/>
    <col min="8460" max="8460" width="13.140625" style="2345" customWidth="1"/>
    <col min="8461" max="8704" width="9.140625" style="2345"/>
    <col min="8705" max="8705" width="4.7109375" style="2345" customWidth="1"/>
    <col min="8706" max="8706" width="6.7109375" style="2345" customWidth="1"/>
    <col min="8707" max="8707" width="8.85546875" style="2345" customWidth="1"/>
    <col min="8708" max="8708" width="46.42578125" style="2345" customWidth="1"/>
    <col min="8709" max="8709" width="12.85546875" style="2345" customWidth="1"/>
    <col min="8710" max="8710" width="15.5703125" style="2345" customWidth="1"/>
    <col min="8711" max="8711" width="15.85546875" style="2345" customWidth="1"/>
    <col min="8712" max="8712" width="6.42578125" style="2345" customWidth="1"/>
    <col min="8713" max="8713" width="14.28515625" style="2345" bestFit="1" customWidth="1"/>
    <col min="8714" max="8714" width="9.140625" style="2345"/>
    <col min="8715" max="8715" width="12.7109375" style="2345" bestFit="1" customWidth="1"/>
    <col min="8716" max="8716" width="13.140625" style="2345" customWidth="1"/>
    <col min="8717" max="8960" width="9.140625" style="2345"/>
    <col min="8961" max="8961" width="4.7109375" style="2345" customWidth="1"/>
    <col min="8962" max="8962" width="6.7109375" style="2345" customWidth="1"/>
    <col min="8963" max="8963" width="8.85546875" style="2345" customWidth="1"/>
    <col min="8964" max="8964" width="46.42578125" style="2345" customWidth="1"/>
    <col min="8965" max="8965" width="12.85546875" style="2345" customWidth="1"/>
    <col min="8966" max="8966" width="15.5703125" style="2345" customWidth="1"/>
    <col min="8967" max="8967" width="15.85546875" style="2345" customWidth="1"/>
    <col min="8968" max="8968" width="6.42578125" style="2345" customWidth="1"/>
    <col min="8969" max="8969" width="14.28515625" style="2345" bestFit="1" customWidth="1"/>
    <col min="8970" max="8970" width="9.140625" style="2345"/>
    <col min="8971" max="8971" width="12.7109375" style="2345" bestFit="1" customWidth="1"/>
    <col min="8972" max="8972" width="13.140625" style="2345" customWidth="1"/>
    <col min="8973" max="9216" width="9.140625" style="2345"/>
    <col min="9217" max="9217" width="4.7109375" style="2345" customWidth="1"/>
    <col min="9218" max="9218" width="6.7109375" style="2345" customWidth="1"/>
    <col min="9219" max="9219" width="8.85546875" style="2345" customWidth="1"/>
    <col min="9220" max="9220" width="46.42578125" style="2345" customWidth="1"/>
    <col min="9221" max="9221" width="12.85546875" style="2345" customWidth="1"/>
    <col min="9222" max="9222" width="15.5703125" style="2345" customWidth="1"/>
    <col min="9223" max="9223" width="15.85546875" style="2345" customWidth="1"/>
    <col min="9224" max="9224" width="6.42578125" style="2345" customWidth="1"/>
    <col min="9225" max="9225" width="14.28515625" style="2345" bestFit="1" customWidth="1"/>
    <col min="9226" max="9226" width="9.140625" style="2345"/>
    <col min="9227" max="9227" width="12.7109375" style="2345" bestFit="1" customWidth="1"/>
    <col min="9228" max="9228" width="13.140625" style="2345" customWidth="1"/>
    <col min="9229" max="9472" width="9.140625" style="2345"/>
    <col min="9473" max="9473" width="4.7109375" style="2345" customWidth="1"/>
    <col min="9474" max="9474" width="6.7109375" style="2345" customWidth="1"/>
    <col min="9475" max="9475" width="8.85546875" style="2345" customWidth="1"/>
    <col min="9476" max="9476" width="46.42578125" style="2345" customWidth="1"/>
    <col min="9477" max="9477" width="12.85546875" style="2345" customWidth="1"/>
    <col min="9478" max="9478" width="15.5703125" style="2345" customWidth="1"/>
    <col min="9479" max="9479" width="15.85546875" style="2345" customWidth="1"/>
    <col min="9480" max="9480" width="6.42578125" style="2345" customWidth="1"/>
    <col min="9481" max="9481" width="14.28515625" style="2345" bestFit="1" customWidth="1"/>
    <col min="9482" max="9482" width="9.140625" style="2345"/>
    <col min="9483" max="9483" width="12.7109375" style="2345" bestFit="1" customWidth="1"/>
    <col min="9484" max="9484" width="13.140625" style="2345" customWidth="1"/>
    <col min="9485" max="9728" width="9.140625" style="2345"/>
    <col min="9729" max="9729" width="4.7109375" style="2345" customWidth="1"/>
    <col min="9730" max="9730" width="6.7109375" style="2345" customWidth="1"/>
    <col min="9731" max="9731" width="8.85546875" style="2345" customWidth="1"/>
    <col min="9732" max="9732" width="46.42578125" style="2345" customWidth="1"/>
    <col min="9733" max="9733" width="12.85546875" style="2345" customWidth="1"/>
    <col min="9734" max="9734" width="15.5703125" style="2345" customWidth="1"/>
    <col min="9735" max="9735" width="15.85546875" style="2345" customWidth="1"/>
    <col min="9736" max="9736" width="6.42578125" style="2345" customWidth="1"/>
    <col min="9737" max="9737" width="14.28515625" style="2345" bestFit="1" customWidth="1"/>
    <col min="9738" max="9738" width="9.140625" style="2345"/>
    <col min="9739" max="9739" width="12.7109375" style="2345" bestFit="1" customWidth="1"/>
    <col min="9740" max="9740" width="13.140625" style="2345" customWidth="1"/>
    <col min="9741" max="9984" width="9.140625" style="2345"/>
    <col min="9985" max="9985" width="4.7109375" style="2345" customWidth="1"/>
    <col min="9986" max="9986" width="6.7109375" style="2345" customWidth="1"/>
    <col min="9987" max="9987" width="8.85546875" style="2345" customWidth="1"/>
    <col min="9988" max="9988" width="46.42578125" style="2345" customWidth="1"/>
    <col min="9989" max="9989" width="12.85546875" style="2345" customWidth="1"/>
    <col min="9990" max="9990" width="15.5703125" style="2345" customWidth="1"/>
    <col min="9991" max="9991" width="15.85546875" style="2345" customWidth="1"/>
    <col min="9992" max="9992" width="6.42578125" style="2345" customWidth="1"/>
    <col min="9993" max="9993" width="14.28515625" style="2345" bestFit="1" customWidth="1"/>
    <col min="9994" max="9994" width="9.140625" style="2345"/>
    <col min="9995" max="9995" width="12.7109375" style="2345" bestFit="1" customWidth="1"/>
    <col min="9996" max="9996" width="13.140625" style="2345" customWidth="1"/>
    <col min="9997" max="10240" width="9.140625" style="2345"/>
    <col min="10241" max="10241" width="4.7109375" style="2345" customWidth="1"/>
    <col min="10242" max="10242" width="6.7109375" style="2345" customWidth="1"/>
    <col min="10243" max="10243" width="8.85546875" style="2345" customWidth="1"/>
    <col min="10244" max="10244" width="46.42578125" style="2345" customWidth="1"/>
    <col min="10245" max="10245" width="12.85546875" style="2345" customWidth="1"/>
    <col min="10246" max="10246" width="15.5703125" style="2345" customWidth="1"/>
    <col min="10247" max="10247" width="15.85546875" style="2345" customWidth="1"/>
    <col min="10248" max="10248" width="6.42578125" style="2345" customWidth="1"/>
    <col min="10249" max="10249" width="14.28515625" style="2345" bestFit="1" customWidth="1"/>
    <col min="10250" max="10250" width="9.140625" style="2345"/>
    <col min="10251" max="10251" width="12.7109375" style="2345" bestFit="1" customWidth="1"/>
    <col min="10252" max="10252" width="13.140625" style="2345" customWidth="1"/>
    <col min="10253" max="10496" width="9.140625" style="2345"/>
    <col min="10497" max="10497" width="4.7109375" style="2345" customWidth="1"/>
    <col min="10498" max="10498" width="6.7109375" style="2345" customWidth="1"/>
    <col min="10499" max="10499" width="8.85546875" style="2345" customWidth="1"/>
    <col min="10500" max="10500" width="46.42578125" style="2345" customWidth="1"/>
    <col min="10501" max="10501" width="12.85546875" style="2345" customWidth="1"/>
    <col min="10502" max="10502" width="15.5703125" style="2345" customWidth="1"/>
    <col min="10503" max="10503" width="15.85546875" style="2345" customWidth="1"/>
    <col min="10504" max="10504" width="6.42578125" style="2345" customWidth="1"/>
    <col min="10505" max="10505" width="14.28515625" style="2345" bestFit="1" customWidth="1"/>
    <col min="10506" max="10506" width="9.140625" style="2345"/>
    <col min="10507" max="10507" width="12.7109375" style="2345" bestFit="1" customWidth="1"/>
    <col min="10508" max="10508" width="13.140625" style="2345" customWidth="1"/>
    <col min="10509" max="10752" width="9.140625" style="2345"/>
    <col min="10753" max="10753" width="4.7109375" style="2345" customWidth="1"/>
    <col min="10754" max="10754" width="6.7109375" style="2345" customWidth="1"/>
    <col min="10755" max="10755" width="8.85546875" style="2345" customWidth="1"/>
    <col min="10756" max="10756" width="46.42578125" style="2345" customWidth="1"/>
    <col min="10757" max="10757" width="12.85546875" style="2345" customWidth="1"/>
    <col min="10758" max="10758" width="15.5703125" style="2345" customWidth="1"/>
    <col min="10759" max="10759" width="15.85546875" style="2345" customWidth="1"/>
    <col min="10760" max="10760" width="6.42578125" style="2345" customWidth="1"/>
    <col min="10761" max="10761" width="14.28515625" style="2345" bestFit="1" customWidth="1"/>
    <col min="10762" max="10762" width="9.140625" style="2345"/>
    <col min="10763" max="10763" width="12.7109375" style="2345" bestFit="1" customWidth="1"/>
    <col min="10764" max="10764" width="13.140625" style="2345" customWidth="1"/>
    <col min="10765" max="11008" width="9.140625" style="2345"/>
    <col min="11009" max="11009" width="4.7109375" style="2345" customWidth="1"/>
    <col min="11010" max="11010" width="6.7109375" style="2345" customWidth="1"/>
    <col min="11011" max="11011" width="8.85546875" style="2345" customWidth="1"/>
    <col min="11012" max="11012" width="46.42578125" style="2345" customWidth="1"/>
    <col min="11013" max="11013" width="12.85546875" style="2345" customWidth="1"/>
    <col min="11014" max="11014" width="15.5703125" style="2345" customWidth="1"/>
    <col min="11015" max="11015" width="15.85546875" style="2345" customWidth="1"/>
    <col min="11016" max="11016" width="6.42578125" style="2345" customWidth="1"/>
    <col min="11017" max="11017" width="14.28515625" style="2345" bestFit="1" customWidth="1"/>
    <col min="11018" max="11018" width="9.140625" style="2345"/>
    <col min="11019" max="11019" width="12.7109375" style="2345" bestFit="1" customWidth="1"/>
    <col min="11020" max="11020" width="13.140625" style="2345" customWidth="1"/>
    <col min="11021" max="11264" width="9.140625" style="2345"/>
    <col min="11265" max="11265" width="4.7109375" style="2345" customWidth="1"/>
    <col min="11266" max="11266" width="6.7109375" style="2345" customWidth="1"/>
    <col min="11267" max="11267" width="8.85546875" style="2345" customWidth="1"/>
    <col min="11268" max="11268" width="46.42578125" style="2345" customWidth="1"/>
    <col min="11269" max="11269" width="12.85546875" style="2345" customWidth="1"/>
    <col min="11270" max="11270" width="15.5703125" style="2345" customWidth="1"/>
    <col min="11271" max="11271" width="15.85546875" style="2345" customWidth="1"/>
    <col min="11272" max="11272" width="6.42578125" style="2345" customWidth="1"/>
    <col min="11273" max="11273" width="14.28515625" style="2345" bestFit="1" customWidth="1"/>
    <col min="11274" max="11274" width="9.140625" style="2345"/>
    <col min="11275" max="11275" width="12.7109375" style="2345" bestFit="1" customWidth="1"/>
    <col min="11276" max="11276" width="13.140625" style="2345" customWidth="1"/>
    <col min="11277" max="11520" width="9.140625" style="2345"/>
    <col min="11521" max="11521" width="4.7109375" style="2345" customWidth="1"/>
    <col min="11522" max="11522" width="6.7109375" style="2345" customWidth="1"/>
    <col min="11523" max="11523" width="8.85546875" style="2345" customWidth="1"/>
    <col min="11524" max="11524" width="46.42578125" style="2345" customWidth="1"/>
    <col min="11525" max="11525" width="12.85546875" style="2345" customWidth="1"/>
    <col min="11526" max="11526" width="15.5703125" style="2345" customWidth="1"/>
    <col min="11527" max="11527" width="15.85546875" style="2345" customWidth="1"/>
    <col min="11528" max="11528" width="6.42578125" style="2345" customWidth="1"/>
    <col min="11529" max="11529" width="14.28515625" style="2345" bestFit="1" customWidth="1"/>
    <col min="11530" max="11530" width="9.140625" style="2345"/>
    <col min="11531" max="11531" width="12.7109375" style="2345" bestFit="1" customWidth="1"/>
    <col min="11532" max="11532" width="13.140625" style="2345" customWidth="1"/>
    <col min="11533" max="11776" width="9.140625" style="2345"/>
    <col min="11777" max="11777" width="4.7109375" style="2345" customWidth="1"/>
    <col min="11778" max="11778" width="6.7109375" style="2345" customWidth="1"/>
    <col min="11779" max="11779" width="8.85546875" style="2345" customWidth="1"/>
    <col min="11780" max="11780" width="46.42578125" style="2345" customWidth="1"/>
    <col min="11781" max="11781" width="12.85546875" style="2345" customWidth="1"/>
    <col min="11782" max="11782" width="15.5703125" style="2345" customWidth="1"/>
    <col min="11783" max="11783" width="15.85546875" style="2345" customWidth="1"/>
    <col min="11784" max="11784" width="6.42578125" style="2345" customWidth="1"/>
    <col min="11785" max="11785" width="14.28515625" style="2345" bestFit="1" customWidth="1"/>
    <col min="11786" max="11786" width="9.140625" style="2345"/>
    <col min="11787" max="11787" width="12.7109375" style="2345" bestFit="1" customWidth="1"/>
    <col min="11788" max="11788" width="13.140625" style="2345" customWidth="1"/>
    <col min="11789" max="12032" width="9.140625" style="2345"/>
    <col min="12033" max="12033" width="4.7109375" style="2345" customWidth="1"/>
    <col min="12034" max="12034" width="6.7109375" style="2345" customWidth="1"/>
    <col min="12035" max="12035" width="8.85546875" style="2345" customWidth="1"/>
    <col min="12036" max="12036" width="46.42578125" style="2345" customWidth="1"/>
    <col min="12037" max="12037" width="12.85546875" style="2345" customWidth="1"/>
    <col min="12038" max="12038" width="15.5703125" style="2345" customWidth="1"/>
    <col min="12039" max="12039" width="15.85546875" style="2345" customWidth="1"/>
    <col min="12040" max="12040" width="6.42578125" style="2345" customWidth="1"/>
    <col min="12041" max="12041" width="14.28515625" style="2345" bestFit="1" customWidth="1"/>
    <col min="12042" max="12042" width="9.140625" style="2345"/>
    <col min="12043" max="12043" width="12.7109375" style="2345" bestFit="1" customWidth="1"/>
    <col min="12044" max="12044" width="13.140625" style="2345" customWidth="1"/>
    <col min="12045" max="12288" width="9.140625" style="2345"/>
    <col min="12289" max="12289" width="4.7109375" style="2345" customWidth="1"/>
    <col min="12290" max="12290" width="6.7109375" style="2345" customWidth="1"/>
    <col min="12291" max="12291" width="8.85546875" style="2345" customWidth="1"/>
    <col min="12292" max="12292" width="46.42578125" style="2345" customWidth="1"/>
    <col min="12293" max="12293" width="12.85546875" style="2345" customWidth="1"/>
    <col min="12294" max="12294" width="15.5703125" style="2345" customWidth="1"/>
    <col min="12295" max="12295" width="15.85546875" style="2345" customWidth="1"/>
    <col min="12296" max="12296" width="6.42578125" style="2345" customWidth="1"/>
    <col min="12297" max="12297" width="14.28515625" style="2345" bestFit="1" customWidth="1"/>
    <col min="12298" max="12298" width="9.140625" style="2345"/>
    <col min="12299" max="12299" width="12.7109375" style="2345" bestFit="1" customWidth="1"/>
    <col min="12300" max="12300" width="13.140625" style="2345" customWidth="1"/>
    <col min="12301" max="12544" width="9.140625" style="2345"/>
    <col min="12545" max="12545" width="4.7109375" style="2345" customWidth="1"/>
    <col min="12546" max="12546" width="6.7109375" style="2345" customWidth="1"/>
    <col min="12547" max="12547" width="8.85546875" style="2345" customWidth="1"/>
    <col min="12548" max="12548" width="46.42578125" style="2345" customWidth="1"/>
    <col min="12549" max="12549" width="12.85546875" style="2345" customWidth="1"/>
    <col min="12550" max="12550" width="15.5703125" style="2345" customWidth="1"/>
    <col min="12551" max="12551" width="15.85546875" style="2345" customWidth="1"/>
    <col min="12552" max="12552" width="6.42578125" style="2345" customWidth="1"/>
    <col min="12553" max="12553" width="14.28515625" style="2345" bestFit="1" customWidth="1"/>
    <col min="12554" max="12554" width="9.140625" style="2345"/>
    <col min="12555" max="12555" width="12.7109375" style="2345" bestFit="1" customWidth="1"/>
    <col min="12556" max="12556" width="13.140625" style="2345" customWidth="1"/>
    <col min="12557" max="12800" width="9.140625" style="2345"/>
    <col min="12801" max="12801" width="4.7109375" style="2345" customWidth="1"/>
    <col min="12802" max="12802" width="6.7109375" style="2345" customWidth="1"/>
    <col min="12803" max="12803" width="8.85546875" style="2345" customWidth="1"/>
    <col min="12804" max="12804" width="46.42578125" style="2345" customWidth="1"/>
    <col min="12805" max="12805" width="12.85546875" style="2345" customWidth="1"/>
    <col min="12806" max="12806" width="15.5703125" style="2345" customWidth="1"/>
    <col min="12807" max="12807" width="15.85546875" style="2345" customWidth="1"/>
    <col min="12808" max="12808" width="6.42578125" style="2345" customWidth="1"/>
    <col min="12809" max="12809" width="14.28515625" style="2345" bestFit="1" customWidth="1"/>
    <col min="12810" max="12810" width="9.140625" style="2345"/>
    <col min="12811" max="12811" width="12.7109375" style="2345" bestFit="1" customWidth="1"/>
    <col min="12812" max="12812" width="13.140625" style="2345" customWidth="1"/>
    <col min="12813" max="13056" width="9.140625" style="2345"/>
    <col min="13057" max="13057" width="4.7109375" style="2345" customWidth="1"/>
    <col min="13058" max="13058" width="6.7109375" style="2345" customWidth="1"/>
    <col min="13059" max="13059" width="8.85546875" style="2345" customWidth="1"/>
    <col min="13060" max="13060" width="46.42578125" style="2345" customWidth="1"/>
    <col min="13061" max="13061" width="12.85546875" style="2345" customWidth="1"/>
    <col min="13062" max="13062" width="15.5703125" style="2345" customWidth="1"/>
    <col min="13063" max="13063" width="15.85546875" style="2345" customWidth="1"/>
    <col min="13064" max="13064" width="6.42578125" style="2345" customWidth="1"/>
    <col min="13065" max="13065" width="14.28515625" style="2345" bestFit="1" customWidth="1"/>
    <col min="13066" max="13066" width="9.140625" style="2345"/>
    <col min="13067" max="13067" width="12.7109375" style="2345" bestFit="1" customWidth="1"/>
    <col min="13068" max="13068" width="13.140625" style="2345" customWidth="1"/>
    <col min="13069" max="13312" width="9.140625" style="2345"/>
    <col min="13313" max="13313" width="4.7109375" style="2345" customWidth="1"/>
    <col min="13314" max="13314" width="6.7109375" style="2345" customWidth="1"/>
    <col min="13315" max="13315" width="8.85546875" style="2345" customWidth="1"/>
    <col min="13316" max="13316" width="46.42578125" style="2345" customWidth="1"/>
    <col min="13317" max="13317" width="12.85546875" style="2345" customWidth="1"/>
    <col min="13318" max="13318" width="15.5703125" style="2345" customWidth="1"/>
    <col min="13319" max="13319" width="15.85546875" style="2345" customWidth="1"/>
    <col min="13320" max="13320" width="6.42578125" style="2345" customWidth="1"/>
    <col min="13321" max="13321" width="14.28515625" style="2345" bestFit="1" customWidth="1"/>
    <col min="13322" max="13322" width="9.140625" style="2345"/>
    <col min="13323" max="13323" width="12.7109375" style="2345" bestFit="1" customWidth="1"/>
    <col min="13324" max="13324" width="13.140625" style="2345" customWidth="1"/>
    <col min="13325" max="13568" width="9.140625" style="2345"/>
    <col min="13569" max="13569" width="4.7109375" style="2345" customWidth="1"/>
    <col min="13570" max="13570" width="6.7109375" style="2345" customWidth="1"/>
    <col min="13571" max="13571" width="8.85546875" style="2345" customWidth="1"/>
    <col min="13572" max="13572" width="46.42578125" style="2345" customWidth="1"/>
    <col min="13573" max="13573" width="12.85546875" style="2345" customWidth="1"/>
    <col min="13574" max="13574" width="15.5703125" style="2345" customWidth="1"/>
    <col min="13575" max="13575" width="15.85546875" style="2345" customWidth="1"/>
    <col min="13576" max="13576" width="6.42578125" style="2345" customWidth="1"/>
    <col min="13577" max="13577" width="14.28515625" style="2345" bestFit="1" customWidth="1"/>
    <col min="13578" max="13578" width="9.140625" style="2345"/>
    <col min="13579" max="13579" width="12.7109375" style="2345" bestFit="1" customWidth="1"/>
    <col min="13580" max="13580" width="13.140625" style="2345" customWidth="1"/>
    <col min="13581" max="13824" width="9.140625" style="2345"/>
    <col min="13825" max="13825" width="4.7109375" style="2345" customWidth="1"/>
    <col min="13826" max="13826" width="6.7109375" style="2345" customWidth="1"/>
    <col min="13827" max="13827" width="8.85546875" style="2345" customWidth="1"/>
    <col min="13828" max="13828" width="46.42578125" style="2345" customWidth="1"/>
    <col min="13829" max="13829" width="12.85546875" style="2345" customWidth="1"/>
    <col min="13830" max="13830" width="15.5703125" style="2345" customWidth="1"/>
    <col min="13831" max="13831" width="15.85546875" style="2345" customWidth="1"/>
    <col min="13832" max="13832" width="6.42578125" style="2345" customWidth="1"/>
    <col min="13833" max="13833" width="14.28515625" style="2345" bestFit="1" customWidth="1"/>
    <col min="13834" max="13834" width="9.140625" style="2345"/>
    <col min="13835" max="13835" width="12.7109375" style="2345" bestFit="1" customWidth="1"/>
    <col min="13836" max="13836" width="13.140625" style="2345" customWidth="1"/>
    <col min="13837" max="14080" width="9.140625" style="2345"/>
    <col min="14081" max="14081" width="4.7109375" style="2345" customWidth="1"/>
    <col min="14082" max="14082" width="6.7109375" style="2345" customWidth="1"/>
    <col min="14083" max="14083" width="8.85546875" style="2345" customWidth="1"/>
    <col min="14084" max="14084" width="46.42578125" style="2345" customWidth="1"/>
    <col min="14085" max="14085" width="12.85546875" style="2345" customWidth="1"/>
    <col min="14086" max="14086" width="15.5703125" style="2345" customWidth="1"/>
    <col min="14087" max="14087" width="15.85546875" style="2345" customWidth="1"/>
    <col min="14088" max="14088" width="6.42578125" style="2345" customWidth="1"/>
    <col min="14089" max="14089" width="14.28515625" style="2345" bestFit="1" customWidth="1"/>
    <col min="14090" max="14090" width="9.140625" style="2345"/>
    <col min="14091" max="14091" width="12.7109375" style="2345" bestFit="1" customWidth="1"/>
    <col min="14092" max="14092" width="13.140625" style="2345" customWidth="1"/>
    <col min="14093" max="14336" width="9.140625" style="2345"/>
    <col min="14337" max="14337" width="4.7109375" style="2345" customWidth="1"/>
    <col min="14338" max="14338" width="6.7109375" style="2345" customWidth="1"/>
    <col min="14339" max="14339" width="8.85546875" style="2345" customWidth="1"/>
    <col min="14340" max="14340" width="46.42578125" style="2345" customWidth="1"/>
    <col min="14341" max="14341" width="12.85546875" style="2345" customWidth="1"/>
    <col min="14342" max="14342" width="15.5703125" style="2345" customWidth="1"/>
    <col min="14343" max="14343" width="15.85546875" style="2345" customWidth="1"/>
    <col min="14344" max="14344" width="6.42578125" style="2345" customWidth="1"/>
    <col min="14345" max="14345" width="14.28515625" style="2345" bestFit="1" customWidth="1"/>
    <col min="14346" max="14346" width="9.140625" style="2345"/>
    <col min="14347" max="14347" width="12.7109375" style="2345" bestFit="1" customWidth="1"/>
    <col min="14348" max="14348" width="13.140625" style="2345" customWidth="1"/>
    <col min="14349" max="14592" width="9.140625" style="2345"/>
    <col min="14593" max="14593" width="4.7109375" style="2345" customWidth="1"/>
    <col min="14594" max="14594" width="6.7109375" style="2345" customWidth="1"/>
    <col min="14595" max="14595" width="8.85546875" style="2345" customWidth="1"/>
    <col min="14596" max="14596" width="46.42578125" style="2345" customWidth="1"/>
    <col min="14597" max="14597" width="12.85546875" style="2345" customWidth="1"/>
    <col min="14598" max="14598" width="15.5703125" style="2345" customWidth="1"/>
    <col min="14599" max="14599" width="15.85546875" style="2345" customWidth="1"/>
    <col min="14600" max="14600" width="6.42578125" style="2345" customWidth="1"/>
    <col min="14601" max="14601" width="14.28515625" style="2345" bestFit="1" customWidth="1"/>
    <col min="14602" max="14602" width="9.140625" style="2345"/>
    <col min="14603" max="14603" width="12.7109375" style="2345" bestFit="1" customWidth="1"/>
    <col min="14604" max="14604" width="13.140625" style="2345" customWidth="1"/>
    <col min="14605" max="14848" width="9.140625" style="2345"/>
    <col min="14849" max="14849" width="4.7109375" style="2345" customWidth="1"/>
    <col min="14850" max="14850" width="6.7109375" style="2345" customWidth="1"/>
    <col min="14851" max="14851" width="8.85546875" style="2345" customWidth="1"/>
    <col min="14852" max="14852" width="46.42578125" style="2345" customWidth="1"/>
    <col min="14853" max="14853" width="12.85546875" style="2345" customWidth="1"/>
    <col min="14854" max="14854" width="15.5703125" style="2345" customWidth="1"/>
    <col min="14855" max="14855" width="15.85546875" style="2345" customWidth="1"/>
    <col min="14856" max="14856" width="6.42578125" style="2345" customWidth="1"/>
    <col min="14857" max="14857" width="14.28515625" style="2345" bestFit="1" customWidth="1"/>
    <col min="14858" max="14858" width="9.140625" style="2345"/>
    <col min="14859" max="14859" width="12.7109375" style="2345" bestFit="1" customWidth="1"/>
    <col min="14860" max="14860" width="13.140625" style="2345" customWidth="1"/>
    <col min="14861" max="15104" width="9.140625" style="2345"/>
    <col min="15105" max="15105" width="4.7109375" style="2345" customWidth="1"/>
    <col min="15106" max="15106" width="6.7109375" style="2345" customWidth="1"/>
    <col min="15107" max="15107" width="8.85546875" style="2345" customWidth="1"/>
    <col min="15108" max="15108" width="46.42578125" style="2345" customWidth="1"/>
    <col min="15109" max="15109" width="12.85546875" style="2345" customWidth="1"/>
    <col min="15110" max="15110" width="15.5703125" style="2345" customWidth="1"/>
    <col min="15111" max="15111" width="15.85546875" style="2345" customWidth="1"/>
    <col min="15112" max="15112" width="6.42578125" style="2345" customWidth="1"/>
    <col min="15113" max="15113" width="14.28515625" style="2345" bestFit="1" customWidth="1"/>
    <col min="15114" max="15114" width="9.140625" style="2345"/>
    <col min="15115" max="15115" width="12.7109375" style="2345" bestFit="1" customWidth="1"/>
    <col min="15116" max="15116" width="13.140625" style="2345" customWidth="1"/>
    <col min="15117" max="15360" width="9.140625" style="2345"/>
    <col min="15361" max="15361" width="4.7109375" style="2345" customWidth="1"/>
    <col min="15362" max="15362" width="6.7109375" style="2345" customWidth="1"/>
    <col min="15363" max="15363" width="8.85546875" style="2345" customWidth="1"/>
    <col min="15364" max="15364" width="46.42578125" style="2345" customWidth="1"/>
    <col min="15365" max="15365" width="12.85546875" style="2345" customWidth="1"/>
    <col min="15366" max="15366" width="15.5703125" style="2345" customWidth="1"/>
    <col min="15367" max="15367" width="15.85546875" style="2345" customWidth="1"/>
    <col min="15368" max="15368" width="6.42578125" style="2345" customWidth="1"/>
    <col min="15369" max="15369" width="14.28515625" style="2345" bestFit="1" customWidth="1"/>
    <col min="15370" max="15370" width="9.140625" style="2345"/>
    <col min="15371" max="15371" width="12.7109375" style="2345" bestFit="1" customWidth="1"/>
    <col min="15372" max="15372" width="13.140625" style="2345" customWidth="1"/>
    <col min="15373" max="15616" width="9.140625" style="2345"/>
    <col min="15617" max="15617" width="4.7109375" style="2345" customWidth="1"/>
    <col min="15618" max="15618" width="6.7109375" style="2345" customWidth="1"/>
    <col min="15619" max="15619" width="8.85546875" style="2345" customWidth="1"/>
    <col min="15620" max="15620" width="46.42578125" style="2345" customWidth="1"/>
    <col min="15621" max="15621" width="12.85546875" style="2345" customWidth="1"/>
    <col min="15622" max="15622" width="15.5703125" style="2345" customWidth="1"/>
    <col min="15623" max="15623" width="15.85546875" style="2345" customWidth="1"/>
    <col min="15624" max="15624" width="6.42578125" style="2345" customWidth="1"/>
    <col min="15625" max="15625" width="14.28515625" style="2345" bestFit="1" customWidth="1"/>
    <col min="15626" max="15626" width="9.140625" style="2345"/>
    <col min="15627" max="15627" width="12.7109375" style="2345" bestFit="1" customWidth="1"/>
    <col min="15628" max="15628" width="13.140625" style="2345" customWidth="1"/>
    <col min="15629" max="15872" width="9.140625" style="2345"/>
    <col min="15873" max="15873" width="4.7109375" style="2345" customWidth="1"/>
    <col min="15874" max="15874" width="6.7109375" style="2345" customWidth="1"/>
    <col min="15875" max="15875" width="8.85546875" style="2345" customWidth="1"/>
    <col min="15876" max="15876" width="46.42578125" style="2345" customWidth="1"/>
    <col min="15877" max="15877" width="12.85546875" style="2345" customWidth="1"/>
    <col min="15878" max="15878" width="15.5703125" style="2345" customWidth="1"/>
    <col min="15879" max="15879" width="15.85546875" style="2345" customWidth="1"/>
    <col min="15880" max="15880" width="6.42578125" style="2345" customWidth="1"/>
    <col min="15881" max="15881" width="14.28515625" style="2345" bestFit="1" customWidth="1"/>
    <col min="15882" max="15882" width="9.140625" style="2345"/>
    <col min="15883" max="15883" width="12.7109375" style="2345" bestFit="1" customWidth="1"/>
    <col min="15884" max="15884" width="13.140625" style="2345" customWidth="1"/>
    <col min="15885" max="16128" width="9.140625" style="2345"/>
    <col min="16129" max="16129" width="4.7109375" style="2345" customWidth="1"/>
    <col min="16130" max="16130" width="6.7109375" style="2345" customWidth="1"/>
    <col min="16131" max="16131" width="8.85546875" style="2345" customWidth="1"/>
    <col min="16132" max="16132" width="46.42578125" style="2345" customWidth="1"/>
    <col min="16133" max="16133" width="12.85546875" style="2345" customWidth="1"/>
    <col min="16134" max="16134" width="15.5703125" style="2345" customWidth="1"/>
    <col min="16135" max="16135" width="15.85546875" style="2345" customWidth="1"/>
    <col min="16136" max="16136" width="6.42578125" style="2345" customWidth="1"/>
    <col min="16137" max="16137" width="14.28515625" style="2345" bestFit="1" customWidth="1"/>
    <col min="16138" max="16138" width="9.140625" style="2345"/>
    <col min="16139" max="16139" width="12.7109375" style="2345" bestFit="1" customWidth="1"/>
    <col min="16140" max="16140" width="13.140625" style="2345" customWidth="1"/>
    <col min="16141" max="16384" width="9.140625" style="2345"/>
  </cols>
  <sheetData>
    <row r="1" spans="1:8" ht="19.5" customHeight="1" thickBot="1" x14ac:dyDescent="0.3">
      <c r="A1" s="2339" t="s">
        <v>1872</v>
      </c>
      <c r="B1" s="2340"/>
      <c r="C1" s="2341"/>
      <c r="D1" s="2342"/>
      <c r="E1" s="2343"/>
      <c r="F1" s="2342"/>
      <c r="G1" s="2344"/>
      <c r="H1" s="2339"/>
    </row>
    <row r="2" spans="1:8" ht="18" x14ac:dyDescent="0.25">
      <c r="A2" s="2346"/>
      <c r="B2" s="2347"/>
      <c r="C2" s="2347"/>
      <c r="D2" s="2347"/>
      <c r="E2" s="2347"/>
      <c r="F2" s="2347"/>
      <c r="G2" s="2347"/>
      <c r="H2" s="2348" t="s">
        <v>1873</v>
      </c>
    </row>
    <row r="3" spans="1:8" ht="18" x14ac:dyDescent="0.25">
      <c r="A3" s="2349" t="s">
        <v>404</v>
      </c>
      <c r="B3" s="2347"/>
      <c r="C3" s="2350" t="s">
        <v>379</v>
      </c>
      <c r="D3" s="2347"/>
      <c r="E3" s="2347"/>
      <c r="F3" s="2347"/>
      <c r="G3" s="2347"/>
      <c r="H3" s="2348"/>
    </row>
    <row r="4" spans="1:8" ht="18" x14ac:dyDescent="0.25">
      <c r="A4" s="2346"/>
      <c r="B4" s="2347"/>
      <c r="C4" s="2350" t="s">
        <v>380</v>
      </c>
      <c r="D4" s="2347"/>
      <c r="E4" s="2347"/>
      <c r="F4" s="2347"/>
      <c r="G4" s="2347"/>
      <c r="H4" s="2348"/>
    </row>
    <row r="5" spans="1:8" ht="18" x14ac:dyDescent="0.25">
      <c r="A5" s="2351" t="s">
        <v>1874</v>
      </c>
      <c r="B5" s="2347"/>
      <c r="C5" s="2347"/>
      <c r="D5" s="2347"/>
      <c r="E5" s="2347"/>
      <c r="F5" s="2347"/>
      <c r="G5" s="2347"/>
      <c r="H5" s="2348"/>
    </row>
    <row r="6" spans="1:8" ht="18" x14ac:dyDescent="0.25">
      <c r="A6" s="2351"/>
      <c r="B6" s="2347"/>
      <c r="C6" s="2347"/>
      <c r="D6" s="2347"/>
      <c r="E6" s="2347"/>
      <c r="F6" s="2347"/>
      <c r="G6" s="2347"/>
      <c r="H6" s="2348"/>
    </row>
    <row r="7" spans="1:8" ht="18" x14ac:dyDescent="0.25">
      <c r="A7" s="2351"/>
      <c r="B7" s="2347"/>
      <c r="C7" s="2347"/>
      <c r="D7" s="2347"/>
      <c r="E7" s="2347"/>
      <c r="F7" s="2347"/>
      <c r="G7" s="2347"/>
      <c r="H7" s="2348"/>
    </row>
    <row r="8" spans="1:8" ht="15" x14ac:dyDescent="0.25">
      <c r="A8" s="2426" t="s">
        <v>1875</v>
      </c>
      <c r="B8" s="2347"/>
      <c r="C8" s="2347"/>
      <c r="D8" s="2347"/>
    </row>
    <row r="9" spans="1:8" ht="15.75" thickBot="1" x14ac:dyDescent="0.3">
      <c r="A9" s="2427" t="s">
        <v>1871</v>
      </c>
      <c r="B9" s="2428"/>
      <c r="C9" s="2428"/>
      <c r="H9" s="2354" t="s">
        <v>179</v>
      </c>
    </row>
    <row r="10" spans="1:8" s="2429" customFormat="1" ht="25.5" thickTop="1" thickBot="1" x14ac:dyDescent="0.25">
      <c r="A10" s="2355" t="s">
        <v>180</v>
      </c>
      <c r="B10" s="2356" t="s">
        <v>847</v>
      </c>
      <c r="C10" s="2356" t="s">
        <v>414</v>
      </c>
      <c r="D10" s="2357" t="s">
        <v>182</v>
      </c>
      <c r="E10" s="2358" t="s">
        <v>700</v>
      </c>
      <c r="F10" s="2358" t="s">
        <v>701</v>
      </c>
      <c r="G10" s="2359" t="s">
        <v>986</v>
      </c>
      <c r="H10" s="2360" t="s">
        <v>987</v>
      </c>
    </row>
    <row r="11" spans="1:8" s="2429" customFormat="1" ht="13.5" thickTop="1" thickBot="1" x14ac:dyDescent="0.25">
      <c r="A11" s="2361">
        <v>1</v>
      </c>
      <c r="B11" s="2362">
        <v>2</v>
      </c>
      <c r="C11" s="2362">
        <v>3</v>
      </c>
      <c r="D11" s="2362">
        <v>4</v>
      </c>
      <c r="E11" s="2363">
        <v>5</v>
      </c>
      <c r="F11" s="2363">
        <v>6</v>
      </c>
      <c r="G11" s="2364">
        <v>7</v>
      </c>
      <c r="H11" s="2365" t="s">
        <v>61</v>
      </c>
    </row>
    <row r="12" spans="1:8" s="2431" customFormat="1" ht="15.75" thickTop="1" x14ac:dyDescent="0.2">
      <c r="A12" s="2371">
        <v>3299</v>
      </c>
      <c r="B12" s="2372">
        <v>5137</v>
      </c>
      <c r="C12" s="2430">
        <v>32133007</v>
      </c>
      <c r="D12" s="2373" t="s">
        <v>173</v>
      </c>
      <c r="E12" s="2374">
        <v>0</v>
      </c>
      <c r="F12" s="2374">
        <v>5</v>
      </c>
      <c r="G12" s="2374">
        <v>0</v>
      </c>
      <c r="H12" s="2375">
        <f>G12/F12*100</f>
        <v>0</v>
      </c>
    </row>
    <row r="13" spans="1:8" s="2431" customFormat="1" ht="15" x14ac:dyDescent="0.2">
      <c r="A13" s="2371">
        <v>3299</v>
      </c>
      <c r="B13" s="2372">
        <v>5137</v>
      </c>
      <c r="C13" s="2430">
        <v>32533007</v>
      </c>
      <c r="D13" s="2373" t="s">
        <v>676</v>
      </c>
      <c r="E13" s="2374">
        <v>0</v>
      </c>
      <c r="F13" s="2374">
        <v>31</v>
      </c>
      <c r="G13" s="2374">
        <v>0</v>
      </c>
      <c r="H13" s="2375">
        <f>G13/F13*100</f>
        <v>0</v>
      </c>
    </row>
    <row r="14" spans="1:8" s="2431" customFormat="1" ht="15" hidden="1" x14ac:dyDescent="0.2">
      <c r="A14" s="2371">
        <v>3299</v>
      </c>
      <c r="B14" s="2372">
        <v>5139</v>
      </c>
      <c r="C14" s="2430">
        <v>38100880</v>
      </c>
      <c r="D14" s="2373" t="s">
        <v>295</v>
      </c>
      <c r="E14" s="2374"/>
      <c r="F14" s="2374"/>
      <c r="G14" s="2374"/>
      <c r="H14" s="2375" t="e">
        <f>G14/F14*100</f>
        <v>#DIV/0!</v>
      </c>
    </row>
    <row r="15" spans="1:8" s="2431" customFormat="1" ht="15" hidden="1" x14ac:dyDescent="0.2">
      <c r="A15" s="2371">
        <v>3299</v>
      </c>
      <c r="B15" s="2372">
        <v>5139</v>
      </c>
      <c r="C15" s="2430">
        <v>38100882</v>
      </c>
      <c r="D15" s="2373" t="s">
        <v>295</v>
      </c>
      <c r="E15" s="2374"/>
      <c r="F15" s="2374"/>
      <c r="G15" s="2374"/>
      <c r="H15" s="2375">
        <v>0</v>
      </c>
    </row>
    <row r="16" spans="1:8" s="2431" customFormat="1" ht="15" hidden="1" x14ac:dyDescent="0.2">
      <c r="A16" s="2371">
        <v>3299</v>
      </c>
      <c r="B16" s="2372">
        <v>5139</v>
      </c>
      <c r="C16" s="2430">
        <v>38500881</v>
      </c>
      <c r="D16" s="2373" t="s">
        <v>295</v>
      </c>
      <c r="E16" s="2374"/>
      <c r="F16" s="2374"/>
      <c r="G16" s="2374"/>
      <c r="H16" s="2375" t="e">
        <f>G16/F16*100</f>
        <v>#DIV/0!</v>
      </c>
    </row>
    <row r="17" spans="1:8" s="2431" customFormat="1" ht="15" hidden="1" x14ac:dyDescent="0.2">
      <c r="A17" s="2371">
        <v>3299</v>
      </c>
      <c r="B17" s="2372">
        <v>5162</v>
      </c>
      <c r="C17" s="2430">
        <v>38100880</v>
      </c>
      <c r="D17" s="2373" t="s">
        <v>967</v>
      </c>
      <c r="E17" s="2374"/>
      <c r="F17" s="2374"/>
      <c r="G17" s="2374"/>
      <c r="H17" s="2375" t="e">
        <f>G17/F17*100</f>
        <v>#DIV/0!</v>
      </c>
    </row>
    <row r="18" spans="1:8" s="2431" customFormat="1" ht="15" hidden="1" x14ac:dyDescent="0.2">
      <c r="A18" s="2371">
        <v>3299</v>
      </c>
      <c r="B18" s="2372">
        <v>5162</v>
      </c>
      <c r="C18" s="2430">
        <v>38100882</v>
      </c>
      <c r="D18" s="2373" t="s">
        <v>967</v>
      </c>
      <c r="E18" s="2374"/>
      <c r="F18" s="2374"/>
      <c r="G18" s="2374"/>
      <c r="H18" s="2375">
        <v>0</v>
      </c>
    </row>
    <row r="19" spans="1:8" s="2433" customFormat="1" ht="15" hidden="1" x14ac:dyDescent="0.2">
      <c r="A19" s="2371">
        <v>3299</v>
      </c>
      <c r="B19" s="2432">
        <v>5162</v>
      </c>
      <c r="C19" s="2430">
        <v>38500881</v>
      </c>
      <c r="D19" s="2373" t="s">
        <v>967</v>
      </c>
      <c r="E19" s="2374"/>
      <c r="F19" s="2374"/>
      <c r="G19" s="2374"/>
      <c r="H19" s="2375" t="e">
        <f>G19/F19*100</f>
        <v>#DIV/0!</v>
      </c>
    </row>
    <row r="20" spans="1:8" s="2433" customFormat="1" ht="15" hidden="1" x14ac:dyDescent="0.2">
      <c r="A20" s="2371">
        <v>3299</v>
      </c>
      <c r="B20" s="2432">
        <v>5163</v>
      </c>
      <c r="C20" s="2430">
        <v>38100880</v>
      </c>
      <c r="D20" s="2373" t="s">
        <v>997</v>
      </c>
      <c r="E20" s="2374">
        <v>0</v>
      </c>
      <c r="F20" s="2374">
        <v>0</v>
      </c>
      <c r="G20" s="2374">
        <v>0</v>
      </c>
      <c r="H20" s="2375">
        <v>0</v>
      </c>
    </row>
    <row r="21" spans="1:8" ht="15" hidden="1" x14ac:dyDescent="0.2">
      <c r="A21" s="2371">
        <v>3299</v>
      </c>
      <c r="B21" s="2432">
        <v>5163</v>
      </c>
      <c r="C21" s="2430">
        <v>38100882</v>
      </c>
      <c r="D21" s="2373" t="s">
        <v>997</v>
      </c>
      <c r="E21" s="2374"/>
      <c r="F21" s="2374"/>
      <c r="G21" s="2374"/>
      <c r="H21" s="2375">
        <v>0</v>
      </c>
    </row>
    <row r="22" spans="1:8" ht="15" hidden="1" x14ac:dyDescent="0.2">
      <c r="A22" s="2371">
        <v>3299</v>
      </c>
      <c r="B22" s="2432">
        <v>5163</v>
      </c>
      <c r="C22" s="2430">
        <v>38500881</v>
      </c>
      <c r="D22" s="2373" t="s">
        <v>997</v>
      </c>
      <c r="E22" s="2374">
        <v>0</v>
      </c>
      <c r="F22" s="2374">
        <v>0</v>
      </c>
      <c r="G22" s="2374">
        <v>0</v>
      </c>
      <c r="H22" s="2375" t="e">
        <f>G22/F22*100</f>
        <v>#DIV/0!</v>
      </c>
    </row>
    <row r="23" spans="1:8" ht="15" x14ac:dyDescent="0.2">
      <c r="A23" s="2371">
        <v>3299</v>
      </c>
      <c r="B23" s="2432">
        <v>5164</v>
      </c>
      <c r="C23" s="2430">
        <v>32133007</v>
      </c>
      <c r="D23" s="2373" t="s">
        <v>188</v>
      </c>
      <c r="E23" s="2374">
        <v>0</v>
      </c>
      <c r="F23" s="2374">
        <v>2</v>
      </c>
      <c r="G23" s="2374">
        <v>1</v>
      </c>
      <c r="H23" s="2375">
        <f>G23/F23*100</f>
        <v>50</v>
      </c>
    </row>
    <row r="24" spans="1:8" ht="15" x14ac:dyDescent="0.2">
      <c r="A24" s="2371">
        <v>3299</v>
      </c>
      <c r="B24" s="2432">
        <v>5164</v>
      </c>
      <c r="C24" s="2430">
        <v>32533007</v>
      </c>
      <c r="D24" s="2373" t="s">
        <v>188</v>
      </c>
      <c r="E24" s="2374">
        <v>0</v>
      </c>
      <c r="F24" s="2374">
        <v>13</v>
      </c>
      <c r="G24" s="2374">
        <v>4</v>
      </c>
      <c r="H24" s="2375">
        <f t="shared" ref="H24:H37" si="0">G24/F24*100</f>
        <v>30.76923076923077</v>
      </c>
    </row>
    <row r="25" spans="1:8" ht="15" hidden="1" x14ac:dyDescent="0.2">
      <c r="A25" s="2371">
        <v>3299</v>
      </c>
      <c r="B25" s="2432">
        <v>5164</v>
      </c>
      <c r="C25" s="2430">
        <v>38500881</v>
      </c>
      <c r="D25" s="2373" t="s">
        <v>188</v>
      </c>
      <c r="E25" s="2374">
        <v>0</v>
      </c>
      <c r="F25" s="2374">
        <v>0</v>
      </c>
      <c r="G25" s="2374">
        <v>0</v>
      </c>
      <c r="H25" s="2375" t="e">
        <f t="shared" si="0"/>
        <v>#DIV/0!</v>
      </c>
    </row>
    <row r="26" spans="1:8" ht="15" hidden="1" x14ac:dyDescent="0.2">
      <c r="A26" s="2371">
        <v>3299</v>
      </c>
      <c r="B26" s="2432">
        <v>5166</v>
      </c>
      <c r="C26" s="2430">
        <v>38100880</v>
      </c>
      <c r="D26" s="2373" t="s">
        <v>677</v>
      </c>
      <c r="E26" s="2374">
        <v>0</v>
      </c>
      <c r="F26" s="2374">
        <v>0</v>
      </c>
      <c r="G26" s="2374">
        <v>0</v>
      </c>
      <c r="H26" s="2375" t="e">
        <f t="shared" si="0"/>
        <v>#DIV/0!</v>
      </c>
    </row>
    <row r="27" spans="1:8" ht="15" hidden="1" x14ac:dyDescent="0.2">
      <c r="A27" s="2371">
        <v>3299</v>
      </c>
      <c r="B27" s="2432">
        <v>5166</v>
      </c>
      <c r="C27" s="2430">
        <v>38100882</v>
      </c>
      <c r="D27" s="2373" t="s">
        <v>677</v>
      </c>
      <c r="E27" s="2374"/>
      <c r="F27" s="2374"/>
      <c r="G27" s="2374"/>
      <c r="H27" s="2375" t="e">
        <f t="shared" si="0"/>
        <v>#DIV/0!</v>
      </c>
    </row>
    <row r="28" spans="1:8" ht="15" hidden="1" x14ac:dyDescent="0.2">
      <c r="A28" s="2371">
        <v>3299</v>
      </c>
      <c r="B28" s="2432">
        <v>5166</v>
      </c>
      <c r="C28" s="2430">
        <v>38500881</v>
      </c>
      <c r="D28" s="2373" t="s">
        <v>677</v>
      </c>
      <c r="E28" s="2374">
        <v>0</v>
      </c>
      <c r="F28" s="2374">
        <v>0</v>
      </c>
      <c r="G28" s="2374">
        <v>0</v>
      </c>
      <c r="H28" s="2375" t="e">
        <f t="shared" si="0"/>
        <v>#DIV/0!</v>
      </c>
    </row>
    <row r="29" spans="1:8" ht="15" hidden="1" x14ac:dyDescent="0.2">
      <c r="A29" s="2371">
        <v>3299</v>
      </c>
      <c r="B29" s="2432">
        <v>5167</v>
      </c>
      <c r="C29" s="2430">
        <v>38100880</v>
      </c>
      <c r="D29" s="2373" t="s">
        <v>329</v>
      </c>
      <c r="E29" s="2374"/>
      <c r="F29" s="2374"/>
      <c r="G29" s="2374"/>
      <c r="H29" s="2375" t="e">
        <f t="shared" si="0"/>
        <v>#DIV/0!</v>
      </c>
    </row>
    <row r="30" spans="1:8" ht="15" hidden="1" x14ac:dyDescent="0.2">
      <c r="A30" s="2371">
        <v>3299</v>
      </c>
      <c r="B30" s="2432">
        <v>5167</v>
      </c>
      <c r="C30" s="2430">
        <v>38100882</v>
      </c>
      <c r="D30" s="2373" t="s">
        <v>329</v>
      </c>
      <c r="E30" s="2374"/>
      <c r="F30" s="2374"/>
      <c r="G30" s="2374"/>
      <c r="H30" s="2375" t="e">
        <f t="shared" si="0"/>
        <v>#DIV/0!</v>
      </c>
    </row>
    <row r="31" spans="1:8" ht="15" hidden="1" x14ac:dyDescent="0.2">
      <c r="A31" s="2371">
        <v>3299</v>
      </c>
      <c r="B31" s="2432">
        <v>5167</v>
      </c>
      <c r="C31" s="2430">
        <v>38500881</v>
      </c>
      <c r="D31" s="2373" t="s">
        <v>329</v>
      </c>
      <c r="E31" s="2374"/>
      <c r="F31" s="2374"/>
      <c r="G31" s="2374"/>
      <c r="H31" s="2375" t="e">
        <f t="shared" si="0"/>
        <v>#DIV/0!</v>
      </c>
    </row>
    <row r="32" spans="1:8" ht="15" hidden="1" x14ac:dyDescent="0.2">
      <c r="A32" s="2371">
        <v>3299</v>
      </c>
      <c r="B32" s="2432">
        <v>5169</v>
      </c>
      <c r="C32" s="2430">
        <v>38100880</v>
      </c>
      <c r="D32" s="2373" t="s">
        <v>955</v>
      </c>
      <c r="E32" s="2374">
        <v>0</v>
      </c>
      <c r="F32" s="2374">
        <v>0</v>
      </c>
      <c r="G32" s="2374">
        <v>0</v>
      </c>
      <c r="H32" s="2375" t="e">
        <f t="shared" si="0"/>
        <v>#DIV/0!</v>
      </c>
    </row>
    <row r="33" spans="1:9" ht="15" hidden="1" x14ac:dyDescent="0.2">
      <c r="A33" s="2371">
        <v>3299</v>
      </c>
      <c r="B33" s="2432">
        <v>5169</v>
      </c>
      <c r="C33" s="2430">
        <v>38100882</v>
      </c>
      <c r="D33" s="2373" t="s">
        <v>955</v>
      </c>
      <c r="E33" s="2374"/>
      <c r="F33" s="2374"/>
      <c r="G33" s="2374"/>
      <c r="H33" s="2375" t="e">
        <f t="shared" si="0"/>
        <v>#DIV/0!</v>
      </c>
    </row>
    <row r="34" spans="1:9" ht="15" hidden="1" x14ac:dyDescent="0.2">
      <c r="A34" s="2371">
        <v>3299</v>
      </c>
      <c r="B34" s="2432">
        <v>5169</v>
      </c>
      <c r="C34" s="2430">
        <v>38500881</v>
      </c>
      <c r="D34" s="2373" t="s">
        <v>955</v>
      </c>
      <c r="E34" s="2374">
        <v>0</v>
      </c>
      <c r="F34" s="2374">
        <v>0</v>
      </c>
      <c r="G34" s="2374">
        <v>0</v>
      </c>
      <c r="H34" s="2375" t="e">
        <f t="shared" si="0"/>
        <v>#DIV/0!</v>
      </c>
    </row>
    <row r="35" spans="1:9" ht="15" hidden="1" x14ac:dyDescent="0.2">
      <c r="A35" s="2371">
        <v>3299</v>
      </c>
      <c r="B35" s="2432">
        <v>5173</v>
      </c>
      <c r="C35" s="2430">
        <v>38100880</v>
      </c>
      <c r="D35" s="2373" t="s">
        <v>1296</v>
      </c>
      <c r="E35" s="2374">
        <v>0</v>
      </c>
      <c r="F35" s="2374">
        <v>0</v>
      </c>
      <c r="G35" s="2374">
        <v>0</v>
      </c>
      <c r="H35" s="2375" t="e">
        <f t="shared" si="0"/>
        <v>#DIV/0!</v>
      </c>
    </row>
    <row r="36" spans="1:9" ht="15" hidden="1" x14ac:dyDescent="0.2">
      <c r="A36" s="2371">
        <v>3299</v>
      </c>
      <c r="B36" s="2432">
        <v>5173</v>
      </c>
      <c r="C36" s="2430">
        <v>38100882</v>
      </c>
      <c r="D36" s="2373" t="s">
        <v>1296</v>
      </c>
      <c r="E36" s="2374"/>
      <c r="F36" s="2374"/>
      <c r="G36" s="2374"/>
      <c r="H36" s="2375" t="e">
        <f t="shared" si="0"/>
        <v>#DIV/0!</v>
      </c>
    </row>
    <row r="37" spans="1:9" ht="15" hidden="1" x14ac:dyDescent="0.2">
      <c r="A37" s="2371">
        <v>3299</v>
      </c>
      <c r="B37" s="2432">
        <v>5173</v>
      </c>
      <c r="C37" s="2430">
        <v>38500881</v>
      </c>
      <c r="D37" s="2373" t="s">
        <v>1296</v>
      </c>
      <c r="E37" s="2374">
        <v>0</v>
      </c>
      <c r="F37" s="2374">
        <v>0</v>
      </c>
      <c r="G37" s="2374">
        <v>0</v>
      </c>
      <c r="H37" s="2375" t="e">
        <f t="shared" si="0"/>
        <v>#DIV/0!</v>
      </c>
    </row>
    <row r="38" spans="1:9" ht="15" x14ac:dyDescent="0.2">
      <c r="A38" s="2371">
        <v>3299</v>
      </c>
      <c r="B38" s="2432">
        <v>5175</v>
      </c>
      <c r="C38" s="2430">
        <v>32133007</v>
      </c>
      <c r="D38" s="2373" t="s">
        <v>740</v>
      </c>
      <c r="E38" s="2374">
        <v>0</v>
      </c>
      <c r="F38" s="2374">
        <v>6</v>
      </c>
      <c r="G38" s="2374">
        <v>5</v>
      </c>
      <c r="H38" s="2375">
        <f>G38/F38*100</f>
        <v>83.333333333333343</v>
      </c>
    </row>
    <row r="39" spans="1:9" ht="15" hidden="1" x14ac:dyDescent="0.2">
      <c r="A39" s="2371">
        <v>3299</v>
      </c>
      <c r="B39" s="2432">
        <v>5175</v>
      </c>
      <c r="C39" s="2430">
        <v>38100882</v>
      </c>
      <c r="D39" s="2373" t="s">
        <v>740</v>
      </c>
      <c r="E39" s="2374"/>
      <c r="F39" s="2374"/>
      <c r="G39" s="2374"/>
      <c r="H39" s="2375">
        <v>0</v>
      </c>
    </row>
    <row r="40" spans="1:9" ht="15" x14ac:dyDescent="0.2">
      <c r="A40" s="2371">
        <v>3299</v>
      </c>
      <c r="B40" s="2432">
        <v>5175</v>
      </c>
      <c r="C40" s="2430">
        <v>32533007</v>
      </c>
      <c r="D40" s="2373" t="s">
        <v>740</v>
      </c>
      <c r="E40" s="2374">
        <v>0</v>
      </c>
      <c r="F40" s="2374">
        <v>34</v>
      </c>
      <c r="G40" s="2374">
        <v>31</v>
      </c>
      <c r="H40" s="2375">
        <f>G40/F40*100</f>
        <v>91.17647058823529</v>
      </c>
    </row>
    <row r="41" spans="1:9" ht="15" hidden="1" x14ac:dyDescent="0.2">
      <c r="A41" s="2371">
        <v>3299</v>
      </c>
      <c r="B41" s="2372">
        <v>5176</v>
      </c>
      <c r="C41" s="2430">
        <v>38100880</v>
      </c>
      <c r="D41" s="2373" t="s">
        <v>1402</v>
      </c>
      <c r="E41" s="2374"/>
      <c r="F41" s="2374"/>
      <c r="G41" s="2374"/>
      <c r="H41" s="2375" t="e">
        <f>G41/F41*100</f>
        <v>#DIV/0!</v>
      </c>
    </row>
    <row r="42" spans="1:9" ht="15" hidden="1" x14ac:dyDescent="0.2">
      <c r="A42" s="2371">
        <v>3299</v>
      </c>
      <c r="B42" s="2372">
        <v>5176</v>
      </c>
      <c r="C42" s="2430">
        <v>38100881</v>
      </c>
      <c r="D42" s="2373" t="s">
        <v>1402</v>
      </c>
      <c r="E42" s="2374"/>
      <c r="F42" s="2374"/>
      <c r="G42" s="2374"/>
      <c r="H42" s="2375" t="e">
        <f>G42/F42*100</f>
        <v>#DIV/0!</v>
      </c>
    </row>
    <row r="43" spans="1:9" ht="15" hidden="1" x14ac:dyDescent="0.2">
      <c r="A43" s="2371">
        <v>3299</v>
      </c>
      <c r="B43" s="2372">
        <v>6111</v>
      </c>
      <c r="C43" s="2430">
        <v>38100880</v>
      </c>
      <c r="D43" s="2373" t="s">
        <v>1002</v>
      </c>
      <c r="E43" s="2374"/>
      <c r="F43" s="2374"/>
      <c r="G43" s="2374"/>
      <c r="H43" s="2375" t="e">
        <f>G43/F43*100</f>
        <v>#DIV/0!</v>
      </c>
    </row>
    <row r="44" spans="1:9" ht="15" hidden="1" x14ac:dyDescent="0.2">
      <c r="A44" s="2371">
        <v>3299</v>
      </c>
      <c r="B44" s="2372">
        <v>6111</v>
      </c>
      <c r="C44" s="2430">
        <v>38100882</v>
      </c>
      <c r="D44" s="2373" t="s">
        <v>1002</v>
      </c>
      <c r="E44" s="2374"/>
      <c r="F44" s="2374"/>
      <c r="G44" s="2374"/>
      <c r="H44" s="2375">
        <v>0</v>
      </c>
    </row>
    <row r="45" spans="1:9" s="2433" customFormat="1" ht="15" hidden="1" x14ac:dyDescent="0.2">
      <c r="A45" s="2371">
        <v>3299</v>
      </c>
      <c r="B45" s="2372">
        <v>6111</v>
      </c>
      <c r="C45" s="2430">
        <v>38500881</v>
      </c>
      <c r="D45" s="2373" t="s">
        <v>1002</v>
      </c>
      <c r="E45" s="2374"/>
      <c r="F45" s="2374"/>
      <c r="G45" s="2374"/>
      <c r="H45" s="2375" t="e">
        <f>G45/F45*100</f>
        <v>#DIV/0!</v>
      </c>
    </row>
    <row r="46" spans="1:9" s="2433" customFormat="1" ht="15" hidden="1" x14ac:dyDescent="0.2">
      <c r="A46" s="2371">
        <v>6409</v>
      </c>
      <c r="B46" s="2372">
        <v>5909</v>
      </c>
      <c r="C46" s="2430">
        <v>0</v>
      </c>
      <c r="D46" s="2373"/>
      <c r="E46" s="2374"/>
      <c r="F46" s="2374"/>
      <c r="G46" s="2374"/>
      <c r="H46" s="2375"/>
    </row>
    <row r="47" spans="1:9" s="2433" customFormat="1" ht="15.75" thickBot="1" x14ac:dyDescent="0.25">
      <c r="A47" s="2371">
        <v>6330</v>
      </c>
      <c r="B47" s="2372">
        <v>5345</v>
      </c>
      <c r="C47" s="2430">
        <v>0</v>
      </c>
      <c r="D47" s="2373" t="s">
        <v>853</v>
      </c>
      <c r="E47" s="2374">
        <v>0</v>
      </c>
      <c r="F47" s="2374">
        <v>0</v>
      </c>
      <c r="G47" s="2374">
        <v>18</v>
      </c>
      <c r="H47" s="2377">
        <v>0</v>
      </c>
    </row>
    <row r="48" spans="1:9" s="2435" customFormat="1" ht="16.5" thickTop="1" thickBot="1" x14ac:dyDescent="0.3">
      <c r="A48" s="2825" t="s">
        <v>849</v>
      </c>
      <c r="B48" s="2826"/>
      <c r="C48" s="2826"/>
      <c r="D48" s="2826"/>
      <c r="E48" s="2378">
        <f>SUM(E12:E47)</f>
        <v>0</v>
      </c>
      <c r="F48" s="2378">
        <f>SUM(F12:F47)</f>
        <v>91</v>
      </c>
      <c r="G48" s="2378">
        <f>SUM(G12:G47)</f>
        <v>59</v>
      </c>
      <c r="H48" s="2379">
        <f>G48/F48*100</f>
        <v>64.835164835164832</v>
      </c>
      <c r="I48" s="2434"/>
    </row>
    <row r="49" spans="1:12" ht="13.5" thickTop="1" x14ac:dyDescent="0.2">
      <c r="I49" s="2353"/>
    </row>
    <row r="50" spans="1:12" x14ac:dyDescent="0.2">
      <c r="I50" s="2353"/>
    </row>
    <row r="51" spans="1:12" x14ac:dyDescent="0.2">
      <c r="I51" s="2353"/>
    </row>
    <row r="52" spans="1:12" x14ac:dyDescent="0.2">
      <c r="I52" s="2353"/>
    </row>
    <row r="54" spans="1:12" ht="16.5" x14ac:dyDescent="0.25">
      <c r="A54" s="2399" t="s">
        <v>508</v>
      </c>
      <c r="B54" s="2400"/>
      <c r="C54" s="2401"/>
      <c r="D54" s="2402"/>
      <c r="E54" s="2403">
        <f>SUM(E55:E57)</f>
        <v>0</v>
      </c>
      <c r="F54" s="2403">
        <f>F55+F56+F57+F58</f>
        <v>91</v>
      </c>
      <c r="G54" s="2403">
        <f>G55+G56+G57+G58</f>
        <v>59</v>
      </c>
      <c r="H54" s="2404">
        <f>G54/F54*100</f>
        <v>64.835164835164832</v>
      </c>
      <c r="J54" s="2405">
        <f>J55+J56+J57</f>
        <v>0</v>
      </c>
      <c r="K54" s="2405">
        <f>K55+K56+K57</f>
        <v>90940</v>
      </c>
      <c r="L54" s="2405">
        <f>L55+L56+L57</f>
        <v>59419</v>
      </c>
    </row>
    <row r="55" spans="1:12" ht="15" x14ac:dyDescent="0.2">
      <c r="A55" s="2406" t="s">
        <v>288</v>
      </c>
      <c r="B55" s="2407"/>
      <c r="C55" s="2408"/>
      <c r="D55" s="2409"/>
      <c r="E55" s="2410">
        <f>E12+E13+E23+E24+E25+E38+E40</f>
        <v>0</v>
      </c>
      <c r="F55" s="2410">
        <f>F12+F13+F23+F24+F25+F38+F40</f>
        <v>91</v>
      </c>
      <c r="G55" s="2410">
        <f>G12+G13+G23+G24+G25+G38+G40</f>
        <v>41</v>
      </c>
      <c r="H55" s="2411">
        <f>G55/F55*100</f>
        <v>45.054945054945058</v>
      </c>
      <c r="J55" s="2412">
        <v>0</v>
      </c>
      <c r="K55" s="2412">
        <v>90940</v>
      </c>
      <c r="L55" s="2412">
        <v>41557</v>
      </c>
    </row>
    <row r="56" spans="1:12" ht="15" x14ac:dyDescent="0.2">
      <c r="A56" s="2406" t="s">
        <v>289</v>
      </c>
      <c r="B56" s="2413"/>
      <c r="C56" s="2408"/>
      <c r="D56" s="2414"/>
      <c r="E56" s="2410">
        <v>0</v>
      </c>
      <c r="F56" s="2410">
        <v>0</v>
      </c>
      <c r="G56" s="2410">
        <v>0</v>
      </c>
      <c r="H56" s="2411">
        <v>0</v>
      </c>
      <c r="J56" s="2412">
        <v>0</v>
      </c>
      <c r="K56" s="2412">
        <v>0</v>
      </c>
      <c r="L56" s="2412">
        <v>0</v>
      </c>
    </row>
    <row r="57" spans="1:12" ht="15" x14ac:dyDescent="0.2">
      <c r="A57" s="2406" t="s">
        <v>509</v>
      </c>
      <c r="B57" s="2413"/>
      <c r="C57" s="2408"/>
      <c r="D57" s="2414"/>
      <c r="E57" s="2410">
        <f>E47</f>
        <v>0</v>
      </c>
      <c r="F57" s="2410">
        <f>F47</f>
        <v>0</v>
      </c>
      <c r="G57" s="2410">
        <f>G47</f>
        <v>18</v>
      </c>
      <c r="H57" s="2411">
        <v>0</v>
      </c>
      <c r="J57" s="2412">
        <v>0</v>
      </c>
      <c r="K57" s="2412">
        <v>0</v>
      </c>
      <c r="L57" s="2412">
        <v>17862</v>
      </c>
    </row>
    <row r="58" spans="1:12" ht="15" x14ac:dyDescent="0.2">
      <c r="A58" s="2406"/>
      <c r="B58" s="2413"/>
      <c r="C58" s="2408"/>
      <c r="D58" s="2414"/>
      <c r="E58" s="2410"/>
      <c r="F58" s="2410"/>
      <c r="G58" s="2410"/>
      <c r="H58" s="2415"/>
    </row>
    <row r="59" spans="1:12" ht="46.5" customHeight="1" thickBot="1" x14ac:dyDescent="0.4">
      <c r="A59" s="2819" t="s">
        <v>1875</v>
      </c>
      <c r="B59" s="2820"/>
      <c r="C59" s="2820"/>
      <c r="D59" s="2820"/>
      <c r="E59" s="2416">
        <f>SUM(E54)</f>
        <v>0</v>
      </c>
      <c r="F59" s="2416">
        <f>SUM(F54)</f>
        <v>91</v>
      </c>
      <c r="G59" s="2416">
        <f>SUM(G54)</f>
        <v>59</v>
      </c>
      <c r="H59" s="2417">
        <f>(G59/F59)*100</f>
        <v>64.835164835164832</v>
      </c>
    </row>
    <row r="60" spans="1:12" ht="13.5" thickTop="1" x14ac:dyDescent="0.2"/>
    <row r="179" spans="1:5" ht="13.5" thickBot="1" x14ac:dyDescent="0.25">
      <c r="A179" s="2436"/>
      <c r="B179" s="2436"/>
      <c r="C179" s="2436"/>
      <c r="D179" s="2437"/>
      <c r="E179" s="2438"/>
    </row>
    <row r="180" spans="1:5" ht="13.5" thickTop="1" x14ac:dyDescent="0.2">
      <c r="A180" s="2439"/>
      <c r="B180" s="2439"/>
      <c r="C180" s="2439"/>
      <c r="D180" s="2440"/>
      <c r="E180" s="2441"/>
    </row>
    <row r="181" spans="1:5" x14ac:dyDescent="0.2">
      <c r="D181" s="2345" t="e">
        <f>#REF!+#REF!</f>
        <v>#REF!</v>
      </c>
    </row>
  </sheetData>
  <mergeCells count="2">
    <mergeCell ref="A48:D48"/>
    <mergeCell ref="A59:D59"/>
  </mergeCells>
  <pageMargins left="0.70866141732283472" right="0.70866141732283472" top="0.78740157480314965" bottom="0.78740157480314965" header="0.31496062992125984" footer="0.31496062992125984"/>
  <pageSetup paperSize="9" scale="70" firstPageNumber="181" orientation="portrait" useFirstPageNumber="1" r:id="rId1"/>
  <headerFooter>
    <oddFooter xml:space="preserve">&amp;L&amp;"Arial,Kurzíva"Zastupitelstvo Olomouckého kraje 28. 6. 2013
6.- Závěrečný  účet Olomuckého kraje za rok 2012
Příloha č. 3: Plnění rozpočtu výdajů Olomouckého kraje k 31.12.2012&amp;R&amp;"Arial,Kurzíva"Strana &amp;P (Celkem 484)
</oddFooter>
  </headerFooter>
  <colBreaks count="1" manualBreakCount="1">
    <brk id="9" max="1048575" man="1"/>
  </col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99"/>
  <sheetViews>
    <sheetView view="pageBreakPreview" topLeftCell="A51" zoomScaleNormal="100" zoomScaleSheetLayoutView="100" workbookViewId="0">
      <selection activeCell="D5" sqref="D5"/>
    </sheetView>
  </sheetViews>
  <sheetFormatPr defaultRowHeight="12.75" x14ac:dyDescent="0.2"/>
  <cols>
    <col min="1" max="1" width="5.5703125" style="2345" customWidth="1"/>
    <col min="2" max="2" width="6.7109375" style="2345" customWidth="1"/>
    <col min="3" max="3" width="8.85546875" style="2345" customWidth="1"/>
    <col min="4" max="4" width="47.85546875" style="2345" customWidth="1"/>
    <col min="5" max="5" width="12.85546875" style="2345" customWidth="1"/>
    <col min="6" max="6" width="15.5703125" style="2345" customWidth="1"/>
    <col min="7" max="7" width="15.85546875" style="2345" customWidth="1"/>
    <col min="8" max="8" width="8.7109375" style="2345" customWidth="1"/>
    <col min="9" max="10" width="9.140625" style="2345"/>
    <col min="11" max="12" width="14.7109375" style="2345" bestFit="1" customWidth="1"/>
    <col min="13" max="256" width="9.140625" style="2345"/>
    <col min="257" max="257" width="5.5703125" style="2345" customWidth="1"/>
    <col min="258" max="258" width="6.7109375" style="2345" customWidth="1"/>
    <col min="259" max="259" width="8.85546875" style="2345" customWidth="1"/>
    <col min="260" max="260" width="47.85546875" style="2345" customWidth="1"/>
    <col min="261" max="261" width="12.85546875" style="2345" customWidth="1"/>
    <col min="262" max="262" width="15.5703125" style="2345" customWidth="1"/>
    <col min="263" max="263" width="15.85546875" style="2345" customWidth="1"/>
    <col min="264" max="264" width="6.42578125" style="2345" customWidth="1"/>
    <col min="265" max="266" width="9.140625" style="2345"/>
    <col min="267" max="268" width="14.7109375" style="2345" bestFit="1" customWidth="1"/>
    <col min="269" max="512" width="9.140625" style="2345"/>
    <col min="513" max="513" width="5.5703125" style="2345" customWidth="1"/>
    <col min="514" max="514" width="6.7109375" style="2345" customWidth="1"/>
    <col min="515" max="515" width="8.85546875" style="2345" customWidth="1"/>
    <col min="516" max="516" width="47.85546875" style="2345" customWidth="1"/>
    <col min="517" max="517" width="12.85546875" style="2345" customWidth="1"/>
    <col min="518" max="518" width="15.5703125" style="2345" customWidth="1"/>
    <col min="519" max="519" width="15.85546875" style="2345" customWidth="1"/>
    <col min="520" max="520" width="6.42578125" style="2345" customWidth="1"/>
    <col min="521" max="522" width="9.140625" style="2345"/>
    <col min="523" max="524" width="14.7109375" style="2345" bestFit="1" customWidth="1"/>
    <col min="525" max="768" width="9.140625" style="2345"/>
    <col min="769" max="769" width="5.5703125" style="2345" customWidth="1"/>
    <col min="770" max="770" width="6.7109375" style="2345" customWidth="1"/>
    <col min="771" max="771" width="8.85546875" style="2345" customWidth="1"/>
    <col min="772" max="772" width="47.85546875" style="2345" customWidth="1"/>
    <col min="773" max="773" width="12.85546875" style="2345" customWidth="1"/>
    <col min="774" max="774" width="15.5703125" style="2345" customWidth="1"/>
    <col min="775" max="775" width="15.85546875" style="2345" customWidth="1"/>
    <col min="776" max="776" width="6.42578125" style="2345" customWidth="1"/>
    <col min="777" max="778" width="9.140625" style="2345"/>
    <col min="779" max="780" width="14.7109375" style="2345" bestFit="1" customWidth="1"/>
    <col min="781" max="1024" width="9.140625" style="2345"/>
    <col min="1025" max="1025" width="5.5703125" style="2345" customWidth="1"/>
    <col min="1026" max="1026" width="6.7109375" style="2345" customWidth="1"/>
    <col min="1027" max="1027" width="8.85546875" style="2345" customWidth="1"/>
    <col min="1028" max="1028" width="47.85546875" style="2345" customWidth="1"/>
    <col min="1029" max="1029" width="12.85546875" style="2345" customWidth="1"/>
    <col min="1030" max="1030" width="15.5703125" style="2345" customWidth="1"/>
    <col min="1031" max="1031" width="15.85546875" style="2345" customWidth="1"/>
    <col min="1032" max="1032" width="6.42578125" style="2345" customWidth="1"/>
    <col min="1033" max="1034" width="9.140625" style="2345"/>
    <col min="1035" max="1036" width="14.7109375" style="2345" bestFit="1" customWidth="1"/>
    <col min="1037" max="1280" width="9.140625" style="2345"/>
    <col min="1281" max="1281" width="5.5703125" style="2345" customWidth="1"/>
    <col min="1282" max="1282" width="6.7109375" style="2345" customWidth="1"/>
    <col min="1283" max="1283" width="8.85546875" style="2345" customWidth="1"/>
    <col min="1284" max="1284" width="47.85546875" style="2345" customWidth="1"/>
    <col min="1285" max="1285" width="12.85546875" style="2345" customWidth="1"/>
    <col min="1286" max="1286" width="15.5703125" style="2345" customWidth="1"/>
    <col min="1287" max="1287" width="15.85546875" style="2345" customWidth="1"/>
    <col min="1288" max="1288" width="6.42578125" style="2345" customWidth="1"/>
    <col min="1289" max="1290" width="9.140625" style="2345"/>
    <col min="1291" max="1292" width="14.7109375" style="2345" bestFit="1" customWidth="1"/>
    <col min="1293" max="1536" width="9.140625" style="2345"/>
    <col min="1537" max="1537" width="5.5703125" style="2345" customWidth="1"/>
    <col min="1538" max="1538" width="6.7109375" style="2345" customWidth="1"/>
    <col min="1539" max="1539" width="8.85546875" style="2345" customWidth="1"/>
    <col min="1540" max="1540" width="47.85546875" style="2345" customWidth="1"/>
    <col min="1541" max="1541" width="12.85546875" style="2345" customWidth="1"/>
    <col min="1542" max="1542" width="15.5703125" style="2345" customWidth="1"/>
    <col min="1543" max="1543" width="15.85546875" style="2345" customWidth="1"/>
    <col min="1544" max="1544" width="6.42578125" style="2345" customWidth="1"/>
    <col min="1545" max="1546" width="9.140625" style="2345"/>
    <col min="1547" max="1548" width="14.7109375" style="2345" bestFit="1" customWidth="1"/>
    <col min="1549" max="1792" width="9.140625" style="2345"/>
    <col min="1793" max="1793" width="5.5703125" style="2345" customWidth="1"/>
    <col min="1794" max="1794" width="6.7109375" style="2345" customWidth="1"/>
    <col min="1795" max="1795" width="8.85546875" style="2345" customWidth="1"/>
    <col min="1796" max="1796" width="47.85546875" style="2345" customWidth="1"/>
    <col min="1797" max="1797" width="12.85546875" style="2345" customWidth="1"/>
    <col min="1798" max="1798" width="15.5703125" style="2345" customWidth="1"/>
    <col min="1799" max="1799" width="15.85546875" style="2345" customWidth="1"/>
    <col min="1800" max="1800" width="6.42578125" style="2345" customWidth="1"/>
    <col min="1801" max="1802" width="9.140625" style="2345"/>
    <col min="1803" max="1804" width="14.7109375" style="2345" bestFit="1" customWidth="1"/>
    <col min="1805" max="2048" width="9.140625" style="2345"/>
    <col min="2049" max="2049" width="5.5703125" style="2345" customWidth="1"/>
    <col min="2050" max="2050" width="6.7109375" style="2345" customWidth="1"/>
    <col min="2051" max="2051" width="8.85546875" style="2345" customWidth="1"/>
    <col min="2052" max="2052" width="47.85546875" style="2345" customWidth="1"/>
    <col min="2053" max="2053" width="12.85546875" style="2345" customWidth="1"/>
    <col min="2054" max="2054" width="15.5703125" style="2345" customWidth="1"/>
    <col min="2055" max="2055" width="15.85546875" style="2345" customWidth="1"/>
    <col min="2056" max="2056" width="6.42578125" style="2345" customWidth="1"/>
    <col min="2057" max="2058" width="9.140625" style="2345"/>
    <col min="2059" max="2060" width="14.7109375" style="2345" bestFit="1" customWidth="1"/>
    <col min="2061" max="2304" width="9.140625" style="2345"/>
    <col min="2305" max="2305" width="5.5703125" style="2345" customWidth="1"/>
    <col min="2306" max="2306" width="6.7109375" style="2345" customWidth="1"/>
    <col min="2307" max="2307" width="8.85546875" style="2345" customWidth="1"/>
    <col min="2308" max="2308" width="47.85546875" style="2345" customWidth="1"/>
    <col min="2309" max="2309" width="12.85546875" style="2345" customWidth="1"/>
    <col min="2310" max="2310" width="15.5703125" style="2345" customWidth="1"/>
    <col min="2311" max="2311" width="15.85546875" style="2345" customWidth="1"/>
    <col min="2312" max="2312" width="6.42578125" style="2345" customWidth="1"/>
    <col min="2313" max="2314" width="9.140625" style="2345"/>
    <col min="2315" max="2316" width="14.7109375" style="2345" bestFit="1" customWidth="1"/>
    <col min="2317" max="2560" width="9.140625" style="2345"/>
    <col min="2561" max="2561" width="5.5703125" style="2345" customWidth="1"/>
    <col min="2562" max="2562" width="6.7109375" style="2345" customWidth="1"/>
    <col min="2563" max="2563" width="8.85546875" style="2345" customWidth="1"/>
    <col min="2564" max="2564" width="47.85546875" style="2345" customWidth="1"/>
    <col min="2565" max="2565" width="12.85546875" style="2345" customWidth="1"/>
    <col min="2566" max="2566" width="15.5703125" style="2345" customWidth="1"/>
    <col min="2567" max="2567" width="15.85546875" style="2345" customWidth="1"/>
    <col min="2568" max="2568" width="6.42578125" style="2345" customWidth="1"/>
    <col min="2569" max="2570" width="9.140625" style="2345"/>
    <col min="2571" max="2572" width="14.7109375" style="2345" bestFit="1" customWidth="1"/>
    <col min="2573" max="2816" width="9.140625" style="2345"/>
    <col min="2817" max="2817" width="5.5703125" style="2345" customWidth="1"/>
    <col min="2818" max="2818" width="6.7109375" style="2345" customWidth="1"/>
    <col min="2819" max="2819" width="8.85546875" style="2345" customWidth="1"/>
    <col min="2820" max="2820" width="47.85546875" style="2345" customWidth="1"/>
    <col min="2821" max="2821" width="12.85546875" style="2345" customWidth="1"/>
    <col min="2822" max="2822" width="15.5703125" style="2345" customWidth="1"/>
    <col min="2823" max="2823" width="15.85546875" style="2345" customWidth="1"/>
    <col min="2824" max="2824" width="6.42578125" style="2345" customWidth="1"/>
    <col min="2825" max="2826" width="9.140625" style="2345"/>
    <col min="2827" max="2828" width="14.7109375" style="2345" bestFit="1" customWidth="1"/>
    <col min="2829" max="3072" width="9.140625" style="2345"/>
    <col min="3073" max="3073" width="5.5703125" style="2345" customWidth="1"/>
    <col min="3074" max="3074" width="6.7109375" style="2345" customWidth="1"/>
    <col min="3075" max="3075" width="8.85546875" style="2345" customWidth="1"/>
    <col min="3076" max="3076" width="47.85546875" style="2345" customWidth="1"/>
    <col min="3077" max="3077" width="12.85546875" style="2345" customWidth="1"/>
    <col min="3078" max="3078" width="15.5703125" style="2345" customWidth="1"/>
    <col min="3079" max="3079" width="15.85546875" style="2345" customWidth="1"/>
    <col min="3080" max="3080" width="6.42578125" style="2345" customWidth="1"/>
    <col min="3081" max="3082" width="9.140625" style="2345"/>
    <col min="3083" max="3084" width="14.7109375" style="2345" bestFit="1" customWidth="1"/>
    <col min="3085" max="3328" width="9.140625" style="2345"/>
    <col min="3329" max="3329" width="5.5703125" style="2345" customWidth="1"/>
    <col min="3330" max="3330" width="6.7109375" style="2345" customWidth="1"/>
    <col min="3331" max="3331" width="8.85546875" style="2345" customWidth="1"/>
    <col min="3332" max="3332" width="47.85546875" style="2345" customWidth="1"/>
    <col min="3333" max="3333" width="12.85546875" style="2345" customWidth="1"/>
    <col min="3334" max="3334" width="15.5703125" style="2345" customWidth="1"/>
    <col min="3335" max="3335" width="15.85546875" style="2345" customWidth="1"/>
    <col min="3336" max="3336" width="6.42578125" style="2345" customWidth="1"/>
    <col min="3337" max="3338" width="9.140625" style="2345"/>
    <col min="3339" max="3340" width="14.7109375" style="2345" bestFit="1" customWidth="1"/>
    <col min="3341" max="3584" width="9.140625" style="2345"/>
    <col min="3585" max="3585" width="5.5703125" style="2345" customWidth="1"/>
    <col min="3586" max="3586" width="6.7109375" style="2345" customWidth="1"/>
    <col min="3587" max="3587" width="8.85546875" style="2345" customWidth="1"/>
    <col min="3588" max="3588" width="47.85546875" style="2345" customWidth="1"/>
    <col min="3589" max="3589" width="12.85546875" style="2345" customWidth="1"/>
    <col min="3590" max="3590" width="15.5703125" style="2345" customWidth="1"/>
    <col min="3591" max="3591" width="15.85546875" style="2345" customWidth="1"/>
    <col min="3592" max="3592" width="6.42578125" style="2345" customWidth="1"/>
    <col min="3593" max="3594" width="9.140625" style="2345"/>
    <col min="3595" max="3596" width="14.7109375" style="2345" bestFit="1" customWidth="1"/>
    <col min="3597" max="3840" width="9.140625" style="2345"/>
    <col min="3841" max="3841" width="5.5703125" style="2345" customWidth="1"/>
    <col min="3842" max="3842" width="6.7109375" style="2345" customWidth="1"/>
    <col min="3843" max="3843" width="8.85546875" style="2345" customWidth="1"/>
    <col min="3844" max="3844" width="47.85546875" style="2345" customWidth="1"/>
    <col min="3845" max="3845" width="12.85546875" style="2345" customWidth="1"/>
    <col min="3846" max="3846" width="15.5703125" style="2345" customWidth="1"/>
    <col min="3847" max="3847" width="15.85546875" style="2345" customWidth="1"/>
    <col min="3848" max="3848" width="6.42578125" style="2345" customWidth="1"/>
    <col min="3849" max="3850" width="9.140625" style="2345"/>
    <col min="3851" max="3852" width="14.7109375" style="2345" bestFit="1" customWidth="1"/>
    <col min="3853" max="4096" width="9.140625" style="2345"/>
    <col min="4097" max="4097" width="5.5703125" style="2345" customWidth="1"/>
    <col min="4098" max="4098" width="6.7109375" style="2345" customWidth="1"/>
    <col min="4099" max="4099" width="8.85546875" style="2345" customWidth="1"/>
    <col min="4100" max="4100" width="47.85546875" style="2345" customWidth="1"/>
    <col min="4101" max="4101" width="12.85546875" style="2345" customWidth="1"/>
    <col min="4102" max="4102" width="15.5703125" style="2345" customWidth="1"/>
    <col min="4103" max="4103" width="15.85546875" style="2345" customWidth="1"/>
    <col min="4104" max="4104" width="6.42578125" style="2345" customWidth="1"/>
    <col min="4105" max="4106" width="9.140625" style="2345"/>
    <col min="4107" max="4108" width="14.7109375" style="2345" bestFit="1" customWidth="1"/>
    <col min="4109" max="4352" width="9.140625" style="2345"/>
    <col min="4353" max="4353" width="5.5703125" style="2345" customWidth="1"/>
    <col min="4354" max="4354" width="6.7109375" style="2345" customWidth="1"/>
    <col min="4355" max="4355" width="8.85546875" style="2345" customWidth="1"/>
    <col min="4356" max="4356" width="47.85546875" style="2345" customWidth="1"/>
    <col min="4357" max="4357" width="12.85546875" style="2345" customWidth="1"/>
    <col min="4358" max="4358" width="15.5703125" style="2345" customWidth="1"/>
    <col min="4359" max="4359" width="15.85546875" style="2345" customWidth="1"/>
    <col min="4360" max="4360" width="6.42578125" style="2345" customWidth="1"/>
    <col min="4361" max="4362" width="9.140625" style="2345"/>
    <col min="4363" max="4364" width="14.7109375" style="2345" bestFit="1" customWidth="1"/>
    <col min="4365" max="4608" width="9.140625" style="2345"/>
    <col min="4609" max="4609" width="5.5703125" style="2345" customWidth="1"/>
    <col min="4610" max="4610" width="6.7109375" style="2345" customWidth="1"/>
    <col min="4611" max="4611" width="8.85546875" style="2345" customWidth="1"/>
    <col min="4612" max="4612" width="47.85546875" style="2345" customWidth="1"/>
    <col min="4613" max="4613" width="12.85546875" style="2345" customWidth="1"/>
    <col min="4614" max="4614" width="15.5703125" style="2345" customWidth="1"/>
    <col min="4615" max="4615" width="15.85546875" style="2345" customWidth="1"/>
    <col min="4616" max="4616" width="6.42578125" style="2345" customWidth="1"/>
    <col min="4617" max="4618" width="9.140625" style="2345"/>
    <col min="4619" max="4620" width="14.7109375" style="2345" bestFit="1" customWidth="1"/>
    <col min="4621" max="4864" width="9.140625" style="2345"/>
    <col min="4865" max="4865" width="5.5703125" style="2345" customWidth="1"/>
    <col min="4866" max="4866" width="6.7109375" style="2345" customWidth="1"/>
    <col min="4867" max="4867" width="8.85546875" style="2345" customWidth="1"/>
    <col min="4868" max="4868" width="47.85546875" style="2345" customWidth="1"/>
    <col min="4869" max="4869" width="12.85546875" style="2345" customWidth="1"/>
    <col min="4870" max="4870" width="15.5703125" style="2345" customWidth="1"/>
    <col min="4871" max="4871" width="15.85546875" style="2345" customWidth="1"/>
    <col min="4872" max="4872" width="6.42578125" style="2345" customWidth="1"/>
    <col min="4873" max="4874" width="9.140625" style="2345"/>
    <col min="4875" max="4876" width="14.7109375" style="2345" bestFit="1" customWidth="1"/>
    <col min="4877" max="5120" width="9.140625" style="2345"/>
    <col min="5121" max="5121" width="5.5703125" style="2345" customWidth="1"/>
    <col min="5122" max="5122" width="6.7109375" style="2345" customWidth="1"/>
    <col min="5123" max="5123" width="8.85546875" style="2345" customWidth="1"/>
    <col min="5124" max="5124" width="47.85546875" style="2345" customWidth="1"/>
    <col min="5125" max="5125" width="12.85546875" style="2345" customWidth="1"/>
    <col min="5126" max="5126" width="15.5703125" style="2345" customWidth="1"/>
    <col min="5127" max="5127" width="15.85546875" style="2345" customWidth="1"/>
    <col min="5128" max="5128" width="6.42578125" style="2345" customWidth="1"/>
    <col min="5129" max="5130" width="9.140625" style="2345"/>
    <col min="5131" max="5132" width="14.7109375" style="2345" bestFit="1" customWidth="1"/>
    <col min="5133" max="5376" width="9.140625" style="2345"/>
    <col min="5377" max="5377" width="5.5703125" style="2345" customWidth="1"/>
    <col min="5378" max="5378" width="6.7109375" style="2345" customWidth="1"/>
    <col min="5379" max="5379" width="8.85546875" style="2345" customWidth="1"/>
    <col min="5380" max="5380" width="47.85546875" style="2345" customWidth="1"/>
    <col min="5381" max="5381" width="12.85546875" style="2345" customWidth="1"/>
    <col min="5382" max="5382" width="15.5703125" style="2345" customWidth="1"/>
    <col min="5383" max="5383" width="15.85546875" style="2345" customWidth="1"/>
    <col min="5384" max="5384" width="6.42578125" style="2345" customWidth="1"/>
    <col min="5385" max="5386" width="9.140625" style="2345"/>
    <col min="5387" max="5388" width="14.7109375" style="2345" bestFit="1" customWidth="1"/>
    <col min="5389" max="5632" width="9.140625" style="2345"/>
    <col min="5633" max="5633" width="5.5703125" style="2345" customWidth="1"/>
    <col min="5634" max="5634" width="6.7109375" style="2345" customWidth="1"/>
    <col min="5635" max="5635" width="8.85546875" style="2345" customWidth="1"/>
    <col min="5636" max="5636" width="47.85546875" style="2345" customWidth="1"/>
    <col min="5637" max="5637" width="12.85546875" style="2345" customWidth="1"/>
    <col min="5638" max="5638" width="15.5703125" style="2345" customWidth="1"/>
    <col min="5639" max="5639" width="15.85546875" style="2345" customWidth="1"/>
    <col min="5640" max="5640" width="6.42578125" style="2345" customWidth="1"/>
    <col min="5641" max="5642" width="9.140625" style="2345"/>
    <col min="5643" max="5644" width="14.7109375" style="2345" bestFit="1" customWidth="1"/>
    <col min="5645" max="5888" width="9.140625" style="2345"/>
    <col min="5889" max="5889" width="5.5703125" style="2345" customWidth="1"/>
    <col min="5890" max="5890" width="6.7109375" style="2345" customWidth="1"/>
    <col min="5891" max="5891" width="8.85546875" style="2345" customWidth="1"/>
    <col min="5892" max="5892" width="47.85546875" style="2345" customWidth="1"/>
    <col min="5893" max="5893" width="12.85546875" style="2345" customWidth="1"/>
    <col min="5894" max="5894" width="15.5703125" style="2345" customWidth="1"/>
    <col min="5895" max="5895" width="15.85546875" style="2345" customWidth="1"/>
    <col min="5896" max="5896" width="6.42578125" style="2345" customWidth="1"/>
    <col min="5897" max="5898" width="9.140625" style="2345"/>
    <col min="5899" max="5900" width="14.7109375" style="2345" bestFit="1" customWidth="1"/>
    <col min="5901" max="6144" width="9.140625" style="2345"/>
    <col min="6145" max="6145" width="5.5703125" style="2345" customWidth="1"/>
    <col min="6146" max="6146" width="6.7109375" style="2345" customWidth="1"/>
    <col min="6147" max="6147" width="8.85546875" style="2345" customWidth="1"/>
    <col min="6148" max="6148" width="47.85546875" style="2345" customWidth="1"/>
    <col min="6149" max="6149" width="12.85546875" style="2345" customWidth="1"/>
    <col min="6150" max="6150" width="15.5703125" style="2345" customWidth="1"/>
    <col min="6151" max="6151" width="15.85546875" style="2345" customWidth="1"/>
    <col min="6152" max="6152" width="6.42578125" style="2345" customWidth="1"/>
    <col min="6153" max="6154" width="9.140625" style="2345"/>
    <col min="6155" max="6156" width="14.7109375" style="2345" bestFit="1" customWidth="1"/>
    <col min="6157" max="6400" width="9.140625" style="2345"/>
    <col min="6401" max="6401" width="5.5703125" style="2345" customWidth="1"/>
    <col min="6402" max="6402" width="6.7109375" style="2345" customWidth="1"/>
    <col min="6403" max="6403" width="8.85546875" style="2345" customWidth="1"/>
    <col min="6404" max="6404" width="47.85546875" style="2345" customWidth="1"/>
    <col min="6405" max="6405" width="12.85546875" style="2345" customWidth="1"/>
    <col min="6406" max="6406" width="15.5703125" style="2345" customWidth="1"/>
    <col min="6407" max="6407" width="15.85546875" style="2345" customWidth="1"/>
    <col min="6408" max="6408" width="6.42578125" style="2345" customWidth="1"/>
    <col min="6409" max="6410" width="9.140625" style="2345"/>
    <col min="6411" max="6412" width="14.7109375" style="2345" bestFit="1" customWidth="1"/>
    <col min="6413" max="6656" width="9.140625" style="2345"/>
    <col min="6657" max="6657" width="5.5703125" style="2345" customWidth="1"/>
    <col min="6658" max="6658" width="6.7109375" style="2345" customWidth="1"/>
    <col min="6659" max="6659" width="8.85546875" style="2345" customWidth="1"/>
    <col min="6660" max="6660" width="47.85546875" style="2345" customWidth="1"/>
    <col min="6661" max="6661" width="12.85546875" style="2345" customWidth="1"/>
    <col min="6662" max="6662" width="15.5703125" style="2345" customWidth="1"/>
    <col min="6663" max="6663" width="15.85546875" style="2345" customWidth="1"/>
    <col min="6664" max="6664" width="6.42578125" style="2345" customWidth="1"/>
    <col min="6665" max="6666" width="9.140625" style="2345"/>
    <col min="6667" max="6668" width="14.7109375" style="2345" bestFit="1" customWidth="1"/>
    <col min="6669" max="6912" width="9.140625" style="2345"/>
    <col min="6913" max="6913" width="5.5703125" style="2345" customWidth="1"/>
    <col min="6914" max="6914" width="6.7109375" style="2345" customWidth="1"/>
    <col min="6915" max="6915" width="8.85546875" style="2345" customWidth="1"/>
    <col min="6916" max="6916" width="47.85546875" style="2345" customWidth="1"/>
    <col min="6917" max="6917" width="12.85546875" style="2345" customWidth="1"/>
    <col min="6918" max="6918" width="15.5703125" style="2345" customWidth="1"/>
    <col min="6919" max="6919" width="15.85546875" style="2345" customWidth="1"/>
    <col min="6920" max="6920" width="6.42578125" style="2345" customWidth="1"/>
    <col min="6921" max="6922" width="9.140625" style="2345"/>
    <col min="6923" max="6924" width="14.7109375" style="2345" bestFit="1" customWidth="1"/>
    <col min="6925" max="7168" width="9.140625" style="2345"/>
    <col min="7169" max="7169" width="5.5703125" style="2345" customWidth="1"/>
    <col min="7170" max="7170" width="6.7109375" style="2345" customWidth="1"/>
    <col min="7171" max="7171" width="8.85546875" style="2345" customWidth="1"/>
    <col min="7172" max="7172" width="47.85546875" style="2345" customWidth="1"/>
    <col min="7173" max="7173" width="12.85546875" style="2345" customWidth="1"/>
    <col min="7174" max="7174" width="15.5703125" style="2345" customWidth="1"/>
    <col min="7175" max="7175" width="15.85546875" style="2345" customWidth="1"/>
    <col min="7176" max="7176" width="6.42578125" style="2345" customWidth="1"/>
    <col min="7177" max="7178" width="9.140625" style="2345"/>
    <col min="7179" max="7180" width="14.7109375" style="2345" bestFit="1" customWidth="1"/>
    <col min="7181" max="7424" width="9.140625" style="2345"/>
    <col min="7425" max="7425" width="5.5703125" style="2345" customWidth="1"/>
    <col min="7426" max="7426" width="6.7109375" style="2345" customWidth="1"/>
    <col min="7427" max="7427" width="8.85546875" style="2345" customWidth="1"/>
    <col min="7428" max="7428" width="47.85546875" style="2345" customWidth="1"/>
    <col min="7429" max="7429" width="12.85546875" style="2345" customWidth="1"/>
    <col min="7430" max="7430" width="15.5703125" style="2345" customWidth="1"/>
    <col min="7431" max="7431" width="15.85546875" style="2345" customWidth="1"/>
    <col min="7432" max="7432" width="6.42578125" style="2345" customWidth="1"/>
    <col min="7433" max="7434" width="9.140625" style="2345"/>
    <col min="7435" max="7436" width="14.7109375" style="2345" bestFit="1" customWidth="1"/>
    <col min="7437" max="7680" width="9.140625" style="2345"/>
    <col min="7681" max="7681" width="5.5703125" style="2345" customWidth="1"/>
    <col min="7682" max="7682" width="6.7109375" style="2345" customWidth="1"/>
    <col min="7683" max="7683" width="8.85546875" style="2345" customWidth="1"/>
    <col min="7684" max="7684" width="47.85546875" style="2345" customWidth="1"/>
    <col min="7685" max="7685" width="12.85546875" style="2345" customWidth="1"/>
    <col min="7686" max="7686" width="15.5703125" style="2345" customWidth="1"/>
    <col min="7687" max="7687" width="15.85546875" style="2345" customWidth="1"/>
    <col min="7688" max="7688" width="6.42578125" style="2345" customWidth="1"/>
    <col min="7689" max="7690" width="9.140625" style="2345"/>
    <col min="7691" max="7692" width="14.7109375" style="2345" bestFit="1" customWidth="1"/>
    <col min="7693" max="7936" width="9.140625" style="2345"/>
    <col min="7937" max="7937" width="5.5703125" style="2345" customWidth="1"/>
    <col min="7938" max="7938" width="6.7109375" style="2345" customWidth="1"/>
    <col min="7939" max="7939" width="8.85546875" style="2345" customWidth="1"/>
    <col min="7940" max="7940" width="47.85546875" style="2345" customWidth="1"/>
    <col min="7941" max="7941" width="12.85546875" style="2345" customWidth="1"/>
    <col min="7942" max="7942" width="15.5703125" style="2345" customWidth="1"/>
    <col min="7943" max="7943" width="15.85546875" style="2345" customWidth="1"/>
    <col min="7944" max="7944" width="6.42578125" style="2345" customWidth="1"/>
    <col min="7945" max="7946" width="9.140625" style="2345"/>
    <col min="7947" max="7948" width="14.7109375" style="2345" bestFit="1" customWidth="1"/>
    <col min="7949" max="8192" width="9.140625" style="2345"/>
    <col min="8193" max="8193" width="5.5703125" style="2345" customWidth="1"/>
    <col min="8194" max="8194" width="6.7109375" style="2345" customWidth="1"/>
    <col min="8195" max="8195" width="8.85546875" style="2345" customWidth="1"/>
    <col min="8196" max="8196" width="47.85546875" style="2345" customWidth="1"/>
    <col min="8197" max="8197" width="12.85546875" style="2345" customWidth="1"/>
    <col min="8198" max="8198" width="15.5703125" style="2345" customWidth="1"/>
    <col min="8199" max="8199" width="15.85546875" style="2345" customWidth="1"/>
    <col min="8200" max="8200" width="6.42578125" style="2345" customWidth="1"/>
    <col min="8201" max="8202" width="9.140625" style="2345"/>
    <col min="8203" max="8204" width="14.7109375" style="2345" bestFit="1" customWidth="1"/>
    <col min="8205" max="8448" width="9.140625" style="2345"/>
    <col min="8449" max="8449" width="5.5703125" style="2345" customWidth="1"/>
    <col min="8450" max="8450" width="6.7109375" style="2345" customWidth="1"/>
    <col min="8451" max="8451" width="8.85546875" style="2345" customWidth="1"/>
    <col min="8452" max="8452" width="47.85546875" style="2345" customWidth="1"/>
    <col min="8453" max="8453" width="12.85546875" style="2345" customWidth="1"/>
    <col min="8454" max="8454" width="15.5703125" style="2345" customWidth="1"/>
    <col min="8455" max="8455" width="15.85546875" style="2345" customWidth="1"/>
    <col min="8456" max="8456" width="6.42578125" style="2345" customWidth="1"/>
    <col min="8457" max="8458" width="9.140625" style="2345"/>
    <col min="8459" max="8460" width="14.7109375" style="2345" bestFit="1" customWidth="1"/>
    <col min="8461" max="8704" width="9.140625" style="2345"/>
    <col min="8705" max="8705" width="5.5703125" style="2345" customWidth="1"/>
    <col min="8706" max="8706" width="6.7109375" style="2345" customWidth="1"/>
    <col min="8707" max="8707" width="8.85546875" style="2345" customWidth="1"/>
    <col min="8708" max="8708" width="47.85546875" style="2345" customWidth="1"/>
    <col min="8709" max="8709" width="12.85546875" style="2345" customWidth="1"/>
    <col min="8710" max="8710" width="15.5703125" style="2345" customWidth="1"/>
    <col min="8711" max="8711" width="15.85546875" style="2345" customWidth="1"/>
    <col min="8712" max="8712" width="6.42578125" style="2345" customWidth="1"/>
    <col min="8713" max="8714" width="9.140625" style="2345"/>
    <col min="8715" max="8716" width="14.7109375" style="2345" bestFit="1" customWidth="1"/>
    <col min="8717" max="8960" width="9.140625" style="2345"/>
    <col min="8961" max="8961" width="5.5703125" style="2345" customWidth="1"/>
    <col min="8962" max="8962" width="6.7109375" style="2345" customWidth="1"/>
    <col min="8963" max="8963" width="8.85546875" style="2345" customWidth="1"/>
    <col min="8964" max="8964" width="47.85546875" style="2345" customWidth="1"/>
    <col min="8965" max="8965" width="12.85546875" style="2345" customWidth="1"/>
    <col min="8966" max="8966" width="15.5703125" style="2345" customWidth="1"/>
    <col min="8967" max="8967" width="15.85546875" style="2345" customWidth="1"/>
    <col min="8968" max="8968" width="6.42578125" style="2345" customWidth="1"/>
    <col min="8969" max="8970" width="9.140625" style="2345"/>
    <col min="8971" max="8972" width="14.7109375" style="2345" bestFit="1" customWidth="1"/>
    <col min="8973" max="9216" width="9.140625" style="2345"/>
    <col min="9217" max="9217" width="5.5703125" style="2345" customWidth="1"/>
    <col min="9218" max="9218" width="6.7109375" style="2345" customWidth="1"/>
    <col min="9219" max="9219" width="8.85546875" style="2345" customWidth="1"/>
    <col min="9220" max="9220" width="47.85546875" style="2345" customWidth="1"/>
    <col min="9221" max="9221" width="12.85546875" style="2345" customWidth="1"/>
    <col min="9222" max="9222" width="15.5703125" style="2345" customWidth="1"/>
    <col min="9223" max="9223" width="15.85546875" style="2345" customWidth="1"/>
    <col min="9224" max="9224" width="6.42578125" style="2345" customWidth="1"/>
    <col min="9225" max="9226" width="9.140625" style="2345"/>
    <col min="9227" max="9228" width="14.7109375" style="2345" bestFit="1" customWidth="1"/>
    <col min="9229" max="9472" width="9.140625" style="2345"/>
    <col min="9473" max="9473" width="5.5703125" style="2345" customWidth="1"/>
    <col min="9474" max="9474" width="6.7109375" style="2345" customWidth="1"/>
    <col min="9475" max="9475" width="8.85546875" style="2345" customWidth="1"/>
    <col min="9476" max="9476" width="47.85546875" style="2345" customWidth="1"/>
    <col min="9477" max="9477" width="12.85546875" style="2345" customWidth="1"/>
    <col min="9478" max="9478" width="15.5703125" style="2345" customWidth="1"/>
    <col min="9479" max="9479" width="15.85546875" style="2345" customWidth="1"/>
    <col min="9480" max="9480" width="6.42578125" style="2345" customWidth="1"/>
    <col min="9481" max="9482" width="9.140625" style="2345"/>
    <col min="9483" max="9484" width="14.7109375" style="2345" bestFit="1" customWidth="1"/>
    <col min="9485" max="9728" width="9.140625" style="2345"/>
    <col min="9729" max="9729" width="5.5703125" style="2345" customWidth="1"/>
    <col min="9730" max="9730" width="6.7109375" style="2345" customWidth="1"/>
    <col min="9731" max="9731" width="8.85546875" style="2345" customWidth="1"/>
    <col min="9732" max="9732" width="47.85546875" style="2345" customWidth="1"/>
    <col min="9733" max="9733" width="12.85546875" style="2345" customWidth="1"/>
    <col min="9734" max="9734" width="15.5703125" style="2345" customWidth="1"/>
    <col min="9735" max="9735" width="15.85546875" style="2345" customWidth="1"/>
    <col min="9736" max="9736" width="6.42578125" style="2345" customWidth="1"/>
    <col min="9737" max="9738" width="9.140625" style="2345"/>
    <col min="9739" max="9740" width="14.7109375" style="2345" bestFit="1" customWidth="1"/>
    <col min="9741" max="9984" width="9.140625" style="2345"/>
    <col min="9985" max="9985" width="5.5703125" style="2345" customWidth="1"/>
    <col min="9986" max="9986" width="6.7109375" style="2345" customWidth="1"/>
    <col min="9987" max="9987" width="8.85546875" style="2345" customWidth="1"/>
    <col min="9988" max="9988" width="47.85546875" style="2345" customWidth="1"/>
    <col min="9989" max="9989" width="12.85546875" style="2345" customWidth="1"/>
    <col min="9990" max="9990" width="15.5703125" style="2345" customWidth="1"/>
    <col min="9991" max="9991" width="15.85546875" style="2345" customWidth="1"/>
    <col min="9992" max="9992" width="6.42578125" style="2345" customWidth="1"/>
    <col min="9993" max="9994" width="9.140625" style="2345"/>
    <col min="9995" max="9996" width="14.7109375" style="2345" bestFit="1" customWidth="1"/>
    <col min="9997" max="10240" width="9.140625" style="2345"/>
    <col min="10241" max="10241" width="5.5703125" style="2345" customWidth="1"/>
    <col min="10242" max="10242" width="6.7109375" style="2345" customWidth="1"/>
    <col min="10243" max="10243" width="8.85546875" style="2345" customWidth="1"/>
    <col min="10244" max="10244" width="47.85546875" style="2345" customWidth="1"/>
    <col min="10245" max="10245" width="12.85546875" style="2345" customWidth="1"/>
    <col min="10246" max="10246" width="15.5703125" style="2345" customWidth="1"/>
    <col min="10247" max="10247" width="15.85546875" style="2345" customWidth="1"/>
    <col min="10248" max="10248" width="6.42578125" style="2345" customWidth="1"/>
    <col min="10249" max="10250" width="9.140625" style="2345"/>
    <col min="10251" max="10252" width="14.7109375" style="2345" bestFit="1" customWidth="1"/>
    <col min="10253" max="10496" width="9.140625" style="2345"/>
    <col min="10497" max="10497" width="5.5703125" style="2345" customWidth="1"/>
    <col min="10498" max="10498" width="6.7109375" style="2345" customWidth="1"/>
    <col min="10499" max="10499" width="8.85546875" style="2345" customWidth="1"/>
    <col min="10500" max="10500" width="47.85546875" style="2345" customWidth="1"/>
    <col min="10501" max="10501" width="12.85546875" style="2345" customWidth="1"/>
    <col min="10502" max="10502" width="15.5703125" style="2345" customWidth="1"/>
    <col min="10503" max="10503" width="15.85546875" style="2345" customWidth="1"/>
    <col min="10504" max="10504" width="6.42578125" style="2345" customWidth="1"/>
    <col min="10505" max="10506" width="9.140625" style="2345"/>
    <col min="10507" max="10508" width="14.7109375" style="2345" bestFit="1" customWidth="1"/>
    <col min="10509" max="10752" width="9.140625" style="2345"/>
    <col min="10753" max="10753" width="5.5703125" style="2345" customWidth="1"/>
    <col min="10754" max="10754" width="6.7109375" style="2345" customWidth="1"/>
    <col min="10755" max="10755" width="8.85546875" style="2345" customWidth="1"/>
    <col min="10756" max="10756" width="47.85546875" style="2345" customWidth="1"/>
    <col min="10757" max="10757" width="12.85546875" style="2345" customWidth="1"/>
    <col min="10758" max="10758" width="15.5703125" style="2345" customWidth="1"/>
    <col min="10759" max="10759" width="15.85546875" style="2345" customWidth="1"/>
    <col min="10760" max="10760" width="6.42578125" style="2345" customWidth="1"/>
    <col min="10761" max="10762" width="9.140625" style="2345"/>
    <col min="10763" max="10764" width="14.7109375" style="2345" bestFit="1" customWidth="1"/>
    <col min="10765" max="11008" width="9.140625" style="2345"/>
    <col min="11009" max="11009" width="5.5703125" style="2345" customWidth="1"/>
    <col min="11010" max="11010" width="6.7109375" style="2345" customWidth="1"/>
    <col min="11011" max="11011" width="8.85546875" style="2345" customWidth="1"/>
    <col min="11012" max="11012" width="47.85546875" style="2345" customWidth="1"/>
    <col min="11013" max="11013" width="12.85546875" style="2345" customWidth="1"/>
    <col min="11014" max="11014" width="15.5703125" style="2345" customWidth="1"/>
    <col min="11015" max="11015" width="15.85546875" style="2345" customWidth="1"/>
    <col min="11016" max="11016" width="6.42578125" style="2345" customWidth="1"/>
    <col min="11017" max="11018" width="9.140625" style="2345"/>
    <col min="11019" max="11020" width="14.7109375" style="2345" bestFit="1" customWidth="1"/>
    <col min="11021" max="11264" width="9.140625" style="2345"/>
    <col min="11265" max="11265" width="5.5703125" style="2345" customWidth="1"/>
    <col min="11266" max="11266" width="6.7109375" style="2345" customWidth="1"/>
    <col min="11267" max="11267" width="8.85546875" style="2345" customWidth="1"/>
    <col min="11268" max="11268" width="47.85546875" style="2345" customWidth="1"/>
    <col min="11269" max="11269" width="12.85546875" style="2345" customWidth="1"/>
    <col min="11270" max="11270" width="15.5703125" style="2345" customWidth="1"/>
    <col min="11271" max="11271" width="15.85546875" style="2345" customWidth="1"/>
    <col min="11272" max="11272" width="6.42578125" style="2345" customWidth="1"/>
    <col min="11273" max="11274" width="9.140625" style="2345"/>
    <col min="11275" max="11276" width="14.7109375" style="2345" bestFit="1" customWidth="1"/>
    <col min="11277" max="11520" width="9.140625" style="2345"/>
    <col min="11521" max="11521" width="5.5703125" style="2345" customWidth="1"/>
    <col min="11522" max="11522" width="6.7109375" style="2345" customWidth="1"/>
    <col min="11523" max="11523" width="8.85546875" style="2345" customWidth="1"/>
    <col min="11524" max="11524" width="47.85546875" style="2345" customWidth="1"/>
    <col min="11525" max="11525" width="12.85546875" style="2345" customWidth="1"/>
    <col min="11526" max="11526" width="15.5703125" style="2345" customWidth="1"/>
    <col min="11527" max="11527" width="15.85546875" style="2345" customWidth="1"/>
    <col min="11528" max="11528" width="6.42578125" style="2345" customWidth="1"/>
    <col min="11529" max="11530" width="9.140625" style="2345"/>
    <col min="11531" max="11532" width="14.7109375" style="2345" bestFit="1" customWidth="1"/>
    <col min="11533" max="11776" width="9.140625" style="2345"/>
    <col min="11777" max="11777" width="5.5703125" style="2345" customWidth="1"/>
    <col min="11778" max="11778" width="6.7109375" style="2345" customWidth="1"/>
    <col min="11779" max="11779" width="8.85546875" style="2345" customWidth="1"/>
    <col min="11780" max="11780" width="47.85546875" style="2345" customWidth="1"/>
    <col min="11781" max="11781" width="12.85546875" style="2345" customWidth="1"/>
    <col min="11782" max="11782" width="15.5703125" style="2345" customWidth="1"/>
    <col min="11783" max="11783" width="15.85546875" style="2345" customWidth="1"/>
    <col min="11784" max="11784" width="6.42578125" style="2345" customWidth="1"/>
    <col min="11785" max="11786" width="9.140625" style="2345"/>
    <col min="11787" max="11788" width="14.7109375" style="2345" bestFit="1" customWidth="1"/>
    <col min="11789" max="12032" width="9.140625" style="2345"/>
    <col min="12033" max="12033" width="5.5703125" style="2345" customWidth="1"/>
    <col min="12034" max="12034" width="6.7109375" style="2345" customWidth="1"/>
    <col min="12035" max="12035" width="8.85546875" style="2345" customWidth="1"/>
    <col min="12036" max="12036" width="47.85546875" style="2345" customWidth="1"/>
    <col min="12037" max="12037" width="12.85546875" style="2345" customWidth="1"/>
    <col min="12038" max="12038" width="15.5703125" style="2345" customWidth="1"/>
    <col min="12039" max="12039" width="15.85546875" style="2345" customWidth="1"/>
    <col min="12040" max="12040" width="6.42578125" style="2345" customWidth="1"/>
    <col min="12041" max="12042" width="9.140625" style="2345"/>
    <col min="12043" max="12044" width="14.7109375" style="2345" bestFit="1" customWidth="1"/>
    <col min="12045" max="12288" width="9.140625" style="2345"/>
    <col min="12289" max="12289" width="5.5703125" style="2345" customWidth="1"/>
    <col min="12290" max="12290" width="6.7109375" style="2345" customWidth="1"/>
    <col min="12291" max="12291" width="8.85546875" style="2345" customWidth="1"/>
    <col min="12292" max="12292" width="47.85546875" style="2345" customWidth="1"/>
    <col min="12293" max="12293" width="12.85546875" style="2345" customWidth="1"/>
    <col min="12294" max="12294" width="15.5703125" style="2345" customWidth="1"/>
    <col min="12295" max="12295" width="15.85546875" style="2345" customWidth="1"/>
    <col min="12296" max="12296" width="6.42578125" style="2345" customWidth="1"/>
    <col min="12297" max="12298" width="9.140625" style="2345"/>
    <col min="12299" max="12300" width="14.7109375" style="2345" bestFit="1" customWidth="1"/>
    <col min="12301" max="12544" width="9.140625" style="2345"/>
    <col min="12545" max="12545" width="5.5703125" style="2345" customWidth="1"/>
    <col min="12546" max="12546" width="6.7109375" style="2345" customWidth="1"/>
    <col min="12547" max="12547" width="8.85546875" style="2345" customWidth="1"/>
    <col min="12548" max="12548" width="47.85546875" style="2345" customWidth="1"/>
    <col min="12549" max="12549" width="12.85546875" style="2345" customWidth="1"/>
    <col min="12550" max="12550" width="15.5703125" style="2345" customWidth="1"/>
    <col min="12551" max="12551" width="15.85546875" style="2345" customWidth="1"/>
    <col min="12552" max="12552" width="6.42578125" style="2345" customWidth="1"/>
    <col min="12553" max="12554" width="9.140625" style="2345"/>
    <col min="12555" max="12556" width="14.7109375" style="2345" bestFit="1" customWidth="1"/>
    <col min="12557" max="12800" width="9.140625" style="2345"/>
    <col min="12801" max="12801" width="5.5703125" style="2345" customWidth="1"/>
    <col min="12802" max="12802" width="6.7109375" style="2345" customWidth="1"/>
    <col min="12803" max="12803" width="8.85546875" style="2345" customWidth="1"/>
    <col min="12804" max="12804" width="47.85546875" style="2345" customWidth="1"/>
    <col min="12805" max="12805" width="12.85546875" style="2345" customWidth="1"/>
    <col min="12806" max="12806" width="15.5703125" style="2345" customWidth="1"/>
    <col min="12807" max="12807" width="15.85546875" style="2345" customWidth="1"/>
    <col min="12808" max="12808" width="6.42578125" style="2345" customWidth="1"/>
    <col min="12809" max="12810" width="9.140625" style="2345"/>
    <col min="12811" max="12812" width="14.7109375" style="2345" bestFit="1" customWidth="1"/>
    <col min="12813" max="13056" width="9.140625" style="2345"/>
    <col min="13057" max="13057" width="5.5703125" style="2345" customWidth="1"/>
    <col min="13058" max="13058" width="6.7109375" style="2345" customWidth="1"/>
    <col min="13059" max="13059" width="8.85546875" style="2345" customWidth="1"/>
    <col min="13060" max="13060" width="47.85546875" style="2345" customWidth="1"/>
    <col min="13061" max="13061" width="12.85546875" style="2345" customWidth="1"/>
    <col min="13062" max="13062" width="15.5703125" style="2345" customWidth="1"/>
    <col min="13063" max="13063" width="15.85546875" style="2345" customWidth="1"/>
    <col min="13064" max="13064" width="6.42578125" style="2345" customWidth="1"/>
    <col min="13065" max="13066" width="9.140625" style="2345"/>
    <col min="13067" max="13068" width="14.7109375" style="2345" bestFit="1" customWidth="1"/>
    <col min="13069" max="13312" width="9.140625" style="2345"/>
    <col min="13313" max="13313" width="5.5703125" style="2345" customWidth="1"/>
    <col min="13314" max="13314" width="6.7109375" style="2345" customWidth="1"/>
    <col min="13315" max="13315" width="8.85546875" style="2345" customWidth="1"/>
    <col min="13316" max="13316" width="47.85546875" style="2345" customWidth="1"/>
    <col min="13317" max="13317" width="12.85546875" style="2345" customWidth="1"/>
    <col min="13318" max="13318" width="15.5703125" style="2345" customWidth="1"/>
    <col min="13319" max="13319" width="15.85546875" style="2345" customWidth="1"/>
    <col min="13320" max="13320" width="6.42578125" style="2345" customWidth="1"/>
    <col min="13321" max="13322" width="9.140625" style="2345"/>
    <col min="13323" max="13324" width="14.7109375" style="2345" bestFit="1" customWidth="1"/>
    <col min="13325" max="13568" width="9.140625" style="2345"/>
    <col min="13569" max="13569" width="5.5703125" style="2345" customWidth="1"/>
    <col min="13570" max="13570" width="6.7109375" style="2345" customWidth="1"/>
    <col min="13571" max="13571" width="8.85546875" style="2345" customWidth="1"/>
    <col min="13572" max="13572" width="47.85546875" style="2345" customWidth="1"/>
    <col min="13573" max="13573" width="12.85546875" style="2345" customWidth="1"/>
    <col min="13574" max="13574" width="15.5703125" style="2345" customWidth="1"/>
    <col min="13575" max="13575" width="15.85546875" style="2345" customWidth="1"/>
    <col min="13576" max="13576" width="6.42578125" style="2345" customWidth="1"/>
    <col min="13577" max="13578" width="9.140625" style="2345"/>
    <col min="13579" max="13580" width="14.7109375" style="2345" bestFit="1" customWidth="1"/>
    <col min="13581" max="13824" width="9.140625" style="2345"/>
    <col min="13825" max="13825" width="5.5703125" style="2345" customWidth="1"/>
    <col min="13826" max="13826" width="6.7109375" style="2345" customWidth="1"/>
    <col min="13827" max="13827" width="8.85546875" style="2345" customWidth="1"/>
    <col min="13828" max="13828" width="47.85546875" style="2345" customWidth="1"/>
    <col min="13829" max="13829" width="12.85546875" style="2345" customWidth="1"/>
    <col min="13830" max="13830" width="15.5703125" style="2345" customWidth="1"/>
    <col min="13831" max="13831" width="15.85546875" style="2345" customWidth="1"/>
    <col min="13832" max="13832" width="6.42578125" style="2345" customWidth="1"/>
    <col min="13833" max="13834" width="9.140625" style="2345"/>
    <col min="13835" max="13836" width="14.7109375" style="2345" bestFit="1" customWidth="1"/>
    <col min="13837" max="14080" width="9.140625" style="2345"/>
    <col min="14081" max="14081" width="5.5703125" style="2345" customWidth="1"/>
    <col min="14082" max="14082" width="6.7109375" style="2345" customWidth="1"/>
    <col min="14083" max="14083" width="8.85546875" style="2345" customWidth="1"/>
    <col min="14084" max="14084" width="47.85546875" style="2345" customWidth="1"/>
    <col min="14085" max="14085" width="12.85546875" style="2345" customWidth="1"/>
    <col min="14086" max="14086" width="15.5703125" style="2345" customWidth="1"/>
    <col min="14087" max="14087" width="15.85546875" style="2345" customWidth="1"/>
    <col min="14088" max="14088" width="6.42578125" style="2345" customWidth="1"/>
    <col min="14089" max="14090" width="9.140625" style="2345"/>
    <col min="14091" max="14092" width="14.7109375" style="2345" bestFit="1" customWidth="1"/>
    <col min="14093" max="14336" width="9.140625" style="2345"/>
    <col min="14337" max="14337" width="5.5703125" style="2345" customWidth="1"/>
    <col min="14338" max="14338" width="6.7109375" style="2345" customWidth="1"/>
    <col min="14339" max="14339" width="8.85546875" style="2345" customWidth="1"/>
    <col min="14340" max="14340" width="47.85546875" style="2345" customWidth="1"/>
    <col min="14341" max="14341" width="12.85546875" style="2345" customWidth="1"/>
    <col min="14342" max="14342" width="15.5703125" style="2345" customWidth="1"/>
    <col min="14343" max="14343" width="15.85546875" style="2345" customWidth="1"/>
    <col min="14344" max="14344" width="6.42578125" style="2345" customWidth="1"/>
    <col min="14345" max="14346" width="9.140625" style="2345"/>
    <col min="14347" max="14348" width="14.7109375" style="2345" bestFit="1" customWidth="1"/>
    <col min="14349" max="14592" width="9.140625" style="2345"/>
    <col min="14593" max="14593" width="5.5703125" style="2345" customWidth="1"/>
    <col min="14594" max="14594" width="6.7109375" style="2345" customWidth="1"/>
    <col min="14595" max="14595" width="8.85546875" style="2345" customWidth="1"/>
    <col min="14596" max="14596" width="47.85546875" style="2345" customWidth="1"/>
    <col min="14597" max="14597" width="12.85546875" style="2345" customWidth="1"/>
    <col min="14598" max="14598" width="15.5703125" style="2345" customWidth="1"/>
    <col min="14599" max="14599" width="15.85546875" style="2345" customWidth="1"/>
    <col min="14600" max="14600" width="6.42578125" style="2345" customWidth="1"/>
    <col min="14601" max="14602" width="9.140625" style="2345"/>
    <col min="14603" max="14604" width="14.7109375" style="2345" bestFit="1" customWidth="1"/>
    <col min="14605" max="14848" width="9.140625" style="2345"/>
    <col min="14849" max="14849" width="5.5703125" style="2345" customWidth="1"/>
    <col min="14850" max="14850" width="6.7109375" style="2345" customWidth="1"/>
    <col min="14851" max="14851" width="8.85546875" style="2345" customWidth="1"/>
    <col min="14852" max="14852" width="47.85546875" style="2345" customWidth="1"/>
    <col min="14853" max="14853" width="12.85546875" style="2345" customWidth="1"/>
    <col min="14854" max="14854" width="15.5703125" style="2345" customWidth="1"/>
    <col min="14855" max="14855" width="15.85546875" style="2345" customWidth="1"/>
    <col min="14856" max="14856" width="6.42578125" style="2345" customWidth="1"/>
    <col min="14857" max="14858" width="9.140625" style="2345"/>
    <col min="14859" max="14860" width="14.7109375" style="2345" bestFit="1" customWidth="1"/>
    <col min="14861" max="15104" width="9.140625" style="2345"/>
    <col min="15105" max="15105" width="5.5703125" style="2345" customWidth="1"/>
    <col min="15106" max="15106" width="6.7109375" style="2345" customWidth="1"/>
    <col min="15107" max="15107" width="8.85546875" style="2345" customWidth="1"/>
    <col min="15108" max="15108" width="47.85546875" style="2345" customWidth="1"/>
    <col min="15109" max="15109" width="12.85546875" style="2345" customWidth="1"/>
    <col min="15110" max="15110" width="15.5703125" style="2345" customWidth="1"/>
    <col min="15111" max="15111" width="15.85546875" style="2345" customWidth="1"/>
    <col min="15112" max="15112" width="6.42578125" style="2345" customWidth="1"/>
    <col min="15113" max="15114" width="9.140625" style="2345"/>
    <col min="15115" max="15116" width="14.7109375" style="2345" bestFit="1" customWidth="1"/>
    <col min="15117" max="15360" width="9.140625" style="2345"/>
    <col min="15361" max="15361" width="5.5703125" style="2345" customWidth="1"/>
    <col min="15362" max="15362" width="6.7109375" style="2345" customWidth="1"/>
    <col min="15363" max="15363" width="8.85546875" style="2345" customWidth="1"/>
    <col min="15364" max="15364" width="47.85546875" style="2345" customWidth="1"/>
    <col min="15365" max="15365" width="12.85546875" style="2345" customWidth="1"/>
    <col min="15366" max="15366" width="15.5703125" style="2345" customWidth="1"/>
    <col min="15367" max="15367" width="15.85546875" style="2345" customWidth="1"/>
    <col min="15368" max="15368" width="6.42578125" style="2345" customWidth="1"/>
    <col min="15369" max="15370" width="9.140625" style="2345"/>
    <col min="15371" max="15372" width="14.7109375" style="2345" bestFit="1" customWidth="1"/>
    <col min="15373" max="15616" width="9.140625" style="2345"/>
    <col min="15617" max="15617" width="5.5703125" style="2345" customWidth="1"/>
    <col min="15618" max="15618" width="6.7109375" style="2345" customWidth="1"/>
    <col min="15619" max="15619" width="8.85546875" style="2345" customWidth="1"/>
    <col min="15620" max="15620" width="47.85546875" style="2345" customWidth="1"/>
    <col min="15621" max="15621" width="12.85546875" style="2345" customWidth="1"/>
    <col min="15622" max="15622" width="15.5703125" style="2345" customWidth="1"/>
    <col min="15623" max="15623" width="15.85546875" style="2345" customWidth="1"/>
    <col min="15624" max="15624" width="6.42578125" style="2345" customWidth="1"/>
    <col min="15625" max="15626" width="9.140625" style="2345"/>
    <col min="15627" max="15628" width="14.7109375" style="2345" bestFit="1" customWidth="1"/>
    <col min="15629" max="15872" width="9.140625" style="2345"/>
    <col min="15873" max="15873" width="5.5703125" style="2345" customWidth="1"/>
    <col min="15874" max="15874" width="6.7109375" style="2345" customWidth="1"/>
    <col min="15875" max="15875" width="8.85546875" style="2345" customWidth="1"/>
    <col min="15876" max="15876" width="47.85546875" style="2345" customWidth="1"/>
    <col min="15877" max="15877" width="12.85546875" style="2345" customWidth="1"/>
    <col min="15878" max="15878" width="15.5703125" style="2345" customWidth="1"/>
    <col min="15879" max="15879" width="15.85546875" style="2345" customWidth="1"/>
    <col min="15880" max="15880" width="6.42578125" style="2345" customWidth="1"/>
    <col min="15881" max="15882" width="9.140625" style="2345"/>
    <col min="15883" max="15884" width="14.7109375" style="2345" bestFit="1" customWidth="1"/>
    <col min="15885" max="16128" width="9.140625" style="2345"/>
    <col min="16129" max="16129" width="5.5703125" style="2345" customWidth="1"/>
    <col min="16130" max="16130" width="6.7109375" style="2345" customWidth="1"/>
    <col min="16131" max="16131" width="8.85546875" style="2345" customWidth="1"/>
    <col min="16132" max="16132" width="47.85546875" style="2345" customWidth="1"/>
    <col min="16133" max="16133" width="12.85546875" style="2345" customWidth="1"/>
    <col min="16134" max="16134" width="15.5703125" style="2345" customWidth="1"/>
    <col min="16135" max="16135" width="15.85546875" style="2345" customWidth="1"/>
    <col min="16136" max="16136" width="6.42578125" style="2345" customWidth="1"/>
    <col min="16137" max="16138" width="9.140625" style="2345"/>
    <col min="16139" max="16140" width="14.7109375" style="2345" bestFit="1" customWidth="1"/>
    <col min="16141" max="16384" width="9.140625" style="2345"/>
  </cols>
  <sheetData>
    <row r="1" spans="1:8" ht="18.75" thickBot="1" x14ac:dyDescent="0.3">
      <c r="A1" s="2339" t="s">
        <v>1876</v>
      </c>
      <c r="B1" s="2340"/>
      <c r="C1" s="2341"/>
      <c r="D1" s="2342"/>
      <c r="E1" s="2343"/>
      <c r="F1" s="2342"/>
      <c r="G1" s="2344"/>
      <c r="H1" s="2339"/>
    </row>
    <row r="2" spans="1:8" ht="18" x14ac:dyDescent="0.25">
      <c r="A2" s="2346"/>
      <c r="B2" s="2347"/>
      <c r="C2" s="2347"/>
      <c r="D2" s="2347"/>
      <c r="E2" s="2347"/>
      <c r="F2" s="2347"/>
      <c r="G2" s="2347"/>
      <c r="H2" s="2348" t="s">
        <v>1877</v>
      </c>
    </row>
    <row r="3" spans="1:8" ht="18" x14ac:dyDescent="0.25">
      <c r="A3" s="2349" t="s">
        <v>404</v>
      </c>
      <c r="B3" s="2347"/>
      <c r="C3" s="1970" t="s">
        <v>1736</v>
      </c>
      <c r="D3" s="2347"/>
      <c r="E3" s="2347"/>
      <c r="F3" s="2347"/>
      <c r="G3" s="2347"/>
      <c r="H3" s="2348"/>
    </row>
    <row r="4" spans="1:8" ht="18" x14ac:dyDescent="0.25">
      <c r="A4" s="2346"/>
      <c r="B4" s="2347"/>
      <c r="C4" s="1969" t="s">
        <v>1735</v>
      </c>
      <c r="D4" s="2347"/>
      <c r="E4" s="2347"/>
      <c r="F4" s="2347"/>
      <c r="G4" s="2347"/>
      <c r="H4" s="2348"/>
    </row>
    <row r="5" spans="1:8" ht="18" x14ac:dyDescent="0.25">
      <c r="A5" s="2351" t="s">
        <v>1878</v>
      </c>
      <c r="B5" s="2347"/>
      <c r="C5" s="2347"/>
      <c r="D5" s="2347"/>
      <c r="E5" s="2347"/>
      <c r="F5" s="2347"/>
      <c r="G5" s="2347"/>
      <c r="H5" s="2348"/>
    </row>
    <row r="6" spans="1:8" x14ac:dyDescent="0.2">
      <c r="A6" s="2352"/>
      <c r="B6" s="2352"/>
      <c r="C6" s="2352"/>
      <c r="E6" s="2353"/>
      <c r="F6" s="2353"/>
      <c r="G6" s="2353"/>
    </row>
    <row r="7" spans="1:8" x14ac:dyDescent="0.2">
      <c r="A7" s="2352"/>
      <c r="B7" s="2352"/>
      <c r="C7" s="2352"/>
      <c r="E7" s="2353"/>
      <c r="F7" s="2353"/>
      <c r="G7" s="2353"/>
    </row>
    <row r="8" spans="1:8" ht="13.5" x14ac:dyDescent="0.25">
      <c r="A8" s="2804" t="s">
        <v>1879</v>
      </c>
      <c r="B8" s="2724"/>
      <c r="C8" s="2724"/>
      <c r="D8" s="2724"/>
      <c r="E8" s="2724"/>
      <c r="F8" s="2724"/>
      <c r="G8" s="2724"/>
      <c r="H8" s="2724"/>
    </row>
    <row r="9" spans="1:8" ht="15.75" thickBot="1" x14ac:dyDescent="0.3">
      <c r="A9" s="2338" t="s">
        <v>1880</v>
      </c>
      <c r="B9" s="2352"/>
      <c r="C9" s="2352"/>
      <c r="E9" s="2353"/>
      <c r="F9" s="2353"/>
      <c r="G9" s="2353"/>
      <c r="H9" s="2354" t="s">
        <v>179</v>
      </c>
    </row>
    <row r="10" spans="1:8" s="2429" customFormat="1" ht="25.5" thickTop="1" thickBot="1" x14ac:dyDescent="0.25">
      <c r="A10" s="2355" t="s">
        <v>180</v>
      </c>
      <c r="B10" s="2356" t="s">
        <v>847</v>
      </c>
      <c r="C10" s="2356" t="s">
        <v>414</v>
      </c>
      <c r="D10" s="2357" t="s">
        <v>182</v>
      </c>
      <c r="E10" s="2358" t="s">
        <v>700</v>
      </c>
      <c r="F10" s="2358" t="s">
        <v>701</v>
      </c>
      <c r="G10" s="2359" t="s">
        <v>986</v>
      </c>
      <c r="H10" s="2360" t="s">
        <v>987</v>
      </c>
    </row>
    <row r="11" spans="1:8" s="2429" customFormat="1" ht="13.5" thickTop="1" thickBot="1" x14ac:dyDescent="0.25">
      <c r="A11" s="2361">
        <v>1</v>
      </c>
      <c r="B11" s="2362">
        <v>2</v>
      </c>
      <c r="C11" s="2362">
        <v>3</v>
      </c>
      <c r="D11" s="2362">
        <v>4</v>
      </c>
      <c r="E11" s="2363">
        <v>5</v>
      </c>
      <c r="F11" s="2363">
        <v>6</v>
      </c>
      <c r="G11" s="2364">
        <v>7</v>
      </c>
      <c r="H11" s="2365" t="s">
        <v>61</v>
      </c>
    </row>
    <row r="12" spans="1:8" ht="15.75" thickTop="1" x14ac:dyDescent="0.2">
      <c r="A12" s="2371">
        <v>3636</v>
      </c>
      <c r="B12" s="2372">
        <v>5164</v>
      </c>
      <c r="C12" s="2376">
        <v>0</v>
      </c>
      <c r="D12" s="2373" t="s">
        <v>188</v>
      </c>
      <c r="E12" s="2369">
        <v>0</v>
      </c>
      <c r="F12" s="2369">
        <v>15</v>
      </c>
      <c r="G12" s="2369">
        <v>0</v>
      </c>
      <c r="H12" s="2370">
        <f>G12/F12*100</f>
        <v>0</v>
      </c>
    </row>
    <row r="13" spans="1:8" ht="15" x14ac:dyDescent="0.2">
      <c r="A13" s="2371">
        <v>3636</v>
      </c>
      <c r="B13" s="2372">
        <v>5169</v>
      </c>
      <c r="C13" s="2376">
        <v>0</v>
      </c>
      <c r="D13" s="2373" t="s">
        <v>955</v>
      </c>
      <c r="E13" s="2374">
        <v>0</v>
      </c>
      <c r="F13" s="2374">
        <v>205</v>
      </c>
      <c r="G13" s="2374">
        <v>66</v>
      </c>
      <c r="H13" s="2375">
        <f>G13/F13*100</f>
        <v>32.195121951219512</v>
      </c>
    </row>
    <row r="14" spans="1:8" ht="15.75" thickBot="1" x14ac:dyDescent="0.25">
      <c r="A14" s="2371">
        <v>3636</v>
      </c>
      <c r="B14" s="2372">
        <v>5175</v>
      </c>
      <c r="C14" s="2376">
        <v>0</v>
      </c>
      <c r="D14" s="2373" t="s">
        <v>740</v>
      </c>
      <c r="E14" s="2374">
        <v>0</v>
      </c>
      <c r="F14" s="2374">
        <v>20</v>
      </c>
      <c r="G14" s="2374">
        <v>0</v>
      </c>
      <c r="H14" s="2375">
        <v>0</v>
      </c>
    </row>
    <row r="15" spans="1:8" ht="15.75" hidden="1" thickBot="1" x14ac:dyDescent="0.25">
      <c r="A15" s="2371">
        <v>3636</v>
      </c>
      <c r="B15" s="2372">
        <v>5169</v>
      </c>
      <c r="C15" s="2376"/>
      <c r="D15" s="2373" t="s">
        <v>853</v>
      </c>
      <c r="E15" s="2374">
        <v>0</v>
      </c>
      <c r="F15" s="2374">
        <v>0</v>
      </c>
      <c r="G15" s="2374">
        <v>0</v>
      </c>
      <c r="H15" s="2377">
        <v>0</v>
      </c>
    </row>
    <row r="16" spans="1:8" ht="15.75" hidden="1" thickBot="1" x14ac:dyDescent="0.25">
      <c r="A16" s="2371"/>
      <c r="B16" s="2372"/>
      <c r="C16" s="2376"/>
      <c r="D16" s="2373"/>
      <c r="E16" s="2374"/>
      <c r="F16" s="2374"/>
      <c r="G16" s="2374"/>
      <c r="H16" s="2377"/>
    </row>
    <row r="17" spans="1:9" ht="15.75" hidden="1" thickBot="1" x14ac:dyDescent="0.25">
      <c r="A17" s="2371"/>
      <c r="B17" s="2372"/>
      <c r="C17" s="2376"/>
      <c r="D17" s="2373"/>
      <c r="E17" s="2374"/>
      <c r="F17" s="2374"/>
      <c r="G17" s="2374"/>
      <c r="H17" s="2377"/>
    </row>
    <row r="18" spans="1:9" s="2435" customFormat="1" ht="16.5" thickTop="1" thickBot="1" x14ac:dyDescent="0.3">
      <c r="A18" s="2825" t="s">
        <v>849</v>
      </c>
      <c r="B18" s="2826"/>
      <c r="C18" s="2826"/>
      <c r="D18" s="2826"/>
      <c r="E18" s="2378">
        <f>SUM(E12:E15)</f>
        <v>0</v>
      </c>
      <c r="F18" s="2378">
        <f>SUM(F12:F15)</f>
        <v>240</v>
      </c>
      <c r="G18" s="2378">
        <f>SUM(G12:G15)</f>
        <v>66</v>
      </c>
      <c r="H18" s="2379">
        <f>G18/F18*100</f>
        <v>27.500000000000004</v>
      </c>
      <c r="I18" s="2434"/>
    </row>
    <row r="19" spans="1:9" s="2435" customFormat="1" ht="15.75" thickTop="1" x14ac:dyDescent="0.25">
      <c r="A19" s="2418"/>
      <c r="B19" s="2418"/>
      <c r="C19" s="2418"/>
      <c r="D19" s="2418"/>
      <c r="E19" s="2419"/>
      <c r="F19" s="2419"/>
      <c r="G19" s="2419"/>
      <c r="H19" s="2420"/>
      <c r="I19" s="2434"/>
    </row>
    <row r="20" spans="1:9" x14ac:dyDescent="0.2">
      <c r="A20" s="2352"/>
      <c r="B20" s="2352"/>
      <c r="C20" s="2352"/>
      <c r="E20" s="2353"/>
      <c r="F20" s="2353"/>
      <c r="G20" s="2353"/>
    </row>
    <row r="21" spans="1:9" ht="27" customHeight="1" x14ac:dyDescent="0.25">
      <c r="A21" s="2804" t="s">
        <v>1864</v>
      </c>
      <c r="B21" s="2724"/>
      <c r="C21" s="2724"/>
      <c r="D21" s="2724"/>
      <c r="E21" s="2724"/>
      <c r="F21" s="2724"/>
      <c r="G21" s="2724"/>
      <c r="H21" s="2724"/>
    </row>
    <row r="22" spans="1:9" ht="15.75" thickBot="1" x14ac:dyDescent="0.3">
      <c r="A22" s="2338" t="s">
        <v>1865</v>
      </c>
      <c r="B22" s="2352"/>
      <c r="C22" s="2352"/>
      <c r="E22" s="2353"/>
      <c r="F22" s="2353"/>
      <c r="G22" s="2353"/>
      <c r="H22" s="2354" t="s">
        <v>179</v>
      </c>
    </row>
    <row r="23" spans="1:9" ht="25.5" thickTop="1" thickBot="1" x14ac:dyDescent="0.25">
      <c r="A23" s="2138" t="s">
        <v>180</v>
      </c>
      <c r="B23" s="2139" t="s">
        <v>847</v>
      </c>
      <c r="C23" s="2139" t="s">
        <v>414</v>
      </c>
      <c r="D23" s="2140" t="s">
        <v>182</v>
      </c>
      <c r="E23" s="2171" t="s">
        <v>700</v>
      </c>
      <c r="F23" s="2171" t="s">
        <v>701</v>
      </c>
      <c r="G23" s="2172" t="s">
        <v>986</v>
      </c>
      <c r="H23" s="2173" t="s">
        <v>987</v>
      </c>
    </row>
    <row r="24" spans="1:9" ht="14.25" thickTop="1" thickBot="1" x14ac:dyDescent="0.25">
      <c r="A24" s="1854">
        <v>1</v>
      </c>
      <c r="B24" s="1853">
        <v>2</v>
      </c>
      <c r="C24" s="1853">
        <v>3</v>
      </c>
      <c r="D24" s="1853">
        <v>4</v>
      </c>
      <c r="E24" s="1852">
        <v>5</v>
      </c>
      <c r="F24" s="1852">
        <v>6</v>
      </c>
      <c r="G24" s="2223">
        <v>7</v>
      </c>
      <c r="H24" s="2251" t="s">
        <v>61</v>
      </c>
    </row>
    <row r="25" spans="1:9" ht="15.75" thickTop="1" x14ac:dyDescent="0.2">
      <c r="A25" s="2366">
        <v>3636</v>
      </c>
      <c r="B25" s="2367">
        <v>5011</v>
      </c>
      <c r="C25" s="2367">
        <v>38100880</v>
      </c>
      <c r="D25" s="2368" t="s">
        <v>225</v>
      </c>
      <c r="E25" s="2369">
        <v>0</v>
      </c>
      <c r="F25" s="2369">
        <v>297</v>
      </c>
      <c r="G25" s="2369">
        <v>119</v>
      </c>
      <c r="H25" s="2370">
        <f t="shared" ref="H25:H32" si="0">G25/F25*100</f>
        <v>40.067340067340069</v>
      </c>
    </row>
    <row r="26" spans="1:9" ht="15" x14ac:dyDescent="0.2">
      <c r="A26" s="2371">
        <v>3636</v>
      </c>
      <c r="B26" s="2372">
        <v>5011</v>
      </c>
      <c r="C26" s="2372">
        <v>38500881</v>
      </c>
      <c r="D26" s="2373" t="s">
        <v>225</v>
      </c>
      <c r="E26" s="2374">
        <v>0</v>
      </c>
      <c r="F26" s="2374">
        <v>803</v>
      </c>
      <c r="G26" s="2374">
        <v>320</v>
      </c>
      <c r="H26" s="2375">
        <f t="shared" si="0"/>
        <v>39.8505603985056</v>
      </c>
    </row>
    <row r="27" spans="1:9" ht="15" hidden="1" x14ac:dyDescent="0.2">
      <c r="A27" s="2371">
        <v>3636</v>
      </c>
      <c r="B27" s="2372">
        <v>5021</v>
      </c>
      <c r="C27" s="2372">
        <v>38100880</v>
      </c>
      <c r="D27" s="2373" t="s">
        <v>427</v>
      </c>
      <c r="E27" s="2374">
        <v>0</v>
      </c>
      <c r="F27" s="2374">
        <v>0</v>
      </c>
      <c r="G27" s="2374">
        <v>0</v>
      </c>
      <c r="H27" s="2375" t="e">
        <f t="shared" si="0"/>
        <v>#DIV/0!</v>
      </c>
    </row>
    <row r="28" spans="1:9" ht="15" hidden="1" x14ac:dyDescent="0.2">
      <c r="A28" s="2371">
        <v>3636</v>
      </c>
      <c r="B28" s="2372">
        <v>5021</v>
      </c>
      <c r="C28" s="2372">
        <v>38500881</v>
      </c>
      <c r="D28" s="2373" t="s">
        <v>427</v>
      </c>
      <c r="E28" s="2374">
        <v>0</v>
      </c>
      <c r="F28" s="2374">
        <v>0</v>
      </c>
      <c r="G28" s="2374">
        <v>0</v>
      </c>
      <c r="H28" s="2375" t="e">
        <f t="shared" si="0"/>
        <v>#DIV/0!</v>
      </c>
    </row>
    <row r="29" spans="1:9" ht="30" x14ac:dyDescent="0.2">
      <c r="A29" s="2371">
        <v>3636</v>
      </c>
      <c r="B29" s="2372">
        <v>5031</v>
      </c>
      <c r="C29" s="2372">
        <v>38100880</v>
      </c>
      <c r="D29" s="2373" t="s">
        <v>1459</v>
      </c>
      <c r="E29" s="2374">
        <v>0</v>
      </c>
      <c r="F29" s="2374">
        <v>74</v>
      </c>
      <c r="G29" s="2374">
        <v>30</v>
      </c>
      <c r="H29" s="2375">
        <f t="shared" si="0"/>
        <v>40.54054054054054</v>
      </c>
    </row>
    <row r="30" spans="1:9" ht="30" x14ac:dyDescent="0.2">
      <c r="A30" s="2371">
        <v>3636</v>
      </c>
      <c r="B30" s="2372">
        <v>5031</v>
      </c>
      <c r="C30" s="2372">
        <v>38500881</v>
      </c>
      <c r="D30" s="2373" t="s">
        <v>1459</v>
      </c>
      <c r="E30" s="2374">
        <v>0</v>
      </c>
      <c r="F30" s="2374">
        <v>201</v>
      </c>
      <c r="G30" s="2374">
        <v>80</v>
      </c>
      <c r="H30" s="2375">
        <f t="shared" si="0"/>
        <v>39.800995024875625</v>
      </c>
    </row>
    <row r="31" spans="1:9" ht="30" x14ac:dyDescent="0.2">
      <c r="A31" s="2371">
        <v>3636</v>
      </c>
      <c r="B31" s="2372">
        <v>5032</v>
      </c>
      <c r="C31" s="2372">
        <v>38100880</v>
      </c>
      <c r="D31" s="2373" t="s">
        <v>1322</v>
      </c>
      <c r="E31" s="2374">
        <v>0</v>
      </c>
      <c r="F31" s="2374">
        <v>27</v>
      </c>
      <c r="G31" s="2374">
        <v>11</v>
      </c>
      <c r="H31" s="2375">
        <f t="shared" si="0"/>
        <v>40.74074074074074</v>
      </c>
    </row>
    <row r="32" spans="1:9" ht="30" x14ac:dyDescent="0.2">
      <c r="A32" s="2371">
        <v>3636</v>
      </c>
      <c r="B32" s="2372">
        <v>5032</v>
      </c>
      <c r="C32" s="2372">
        <v>38500881</v>
      </c>
      <c r="D32" s="2373" t="s">
        <v>1322</v>
      </c>
      <c r="E32" s="2374">
        <v>0</v>
      </c>
      <c r="F32" s="2374">
        <v>72</v>
      </c>
      <c r="G32" s="2374">
        <v>29</v>
      </c>
      <c r="H32" s="2375">
        <f t="shared" si="0"/>
        <v>40.277777777777779</v>
      </c>
    </row>
    <row r="33" spans="1:8" ht="15" x14ac:dyDescent="0.2">
      <c r="A33" s="2371">
        <v>3636</v>
      </c>
      <c r="B33" s="2372">
        <v>5139</v>
      </c>
      <c r="C33" s="2372">
        <v>38100880</v>
      </c>
      <c r="D33" s="2373" t="s">
        <v>295</v>
      </c>
      <c r="E33" s="2374">
        <v>0</v>
      </c>
      <c r="F33" s="2374">
        <v>11</v>
      </c>
      <c r="G33" s="2374">
        <v>9</v>
      </c>
      <c r="H33" s="2375">
        <v>0</v>
      </c>
    </row>
    <row r="34" spans="1:8" ht="15" x14ac:dyDescent="0.2">
      <c r="A34" s="2371">
        <v>3636</v>
      </c>
      <c r="B34" s="2372">
        <v>5139</v>
      </c>
      <c r="C34" s="2372">
        <v>38500881</v>
      </c>
      <c r="D34" s="2373" t="s">
        <v>295</v>
      </c>
      <c r="E34" s="2374">
        <v>0</v>
      </c>
      <c r="F34" s="2374">
        <v>29</v>
      </c>
      <c r="G34" s="2374">
        <v>25</v>
      </c>
      <c r="H34" s="2375">
        <f t="shared" ref="H34:H50" si="1">G34/F34*100</f>
        <v>86.206896551724128</v>
      </c>
    </row>
    <row r="35" spans="1:8" ht="15" x14ac:dyDescent="0.2">
      <c r="A35" s="2371">
        <v>3636</v>
      </c>
      <c r="B35" s="2372">
        <v>5162</v>
      </c>
      <c r="C35" s="2372">
        <v>38100880</v>
      </c>
      <c r="D35" s="2373" t="s">
        <v>967</v>
      </c>
      <c r="E35" s="2374">
        <v>0</v>
      </c>
      <c r="F35" s="2374">
        <v>1</v>
      </c>
      <c r="G35" s="2374">
        <v>0</v>
      </c>
      <c r="H35" s="2375">
        <f t="shared" si="1"/>
        <v>0</v>
      </c>
    </row>
    <row r="36" spans="1:8" ht="15" x14ac:dyDescent="0.2">
      <c r="A36" s="2371">
        <v>3636</v>
      </c>
      <c r="B36" s="2372">
        <v>5162</v>
      </c>
      <c r="C36" s="2372">
        <v>38500881</v>
      </c>
      <c r="D36" s="2373" t="s">
        <v>967</v>
      </c>
      <c r="E36" s="2374">
        <v>0</v>
      </c>
      <c r="F36" s="2374">
        <v>1</v>
      </c>
      <c r="G36" s="2374">
        <v>0</v>
      </c>
      <c r="H36" s="2375">
        <f t="shared" si="1"/>
        <v>0</v>
      </c>
    </row>
    <row r="37" spans="1:8" ht="15" x14ac:dyDescent="0.2">
      <c r="A37" s="2371">
        <v>3636</v>
      </c>
      <c r="B37" s="2372">
        <v>5164</v>
      </c>
      <c r="C37" s="2372">
        <v>38100880</v>
      </c>
      <c r="D37" s="2373" t="s">
        <v>188</v>
      </c>
      <c r="E37" s="2374">
        <v>0</v>
      </c>
      <c r="F37" s="2374">
        <v>5</v>
      </c>
      <c r="G37" s="2374">
        <v>2</v>
      </c>
      <c r="H37" s="2375">
        <f t="shared" si="1"/>
        <v>40</v>
      </c>
    </row>
    <row r="38" spans="1:8" ht="15" x14ac:dyDescent="0.2">
      <c r="A38" s="2371">
        <v>3636</v>
      </c>
      <c r="B38" s="2372">
        <v>5164</v>
      </c>
      <c r="C38" s="2372">
        <v>38500881</v>
      </c>
      <c r="D38" s="2373" t="s">
        <v>188</v>
      </c>
      <c r="E38" s="2374">
        <v>0</v>
      </c>
      <c r="F38" s="2374">
        <v>15</v>
      </c>
      <c r="G38" s="2374">
        <v>5</v>
      </c>
      <c r="H38" s="2375">
        <f t="shared" si="1"/>
        <v>33.333333333333329</v>
      </c>
    </row>
    <row r="39" spans="1:8" ht="15" x14ac:dyDescent="0.2">
      <c r="A39" s="2371">
        <v>3636</v>
      </c>
      <c r="B39" s="2372">
        <v>5167</v>
      </c>
      <c r="C39" s="2372">
        <v>38100880</v>
      </c>
      <c r="D39" s="2373" t="s">
        <v>1000</v>
      </c>
      <c r="E39" s="2374">
        <v>0</v>
      </c>
      <c r="F39" s="2374">
        <v>27</v>
      </c>
      <c r="G39" s="2374">
        <v>0</v>
      </c>
      <c r="H39" s="2375">
        <f t="shared" si="1"/>
        <v>0</v>
      </c>
    </row>
    <row r="40" spans="1:8" ht="15" x14ac:dyDescent="0.2">
      <c r="A40" s="2371">
        <v>3636</v>
      </c>
      <c r="B40" s="2372">
        <v>5167</v>
      </c>
      <c r="C40" s="2372">
        <v>38500881</v>
      </c>
      <c r="D40" s="2373" t="s">
        <v>1000</v>
      </c>
      <c r="E40" s="2374">
        <v>0</v>
      </c>
      <c r="F40" s="2374">
        <v>73</v>
      </c>
      <c r="G40" s="2374">
        <v>0</v>
      </c>
      <c r="H40" s="2375">
        <f t="shared" si="1"/>
        <v>0</v>
      </c>
    </row>
    <row r="41" spans="1:8" ht="15" x14ac:dyDescent="0.2">
      <c r="A41" s="2371">
        <v>3636</v>
      </c>
      <c r="B41" s="2372">
        <v>5169</v>
      </c>
      <c r="C41" s="2372">
        <v>38100880</v>
      </c>
      <c r="D41" s="2373" t="s">
        <v>955</v>
      </c>
      <c r="E41" s="2374">
        <v>0</v>
      </c>
      <c r="F41" s="2374">
        <v>192</v>
      </c>
      <c r="G41" s="2374">
        <v>25</v>
      </c>
      <c r="H41" s="2375">
        <f t="shared" si="1"/>
        <v>13.020833333333334</v>
      </c>
    </row>
    <row r="42" spans="1:8" ht="15" x14ac:dyDescent="0.2">
      <c r="A42" s="2371">
        <v>3636</v>
      </c>
      <c r="B42" s="2372">
        <v>5169</v>
      </c>
      <c r="C42" s="2372">
        <v>38500881</v>
      </c>
      <c r="D42" s="2373" t="s">
        <v>955</v>
      </c>
      <c r="E42" s="2374">
        <v>0</v>
      </c>
      <c r="F42" s="2374">
        <v>518</v>
      </c>
      <c r="G42" s="2374">
        <v>66</v>
      </c>
      <c r="H42" s="2375">
        <f t="shared" si="1"/>
        <v>12.741312741312742</v>
      </c>
    </row>
    <row r="43" spans="1:8" ht="15" x14ac:dyDescent="0.2">
      <c r="A43" s="2371">
        <v>3636</v>
      </c>
      <c r="B43" s="2372">
        <v>5173</v>
      </c>
      <c r="C43" s="2372">
        <v>38100880</v>
      </c>
      <c r="D43" s="2373" t="s">
        <v>1296</v>
      </c>
      <c r="E43" s="2374">
        <v>0</v>
      </c>
      <c r="F43" s="2374">
        <v>19</v>
      </c>
      <c r="G43" s="2374">
        <v>11</v>
      </c>
      <c r="H43" s="2375">
        <f t="shared" si="1"/>
        <v>57.894736842105267</v>
      </c>
    </row>
    <row r="44" spans="1:8" ht="15" x14ac:dyDescent="0.2">
      <c r="A44" s="2371">
        <v>3636</v>
      </c>
      <c r="B44" s="2372">
        <v>5173</v>
      </c>
      <c r="C44" s="2372">
        <v>38500881</v>
      </c>
      <c r="D44" s="2373" t="s">
        <v>1296</v>
      </c>
      <c r="E44" s="2374">
        <v>0</v>
      </c>
      <c r="F44" s="2374">
        <v>51</v>
      </c>
      <c r="G44" s="2374">
        <v>29</v>
      </c>
      <c r="H44" s="2375">
        <f t="shared" si="1"/>
        <v>56.862745098039213</v>
      </c>
    </row>
    <row r="45" spans="1:8" ht="15" x14ac:dyDescent="0.2">
      <c r="A45" s="2371">
        <v>3636</v>
      </c>
      <c r="B45" s="2372">
        <v>5175</v>
      </c>
      <c r="C45" s="2372">
        <v>38100880</v>
      </c>
      <c r="D45" s="2373" t="s">
        <v>740</v>
      </c>
      <c r="E45" s="2374">
        <v>0</v>
      </c>
      <c r="F45" s="2374">
        <v>9</v>
      </c>
      <c r="G45" s="2374">
        <v>6</v>
      </c>
      <c r="H45" s="2375">
        <f t="shared" si="1"/>
        <v>66.666666666666657</v>
      </c>
    </row>
    <row r="46" spans="1:8" ht="15" x14ac:dyDescent="0.2">
      <c r="A46" s="2371">
        <v>3636</v>
      </c>
      <c r="B46" s="2372">
        <v>5175</v>
      </c>
      <c r="C46" s="2372">
        <v>38500881</v>
      </c>
      <c r="D46" s="2373" t="s">
        <v>740</v>
      </c>
      <c r="E46" s="2374">
        <v>0</v>
      </c>
      <c r="F46" s="2374">
        <v>26</v>
      </c>
      <c r="G46" s="2374">
        <v>15</v>
      </c>
      <c r="H46" s="2375">
        <f t="shared" si="1"/>
        <v>57.692307692307686</v>
      </c>
    </row>
    <row r="47" spans="1:8" ht="15" x14ac:dyDescent="0.2">
      <c r="A47" s="2371">
        <v>3636</v>
      </c>
      <c r="B47" s="2372">
        <v>5176</v>
      </c>
      <c r="C47" s="2372">
        <v>38100880</v>
      </c>
      <c r="D47" s="2373" t="s">
        <v>1402</v>
      </c>
      <c r="E47" s="2374">
        <v>0</v>
      </c>
      <c r="F47" s="2374">
        <v>3</v>
      </c>
      <c r="G47" s="2374">
        <v>0</v>
      </c>
      <c r="H47" s="2375">
        <f t="shared" si="1"/>
        <v>0</v>
      </c>
    </row>
    <row r="48" spans="1:8" ht="15.75" thickBot="1" x14ac:dyDescent="0.25">
      <c r="A48" s="2371">
        <v>3636</v>
      </c>
      <c r="B48" s="2372">
        <v>5176</v>
      </c>
      <c r="C48" s="2372">
        <v>38500881</v>
      </c>
      <c r="D48" s="2373" t="s">
        <v>1402</v>
      </c>
      <c r="E48" s="2374">
        <v>0</v>
      </c>
      <c r="F48" s="2374">
        <v>7</v>
      </c>
      <c r="G48" s="2374">
        <v>1</v>
      </c>
      <c r="H48" s="2375">
        <f t="shared" si="1"/>
        <v>14.285714285714285</v>
      </c>
    </row>
    <row r="49" spans="1:8" ht="15.75" hidden="1" thickBot="1" x14ac:dyDescent="0.25">
      <c r="A49" s="2371">
        <v>3636</v>
      </c>
      <c r="B49" s="2372">
        <v>6901</v>
      </c>
      <c r="C49" s="2372">
        <v>38100880</v>
      </c>
      <c r="D49" s="2373" t="s">
        <v>468</v>
      </c>
      <c r="E49" s="2374">
        <v>0</v>
      </c>
      <c r="F49" s="2374">
        <v>0</v>
      </c>
      <c r="G49" s="2374">
        <v>0</v>
      </c>
      <c r="H49" s="2375" t="e">
        <f t="shared" si="1"/>
        <v>#DIV/0!</v>
      </c>
    </row>
    <row r="50" spans="1:8" ht="15.75" hidden="1" thickBot="1" x14ac:dyDescent="0.25">
      <c r="A50" s="2371">
        <v>3636</v>
      </c>
      <c r="B50" s="2372">
        <v>5363</v>
      </c>
      <c r="C50" s="2372">
        <v>38500881</v>
      </c>
      <c r="D50" s="2373" t="s">
        <v>615</v>
      </c>
      <c r="E50" s="2374">
        <v>0</v>
      </c>
      <c r="F50" s="2374">
        <v>0</v>
      </c>
      <c r="G50" s="2374">
        <v>0</v>
      </c>
      <c r="H50" s="2377" t="e">
        <f t="shared" si="1"/>
        <v>#DIV/0!</v>
      </c>
    </row>
    <row r="51" spans="1:8" ht="16.5" thickTop="1" thickBot="1" x14ac:dyDescent="0.3">
      <c r="A51" s="2806" t="s">
        <v>849</v>
      </c>
      <c r="B51" s="2807"/>
      <c r="C51" s="2807"/>
      <c r="D51" s="2807"/>
      <c r="E51" s="2152">
        <f>SUM(E25:E49)</f>
        <v>0</v>
      </c>
      <c r="F51" s="2152">
        <f>SUM(F25:F50)</f>
        <v>2461</v>
      </c>
      <c r="G51" s="2152">
        <f>SUM(G25:G50)</f>
        <v>783</v>
      </c>
      <c r="H51" s="2157">
        <v>0</v>
      </c>
    </row>
    <row r="52" spans="1:8" ht="13.5" thickTop="1" x14ac:dyDescent="0.2"/>
    <row r="53" spans="1:8" ht="27" customHeight="1" x14ac:dyDescent="0.25">
      <c r="A53" s="2804" t="s">
        <v>1881</v>
      </c>
      <c r="B53" s="2724"/>
      <c r="C53" s="2724"/>
      <c r="D53" s="2724"/>
      <c r="E53" s="2724"/>
      <c r="F53" s="2724"/>
      <c r="G53" s="2724"/>
      <c r="H53" s="2724"/>
    </row>
    <row r="54" spans="1:8" ht="15.75" thickBot="1" x14ac:dyDescent="0.3">
      <c r="A54" s="2338" t="s">
        <v>1882</v>
      </c>
      <c r="B54" s="2352"/>
      <c r="C54" s="2352"/>
      <c r="E54" s="2353"/>
      <c r="F54" s="2353"/>
      <c r="G54" s="2353"/>
      <c r="H54" s="2354" t="s">
        <v>179</v>
      </c>
    </row>
    <row r="55" spans="1:8" ht="25.5" thickTop="1" thickBot="1" x14ac:dyDescent="0.25">
      <c r="A55" s="2138" t="s">
        <v>180</v>
      </c>
      <c r="B55" s="2139" t="s">
        <v>847</v>
      </c>
      <c r="C55" s="2139" t="s">
        <v>414</v>
      </c>
      <c r="D55" s="2140" t="s">
        <v>182</v>
      </c>
      <c r="E55" s="2171" t="s">
        <v>700</v>
      </c>
      <c r="F55" s="2171" t="s">
        <v>701</v>
      </c>
      <c r="G55" s="2172" t="s">
        <v>986</v>
      </c>
      <c r="H55" s="2173" t="s">
        <v>987</v>
      </c>
    </row>
    <row r="56" spans="1:8" ht="14.25" thickTop="1" thickBot="1" x14ac:dyDescent="0.25">
      <c r="A56" s="1854">
        <v>1</v>
      </c>
      <c r="B56" s="1853">
        <v>2</v>
      </c>
      <c r="C56" s="1853">
        <v>3</v>
      </c>
      <c r="D56" s="1853">
        <v>4</v>
      </c>
      <c r="E56" s="1852">
        <v>5</v>
      </c>
      <c r="F56" s="1852">
        <v>6</v>
      </c>
      <c r="G56" s="2223">
        <v>7</v>
      </c>
      <c r="H56" s="2251" t="s">
        <v>61</v>
      </c>
    </row>
    <row r="57" spans="1:8" ht="46.5" thickTop="1" thickBot="1" x14ac:dyDescent="0.25">
      <c r="A57" s="2366">
        <v>2125</v>
      </c>
      <c r="B57" s="2367">
        <v>5213</v>
      </c>
      <c r="C57" s="2367">
        <v>38100016</v>
      </c>
      <c r="D57" s="2368" t="s">
        <v>1162</v>
      </c>
      <c r="E57" s="2369">
        <v>0</v>
      </c>
      <c r="F57" s="2369">
        <v>500</v>
      </c>
      <c r="G57" s="2369">
        <v>0</v>
      </c>
      <c r="H57" s="2370">
        <f t="shared" ref="H57:H64" si="2">G57/F57*100</f>
        <v>0</v>
      </c>
    </row>
    <row r="58" spans="1:8" ht="15.75" hidden="1" thickBot="1" x14ac:dyDescent="0.25">
      <c r="A58" s="2371">
        <v>2125</v>
      </c>
      <c r="B58" s="2372">
        <v>5213</v>
      </c>
      <c r="C58" s="2372">
        <v>32533019</v>
      </c>
      <c r="D58" s="2373" t="s">
        <v>225</v>
      </c>
      <c r="E58" s="2374">
        <v>0</v>
      </c>
      <c r="F58" s="2374">
        <v>0</v>
      </c>
      <c r="G58" s="2374">
        <v>0</v>
      </c>
      <c r="H58" s="2375" t="e">
        <f t="shared" si="2"/>
        <v>#DIV/0!</v>
      </c>
    </row>
    <row r="59" spans="1:8" ht="15.75" hidden="1" thickBot="1" x14ac:dyDescent="0.25">
      <c r="A59" s="2371">
        <v>3299</v>
      </c>
      <c r="B59" s="2372">
        <v>5021</v>
      </c>
      <c r="C59" s="2372">
        <v>32133019</v>
      </c>
      <c r="D59" s="2373" t="s">
        <v>427</v>
      </c>
      <c r="E59" s="2374">
        <v>0</v>
      </c>
      <c r="F59" s="2374">
        <v>0</v>
      </c>
      <c r="G59" s="2374">
        <v>0</v>
      </c>
      <c r="H59" s="2375" t="e">
        <f t="shared" si="2"/>
        <v>#DIV/0!</v>
      </c>
    </row>
    <row r="60" spans="1:8" ht="15.75" hidden="1" thickBot="1" x14ac:dyDescent="0.25">
      <c r="A60" s="2371">
        <v>3299</v>
      </c>
      <c r="B60" s="2372">
        <v>5021</v>
      </c>
      <c r="C60" s="2372">
        <v>32533019</v>
      </c>
      <c r="D60" s="2373" t="s">
        <v>427</v>
      </c>
      <c r="E60" s="2374">
        <v>0</v>
      </c>
      <c r="F60" s="2374">
        <v>0</v>
      </c>
      <c r="G60" s="2374">
        <v>0</v>
      </c>
      <c r="H60" s="2375" t="e">
        <f t="shared" si="2"/>
        <v>#DIV/0!</v>
      </c>
    </row>
    <row r="61" spans="1:8" ht="30.75" hidden="1" thickBot="1" x14ac:dyDescent="0.25">
      <c r="A61" s="2371">
        <v>3299</v>
      </c>
      <c r="B61" s="2372">
        <v>5031</v>
      </c>
      <c r="C61" s="2372">
        <v>32133019</v>
      </c>
      <c r="D61" s="2421" t="s">
        <v>1459</v>
      </c>
      <c r="E61" s="2374">
        <v>0</v>
      </c>
      <c r="F61" s="2374">
        <v>0</v>
      </c>
      <c r="G61" s="2374">
        <v>0</v>
      </c>
      <c r="H61" s="2375" t="e">
        <f t="shared" si="2"/>
        <v>#DIV/0!</v>
      </c>
    </row>
    <row r="62" spans="1:8" ht="30.75" hidden="1" thickBot="1" x14ac:dyDescent="0.25">
      <c r="A62" s="2371">
        <v>3299</v>
      </c>
      <c r="B62" s="2372">
        <v>5031</v>
      </c>
      <c r="C62" s="2372">
        <v>32533019</v>
      </c>
      <c r="D62" s="2421" t="s">
        <v>1459</v>
      </c>
      <c r="E62" s="2374">
        <v>0</v>
      </c>
      <c r="F62" s="2374">
        <v>0</v>
      </c>
      <c r="G62" s="2374">
        <v>0</v>
      </c>
      <c r="H62" s="2375" t="e">
        <f t="shared" si="2"/>
        <v>#DIV/0!</v>
      </c>
    </row>
    <row r="63" spans="1:8" ht="30.75" hidden="1" thickBot="1" x14ac:dyDescent="0.25">
      <c r="A63" s="2371">
        <v>3299</v>
      </c>
      <c r="B63" s="2372">
        <v>5032</v>
      </c>
      <c r="C63" s="2376">
        <v>32133019</v>
      </c>
      <c r="D63" s="2373" t="s">
        <v>1322</v>
      </c>
      <c r="E63" s="2374">
        <v>0</v>
      </c>
      <c r="F63" s="2374">
        <v>0</v>
      </c>
      <c r="G63" s="2374">
        <v>0</v>
      </c>
      <c r="H63" s="2375" t="e">
        <f t="shared" si="2"/>
        <v>#DIV/0!</v>
      </c>
    </row>
    <row r="64" spans="1:8" ht="30.75" hidden="1" thickBot="1" x14ac:dyDescent="0.25">
      <c r="A64" s="2371">
        <v>3299</v>
      </c>
      <c r="B64" s="2372">
        <v>5032</v>
      </c>
      <c r="C64" s="2376">
        <v>32533019</v>
      </c>
      <c r="D64" s="2373" t="s">
        <v>1322</v>
      </c>
      <c r="E64" s="2374">
        <v>0</v>
      </c>
      <c r="F64" s="2374">
        <v>0</v>
      </c>
      <c r="G64" s="2374">
        <v>0</v>
      </c>
      <c r="H64" s="2375" t="e">
        <f t="shared" si="2"/>
        <v>#DIV/0!</v>
      </c>
    </row>
    <row r="65" spans="1:8" ht="15.75" hidden="1" thickBot="1" x14ac:dyDescent="0.25">
      <c r="A65" s="2371">
        <v>3299</v>
      </c>
      <c r="B65" s="2372">
        <v>5137</v>
      </c>
      <c r="C65" s="2376">
        <v>32133019</v>
      </c>
      <c r="D65" s="2373" t="s">
        <v>173</v>
      </c>
      <c r="E65" s="2374">
        <v>0</v>
      </c>
      <c r="F65" s="2374">
        <v>0</v>
      </c>
      <c r="G65" s="2374">
        <v>0</v>
      </c>
      <c r="H65" s="2375">
        <v>0</v>
      </c>
    </row>
    <row r="66" spans="1:8" ht="15.75" hidden="1" thickBot="1" x14ac:dyDescent="0.25">
      <c r="A66" s="2371">
        <v>3299</v>
      </c>
      <c r="B66" s="2372">
        <v>5137</v>
      </c>
      <c r="C66" s="2376">
        <v>32533019</v>
      </c>
      <c r="D66" s="2373" t="s">
        <v>173</v>
      </c>
      <c r="E66" s="2374">
        <v>0</v>
      </c>
      <c r="F66" s="2374">
        <v>0</v>
      </c>
      <c r="G66" s="2374">
        <v>0</v>
      </c>
      <c r="H66" s="2375" t="e">
        <f t="shared" ref="H66:H81" si="3">G66/F66*100</f>
        <v>#DIV/0!</v>
      </c>
    </row>
    <row r="67" spans="1:8" ht="15.75" hidden="1" thickBot="1" x14ac:dyDescent="0.25">
      <c r="A67" s="2371">
        <v>3299</v>
      </c>
      <c r="B67" s="2372">
        <v>5139</v>
      </c>
      <c r="C67" s="2376">
        <v>32133019</v>
      </c>
      <c r="D67" s="2373" t="s">
        <v>295</v>
      </c>
      <c r="E67" s="2374">
        <v>0</v>
      </c>
      <c r="F67" s="2374">
        <v>0</v>
      </c>
      <c r="G67" s="2374">
        <v>0</v>
      </c>
      <c r="H67" s="2375" t="e">
        <f t="shared" si="3"/>
        <v>#DIV/0!</v>
      </c>
    </row>
    <row r="68" spans="1:8" ht="15.75" hidden="1" thickBot="1" x14ac:dyDescent="0.25">
      <c r="A68" s="2371">
        <v>3299</v>
      </c>
      <c r="B68" s="2372">
        <v>5139</v>
      </c>
      <c r="C68" s="2376">
        <v>32533019</v>
      </c>
      <c r="D68" s="2373" t="s">
        <v>295</v>
      </c>
      <c r="E68" s="2374">
        <v>0</v>
      </c>
      <c r="F68" s="2374">
        <v>0</v>
      </c>
      <c r="G68" s="2374">
        <v>0</v>
      </c>
      <c r="H68" s="2375" t="e">
        <f t="shared" si="3"/>
        <v>#DIV/0!</v>
      </c>
    </row>
    <row r="69" spans="1:8" ht="15.75" hidden="1" thickBot="1" x14ac:dyDescent="0.25">
      <c r="A69" s="2371">
        <v>3299</v>
      </c>
      <c r="B69" s="2372">
        <v>5162</v>
      </c>
      <c r="C69" s="2376">
        <v>32133019</v>
      </c>
      <c r="D69" s="2373" t="s">
        <v>967</v>
      </c>
      <c r="E69" s="2374">
        <v>0</v>
      </c>
      <c r="F69" s="2374">
        <v>0</v>
      </c>
      <c r="G69" s="2374">
        <v>0</v>
      </c>
      <c r="H69" s="2375" t="e">
        <f t="shared" si="3"/>
        <v>#DIV/0!</v>
      </c>
    </row>
    <row r="70" spans="1:8" ht="15.75" hidden="1" thickBot="1" x14ac:dyDescent="0.25">
      <c r="A70" s="2371">
        <v>3299</v>
      </c>
      <c r="B70" s="2372">
        <v>5162</v>
      </c>
      <c r="C70" s="2376">
        <v>32533019</v>
      </c>
      <c r="D70" s="2373" t="s">
        <v>967</v>
      </c>
      <c r="E70" s="2374">
        <v>0</v>
      </c>
      <c r="F70" s="2374">
        <v>0</v>
      </c>
      <c r="G70" s="2374">
        <v>0</v>
      </c>
      <c r="H70" s="2375" t="e">
        <f t="shared" si="3"/>
        <v>#DIV/0!</v>
      </c>
    </row>
    <row r="71" spans="1:8" ht="15.75" hidden="1" thickBot="1" x14ac:dyDescent="0.25">
      <c r="A71" s="2371">
        <v>3299</v>
      </c>
      <c r="B71" s="2372">
        <v>5169</v>
      </c>
      <c r="C71" s="2376">
        <v>32133019</v>
      </c>
      <c r="D71" s="2373" t="s">
        <v>955</v>
      </c>
      <c r="E71" s="2374">
        <v>0</v>
      </c>
      <c r="F71" s="2374">
        <v>0</v>
      </c>
      <c r="G71" s="2374">
        <v>0</v>
      </c>
      <c r="H71" s="2375" t="e">
        <f t="shared" si="3"/>
        <v>#DIV/0!</v>
      </c>
    </row>
    <row r="72" spans="1:8" ht="15.75" hidden="1" thickBot="1" x14ac:dyDescent="0.25">
      <c r="A72" s="2371">
        <v>3299</v>
      </c>
      <c r="B72" s="2372">
        <v>5169</v>
      </c>
      <c r="C72" s="2376">
        <v>32533019</v>
      </c>
      <c r="D72" s="2373" t="s">
        <v>955</v>
      </c>
      <c r="E72" s="2374">
        <v>0</v>
      </c>
      <c r="F72" s="2374">
        <v>0</v>
      </c>
      <c r="G72" s="2374">
        <v>0</v>
      </c>
      <c r="H72" s="2375" t="e">
        <f t="shared" si="3"/>
        <v>#DIV/0!</v>
      </c>
    </row>
    <row r="73" spans="1:8" ht="15.75" hidden="1" thickBot="1" x14ac:dyDescent="0.25">
      <c r="A73" s="2371">
        <v>3299</v>
      </c>
      <c r="B73" s="2372">
        <v>5175</v>
      </c>
      <c r="C73" s="2376">
        <v>32133019</v>
      </c>
      <c r="D73" s="2373" t="s">
        <v>740</v>
      </c>
      <c r="E73" s="2374">
        <v>0</v>
      </c>
      <c r="F73" s="2374">
        <v>0</v>
      </c>
      <c r="G73" s="2374">
        <v>0</v>
      </c>
      <c r="H73" s="2375" t="e">
        <f t="shared" si="3"/>
        <v>#DIV/0!</v>
      </c>
    </row>
    <row r="74" spans="1:8" ht="15.75" hidden="1" thickBot="1" x14ac:dyDescent="0.25">
      <c r="A74" s="2371">
        <v>3299</v>
      </c>
      <c r="B74" s="2372">
        <v>5175</v>
      </c>
      <c r="C74" s="2376">
        <v>32533019</v>
      </c>
      <c r="D74" s="2373" t="s">
        <v>740</v>
      </c>
      <c r="E74" s="2374">
        <v>0</v>
      </c>
      <c r="F74" s="2374">
        <v>0</v>
      </c>
      <c r="G74" s="2374">
        <v>0</v>
      </c>
      <c r="H74" s="2375" t="e">
        <f t="shared" si="3"/>
        <v>#DIV/0!</v>
      </c>
    </row>
    <row r="75" spans="1:8" ht="15.75" hidden="1" thickBot="1" x14ac:dyDescent="0.25">
      <c r="A75" s="2371">
        <v>3299</v>
      </c>
      <c r="B75" s="2372">
        <v>5901</v>
      </c>
      <c r="C75" s="2376">
        <v>0</v>
      </c>
      <c r="D75" s="2373" t="s">
        <v>670</v>
      </c>
      <c r="E75" s="2374">
        <v>0</v>
      </c>
      <c r="F75" s="2374">
        <v>0</v>
      </c>
      <c r="G75" s="2374">
        <v>0</v>
      </c>
      <c r="H75" s="2375" t="e">
        <f t="shared" si="3"/>
        <v>#DIV/0!</v>
      </c>
    </row>
    <row r="76" spans="1:8" ht="15.75" hidden="1" thickBot="1" x14ac:dyDescent="0.25">
      <c r="A76" s="2371">
        <v>3299</v>
      </c>
      <c r="B76" s="2372">
        <v>5901</v>
      </c>
      <c r="C76" s="2376">
        <v>32133019</v>
      </c>
      <c r="D76" s="2373" t="s">
        <v>670</v>
      </c>
      <c r="E76" s="2374">
        <v>0</v>
      </c>
      <c r="F76" s="2374">
        <v>0</v>
      </c>
      <c r="G76" s="2374">
        <v>0</v>
      </c>
      <c r="H76" s="2375" t="e">
        <f t="shared" si="3"/>
        <v>#DIV/0!</v>
      </c>
    </row>
    <row r="77" spans="1:8" ht="15.75" hidden="1" thickBot="1" x14ac:dyDescent="0.25">
      <c r="A77" s="2371">
        <v>3299</v>
      </c>
      <c r="B77" s="2372">
        <v>5901</v>
      </c>
      <c r="C77" s="2376">
        <v>32533019</v>
      </c>
      <c r="D77" s="2373" t="s">
        <v>670</v>
      </c>
      <c r="E77" s="2374">
        <v>0</v>
      </c>
      <c r="F77" s="2374">
        <v>0</v>
      </c>
      <c r="G77" s="2374">
        <v>0</v>
      </c>
      <c r="H77" s="2375" t="e">
        <f t="shared" si="3"/>
        <v>#DIV/0!</v>
      </c>
    </row>
    <row r="78" spans="1:8" ht="15.75" hidden="1" thickBot="1" x14ac:dyDescent="0.25">
      <c r="A78" s="2371">
        <v>3299</v>
      </c>
      <c r="B78" s="2372">
        <v>5323</v>
      </c>
      <c r="C78" s="2376">
        <v>32133019</v>
      </c>
      <c r="D78" s="2373" t="s">
        <v>242</v>
      </c>
      <c r="E78" s="2374">
        <v>0</v>
      </c>
      <c r="F78" s="2374">
        <v>0</v>
      </c>
      <c r="G78" s="2374">
        <v>0</v>
      </c>
      <c r="H78" s="2375" t="e">
        <f t="shared" si="3"/>
        <v>#DIV/0!</v>
      </c>
    </row>
    <row r="79" spans="1:8" ht="15.75" hidden="1" thickBot="1" x14ac:dyDescent="0.25">
      <c r="A79" s="2371">
        <v>3636</v>
      </c>
      <c r="B79" s="2372">
        <v>5323</v>
      </c>
      <c r="C79" s="2376">
        <v>32533019</v>
      </c>
      <c r="D79" s="2373" t="s">
        <v>242</v>
      </c>
      <c r="E79" s="2374">
        <v>0</v>
      </c>
      <c r="F79" s="2374">
        <v>0</v>
      </c>
      <c r="G79" s="2374">
        <v>0</v>
      </c>
      <c r="H79" s="2375" t="e">
        <f t="shared" si="3"/>
        <v>#DIV/0!</v>
      </c>
    </row>
    <row r="80" spans="1:8" ht="15.75" hidden="1" thickBot="1" x14ac:dyDescent="0.25">
      <c r="A80" s="2371">
        <v>3636</v>
      </c>
      <c r="B80" s="2372">
        <v>6901</v>
      </c>
      <c r="C80" s="2376">
        <v>32533926</v>
      </c>
      <c r="D80" s="2373" t="s">
        <v>468</v>
      </c>
      <c r="E80" s="2374">
        <v>0</v>
      </c>
      <c r="F80" s="2374">
        <v>0</v>
      </c>
      <c r="G80" s="2374">
        <v>0</v>
      </c>
      <c r="H80" s="2375" t="e">
        <f t="shared" si="3"/>
        <v>#DIV/0!</v>
      </c>
    </row>
    <row r="81" spans="1:12" ht="15.75" hidden="1" thickBot="1" x14ac:dyDescent="0.25">
      <c r="A81" s="2371">
        <v>6402</v>
      </c>
      <c r="B81" s="2372">
        <v>5363</v>
      </c>
      <c r="C81" s="2376">
        <v>19</v>
      </c>
      <c r="D81" s="2373" t="s">
        <v>615</v>
      </c>
      <c r="E81" s="2374">
        <v>0</v>
      </c>
      <c r="F81" s="2374">
        <v>0</v>
      </c>
      <c r="G81" s="2374">
        <v>0</v>
      </c>
      <c r="H81" s="2377" t="e">
        <f t="shared" si="3"/>
        <v>#DIV/0!</v>
      </c>
    </row>
    <row r="82" spans="1:12" ht="16.5" thickTop="1" thickBot="1" x14ac:dyDescent="0.3">
      <c r="A82" s="2806" t="s">
        <v>849</v>
      </c>
      <c r="B82" s="2807"/>
      <c r="C82" s="2807"/>
      <c r="D82" s="2807"/>
      <c r="E82" s="2152">
        <f>SUM(E57:E80)</f>
        <v>0</v>
      </c>
      <c r="F82" s="2152">
        <f>SUM(F57:F81)</f>
        <v>500</v>
      </c>
      <c r="G82" s="2152">
        <f>SUM(G57:G81)</f>
        <v>0</v>
      </c>
      <c r="H82" s="2157">
        <v>0</v>
      </c>
    </row>
    <row r="83" spans="1:12" ht="13.5" thickTop="1" x14ac:dyDescent="0.2"/>
    <row r="84" spans="1:12" ht="15.75" thickBot="1" x14ac:dyDescent="0.3">
      <c r="A84" s="2338" t="s">
        <v>852</v>
      </c>
      <c r="B84" s="2352"/>
      <c r="C84" s="2352"/>
      <c r="D84" s="2352"/>
      <c r="F84" s="2353"/>
      <c r="G84" s="2353"/>
      <c r="H84" s="2354" t="s">
        <v>179</v>
      </c>
      <c r="I84" s="2425"/>
    </row>
    <row r="85" spans="1:12" ht="25.5" thickTop="1" thickBot="1" x14ac:dyDescent="0.25">
      <c r="A85" s="2355" t="s">
        <v>180</v>
      </c>
      <c r="B85" s="2356" t="s">
        <v>847</v>
      </c>
      <c r="C85" s="2356" t="s">
        <v>414</v>
      </c>
      <c r="D85" s="2357" t="s">
        <v>182</v>
      </c>
      <c r="E85" s="2358" t="s">
        <v>700</v>
      </c>
      <c r="F85" s="2358" t="s">
        <v>701</v>
      </c>
      <c r="G85" s="2359" t="s">
        <v>986</v>
      </c>
      <c r="H85" s="2360" t="s">
        <v>987</v>
      </c>
    </row>
    <row r="86" spans="1:12" ht="14.25" thickTop="1" thickBot="1" x14ac:dyDescent="0.25">
      <c r="A86" s="2361">
        <v>1</v>
      </c>
      <c r="B86" s="2362">
        <v>2</v>
      </c>
      <c r="C86" s="2362">
        <v>3</v>
      </c>
      <c r="D86" s="2362">
        <v>5</v>
      </c>
      <c r="E86" s="2363">
        <v>6</v>
      </c>
      <c r="F86" s="2363">
        <v>7</v>
      </c>
      <c r="G86" s="2364">
        <v>8</v>
      </c>
      <c r="H86" s="2380" t="s">
        <v>848</v>
      </c>
    </row>
    <row r="87" spans="1:12" s="2347" customFormat="1" ht="16.5" thickTop="1" thickBot="1" x14ac:dyDescent="0.3">
      <c r="A87" s="2422">
        <v>6409</v>
      </c>
      <c r="B87" s="2393">
        <v>5909</v>
      </c>
      <c r="C87" s="2631">
        <v>0</v>
      </c>
      <c r="D87" s="2394" t="s">
        <v>1883</v>
      </c>
      <c r="E87" s="2369">
        <v>0</v>
      </c>
      <c r="F87" s="2369">
        <v>0</v>
      </c>
      <c r="G87" s="2381">
        <v>0</v>
      </c>
      <c r="H87" s="2370">
        <v>0</v>
      </c>
    </row>
    <row r="88" spans="1:12" s="2347" customFormat="1" ht="15.75" hidden="1" thickBot="1" x14ac:dyDescent="0.3">
      <c r="A88" s="2392">
        <v>6409</v>
      </c>
      <c r="B88" s="2393">
        <v>5909</v>
      </c>
      <c r="C88" s="2442"/>
      <c r="D88" s="2394" t="s">
        <v>870</v>
      </c>
      <c r="E88" s="2374">
        <v>0</v>
      </c>
      <c r="F88" s="2374">
        <v>0</v>
      </c>
      <c r="G88" s="2382">
        <v>0</v>
      </c>
      <c r="H88" s="2375">
        <v>0</v>
      </c>
    </row>
    <row r="89" spans="1:12" ht="16.5" thickTop="1" thickBot="1" x14ac:dyDescent="0.3">
      <c r="A89" s="2383" t="s">
        <v>849</v>
      </c>
      <c r="B89" s="2384"/>
      <c r="C89" s="2384"/>
      <c r="D89" s="2385"/>
      <c r="E89" s="2378">
        <f>SUM(E87:E88)</f>
        <v>0</v>
      </c>
      <c r="F89" s="2378">
        <f>SUM(F87:F88)</f>
        <v>0</v>
      </c>
      <c r="G89" s="2378">
        <f>SUM(G87:G88)</f>
        <v>0</v>
      </c>
      <c r="H89" s="2379">
        <v>0</v>
      </c>
    </row>
    <row r="90" spans="1:12" ht="13.5" thickTop="1" x14ac:dyDescent="0.2"/>
    <row r="93" spans="1:12" ht="16.5" x14ac:dyDescent="0.25">
      <c r="A93" s="2399" t="s">
        <v>508</v>
      </c>
      <c r="B93" s="2400"/>
      <c r="C93" s="2401"/>
      <c r="D93" s="2402"/>
      <c r="E93" s="2403">
        <f>SUM(E94:E96)</f>
        <v>0</v>
      </c>
      <c r="F93" s="2403">
        <f>F94+F95+F96+F97</f>
        <v>3201</v>
      </c>
      <c r="G93" s="2403">
        <f>G94+G95+G96+G97</f>
        <v>849</v>
      </c>
      <c r="H93" s="2404">
        <v>61.717249327698809</v>
      </c>
      <c r="J93" s="2405">
        <f>J94+J95+J96</f>
        <v>0</v>
      </c>
      <c r="K93" s="2405">
        <f>K94+K95+K96</f>
        <v>3201000</v>
      </c>
      <c r="L93" s="2405">
        <f>L94+L95+L96</f>
        <v>848546.56</v>
      </c>
    </row>
    <row r="94" spans="1:12" ht="15" x14ac:dyDescent="0.2">
      <c r="A94" s="2406" t="s">
        <v>288</v>
      </c>
      <c r="B94" s="2407"/>
      <c r="C94" s="2408"/>
      <c r="D94" s="2409"/>
      <c r="E94" s="2410">
        <f>E12+E13+E14+E25+E26+E29+E30+E31+E32+E33+E34+E35+E36+E37+E38+E39+E40+E41+E42+E43+E44+E45+E46+E47+E48+E57+E87</f>
        <v>0</v>
      </c>
      <c r="F94" s="2410">
        <f>F12+F13+F14+F25+F26+F29+F30+F31+F32+F33+F34+F35+F36+F37+F38+F39+F40+F41+F42+F43+F44+F45+F46+F47+F48+F57+F87</f>
        <v>3201</v>
      </c>
      <c r="G94" s="2410">
        <f>G12+G13+G14+G25+G26+G29+G30+G31+G32+G33+G34+G35+G36+G37+G38+G39+G40+G41+G42+G43+G44+G45+G46+G47+G48+G57+G87</f>
        <v>849</v>
      </c>
      <c r="H94" s="2411">
        <v>61.717249327698809</v>
      </c>
      <c r="J94" s="2412">
        <v>0</v>
      </c>
      <c r="K94" s="2412">
        <v>3201000</v>
      </c>
      <c r="L94" s="2412">
        <v>848546.56</v>
      </c>
    </row>
    <row r="95" spans="1:12" ht="15" x14ac:dyDescent="0.2">
      <c r="A95" s="2406" t="s">
        <v>289</v>
      </c>
      <c r="B95" s="2413"/>
      <c r="C95" s="2408"/>
      <c r="D95" s="2414"/>
      <c r="E95" s="2410">
        <f>E39+E49</f>
        <v>0</v>
      </c>
      <c r="F95" s="2410">
        <v>0</v>
      </c>
      <c r="G95" s="2410">
        <v>0</v>
      </c>
      <c r="H95" s="2411">
        <v>0</v>
      </c>
      <c r="J95" s="2412">
        <v>0</v>
      </c>
      <c r="K95" s="2412">
        <v>0</v>
      </c>
      <c r="L95" s="2412">
        <v>0</v>
      </c>
    </row>
    <row r="96" spans="1:12" ht="15" x14ac:dyDescent="0.2">
      <c r="A96" s="2406" t="s">
        <v>509</v>
      </c>
      <c r="B96" s="2413"/>
      <c r="C96" s="2408"/>
      <c r="D96" s="2414"/>
      <c r="E96" s="2410">
        <v>0</v>
      </c>
      <c r="F96" s="2410">
        <v>0</v>
      </c>
      <c r="G96" s="2410">
        <v>0</v>
      </c>
      <c r="H96" s="2411">
        <v>0</v>
      </c>
      <c r="J96" s="2412">
        <v>0</v>
      </c>
      <c r="K96" s="2412">
        <v>0</v>
      </c>
      <c r="L96" s="2412">
        <v>0</v>
      </c>
    </row>
    <row r="97" spans="1:8" ht="16.5" customHeight="1" x14ac:dyDescent="0.2">
      <c r="A97" s="2406"/>
      <c r="B97" s="2413"/>
      <c r="C97" s="2408"/>
      <c r="D97" s="2414"/>
      <c r="E97" s="2410"/>
      <c r="F97" s="2410"/>
      <c r="G97" s="2410"/>
      <c r="H97" s="2415"/>
    </row>
    <row r="98" spans="1:8" ht="57.75" customHeight="1" thickBot="1" x14ac:dyDescent="0.4">
      <c r="A98" s="2819" t="s">
        <v>1884</v>
      </c>
      <c r="B98" s="2827"/>
      <c r="C98" s="2827"/>
      <c r="D98" s="2827"/>
      <c r="E98" s="2416">
        <f>SUM(E93)</f>
        <v>0</v>
      </c>
      <c r="F98" s="2416">
        <f>SUM(F93)</f>
        <v>3201</v>
      </c>
      <c r="G98" s="2416">
        <f>SUM(G93)</f>
        <v>849</v>
      </c>
      <c r="H98" s="2417">
        <f>G98/F98*100</f>
        <v>26.522961574507963</v>
      </c>
    </row>
    <row r="99" spans="1:8" ht="13.5" thickTop="1" x14ac:dyDescent="0.2"/>
  </sheetData>
  <mergeCells count="7">
    <mergeCell ref="A98:D98"/>
    <mergeCell ref="A8:H8"/>
    <mergeCell ref="A18:D18"/>
    <mergeCell ref="A21:H21"/>
    <mergeCell ref="A51:D51"/>
    <mergeCell ref="A53:H53"/>
    <mergeCell ref="A82:D82"/>
  </mergeCells>
  <pageMargins left="0.70866141732283472" right="0.70866141732283472" top="0.78740157480314965" bottom="0.78740157480314965" header="0.31496062992125984" footer="0.31496062992125984"/>
  <pageSetup paperSize="9" scale="73" firstPageNumber="182" orientation="portrait" useFirstPageNumber="1" r:id="rId1"/>
  <headerFooter>
    <oddFooter xml:space="preserve">&amp;L&amp;"Arial,Kurzíva"Zastupitelstvo Olomouckého kraje 28. 6. 2013
6.- Závěrečný  účet Olomuckého kraje za rok 2012
Příloha č. 3: Plnění rozpočtu výdajů Olomouckého kraje k 31.12.2012&amp;R&amp;"Arial,Kurzíva"Strana &amp;P (Celkem 484)
</oddFooter>
  </headerFooter>
  <rowBreaks count="1" manualBreakCount="1">
    <brk id="82" max="7" man="1"/>
  </rowBreaks>
  <colBreaks count="1" manualBreakCount="1">
    <brk id="8" max="1048575" man="1"/>
  </col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92D050"/>
  </sheetPr>
  <dimension ref="A1:U40"/>
  <sheetViews>
    <sheetView showGridLines="0" view="pageBreakPreview" topLeftCell="A22" zoomScaleNormal="100" zoomScaleSheetLayoutView="100" workbookViewId="0">
      <selection activeCell="D21" sqref="D21"/>
    </sheetView>
  </sheetViews>
  <sheetFormatPr defaultRowHeight="12.75" x14ac:dyDescent="0.2"/>
  <cols>
    <col min="1" max="1" width="4.7109375" style="414" customWidth="1"/>
    <col min="2" max="2" width="7" style="414" customWidth="1"/>
    <col min="3" max="3" width="9" style="414" customWidth="1"/>
    <col min="4" max="4" width="42.28515625" style="349" customWidth="1"/>
    <col min="5" max="5" width="15.140625" style="472" customWidth="1"/>
    <col min="6" max="6" width="14.85546875" style="472" customWidth="1"/>
    <col min="7" max="7" width="14" style="472" customWidth="1"/>
    <col min="8" max="8" width="9.140625" style="584" customWidth="1"/>
    <col min="9" max="9" width="12.7109375" style="349" bestFit="1" customWidth="1"/>
    <col min="10" max="16384" width="9.140625" style="349"/>
  </cols>
  <sheetData>
    <row r="1" spans="1:21" x14ac:dyDescent="0.2">
      <c r="A1" s="2828" t="s">
        <v>48</v>
      </c>
      <c r="B1" s="2829"/>
      <c r="C1" s="2829"/>
      <c r="D1" s="2829"/>
      <c r="E1" s="2829"/>
      <c r="F1" s="2829"/>
      <c r="G1" s="2829"/>
      <c r="H1" s="2830"/>
    </row>
    <row r="2" spans="1:21" ht="21.75" customHeight="1" thickBot="1" x14ac:dyDescent="0.25">
      <c r="A2" s="2831"/>
      <c r="B2" s="2831"/>
      <c r="C2" s="2831"/>
      <c r="D2" s="2831"/>
      <c r="E2" s="2831"/>
      <c r="F2" s="2831"/>
      <c r="G2" s="2831"/>
      <c r="H2" s="2817"/>
    </row>
    <row r="3" spans="1:21" ht="15.75" x14ac:dyDescent="0.25">
      <c r="G3" s="591" t="s">
        <v>1387</v>
      </c>
    </row>
    <row r="4" spans="1:21" s="558" customFormat="1" ht="12.75" customHeight="1" x14ac:dyDescent="0.25">
      <c r="A4" s="67" t="s">
        <v>404</v>
      </c>
      <c r="B4" s="28"/>
      <c r="C4" s="557" t="s">
        <v>633</v>
      </c>
      <c r="D4" s="16"/>
      <c r="E4" s="17"/>
      <c r="F4" s="16"/>
      <c r="H4" s="1652"/>
    </row>
    <row r="5" spans="1:21" s="558" customFormat="1" ht="12.75" customHeight="1" x14ac:dyDescent="0.25">
      <c r="A5" s="6"/>
      <c r="B5" s="28"/>
      <c r="C5" s="557" t="s">
        <v>634</v>
      </c>
      <c r="D5" s="16"/>
      <c r="E5" s="17"/>
      <c r="F5" s="16"/>
      <c r="H5" s="1652"/>
    </row>
    <row r="6" spans="1:21" ht="15.75" thickBot="1" x14ac:dyDescent="0.3">
      <c r="A6" s="559"/>
      <c r="H6" s="560" t="s">
        <v>179</v>
      </c>
    </row>
    <row r="7" spans="1:21" s="386" customFormat="1" ht="22.5" customHeight="1" thickTop="1" thickBot="1" x14ac:dyDescent="0.25">
      <c r="A7" s="561" t="s">
        <v>180</v>
      </c>
      <c r="B7" s="562" t="s">
        <v>847</v>
      </c>
      <c r="C7" s="562" t="s">
        <v>414</v>
      </c>
      <c r="D7" s="563" t="s">
        <v>182</v>
      </c>
      <c r="E7" s="564" t="s">
        <v>700</v>
      </c>
      <c r="F7" s="564" t="s">
        <v>701</v>
      </c>
      <c r="G7" s="565" t="s">
        <v>986</v>
      </c>
      <c r="H7" s="1653" t="s">
        <v>987</v>
      </c>
    </row>
    <row r="8" spans="1:21" s="386" customFormat="1" ht="13.5" thickTop="1" thickBot="1" x14ac:dyDescent="0.25">
      <c r="A8" s="592">
        <v>1</v>
      </c>
      <c r="B8" s="593">
        <v>2</v>
      </c>
      <c r="C8" s="593">
        <v>3</v>
      </c>
      <c r="D8" s="593">
        <v>4</v>
      </c>
      <c r="E8" s="567">
        <v>5</v>
      </c>
      <c r="F8" s="567">
        <v>6</v>
      </c>
      <c r="G8" s="568">
        <v>7</v>
      </c>
      <c r="H8" s="1654" t="s">
        <v>61</v>
      </c>
    </row>
    <row r="9" spans="1:21" s="312" customFormat="1" ht="14.25" customHeight="1" thickTop="1" x14ac:dyDescent="0.25">
      <c r="A9" s="2638">
        <v>2310</v>
      </c>
      <c r="B9" s="2635">
        <v>6341</v>
      </c>
      <c r="C9" s="1250"/>
      <c r="D9" s="1246" t="s">
        <v>271</v>
      </c>
      <c r="E9" s="2633">
        <v>0</v>
      </c>
      <c r="F9" s="1241">
        <v>5500</v>
      </c>
      <c r="G9" s="1241">
        <v>5500</v>
      </c>
      <c r="H9" s="1603">
        <v>100</v>
      </c>
      <c r="I9" s="1239"/>
      <c r="J9" s="1239"/>
      <c r="K9" s="1239"/>
      <c r="L9" s="1239"/>
      <c r="M9" s="1239"/>
      <c r="N9" s="1239"/>
      <c r="O9" s="1239"/>
      <c r="P9" s="1239"/>
      <c r="Q9" s="1239"/>
      <c r="R9" s="1239"/>
      <c r="S9" s="1239"/>
      <c r="T9" s="1239"/>
      <c r="U9" s="1239"/>
    </row>
    <row r="10" spans="1:21" s="312" customFormat="1" ht="14.25" customHeight="1" x14ac:dyDescent="0.2">
      <c r="A10" s="2639"/>
      <c r="B10" s="2636"/>
      <c r="C10" s="1251" t="s">
        <v>804</v>
      </c>
      <c r="D10" s="1247" t="s">
        <v>805</v>
      </c>
      <c r="E10" s="2632">
        <v>0</v>
      </c>
      <c r="F10" s="1242">
        <v>5500</v>
      </c>
      <c r="G10" s="1242">
        <v>5500</v>
      </c>
      <c r="H10" s="1604">
        <v>100</v>
      </c>
      <c r="I10" s="1239"/>
      <c r="J10" s="1239"/>
      <c r="K10" s="1239"/>
      <c r="L10" s="1239"/>
      <c r="M10" s="1239"/>
      <c r="N10" s="1239"/>
      <c r="O10" s="1239"/>
      <c r="P10" s="1239"/>
      <c r="Q10" s="1239"/>
      <c r="R10" s="1239"/>
      <c r="S10" s="1239"/>
      <c r="T10" s="1239"/>
      <c r="U10" s="1239"/>
    </row>
    <row r="11" spans="1:21" s="312" customFormat="1" ht="14.25" customHeight="1" x14ac:dyDescent="0.25">
      <c r="A11" s="2639">
        <v>2321</v>
      </c>
      <c r="B11" s="2636">
        <v>6341</v>
      </c>
      <c r="C11" s="1252"/>
      <c r="D11" s="1248" t="s">
        <v>271</v>
      </c>
      <c r="E11" s="2634">
        <v>0</v>
      </c>
      <c r="F11" s="1243">
        <v>27100</v>
      </c>
      <c r="G11" s="1243">
        <v>23100</v>
      </c>
      <c r="H11" s="1605">
        <v>98.332710629553517</v>
      </c>
      <c r="I11" s="1239"/>
      <c r="J11" s="1239"/>
      <c r="K11" s="1239"/>
      <c r="L11" s="1239"/>
      <c r="M11" s="1239"/>
      <c r="N11" s="1239"/>
      <c r="O11" s="1239"/>
      <c r="P11" s="1239"/>
      <c r="Q11" s="1239"/>
      <c r="R11" s="1239"/>
      <c r="S11" s="1239"/>
      <c r="T11" s="1239"/>
      <c r="U11" s="1239"/>
    </row>
    <row r="12" spans="1:21" s="312" customFormat="1" ht="14.25" customHeight="1" x14ac:dyDescent="0.2">
      <c r="A12" s="2639"/>
      <c r="B12" s="2636"/>
      <c r="C12" s="1251" t="s">
        <v>804</v>
      </c>
      <c r="D12" s="1247" t="s">
        <v>805</v>
      </c>
      <c r="E12" s="2632">
        <v>0</v>
      </c>
      <c r="F12" s="1242">
        <v>27100</v>
      </c>
      <c r="G12" s="1242">
        <v>23100</v>
      </c>
      <c r="H12" s="1604">
        <v>98.332710629553517</v>
      </c>
      <c r="I12" s="1239"/>
      <c r="J12" s="1239"/>
      <c r="K12" s="1239"/>
      <c r="L12" s="1239"/>
      <c r="M12" s="1239"/>
      <c r="N12" s="1239"/>
      <c r="O12" s="1239"/>
      <c r="P12" s="1239"/>
      <c r="Q12" s="1239"/>
      <c r="R12" s="1239"/>
      <c r="S12" s="1239"/>
      <c r="T12" s="1239"/>
      <c r="U12" s="1239"/>
    </row>
    <row r="13" spans="1:21" s="312" customFormat="1" ht="14.25" customHeight="1" x14ac:dyDescent="0.25">
      <c r="A13" s="2639">
        <v>2339</v>
      </c>
      <c r="B13" s="2636">
        <v>5213</v>
      </c>
      <c r="C13" s="1251"/>
      <c r="D13" s="1167" t="s">
        <v>682</v>
      </c>
      <c r="E13" s="2634">
        <v>0</v>
      </c>
      <c r="F13" s="1243">
        <v>50</v>
      </c>
      <c r="G13" s="1243">
        <v>50</v>
      </c>
      <c r="H13" s="1605">
        <v>98.332710629553517</v>
      </c>
      <c r="I13" s="1239"/>
      <c r="J13" s="1239"/>
      <c r="K13" s="1239"/>
      <c r="L13" s="1239"/>
      <c r="M13" s="1239"/>
      <c r="N13" s="1239"/>
      <c r="O13" s="1239"/>
      <c r="P13" s="1239"/>
      <c r="Q13" s="1239"/>
      <c r="R13" s="1239"/>
      <c r="S13" s="1239"/>
      <c r="T13" s="1239"/>
      <c r="U13" s="1239"/>
    </row>
    <row r="14" spans="1:21" s="312" customFormat="1" ht="14.25" customHeight="1" x14ac:dyDescent="0.2">
      <c r="A14" s="2639"/>
      <c r="B14" s="2636"/>
      <c r="C14" s="1251" t="s">
        <v>804</v>
      </c>
      <c r="D14" s="1247" t="s">
        <v>805</v>
      </c>
      <c r="E14" s="2632">
        <v>0</v>
      </c>
      <c r="F14" s="1242">
        <v>50</v>
      </c>
      <c r="G14" s="1242">
        <v>50</v>
      </c>
      <c r="H14" s="1604">
        <v>98.332710629553517</v>
      </c>
      <c r="I14" s="1239"/>
      <c r="J14" s="1239"/>
      <c r="K14" s="1239"/>
      <c r="L14" s="1239"/>
      <c r="M14" s="1239"/>
      <c r="N14" s="1239"/>
      <c r="O14" s="1239"/>
      <c r="P14" s="1239"/>
      <c r="Q14" s="1239"/>
      <c r="R14" s="1239"/>
      <c r="S14" s="1239"/>
      <c r="T14" s="1239"/>
      <c r="U14" s="1239"/>
    </row>
    <row r="15" spans="1:21" s="312" customFormat="1" ht="14.25" customHeight="1" x14ac:dyDescent="0.25">
      <c r="A15" s="2639">
        <v>2399</v>
      </c>
      <c r="B15" s="2636">
        <v>5909</v>
      </c>
      <c r="C15" s="1252"/>
      <c r="D15" s="1248" t="s">
        <v>806</v>
      </c>
      <c r="E15" s="1245">
        <v>20000</v>
      </c>
      <c r="F15" s="1243">
        <v>26000</v>
      </c>
      <c r="G15" s="1243">
        <v>25785</v>
      </c>
      <c r="H15" s="1605">
        <v>66.010868471369633</v>
      </c>
      <c r="I15" s="1240"/>
      <c r="J15" s="1240"/>
      <c r="K15" s="1240"/>
      <c r="L15" s="1240"/>
      <c r="M15" s="1240"/>
      <c r="N15" s="1240"/>
      <c r="O15" s="1240"/>
      <c r="P15" s="1240"/>
      <c r="Q15" s="1240"/>
      <c r="R15" s="1240"/>
      <c r="S15" s="1240"/>
      <c r="T15" s="1240"/>
      <c r="U15" s="1240"/>
    </row>
    <row r="16" spans="1:21" s="312" customFormat="1" ht="14.25" customHeight="1" x14ac:dyDescent="0.25">
      <c r="A16" s="2639">
        <v>2399</v>
      </c>
      <c r="B16" s="2636">
        <v>6341</v>
      </c>
      <c r="C16" s="1252"/>
      <c r="D16" s="1248" t="s">
        <v>271</v>
      </c>
      <c r="E16" s="1245">
        <v>20000</v>
      </c>
      <c r="F16" s="1243">
        <v>15386</v>
      </c>
      <c r="G16" s="1243">
        <v>0</v>
      </c>
      <c r="H16" s="1606">
        <v>0</v>
      </c>
      <c r="I16" s="1240"/>
      <c r="J16" s="1240"/>
      <c r="K16" s="1240"/>
      <c r="L16" s="1240"/>
      <c r="M16" s="1240"/>
      <c r="N16" s="1240"/>
      <c r="O16" s="1240"/>
      <c r="P16" s="1240"/>
      <c r="Q16" s="1240"/>
      <c r="R16" s="1240"/>
      <c r="S16" s="1240"/>
      <c r="T16" s="1240"/>
      <c r="U16" s="1240"/>
    </row>
    <row r="17" spans="1:21" s="312" customFormat="1" ht="14.25" customHeight="1" thickBot="1" x14ac:dyDescent="0.25">
      <c r="A17" s="2640"/>
      <c r="B17" s="2637"/>
      <c r="C17" s="1253" t="s">
        <v>804</v>
      </c>
      <c r="D17" s="1249" t="s">
        <v>805</v>
      </c>
      <c r="E17" s="1973">
        <v>20000</v>
      </c>
      <c r="F17" s="1244">
        <v>15386</v>
      </c>
      <c r="G17" s="1244">
        <v>0</v>
      </c>
      <c r="H17" s="1607">
        <v>0</v>
      </c>
      <c r="I17" s="1240"/>
      <c r="J17" s="1240"/>
      <c r="K17" s="1240"/>
      <c r="L17" s="1240"/>
      <c r="M17" s="1240"/>
      <c r="N17" s="1240"/>
      <c r="O17" s="1240"/>
      <c r="P17" s="1240"/>
      <c r="Q17" s="1240"/>
      <c r="R17" s="1240"/>
      <c r="S17" s="1240"/>
      <c r="T17" s="1240"/>
      <c r="U17" s="1240"/>
    </row>
    <row r="18" spans="1:21" ht="16.5" thickTop="1" thickBot="1" x14ac:dyDescent="0.3">
      <c r="A18" s="2810" t="s">
        <v>849</v>
      </c>
      <c r="B18" s="2811"/>
      <c r="C18" s="2811"/>
      <c r="D18" s="2811"/>
      <c r="E18" s="596">
        <f>E15+E16</f>
        <v>40000</v>
      </c>
      <c r="F18" s="596">
        <f>F9+F11+F13+F15+F16</f>
        <v>74036</v>
      </c>
      <c r="G18" s="596">
        <f>G9+G11+G13+G15+G16</f>
        <v>54435</v>
      </c>
      <c r="H18" s="597">
        <f>G18/F18*100</f>
        <v>73.525041871521964</v>
      </c>
      <c r="I18" s="472"/>
    </row>
    <row r="19" spans="1:21" ht="15.75" thickTop="1" x14ac:dyDescent="0.25">
      <c r="A19" s="559"/>
    </row>
    <row r="20" spans="1:21" ht="15" x14ac:dyDescent="0.25">
      <c r="A20" s="559"/>
    </row>
    <row r="21" spans="1:21" s="1585" customFormat="1" ht="15.75" x14ac:dyDescent="0.25">
      <c r="A21" s="1583" t="s">
        <v>856</v>
      </c>
      <c r="B21" s="1583"/>
      <c r="C21" s="1583"/>
      <c r="D21" s="1583"/>
      <c r="E21" s="1008">
        <f>SUM(E22:E24)</f>
        <v>40000</v>
      </c>
      <c r="F21" s="1008">
        <f>SUM(F22:F24)</f>
        <v>74036</v>
      </c>
      <c r="G21" s="1008">
        <f>SUM(G22:G24)</f>
        <v>54435</v>
      </c>
      <c r="H21" s="1584">
        <f>G21/F21*100</f>
        <v>73.525041871521964</v>
      </c>
    </row>
    <row r="22" spans="1:21" s="1589" customFormat="1" ht="15" x14ac:dyDescent="0.2">
      <c r="A22" s="581" t="s">
        <v>288</v>
      </c>
      <c r="B22" s="1586"/>
      <c r="C22" s="1586"/>
      <c r="D22" s="1586"/>
      <c r="E22" s="1587">
        <f>SUM(E15)</f>
        <v>20000</v>
      </c>
      <c r="F22" s="1587">
        <f>F15+F13</f>
        <v>26050</v>
      </c>
      <c r="G22" s="1587">
        <f>G15+G13</f>
        <v>25835</v>
      </c>
      <c r="H22" s="1588">
        <f>G22/F22*100</f>
        <v>99.174664107485597</v>
      </c>
    </row>
    <row r="23" spans="1:21" s="1589" customFormat="1" ht="15" x14ac:dyDescent="0.2">
      <c r="A23" s="581" t="s">
        <v>289</v>
      </c>
      <c r="B23" s="1586"/>
      <c r="C23" s="1586"/>
      <c r="D23" s="1586"/>
      <c r="E23" s="1587">
        <f>SUM(E16)</f>
        <v>20000</v>
      </c>
      <c r="F23" s="1587">
        <f>F9+F11+F16</f>
        <v>47986</v>
      </c>
      <c r="G23" s="1587">
        <f>G9+G11+G16</f>
        <v>28600</v>
      </c>
      <c r="H23" s="1588">
        <f>G23/F23*100</f>
        <v>59.600716875755431</v>
      </c>
    </row>
    <row r="24" spans="1:21" s="613" customFormat="1" ht="15" x14ac:dyDescent="0.2">
      <c r="A24" s="1586" t="s">
        <v>1324</v>
      </c>
      <c r="B24" s="1586"/>
      <c r="C24" s="1586"/>
      <c r="D24" s="1586"/>
      <c r="E24" s="1587">
        <v>0</v>
      </c>
      <c r="F24" s="1587">
        <v>0</v>
      </c>
      <c r="G24" s="1587">
        <v>0</v>
      </c>
      <c r="H24" s="1588">
        <v>0</v>
      </c>
    </row>
    <row r="25" spans="1:21" s="1593" customFormat="1" ht="24" thickBot="1" x14ac:dyDescent="0.4">
      <c r="A25" s="1590" t="s">
        <v>120</v>
      </c>
      <c r="B25" s="1590"/>
      <c r="C25" s="1590"/>
      <c r="D25" s="1590"/>
      <c r="E25" s="1591">
        <f>SUM(E21)</f>
        <v>40000</v>
      </c>
      <c r="F25" s="1591">
        <f>SUM(F21)</f>
        <v>74036</v>
      </c>
      <c r="G25" s="1591">
        <f>SUM(G21)</f>
        <v>54435</v>
      </c>
      <c r="H25" s="1592">
        <f>G25/F25*100</f>
        <v>73.525041871521964</v>
      </c>
    </row>
    <row r="26" spans="1:21" ht="13.5" thickTop="1" x14ac:dyDescent="0.2">
      <c r="E26" s="449"/>
      <c r="F26" s="449"/>
      <c r="G26" s="449"/>
    </row>
    <row r="27" spans="1:21" x14ac:dyDescent="0.2">
      <c r="D27" s="587"/>
      <c r="E27" s="385"/>
      <c r="F27" s="385"/>
      <c r="G27" s="385"/>
      <c r="H27" s="1655"/>
    </row>
    <row r="28" spans="1:21" ht="14.25" x14ac:dyDescent="0.2">
      <c r="A28" s="588" t="s">
        <v>121</v>
      </c>
      <c r="B28" s="589"/>
      <c r="C28" s="589"/>
      <c r="D28" s="590"/>
      <c r="E28" s="515"/>
      <c r="F28" s="515"/>
      <c r="G28" s="515"/>
      <c r="H28" s="1656"/>
    </row>
    <row r="29" spans="1:21" ht="12.75" customHeight="1" x14ac:dyDescent="0.2">
      <c r="A29" s="2832" t="s">
        <v>1896</v>
      </c>
      <c r="B29" s="2832"/>
      <c r="C29" s="2832"/>
      <c r="D29" s="2832"/>
      <c r="E29" s="2832"/>
      <c r="F29" s="2832"/>
      <c r="G29" s="2832"/>
      <c r="H29" s="2832"/>
    </row>
    <row r="30" spans="1:21" s="524" customFormat="1" ht="12.75" customHeight="1" x14ac:dyDescent="0.2">
      <c r="A30" s="2669"/>
      <c r="B30" s="2669"/>
      <c r="C30" s="2669"/>
      <c r="D30" s="2669"/>
      <c r="E30" s="2669"/>
      <c r="F30" s="2669"/>
      <c r="G30" s="2669"/>
      <c r="H30" s="2669"/>
    </row>
    <row r="31" spans="1:21" s="524" customFormat="1" ht="19.5" customHeight="1" x14ac:dyDescent="0.2">
      <c r="A31" s="414"/>
      <c r="B31" s="414"/>
      <c r="C31" s="414"/>
      <c r="D31" s="349"/>
      <c r="E31" s="472"/>
      <c r="F31" s="472"/>
      <c r="G31" s="472"/>
      <c r="H31" s="584"/>
    </row>
    <row r="32" spans="1:21" s="524" customFormat="1" x14ac:dyDescent="0.2">
      <c r="A32" s="414"/>
      <c r="B32" s="414"/>
      <c r="C32" s="414"/>
      <c r="D32" s="349"/>
      <c r="E32" s="472"/>
      <c r="F32" s="472"/>
      <c r="G32" s="472"/>
      <c r="H32" s="584"/>
    </row>
    <row r="33" spans="1:8" s="524" customFormat="1" x14ac:dyDescent="0.2">
      <c r="A33" s="414"/>
      <c r="B33" s="414"/>
      <c r="C33" s="414"/>
      <c r="D33" s="349"/>
      <c r="E33" s="472"/>
      <c r="F33" s="472"/>
      <c r="G33" s="472"/>
      <c r="H33" s="584"/>
    </row>
    <row r="34" spans="1:8" s="524" customFormat="1" x14ac:dyDescent="0.2">
      <c r="A34" s="414"/>
      <c r="B34" s="414"/>
      <c r="C34" s="414"/>
      <c r="D34" s="349"/>
      <c r="E34" s="472"/>
      <c r="F34" s="472"/>
      <c r="G34" s="472"/>
      <c r="H34" s="584"/>
    </row>
    <row r="35" spans="1:8" s="524" customFormat="1" ht="12.75" customHeight="1" x14ac:dyDescent="0.2">
      <c r="A35" s="414"/>
      <c r="B35" s="414"/>
      <c r="C35" s="414"/>
      <c r="D35" s="349"/>
      <c r="E35" s="472"/>
      <c r="F35" s="472"/>
      <c r="G35" s="472"/>
      <c r="H35" s="584"/>
    </row>
    <row r="36" spans="1:8" s="524" customFormat="1" ht="12.75" customHeight="1" x14ac:dyDescent="0.2">
      <c r="A36" s="414"/>
      <c r="B36" s="414"/>
      <c r="C36" s="414"/>
      <c r="D36" s="349"/>
      <c r="E36" s="472"/>
      <c r="F36" s="472"/>
      <c r="G36" s="472"/>
      <c r="H36" s="584"/>
    </row>
    <row r="37" spans="1:8" ht="12.75" customHeight="1" x14ac:dyDescent="0.2"/>
    <row r="38" spans="1:8" ht="12.75" customHeight="1" x14ac:dyDescent="0.2"/>
    <row r="39" spans="1:8" ht="12.75" customHeight="1" x14ac:dyDescent="0.2"/>
    <row r="40" spans="1:8" ht="21.75" customHeight="1" x14ac:dyDescent="0.2"/>
  </sheetData>
  <mergeCells count="3">
    <mergeCell ref="A1:H2"/>
    <mergeCell ref="A18:D18"/>
    <mergeCell ref="A29:H30"/>
  </mergeCells>
  <phoneticPr fontId="33" type="noConversion"/>
  <pageMargins left="0.98425196850393704" right="0.98425196850393704" top="0.98425196850393704" bottom="0.98425196850393704" header="0.51181102362204722" footer="0.51181102362204722"/>
  <pageSetup paperSize="9" scale="70" firstPageNumber="184" orientation="portrait" useFirstPageNumber="1" r:id="rId1"/>
  <headerFooter alignWithMargins="0">
    <oddFooter xml:space="preserve">&amp;L&amp;"Arial,Kurzíva"Zastupitelstvo Olomouckého kraje 28. 6. 2013
6.- Závěrečný  účet Olomuckého kraje za rok 2012
Příloha č. 3: Plnění rozpočtu výdajů Olomouckého kraje k 31.12.2012&amp;R&amp;"Arial,Kurzíva"Strana &amp;P (Celkem 484)
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92D050"/>
  </sheetPr>
  <dimension ref="A1:U34"/>
  <sheetViews>
    <sheetView showGridLines="0" view="pageBreakPreview" topLeftCell="A28" zoomScaleNormal="100" zoomScaleSheetLayoutView="100" workbookViewId="0">
      <selection activeCell="B13" sqref="B13"/>
    </sheetView>
  </sheetViews>
  <sheetFormatPr defaultRowHeight="12.75" x14ac:dyDescent="0.2"/>
  <cols>
    <col min="1" max="1" width="6.5703125" style="414" customWidth="1"/>
    <col min="2" max="2" width="7.42578125" style="414" customWidth="1"/>
    <col min="3" max="3" width="9" style="414" customWidth="1"/>
    <col min="4" max="4" width="42.28515625" style="349" customWidth="1"/>
    <col min="5" max="5" width="15.28515625" style="472" customWidth="1"/>
    <col min="6" max="6" width="14.85546875" style="472" customWidth="1"/>
    <col min="7" max="7" width="13.85546875" style="472" customWidth="1"/>
    <col min="8" max="8" width="7.42578125" style="349" customWidth="1"/>
    <col min="9" max="16384" width="9.140625" style="349"/>
  </cols>
  <sheetData>
    <row r="1" spans="1:21" x14ac:dyDescent="0.2">
      <c r="A1" s="2828" t="s">
        <v>49</v>
      </c>
      <c r="B1" s="2829"/>
      <c r="C1" s="2829"/>
      <c r="D1" s="2829"/>
      <c r="E1" s="2829"/>
      <c r="F1" s="2829"/>
      <c r="G1" s="2829"/>
      <c r="H1" s="2829"/>
    </row>
    <row r="2" spans="1:21" ht="12.75" customHeight="1" thickBot="1" x14ac:dyDescent="0.25">
      <c r="A2" s="2831"/>
      <c r="B2" s="2831"/>
      <c r="C2" s="2831"/>
      <c r="D2" s="2831"/>
      <c r="E2" s="2831"/>
      <c r="F2" s="2831"/>
      <c r="G2" s="2831"/>
      <c r="H2" s="2831"/>
    </row>
    <row r="3" spans="1:21" ht="18.75" customHeight="1" x14ac:dyDescent="0.25">
      <c r="A3" s="486"/>
      <c r="B3" s="486"/>
      <c r="C3" s="486"/>
      <c r="D3" s="486"/>
      <c r="E3" s="486"/>
      <c r="F3" s="486"/>
      <c r="G3" s="556" t="s">
        <v>795</v>
      </c>
    </row>
    <row r="4" spans="1:21" s="384" customFormat="1" ht="12.75" customHeight="1" x14ac:dyDescent="0.25">
      <c r="A4" s="67" t="s">
        <v>404</v>
      </c>
      <c r="B4" s="28"/>
      <c r="C4" s="28"/>
      <c r="D4" s="557" t="s">
        <v>405</v>
      </c>
      <c r="E4" s="16"/>
      <c r="F4" s="17"/>
      <c r="G4" s="16"/>
    </row>
    <row r="5" spans="1:21" s="384" customFormat="1" ht="12.75" customHeight="1" x14ac:dyDescent="0.25">
      <c r="A5" s="6"/>
      <c r="B5" s="28"/>
      <c r="C5" s="28"/>
      <c r="D5" s="557" t="s">
        <v>635</v>
      </c>
      <c r="E5" s="16"/>
      <c r="F5" s="17"/>
      <c r="G5" s="16"/>
    </row>
    <row r="6" spans="1:21" ht="15.75" thickBot="1" x14ac:dyDescent="0.3">
      <c r="A6" s="559"/>
      <c r="H6" s="560" t="s">
        <v>179</v>
      </c>
    </row>
    <row r="7" spans="1:21" s="386" customFormat="1" ht="25.5" thickTop="1" thickBot="1" x14ac:dyDescent="0.25">
      <c r="A7" s="561" t="s">
        <v>180</v>
      </c>
      <c r="B7" s="562" t="s">
        <v>847</v>
      </c>
      <c r="C7" s="562"/>
      <c r="D7" s="563" t="s">
        <v>182</v>
      </c>
      <c r="E7" s="564" t="s">
        <v>700</v>
      </c>
      <c r="F7" s="564" t="s">
        <v>701</v>
      </c>
      <c r="G7" s="565" t="s">
        <v>986</v>
      </c>
      <c r="H7" s="566" t="s">
        <v>987</v>
      </c>
    </row>
    <row r="8" spans="1:21" s="570" customFormat="1" ht="13.5" thickTop="1" thickBot="1" x14ac:dyDescent="0.25">
      <c r="A8" s="561">
        <v>1</v>
      </c>
      <c r="B8" s="562">
        <v>2</v>
      </c>
      <c r="C8" s="562">
        <v>3</v>
      </c>
      <c r="D8" s="562">
        <v>4</v>
      </c>
      <c r="E8" s="567">
        <v>5</v>
      </c>
      <c r="F8" s="567">
        <v>6</v>
      </c>
      <c r="G8" s="568">
        <v>7</v>
      </c>
      <c r="H8" s="569" t="s">
        <v>61</v>
      </c>
    </row>
    <row r="9" spans="1:21" s="455" customFormat="1" ht="16.5" customHeight="1" thickTop="1" x14ac:dyDescent="0.25">
      <c r="A9" s="2644">
        <v>6113</v>
      </c>
      <c r="B9" s="2641">
        <v>5169</v>
      </c>
      <c r="C9" s="571"/>
      <c r="D9" s="572" t="s">
        <v>955</v>
      </c>
      <c r="E9" s="372">
        <v>48</v>
      </c>
      <c r="F9" s="465">
        <v>48</v>
      </c>
      <c r="G9" s="372">
        <v>32</v>
      </c>
      <c r="H9" s="573">
        <f>(G9/F9)*100</f>
        <v>66.666666666666657</v>
      </c>
      <c r="I9" s="312"/>
      <c r="J9" s="312"/>
      <c r="K9" s="312"/>
      <c r="L9" s="312"/>
      <c r="M9" s="312"/>
      <c r="N9" s="312"/>
      <c r="O9" s="312"/>
      <c r="P9" s="312"/>
      <c r="Q9" s="312"/>
      <c r="R9" s="312"/>
      <c r="S9" s="312"/>
      <c r="T9" s="312"/>
      <c r="U9" s="312"/>
    </row>
    <row r="10" spans="1:21" s="455" customFormat="1" ht="16.5" customHeight="1" x14ac:dyDescent="0.25">
      <c r="A10" s="2645">
        <v>6113</v>
      </c>
      <c r="B10" s="2642">
        <v>5499</v>
      </c>
      <c r="C10" s="575"/>
      <c r="D10" s="576" t="s">
        <v>412</v>
      </c>
      <c r="E10" s="315">
        <v>75</v>
      </c>
      <c r="F10" s="313">
        <v>75</v>
      </c>
      <c r="G10" s="315">
        <f>18-1</f>
        <v>17</v>
      </c>
      <c r="H10" s="577">
        <f>(G10/F10)*100</f>
        <v>22.666666666666664</v>
      </c>
      <c r="I10" s="312"/>
      <c r="J10" s="312"/>
      <c r="K10" s="312"/>
      <c r="L10" s="312"/>
      <c r="M10" s="312"/>
      <c r="N10" s="312"/>
      <c r="O10" s="312"/>
      <c r="P10" s="312"/>
      <c r="Q10" s="312"/>
      <c r="R10" s="312"/>
      <c r="S10" s="312"/>
      <c r="T10" s="312"/>
      <c r="U10" s="312"/>
    </row>
    <row r="11" spans="1:21" s="455" customFormat="1" ht="16.5" customHeight="1" x14ac:dyDescent="0.25">
      <c r="A11" s="2645">
        <v>6113</v>
      </c>
      <c r="B11" s="2642">
        <v>5901</v>
      </c>
      <c r="C11" s="575"/>
      <c r="D11" s="128" t="s">
        <v>670</v>
      </c>
      <c r="E11" s="315">
        <v>150</v>
      </c>
      <c r="F11" s="313">
        <v>150</v>
      </c>
      <c r="G11" s="315">
        <v>0</v>
      </c>
      <c r="H11" s="577">
        <v>0</v>
      </c>
      <c r="I11" s="312"/>
      <c r="J11" s="312"/>
      <c r="K11" s="312"/>
      <c r="L11" s="312"/>
      <c r="M11" s="312"/>
      <c r="N11" s="312"/>
      <c r="O11" s="312"/>
      <c r="P11" s="312"/>
      <c r="Q11" s="312"/>
      <c r="R11" s="312"/>
      <c r="S11" s="312"/>
      <c r="T11" s="312"/>
      <c r="U11" s="312"/>
    </row>
    <row r="12" spans="1:21" s="455" customFormat="1" ht="16.5" customHeight="1" x14ac:dyDescent="0.25">
      <c r="A12" s="2645">
        <v>6172</v>
      </c>
      <c r="B12" s="2642">
        <v>5139</v>
      </c>
      <c r="C12" s="575"/>
      <c r="D12" s="576" t="s">
        <v>693</v>
      </c>
      <c r="E12" s="315">
        <v>0</v>
      </c>
      <c r="F12" s="313">
        <v>5</v>
      </c>
      <c r="G12" s="315">
        <v>3</v>
      </c>
      <c r="H12" s="577">
        <f t="shared" ref="H12:H20" si="0">(G12/F12)*100</f>
        <v>60</v>
      </c>
      <c r="I12" s="312"/>
      <c r="J12" s="312"/>
      <c r="K12" s="312"/>
      <c r="L12" s="312"/>
      <c r="M12" s="312"/>
      <c r="N12" s="312"/>
      <c r="O12" s="312"/>
      <c r="P12" s="312"/>
      <c r="Q12" s="312"/>
      <c r="R12" s="312"/>
      <c r="S12" s="312"/>
      <c r="T12" s="312"/>
      <c r="U12" s="312"/>
    </row>
    <row r="13" spans="1:21" s="455" customFormat="1" ht="16.5" customHeight="1" x14ac:dyDescent="0.25">
      <c r="A13" s="2645">
        <v>6172</v>
      </c>
      <c r="B13" s="2642">
        <v>5163</v>
      </c>
      <c r="C13" s="575"/>
      <c r="D13" s="576" t="s">
        <v>997</v>
      </c>
      <c r="E13" s="315">
        <v>10</v>
      </c>
      <c r="F13" s="313">
        <v>11</v>
      </c>
      <c r="G13" s="315">
        <v>5</v>
      </c>
      <c r="H13" s="577">
        <f t="shared" si="0"/>
        <v>45.454545454545453</v>
      </c>
      <c r="I13" s="312"/>
      <c r="J13" s="312"/>
      <c r="K13" s="312"/>
      <c r="L13" s="312"/>
      <c r="M13" s="312"/>
      <c r="N13" s="312"/>
      <c r="O13" s="312"/>
      <c r="P13" s="312"/>
      <c r="Q13" s="312"/>
      <c r="R13" s="312"/>
      <c r="S13" s="312"/>
      <c r="T13" s="312"/>
      <c r="U13" s="312"/>
    </row>
    <row r="14" spans="1:21" s="455" customFormat="1" ht="16.5" customHeight="1" x14ac:dyDescent="0.25">
      <c r="A14" s="2645">
        <v>6172</v>
      </c>
      <c r="B14" s="2642">
        <v>5164</v>
      </c>
      <c r="C14" s="575"/>
      <c r="D14" s="576" t="s">
        <v>188</v>
      </c>
      <c r="E14" s="315">
        <v>10</v>
      </c>
      <c r="F14" s="313">
        <v>90</v>
      </c>
      <c r="G14" s="315">
        <v>57</v>
      </c>
      <c r="H14" s="577">
        <f t="shared" si="0"/>
        <v>63.333333333333329</v>
      </c>
      <c r="I14" s="312"/>
      <c r="J14" s="312"/>
      <c r="K14" s="312"/>
      <c r="L14" s="312"/>
      <c r="M14" s="312"/>
      <c r="N14" s="312"/>
      <c r="O14" s="312"/>
      <c r="P14" s="312"/>
      <c r="Q14" s="312"/>
      <c r="R14" s="312"/>
      <c r="S14" s="312"/>
      <c r="T14" s="312"/>
      <c r="U14" s="312"/>
    </row>
    <row r="15" spans="1:21" s="455" customFormat="1" ht="16.5" customHeight="1" x14ac:dyDescent="0.25">
      <c r="A15" s="2645">
        <v>6172</v>
      </c>
      <c r="B15" s="2642">
        <v>5169</v>
      </c>
      <c r="C15" s="575"/>
      <c r="D15" s="576" t="s">
        <v>955</v>
      </c>
      <c r="E15" s="315">
        <f>E16+E17</f>
        <v>2940</v>
      </c>
      <c r="F15" s="315">
        <f>F16+F17</f>
        <v>3240</v>
      </c>
      <c r="G15" s="315">
        <f>G16+G17</f>
        <v>2969</v>
      </c>
      <c r="H15" s="577">
        <f t="shared" si="0"/>
        <v>91.635802469135811</v>
      </c>
      <c r="I15" s="312"/>
      <c r="J15" s="312"/>
      <c r="K15" s="312"/>
      <c r="L15" s="312"/>
      <c r="M15" s="312"/>
      <c r="N15" s="312"/>
      <c r="O15" s="312"/>
      <c r="P15" s="312"/>
      <c r="Q15" s="312"/>
      <c r="R15" s="312"/>
      <c r="S15" s="312"/>
      <c r="T15" s="312"/>
      <c r="U15" s="312"/>
    </row>
    <row r="16" spans="1:21" s="455" customFormat="1" ht="16.5" customHeight="1" x14ac:dyDescent="0.2">
      <c r="A16" s="2645"/>
      <c r="B16" s="2642"/>
      <c r="C16" s="1179" t="s">
        <v>838</v>
      </c>
      <c r="D16" s="1173" t="s">
        <v>1415</v>
      </c>
      <c r="E16" s="316">
        <v>2884</v>
      </c>
      <c r="F16" s="314">
        <v>3184</v>
      </c>
      <c r="G16" s="316">
        <v>2937</v>
      </c>
      <c r="H16" s="580">
        <f t="shared" si="0"/>
        <v>92.242462311557787</v>
      </c>
      <c r="I16" s="312"/>
      <c r="J16" s="312"/>
      <c r="K16" s="312"/>
      <c r="L16" s="312"/>
      <c r="M16" s="312"/>
      <c r="N16" s="312"/>
      <c r="O16" s="312"/>
      <c r="P16" s="312"/>
      <c r="Q16" s="312"/>
      <c r="R16" s="312"/>
      <c r="S16" s="312"/>
      <c r="T16" s="312"/>
      <c r="U16" s="312"/>
    </row>
    <row r="17" spans="1:21" s="581" customFormat="1" ht="16.5" customHeight="1" x14ac:dyDescent="0.2">
      <c r="A17" s="2645"/>
      <c r="B17" s="2642"/>
      <c r="C17" s="578" t="s">
        <v>189</v>
      </c>
      <c r="D17" s="579" t="s">
        <v>190</v>
      </c>
      <c r="E17" s="316">
        <v>56</v>
      </c>
      <c r="F17" s="314">
        <v>56</v>
      </c>
      <c r="G17" s="316">
        <v>32</v>
      </c>
      <c r="H17" s="580">
        <f t="shared" si="0"/>
        <v>57.142857142857139</v>
      </c>
      <c r="I17" s="312"/>
      <c r="J17" s="312"/>
      <c r="K17" s="312"/>
      <c r="L17" s="312"/>
      <c r="M17" s="312"/>
      <c r="N17" s="312"/>
      <c r="O17" s="312"/>
      <c r="P17" s="312"/>
      <c r="Q17" s="312"/>
      <c r="R17" s="312"/>
      <c r="S17" s="312"/>
      <c r="T17" s="312"/>
      <c r="U17" s="312"/>
    </row>
    <row r="18" spans="1:21" s="455" customFormat="1" ht="16.5" customHeight="1" x14ac:dyDescent="0.25">
      <c r="A18" s="2645">
        <v>6172</v>
      </c>
      <c r="B18" s="2642">
        <v>5175</v>
      </c>
      <c r="C18" s="575"/>
      <c r="D18" s="576" t="s">
        <v>740</v>
      </c>
      <c r="E18" s="315">
        <v>150</v>
      </c>
      <c r="F18" s="313">
        <v>250</v>
      </c>
      <c r="G18" s="315">
        <v>232</v>
      </c>
      <c r="H18" s="577">
        <f t="shared" si="0"/>
        <v>92.800000000000011</v>
      </c>
      <c r="I18" s="312"/>
      <c r="J18" s="312"/>
      <c r="K18" s="312"/>
      <c r="L18" s="312"/>
      <c r="M18" s="312"/>
      <c r="N18" s="312"/>
      <c r="O18" s="312"/>
      <c r="P18" s="312"/>
      <c r="Q18" s="312"/>
      <c r="R18" s="312"/>
      <c r="S18" s="312"/>
      <c r="T18" s="312"/>
      <c r="U18" s="312"/>
    </row>
    <row r="19" spans="1:21" s="312" customFormat="1" ht="16.5" customHeight="1" x14ac:dyDescent="0.25">
      <c r="A19" s="2645">
        <v>6172</v>
      </c>
      <c r="B19" s="2642">
        <v>5194</v>
      </c>
      <c r="C19" s="575"/>
      <c r="D19" s="576" t="s">
        <v>667</v>
      </c>
      <c r="E19" s="315">
        <v>0</v>
      </c>
      <c r="F19" s="313">
        <v>101</v>
      </c>
      <c r="G19" s="315">
        <v>84</v>
      </c>
      <c r="H19" s="577">
        <f t="shared" si="0"/>
        <v>83.168316831683171</v>
      </c>
    </row>
    <row r="20" spans="1:21" s="455" customFormat="1" ht="16.5" customHeight="1" x14ac:dyDescent="0.25">
      <c r="A20" s="2645">
        <v>6172</v>
      </c>
      <c r="B20" s="2642">
        <v>5499</v>
      </c>
      <c r="C20" s="575"/>
      <c r="D20" s="576" t="s">
        <v>412</v>
      </c>
      <c r="E20" s="315">
        <v>2840</v>
      </c>
      <c r="F20" s="315">
        <v>3025</v>
      </c>
      <c r="G20" s="315">
        <f>2668-202</f>
        <v>2466</v>
      </c>
      <c r="H20" s="577">
        <f t="shared" si="0"/>
        <v>81.520661157024804</v>
      </c>
      <c r="I20" s="312"/>
      <c r="J20" s="312"/>
      <c r="K20" s="312"/>
      <c r="L20" s="312"/>
      <c r="M20" s="312"/>
      <c r="N20" s="312"/>
      <c r="O20" s="312"/>
      <c r="P20" s="312"/>
      <c r="Q20" s="312"/>
      <c r="R20" s="312"/>
      <c r="S20" s="312"/>
      <c r="T20" s="312"/>
      <c r="U20" s="312"/>
    </row>
    <row r="21" spans="1:21" s="455" customFormat="1" ht="16.5" customHeight="1" thickBot="1" x14ac:dyDescent="0.3">
      <c r="A21" s="2646">
        <v>6172</v>
      </c>
      <c r="B21" s="2643">
        <v>5909</v>
      </c>
      <c r="C21" s="1608"/>
      <c r="D21" s="1609" t="s">
        <v>488</v>
      </c>
      <c r="E21" s="457"/>
      <c r="F21" s="460">
        <v>0</v>
      </c>
      <c r="G21" s="458">
        <v>46</v>
      </c>
      <c r="H21" s="583">
        <v>0</v>
      </c>
      <c r="I21" s="312"/>
      <c r="J21" s="312"/>
      <c r="K21" s="312"/>
      <c r="L21" s="312"/>
      <c r="M21" s="312"/>
      <c r="N21" s="312"/>
      <c r="O21" s="312"/>
      <c r="P21" s="312"/>
      <c r="Q21" s="312"/>
      <c r="R21" s="312"/>
      <c r="S21" s="312"/>
      <c r="T21" s="312"/>
      <c r="U21" s="312"/>
    </row>
    <row r="22" spans="1:21" s="340" customFormat="1" ht="16.5" thickTop="1" thickBot="1" x14ac:dyDescent="0.3">
      <c r="A22" s="2833" t="s">
        <v>849</v>
      </c>
      <c r="B22" s="2834"/>
      <c r="C22" s="2834"/>
      <c r="D22" s="2835"/>
      <c r="E22" s="480">
        <f>SUM(E9,E10,E12,E13,E14,E15,E18,E19,E20,E11)</f>
        <v>6223</v>
      </c>
      <c r="F22" s="480">
        <f>F9+F10+F11+F12+F13+F14+F15+F18+F19+F20+F21</f>
        <v>6995</v>
      </c>
      <c r="G22" s="480">
        <f>G9+G10+G11+G12+G13+G14+G15+G18+G19+G20+G21</f>
        <v>5911</v>
      </c>
      <c r="H22" s="453">
        <f>G22/F22*100</f>
        <v>84.503216583273769</v>
      </c>
    </row>
    <row r="23" spans="1:21" ht="13.5" thickTop="1" x14ac:dyDescent="0.2">
      <c r="H23" s="584"/>
    </row>
    <row r="24" spans="1:21" x14ac:dyDescent="0.2">
      <c r="H24" s="584"/>
    </row>
    <row r="25" spans="1:21" s="1585" customFormat="1" ht="15.75" x14ac:dyDescent="0.25">
      <c r="A25" s="1583" t="s">
        <v>856</v>
      </c>
      <c r="B25" s="1583"/>
      <c r="C25" s="1583"/>
      <c r="D25" s="1583"/>
      <c r="E25" s="1008">
        <f>SUM(E26:E28)</f>
        <v>6223</v>
      </c>
      <c r="F25" s="1008">
        <f>SUM(F26:F28)</f>
        <v>6995</v>
      </c>
      <c r="G25" s="1008">
        <f>SUM(G26:G28)</f>
        <v>5911</v>
      </c>
      <c r="H25" s="1584">
        <f>G25/F25*100</f>
        <v>84.503216583273769</v>
      </c>
    </row>
    <row r="26" spans="1:21" s="1589" customFormat="1" ht="15" x14ac:dyDescent="0.2">
      <c r="A26" s="581" t="s">
        <v>288</v>
      </c>
      <c r="B26" s="1586"/>
      <c r="C26" s="1586"/>
      <c r="D26" s="1586"/>
      <c r="E26" s="1587">
        <f>SUM(E22)</f>
        <v>6223</v>
      </c>
      <c r="F26" s="1587">
        <f>SUM(F22)</f>
        <v>6995</v>
      </c>
      <c r="G26" s="1587">
        <f>SUM(G22)</f>
        <v>5911</v>
      </c>
      <c r="H26" s="1588">
        <f>G26/F26*100</f>
        <v>84.503216583273769</v>
      </c>
    </row>
    <row r="27" spans="1:21" s="1589" customFormat="1" ht="15" x14ac:dyDescent="0.2">
      <c r="A27" s="581" t="s">
        <v>289</v>
      </c>
      <c r="B27" s="1586"/>
      <c r="C27" s="1586"/>
      <c r="D27" s="1586"/>
      <c r="E27" s="1587">
        <v>0</v>
      </c>
      <c r="F27" s="1587">
        <v>0</v>
      </c>
      <c r="G27" s="1587">
        <v>0</v>
      </c>
      <c r="H27" s="1588">
        <v>0</v>
      </c>
    </row>
    <row r="28" spans="1:21" s="613" customFormat="1" ht="15" x14ac:dyDescent="0.2">
      <c r="A28" s="1586" t="s">
        <v>1324</v>
      </c>
      <c r="B28" s="1586"/>
      <c r="C28" s="1586"/>
      <c r="D28" s="1586"/>
      <c r="E28" s="1587">
        <v>0</v>
      </c>
      <c r="F28" s="1587">
        <v>0</v>
      </c>
      <c r="G28" s="1587">
        <v>0</v>
      </c>
      <c r="H28" s="1588">
        <v>0</v>
      </c>
    </row>
    <row r="29" spans="1:21" s="1593" customFormat="1" ht="24" thickBot="1" x14ac:dyDescent="0.4">
      <c r="A29" s="1590" t="s">
        <v>120</v>
      </c>
      <c r="B29" s="1590"/>
      <c r="C29" s="1590"/>
      <c r="D29" s="1590"/>
      <c r="E29" s="1591">
        <f>SUM(E25)</f>
        <v>6223</v>
      </c>
      <c r="F29" s="1591">
        <f>SUM(F25)</f>
        <v>6995</v>
      </c>
      <c r="G29" s="1591">
        <f>SUM(G25)</f>
        <v>5911</v>
      </c>
      <c r="H29" s="1592">
        <f>G29/F29*100</f>
        <v>84.503216583273769</v>
      </c>
    </row>
    <row r="30" spans="1:21" ht="13.5" thickTop="1" x14ac:dyDescent="0.2">
      <c r="D30" s="414"/>
      <c r="E30" s="414"/>
      <c r="F30" s="349"/>
      <c r="G30" s="449"/>
      <c r="H30" s="426"/>
      <c r="I30" s="449"/>
    </row>
    <row r="31" spans="1:21" x14ac:dyDescent="0.2">
      <c r="D31" s="414"/>
      <c r="E31" s="414"/>
      <c r="F31" s="587"/>
      <c r="G31" s="385"/>
      <c r="H31" s="385"/>
      <c r="I31" s="385"/>
      <c r="J31" s="587"/>
    </row>
    <row r="32" spans="1:21" ht="14.25" x14ac:dyDescent="0.2">
      <c r="A32" s="588" t="s">
        <v>121</v>
      </c>
      <c r="B32" s="589"/>
      <c r="C32" s="589"/>
      <c r="D32" s="589"/>
      <c r="E32" s="589"/>
      <c r="F32" s="590"/>
      <c r="G32" s="515"/>
      <c r="H32" s="515"/>
      <c r="I32" s="515"/>
      <c r="J32" s="590"/>
    </row>
    <row r="33" spans="1:10" ht="15.75" customHeight="1" x14ac:dyDescent="0.2">
      <c r="A33" s="2836" t="s">
        <v>1897</v>
      </c>
      <c r="B33" s="2837"/>
      <c r="C33" s="2837"/>
      <c r="D33" s="2837"/>
      <c r="E33" s="2837"/>
      <c r="F33" s="2837"/>
      <c r="G33" s="2837"/>
      <c r="H33" s="2837"/>
      <c r="I33" s="377"/>
      <c r="J33" s="377"/>
    </row>
    <row r="34" spans="1:10" ht="12.75" customHeight="1" x14ac:dyDescent="0.2">
      <c r="A34" s="2837"/>
      <c r="B34" s="2837"/>
      <c r="C34" s="2837"/>
      <c r="D34" s="2837"/>
      <c r="E34" s="2837"/>
      <c r="F34" s="2837"/>
      <c r="G34" s="2837"/>
      <c r="H34" s="2837"/>
      <c r="I34" s="377"/>
      <c r="J34" s="377"/>
    </row>
  </sheetData>
  <mergeCells count="3">
    <mergeCell ref="A1:H2"/>
    <mergeCell ref="A22:D22"/>
    <mergeCell ref="A33:H34"/>
  </mergeCells>
  <phoneticPr fontId="33" type="noConversion"/>
  <pageMargins left="0.98425196850393704" right="0.98425196850393704" top="0.98425196850393704" bottom="0.98425196850393704" header="0.51181102362204722" footer="0.51181102362204722"/>
  <pageSetup paperSize="9" scale="70" firstPageNumber="185" orientation="portrait" useFirstPageNumber="1" r:id="rId1"/>
  <headerFooter alignWithMargins="0">
    <oddFooter xml:space="preserve">&amp;L&amp;"Arial,Kurzíva"Zastupitelstvo Olomouckého kraje 28. 6. 2013
6.- Závěrečný  účet Olomuckého kraje za rok 2012
Příloha č. 3: Plnění rozpočtu výdajů Olomouckého kraje k 31.12.2012&amp;R&amp;"Arial,Kurzíva"Strana &amp;P (Celkem 484)
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 enableFormatConditionsCalculation="0">
    <tabColor indexed="33"/>
  </sheetPr>
  <dimension ref="A1:N66"/>
  <sheetViews>
    <sheetView showGridLines="0" topLeftCell="B52" zoomScaleNormal="100" workbookViewId="0">
      <selection activeCell="D63" sqref="D62:D64"/>
    </sheetView>
  </sheetViews>
  <sheetFormatPr defaultRowHeight="12.75" x14ac:dyDescent="0.2"/>
  <cols>
    <col min="1" max="2" width="4.7109375" customWidth="1"/>
    <col min="3" max="3" width="6.7109375" customWidth="1"/>
    <col min="4" max="4" width="47.28515625" customWidth="1"/>
    <col min="5" max="7" width="13.5703125" style="12" customWidth="1"/>
    <col min="8" max="8" width="6.7109375" style="114" customWidth="1"/>
  </cols>
  <sheetData>
    <row r="1" spans="1:8" s="74" customFormat="1" ht="18.75" thickBot="1" x14ac:dyDescent="0.3">
      <c r="A1" s="77" t="s">
        <v>413</v>
      </c>
      <c r="B1" s="77"/>
      <c r="C1" s="77"/>
      <c r="D1" s="77"/>
      <c r="E1" s="79"/>
      <c r="F1" s="79" t="s">
        <v>795</v>
      </c>
      <c r="G1" s="80"/>
      <c r="H1" s="216"/>
    </row>
    <row r="3" spans="1:8" ht="14.25" x14ac:dyDescent="0.2">
      <c r="A3" s="65" t="s">
        <v>404</v>
      </c>
      <c r="B3" s="65"/>
      <c r="C3" s="65" t="s">
        <v>405</v>
      </c>
      <c r="D3" s="65"/>
    </row>
    <row r="4" spans="1:8" ht="14.25" x14ac:dyDescent="0.2">
      <c r="A4" s="65"/>
      <c r="B4" s="65"/>
      <c r="C4" s="65" t="s">
        <v>372</v>
      </c>
      <c r="D4" s="65"/>
    </row>
    <row r="6" spans="1:8" ht="15.75" x14ac:dyDescent="0.25">
      <c r="A6" s="73" t="s">
        <v>988</v>
      </c>
    </row>
    <row r="7" spans="1:8" ht="13.5" thickBot="1" x14ac:dyDescent="0.25">
      <c r="H7" s="114" t="s">
        <v>179</v>
      </c>
    </row>
    <row r="8" spans="1:8" s="24" customFormat="1" ht="20.25" customHeight="1" thickTop="1" thickBot="1" x14ac:dyDescent="0.25">
      <c r="A8" s="21" t="s">
        <v>180</v>
      </c>
      <c r="B8" s="22" t="s">
        <v>181</v>
      </c>
      <c r="C8" s="46" t="s">
        <v>783</v>
      </c>
      <c r="D8" s="46" t="s">
        <v>182</v>
      </c>
      <c r="E8" s="46" t="s">
        <v>183</v>
      </c>
      <c r="F8" s="46" t="s">
        <v>985</v>
      </c>
      <c r="G8" s="46" t="s">
        <v>986</v>
      </c>
      <c r="H8" s="204" t="s">
        <v>987</v>
      </c>
    </row>
    <row r="9" spans="1:8" s="107" customFormat="1" ht="15.75" customHeight="1" thickTop="1" x14ac:dyDescent="0.25">
      <c r="A9" s="235">
        <v>6113</v>
      </c>
      <c r="B9" s="219">
        <v>5169</v>
      </c>
      <c r="C9" s="236"/>
      <c r="D9" s="221" t="s">
        <v>955</v>
      </c>
      <c r="E9" s="227">
        <v>36</v>
      </c>
      <c r="F9" s="148">
        <f>E9+F11</f>
        <v>40</v>
      </c>
      <c r="G9" s="148">
        <v>24</v>
      </c>
      <c r="H9" s="240">
        <f>(G9/F9)*100</f>
        <v>60</v>
      </c>
    </row>
    <row r="10" spans="1:8" s="107" customFormat="1" ht="15.75" customHeight="1" x14ac:dyDescent="0.25">
      <c r="A10" s="223"/>
      <c r="B10" s="96"/>
      <c r="C10" s="175"/>
      <c r="D10" s="224" t="s">
        <v>428</v>
      </c>
      <c r="E10" s="149"/>
      <c r="F10" s="60"/>
      <c r="G10" s="60"/>
      <c r="H10" s="212"/>
    </row>
    <row r="11" spans="1:8" s="107" customFormat="1" ht="15.75" customHeight="1" x14ac:dyDescent="0.25">
      <c r="A11" s="238"/>
      <c r="B11" s="95"/>
      <c r="C11" s="176"/>
      <c r="D11" s="172" t="s">
        <v>298</v>
      </c>
      <c r="E11" s="218"/>
      <c r="F11" s="97">
        <v>4</v>
      </c>
      <c r="G11" s="126"/>
      <c r="H11" s="248"/>
    </row>
    <row r="12" spans="1:8" s="107" customFormat="1" ht="15.75" customHeight="1" x14ac:dyDescent="0.25">
      <c r="A12" s="223">
        <v>6113</v>
      </c>
      <c r="B12" s="96">
        <v>5499</v>
      </c>
      <c r="C12" s="175"/>
      <c r="D12" s="68" t="s">
        <v>412</v>
      </c>
      <c r="E12" s="149">
        <v>29</v>
      </c>
      <c r="F12" s="60">
        <f>E12+F14</f>
        <v>25</v>
      </c>
      <c r="G12" s="60">
        <v>7</v>
      </c>
      <c r="H12" s="212">
        <f>(G12/F12)*100</f>
        <v>28.000000000000004</v>
      </c>
    </row>
    <row r="13" spans="1:8" s="107" customFormat="1" ht="15.75" customHeight="1" x14ac:dyDescent="0.25">
      <c r="A13" s="223"/>
      <c r="B13" s="96"/>
      <c r="C13" s="175"/>
      <c r="D13" s="90" t="s">
        <v>999</v>
      </c>
      <c r="E13" s="149"/>
      <c r="F13" s="60"/>
      <c r="G13" s="60"/>
      <c r="H13" s="212"/>
    </row>
    <row r="14" spans="1:8" s="107" customFormat="1" ht="15.75" customHeight="1" x14ac:dyDescent="0.25">
      <c r="A14" s="238"/>
      <c r="B14" s="95"/>
      <c r="C14" s="176"/>
      <c r="D14" s="172" t="s">
        <v>860</v>
      </c>
      <c r="E14" s="218"/>
      <c r="F14" s="97">
        <v>-4</v>
      </c>
      <c r="G14" s="126"/>
      <c r="H14" s="248"/>
    </row>
    <row r="15" spans="1:8" s="107" customFormat="1" ht="15.75" customHeight="1" x14ac:dyDescent="0.25">
      <c r="A15" s="251">
        <v>6113</v>
      </c>
      <c r="B15" s="220">
        <v>5901</v>
      </c>
      <c r="C15" s="252"/>
      <c r="D15" s="109" t="s">
        <v>670</v>
      </c>
      <c r="E15" s="187">
        <v>90</v>
      </c>
      <c r="F15" s="186">
        <v>90</v>
      </c>
      <c r="G15" s="186">
        <v>0</v>
      </c>
      <c r="H15" s="257">
        <v>0</v>
      </c>
    </row>
    <row r="16" spans="1:8" s="107" customFormat="1" ht="15.75" customHeight="1" x14ac:dyDescent="0.25">
      <c r="A16" s="223">
        <v>6172</v>
      </c>
      <c r="B16" s="96">
        <v>5137</v>
      </c>
      <c r="C16" s="175"/>
      <c r="D16" s="68" t="s">
        <v>863</v>
      </c>
      <c r="E16" s="149"/>
      <c r="F16" s="60">
        <v>10</v>
      </c>
      <c r="G16" s="60">
        <v>6</v>
      </c>
      <c r="H16" s="212">
        <f>(G16/F16)*100</f>
        <v>60</v>
      </c>
    </row>
    <row r="17" spans="1:8" s="108" customFormat="1" ht="15.75" customHeight="1" x14ac:dyDescent="0.25">
      <c r="A17" s="223"/>
      <c r="B17" s="96"/>
      <c r="C17" s="175"/>
      <c r="D17" s="224" t="s">
        <v>428</v>
      </c>
      <c r="E17" s="149"/>
      <c r="F17" s="60"/>
      <c r="G17" s="60"/>
      <c r="H17" s="212"/>
    </row>
    <row r="18" spans="1:8" s="108" customFormat="1" ht="15.75" customHeight="1" x14ac:dyDescent="0.25">
      <c r="A18" s="238"/>
      <c r="B18" s="95"/>
      <c r="C18" s="176"/>
      <c r="D18" s="172" t="s">
        <v>864</v>
      </c>
      <c r="E18" s="218"/>
      <c r="F18" s="97">
        <v>10</v>
      </c>
      <c r="G18" s="126"/>
      <c r="H18" s="248"/>
    </row>
    <row r="19" spans="1:8" s="107" customFormat="1" ht="15.75" customHeight="1" x14ac:dyDescent="0.25">
      <c r="A19" s="223">
        <v>6172</v>
      </c>
      <c r="B19" s="96">
        <v>5139</v>
      </c>
      <c r="C19" s="175"/>
      <c r="D19" s="68" t="s">
        <v>693</v>
      </c>
      <c r="E19" s="149"/>
      <c r="F19" s="60">
        <v>1</v>
      </c>
      <c r="G19" s="60">
        <v>0</v>
      </c>
      <c r="H19" s="212">
        <v>0</v>
      </c>
    </row>
    <row r="20" spans="1:8" s="107" customFormat="1" ht="15.75" customHeight="1" x14ac:dyDescent="0.25">
      <c r="A20" s="223"/>
      <c r="B20" s="96"/>
      <c r="C20" s="175"/>
      <c r="D20" s="224" t="s">
        <v>428</v>
      </c>
      <c r="E20" s="149"/>
      <c r="F20" s="124"/>
      <c r="G20" s="60"/>
      <c r="H20" s="212"/>
    </row>
    <row r="21" spans="1:8" s="107" customFormat="1" ht="15.75" customHeight="1" x14ac:dyDescent="0.25">
      <c r="A21" s="238"/>
      <c r="B21" s="95"/>
      <c r="C21" s="176"/>
      <c r="D21" s="172" t="s">
        <v>1024</v>
      </c>
      <c r="E21" s="218"/>
      <c r="F21" s="97">
        <v>1</v>
      </c>
      <c r="G21" s="126"/>
      <c r="H21" s="248"/>
    </row>
    <row r="22" spans="1:8" s="107" customFormat="1" ht="15.75" customHeight="1" x14ac:dyDescent="0.25">
      <c r="A22" s="251">
        <v>6172</v>
      </c>
      <c r="B22" s="220">
        <v>5163</v>
      </c>
      <c r="C22" s="252"/>
      <c r="D22" s="109" t="s">
        <v>997</v>
      </c>
      <c r="E22" s="187">
        <v>30</v>
      </c>
      <c r="F22" s="186">
        <v>30</v>
      </c>
      <c r="G22" s="186">
        <v>17</v>
      </c>
      <c r="H22" s="257">
        <f>(G22/F22)*100</f>
        <v>56.666666666666664</v>
      </c>
    </row>
    <row r="23" spans="1:8" s="107" customFormat="1" ht="15.75" customHeight="1" x14ac:dyDescent="0.25">
      <c r="A23" s="223">
        <v>6172</v>
      </c>
      <c r="B23" s="96">
        <v>5164</v>
      </c>
      <c r="C23" s="175"/>
      <c r="D23" s="68" t="s">
        <v>188</v>
      </c>
      <c r="E23" s="149">
        <v>50</v>
      </c>
      <c r="F23" s="60">
        <f>E23+F25</f>
        <v>75</v>
      </c>
      <c r="G23" s="60">
        <v>70</v>
      </c>
      <c r="H23" s="212">
        <f>(G23/F23)*100</f>
        <v>93.333333333333329</v>
      </c>
    </row>
    <row r="24" spans="1:8" s="107" customFormat="1" ht="15.75" customHeight="1" x14ac:dyDescent="0.25">
      <c r="A24" s="223"/>
      <c r="B24" s="96"/>
      <c r="C24" s="175"/>
      <c r="D24" s="224" t="s">
        <v>428</v>
      </c>
      <c r="E24" s="149"/>
      <c r="F24" s="60"/>
      <c r="G24" s="60"/>
      <c r="H24" s="212"/>
    </row>
    <row r="25" spans="1:8" s="107" customFormat="1" ht="15.75" customHeight="1" x14ac:dyDescent="0.25">
      <c r="A25" s="238"/>
      <c r="B25" s="95"/>
      <c r="C25" s="176"/>
      <c r="D25" s="172" t="s">
        <v>1024</v>
      </c>
      <c r="E25" s="218"/>
      <c r="F25" s="97">
        <v>25</v>
      </c>
      <c r="G25" s="126"/>
      <c r="H25" s="248"/>
    </row>
    <row r="26" spans="1:8" s="107" customFormat="1" ht="15.75" customHeight="1" x14ac:dyDescent="0.25">
      <c r="A26" s="223">
        <v>6172</v>
      </c>
      <c r="B26" s="96">
        <v>5169</v>
      </c>
      <c r="C26" s="175"/>
      <c r="D26" s="68" t="s">
        <v>955</v>
      </c>
      <c r="E26" s="149">
        <v>2706</v>
      </c>
      <c r="F26" s="60">
        <f>E26+F28+F29+F32</f>
        <v>2967</v>
      </c>
      <c r="G26" s="60">
        <v>2738</v>
      </c>
      <c r="H26" s="212">
        <f>(G26/F26)*100</f>
        <v>92.281766093697343</v>
      </c>
    </row>
    <row r="27" spans="1:8" s="107" customFormat="1" ht="15.75" customHeight="1" x14ac:dyDescent="0.25">
      <c r="A27" s="223"/>
      <c r="B27" s="96"/>
      <c r="C27" s="175"/>
      <c r="D27" s="224" t="s">
        <v>428</v>
      </c>
      <c r="E27" s="149"/>
      <c r="F27" s="60"/>
      <c r="G27" s="60"/>
      <c r="H27" s="212"/>
    </row>
    <row r="28" spans="1:8" s="107" customFormat="1" ht="15.75" customHeight="1" x14ac:dyDescent="0.25">
      <c r="A28" s="223"/>
      <c r="B28" s="96"/>
      <c r="C28" s="175"/>
      <c r="D28" s="225" t="s">
        <v>1025</v>
      </c>
      <c r="E28" s="149"/>
      <c r="F28" s="124">
        <v>523</v>
      </c>
      <c r="G28" s="60"/>
      <c r="H28" s="212"/>
    </row>
    <row r="29" spans="1:8" s="107" customFormat="1" ht="15.75" customHeight="1" x14ac:dyDescent="0.25">
      <c r="A29" s="223"/>
      <c r="B29" s="96"/>
      <c r="C29" s="175"/>
      <c r="D29" s="2838" t="s">
        <v>741</v>
      </c>
      <c r="E29" s="149"/>
      <c r="F29" s="124">
        <v>38</v>
      </c>
      <c r="G29" s="60"/>
      <c r="H29" s="212"/>
    </row>
    <row r="30" spans="1:8" s="107" customFormat="1" ht="15.75" customHeight="1" x14ac:dyDescent="0.25">
      <c r="A30" s="223"/>
      <c r="B30" s="96"/>
      <c r="C30" s="175"/>
      <c r="D30" s="2838"/>
      <c r="E30" s="149"/>
      <c r="F30" s="124"/>
      <c r="G30" s="60"/>
      <c r="H30" s="212"/>
    </row>
    <row r="31" spans="1:8" s="107" customFormat="1" ht="15.75" customHeight="1" x14ac:dyDescent="0.25">
      <c r="A31" s="223"/>
      <c r="B31" s="96"/>
      <c r="C31" s="175"/>
      <c r="D31" s="90" t="s">
        <v>999</v>
      </c>
      <c r="E31" s="149"/>
      <c r="F31" s="124"/>
      <c r="G31" s="60"/>
      <c r="H31" s="212"/>
    </row>
    <row r="32" spans="1:8" s="107" customFormat="1" ht="15.75" customHeight="1" x14ac:dyDescent="0.25">
      <c r="A32" s="238"/>
      <c r="B32" s="95"/>
      <c r="C32" s="176"/>
      <c r="D32" s="249" t="s">
        <v>283</v>
      </c>
      <c r="E32" s="218"/>
      <c r="F32" s="97">
        <v>-300</v>
      </c>
      <c r="G32" s="126"/>
      <c r="H32" s="248"/>
    </row>
    <row r="33" spans="1:8" s="107" customFormat="1" ht="15.75" customHeight="1" x14ac:dyDescent="0.25">
      <c r="A33" s="223">
        <v>6172</v>
      </c>
      <c r="B33" s="96">
        <v>5175</v>
      </c>
      <c r="C33" s="175"/>
      <c r="D33" s="256" t="s">
        <v>740</v>
      </c>
      <c r="E33" s="149"/>
      <c r="F33" s="60">
        <v>150</v>
      </c>
      <c r="G33" s="60">
        <v>136</v>
      </c>
      <c r="H33" s="212">
        <f>(G33/F33)*100</f>
        <v>90.666666666666657</v>
      </c>
    </row>
    <row r="34" spans="1:8" s="107" customFormat="1" ht="15.75" customHeight="1" x14ac:dyDescent="0.25">
      <c r="A34" s="223"/>
      <c r="B34" s="96"/>
      <c r="C34" s="175"/>
      <c r="D34" s="224" t="s">
        <v>428</v>
      </c>
      <c r="E34" s="149"/>
      <c r="F34" s="124"/>
      <c r="G34" s="60"/>
      <c r="H34" s="212"/>
    </row>
    <row r="35" spans="1:8" s="107" customFormat="1" ht="15.75" customHeight="1" x14ac:dyDescent="0.25">
      <c r="A35" s="238"/>
      <c r="B35" s="95"/>
      <c r="C35" s="176"/>
      <c r="D35" s="172" t="s">
        <v>864</v>
      </c>
      <c r="E35" s="218"/>
      <c r="F35" s="97">
        <v>150</v>
      </c>
      <c r="G35" s="126"/>
      <c r="H35" s="248"/>
    </row>
    <row r="36" spans="1:8" s="107" customFormat="1" ht="15.75" customHeight="1" x14ac:dyDescent="0.25">
      <c r="A36" s="223">
        <v>6172</v>
      </c>
      <c r="B36" s="96">
        <v>5194</v>
      </c>
      <c r="C36" s="175"/>
      <c r="D36" s="68" t="s">
        <v>667</v>
      </c>
      <c r="E36" s="149">
        <v>100</v>
      </c>
      <c r="F36" s="60">
        <f>E36+F38</f>
        <v>50</v>
      </c>
      <c r="G36" s="60">
        <v>49</v>
      </c>
      <c r="H36" s="212">
        <f>(G36/F36)*100</f>
        <v>98</v>
      </c>
    </row>
    <row r="37" spans="1:8" s="107" customFormat="1" ht="15.75" customHeight="1" x14ac:dyDescent="0.25">
      <c r="A37" s="223"/>
      <c r="B37" s="96"/>
      <c r="C37" s="175"/>
      <c r="D37" s="90" t="s">
        <v>999</v>
      </c>
      <c r="E37" s="149"/>
      <c r="F37" s="60"/>
      <c r="G37" s="60"/>
      <c r="H37" s="212"/>
    </row>
    <row r="38" spans="1:8" s="107" customFormat="1" ht="15.75" customHeight="1" x14ac:dyDescent="0.25">
      <c r="A38" s="238"/>
      <c r="B38" s="95"/>
      <c r="C38" s="176"/>
      <c r="D38" s="172" t="s">
        <v>1025</v>
      </c>
      <c r="E38" s="218"/>
      <c r="F38" s="97">
        <v>-50</v>
      </c>
      <c r="G38" s="126"/>
      <c r="H38" s="248"/>
    </row>
    <row r="39" spans="1:8" s="107" customFormat="1" ht="15.75" customHeight="1" x14ac:dyDescent="0.25">
      <c r="A39" s="223">
        <v>6172</v>
      </c>
      <c r="B39" s="96">
        <v>5499</v>
      </c>
      <c r="C39" s="175"/>
      <c r="D39" s="68" t="s">
        <v>412</v>
      </c>
      <c r="E39" s="149">
        <v>1400</v>
      </c>
      <c r="F39" s="60">
        <f>E39+F41+F44+F42</f>
        <v>1798</v>
      </c>
      <c r="G39" s="60">
        <v>1803</v>
      </c>
      <c r="H39" s="212">
        <f>(G39/F39)*100</f>
        <v>100.27808676307008</v>
      </c>
    </row>
    <row r="40" spans="1:8" s="107" customFormat="1" ht="15.75" customHeight="1" x14ac:dyDescent="0.25">
      <c r="A40" s="223"/>
      <c r="B40" s="96"/>
      <c r="C40" s="175"/>
      <c r="D40" s="224" t="s">
        <v>428</v>
      </c>
      <c r="E40" s="149"/>
      <c r="F40" s="60"/>
      <c r="G40" s="60"/>
      <c r="H40" s="212"/>
    </row>
    <row r="41" spans="1:8" s="107" customFormat="1" ht="15.75" customHeight="1" x14ac:dyDescent="0.25">
      <c r="A41" s="223"/>
      <c r="B41" s="96"/>
      <c r="C41" s="175"/>
      <c r="D41" s="225" t="s">
        <v>1025</v>
      </c>
      <c r="E41" s="149"/>
      <c r="F41" s="124">
        <v>214</v>
      </c>
      <c r="G41" s="60"/>
      <c r="H41" s="212"/>
    </row>
    <row r="42" spans="1:8" s="107" customFormat="1" ht="15.75" customHeight="1" x14ac:dyDescent="0.25">
      <c r="A42" s="223"/>
      <c r="B42" s="96"/>
      <c r="C42" s="175"/>
      <c r="D42" s="225" t="s">
        <v>284</v>
      </c>
      <c r="E42" s="149"/>
      <c r="F42" s="124">
        <v>300</v>
      </c>
      <c r="G42" s="60"/>
      <c r="H42" s="212"/>
    </row>
    <row r="43" spans="1:8" s="107" customFormat="1" ht="15.75" customHeight="1" x14ac:dyDescent="0.25">
      <c r="A43" s="223"/>
      <c r="B43" s="96"/>
      <c r="C43" s="175"/>
      <c r="D43" s="90" t="s">
        <v>999</v>
      </c>
      <c r="E43" s="149"/>
      <c r="F43" s="124"/>
      <c r="G43" s="60"/>
      <c r="H43" s="212"/>
    </row>
    <row r="44" spans="1:8" s="107" customFormat="1" ht="15.75" customHeight="1" thickBot="1" x14ac:dyDescent="0.3">
      <c r="A44" s="263"/>
      <c r="B44" s="250"/>
      <c r="C44" s="264"/>
      <c r="D44" s="226" t="s">
        <v>285</v>
      </c>
      <c r="E44" s="265"/>
      <c r="F44" s="184">
        <v>-116</v>
      </c>
      <c r="G44" s="266"/>
      <c r="H44" s="267"/>
    </row>
    <row r="45" spans="1:8" s="107" customFormat="1" ht="15.75" customHeight="1" thickTop="1" x14ac:dyDescent="0.25">
      <c r="A45" s="268"/>
      <c r="B45" s="268"/>
      <c r="C45" s="175"/>
      <c r="D45" s="166"/>
      <c r="E45" s="149"/>
      <c r="F45" s="123"/>
      <c r="G45" s="149"/>
      <c r="H45" s="269"/>
    </row>
    <row r="46" spans="1:8" s="107" customFormat="1" ht="15.75" customHeight="1" x14ac:dyDescent="0.25">
      <c r="A46" s="268"/>
      <c r="B46" s="268"/>
      <c r="C46" s="175"/>
      <c r="D46" s="166"/>
      <c r="E46" s="149"/>
      <c r="F46" s="123"/>
      <c r="G46" s="149"/>
      <c r="H46" s="269"/>
    </row>
    <row r="47" spans="1:8" s="107" customFormat="1" ht="15.75" customHeight="1" x14ac:dyDescent="0.25">
      <c r="A47" s="268"/>
      <c r="B47" s="268"/>
      <c r="C47" s="175"/>
      <c r="D47" s="166"/>
      <c r="E47" s="149"/>
      <c r="F47" s="123"/>
      <c r="G47" s="149"/>
      <c r="H47" s="269"/>
    </row>
    <row r="48" spans="1:8" s="107" customFormat="1" ht="15.75" customHeight="1" x14ac:dyDescent="0.25">
      <c r="A48" s="268"/>
      <c r="B48" s="268"/>
      <c r="C48" s="175"/>
      <c r="D48" s="166"/>
      <c r="E48" s="149"/>
      <c r="F48" s="123"/>
      <c r="G48" s="149"/>
      <c r="H48" s="269"/>
    </row>
    <row r="49" spans="1:8" s="107" customFormat="1" ht="15.75" customHeight="1" x14ac:dyDescent="0.25">
      <c r="A49" s="268"/>
      <c r="B49" s="268"/>
      <c r="C49" s="175"/>
      <c r="D49" s="166"/>
      <c r="E49" s="149"/>
      <c r="F49" s="123"/>
      <c r="G49" s="149"/>
      <c r="H49" s="269"/>
    </row>
    <row r="50" spans="1:8" s="107" customFormat="1" ht="15.75" customHeight="1" x14ac:dyDescent="0.25">
      <c r="A50" s="268"/>
      <c r="B50" s="268"/>
      <c r="C50" s="175"/>
      <c r="D50" s="166"/>
      <c r="E50" s="149"/>
      <c r="F50" s="123"/>
      <c r="G50" s="149"/>
      <c r="H50" s="269"/>
    </row>
    <row r="51" spans="1:8" s="107" customFormat="1" ht="15.75" customHeight="1" x14ac:dyDescent="0.25">
      <c r="A51" s="268"/>
      <c r="B51" s="268"/>
      <c r="C51" s="175"/>
      <c r="D51" s="166"/>
      <c r="E51" s="149"/>
      <c r="F51" s="123"/>
      <c r="G51" s="149"/>
      <c r="H51" s="269"/>
    </row>
    <row r="52" spans="1:8" s="107" customFormat="1" ht="15.75" customHeight="1" x14ac:dyDescent="0.25">
      <c r="A52" s="268"/>
      <c r="B52" s="268"/>
      <c r="C52" s="175"/>
      <c r="D52" s="166"/>
      <c r="E52" s="149"/>
      <c r="F52" s="123"/>
      <c r="G52" s="149"/>
      <c r="H52" s="269"/>
    </row>
    <row r="53" spans="1:8" s="107" customFormat="1" ht="15.75" customHeight="1" x14ac:dyDescent="0.25">
      <c r="A53" s="268"/>
      <c r="B53" s="268"/>
      <c r="C53" s="175"/>
      <c r="D53" s="166"/>
      <c r="E53" s="149"/>
      <c r="F53" s="123"/>
      <c r="G53" s="149"/>
      <c r="H53" s="269"/>
    </row>
    <row r="54" spans="1:8" s="107" customFormat="1" ht="15.75" customHeight="1" x14ac:dyDescent="0.25">
      <c r="A54" s="268"/>
      <c r="B54" s="268"/>
      <c r="C54" s="175"/>
      <c r="D54" s="166"/>
      <c r="E54" s="149"/>
      <c r="F54" s="123"/>
      <c r="G54" s="149"/>
      <c r="H54" s="269"/>
    </row>
    <row r="55" spans="1:8" ht="13.5" thickBot="1" x14ac:dyDescent="0.25">
      <c r="H55" s="114" t="s">
        <v>179</v>
      </c>
    </row>
    <row r="56" spans="1:8" s="24" customFormat="1" ht="20.25" customHeight="1" thickTop="1" thickBot="1" x14ac:dyDescent="0.25">
      <c r="A56" s="21" t="s">
        <v>180</v>
      </c>
      <c r="B56" s="22" t="s">
        <v>181</v>
      </c>
      <c r="C56" s="46" t="s">
        <v>783</v>
      </c>
      <c r="D56" s="46" t="s">
        <v>182</v>
      </c>
      <c r="E56" s="46" t="s">
        <v>183</v>
      </c>
      <c r="F56" s="46" t="s">
        <v>985</v>
      </c>
      <c r="G56" s="46" t="s">
        <v>986</v>
      </c>
      <c r="H56" s="204" t="s">
        <v>987</v>
      </c>
    </row>
    <row r="57" spans="1:8" s="107" customFormat="1" ht="15.75" customHeight="1" thickTop="1" x14ac:dyDescent="0.25">
      <c r="A57" s="223">
        <v>6172</v>
      </c>
      <c r="B57" s="96">
        <v>5901</v>
      </c>
      <c r="C57" s="175"/>
      <c r="D57" s="68" t="s">
        <v>670</v>
      </c>
      <c r="E57" s="149">
        <v>129</v>
      </c>
      <c r="F57" s="60">
        <f>E57+F59+F60+F63+F61</f>
        <v>125</v>
      </c>
      <c r="G57" s="60">
        <v>0</v>
      </c>
      <c r="H57" s="211">
        <v>0</v>
      </c>
    </row>
    <row r="58" spans="1:8" s="107" customFormat="1" ht="15.75" customHeight="1" x14ac:dyDescent="0.25">
      <c r="A58" s="223"/>
      <c r="B58" s="96"/>
      <c r="C58" s="175"/>
      <c r="D58" s="90" t="s">
        <v>999</v>
      </c>
      <c r="E58" s="149"/>
      <c r="F58" s="60"/>
      <c r="G58" s="60"/>
      <c r="H58" s="258"/>
    </row>
    <row r="59" spans="1:8" s="107" customFormat="1" ht="15.75" customHeight="1" x14ac:dyDescent="0.25">
      <c r="A59" s="223"/>
      <c r="B59" s="96"/>
      <c r="C59" s="175"/>
      <c r="D59" s="225" t="s">
        <v>1025</v>
      </c>
      <c r="E59" s="149"/>
      <c r="F59" s="124">
        <v>-5</v>
      </c>
      <c r="G59" s="60"/>
      <c r="H59" s="258"/>
    </row>
    <row r="60" spans="1:8" s="107" customFormat="1" ht="15.75" customHeight="1" x14ac:dyDescent="0.25">
      <c r="A60" s="223"/>
      <c r="B60" s="96"/>
      <c r="C60" s="175"/>
      <c r="D60" s="225" t="s">
        <v>286</v>
      </c>
      <c r="E60" s="149"/>
      <c r="F60" s="124">
        <v>-160</v>
      </c>
      <c r="G60" s="60"/>
      <c r="H60" s="258"/>
    </row>
    <row r="61" spans="1:8" s="107" customFormat="1" ht="15.75" customHeight="1" x14ac:dyDescent="0.25">
      <c r="A61" s="223"/>
      <c r="B61" s="96"/>
      <c r="C61" s="175"/>
      <c r="D61" s="225" t="s">
        <v>226</v>
      </c>
      <c r="E61" s="149"/>
      <c r="F61" s="124">
        <v>-26</v>
      </c>
      <c r="G61" s="60"/>
      <c r="H61" s="258"/>
    </row>
    <row r="62" spans="1:8" s="107" customFormat="1" ht="15.75" customHeight="1" x14ac:dyDescent="0.25">
      <c r="A62" s="223"/>
      <c r="B62" s="96"/>
      <c r="C62" s="175"/>
      <c r="D62" s="224" t="s">
        <v>428</v>
      </c>
      <c r="E62" s="149"/>
      <c r="F62" s="124"/>
      <c r="G62" s="60"/>
      <c r="H62" s="258"/>
    </row>
    <row r="63" spans="1:8" s="107" customFormat="1" ht="15.75" customHeight="1" x14ac:dyDescent="0.25">
      <c r="A63" s="223"/>
      <c r="B63" s="96"/>
      <c r="C63" s="175"/>
      <c r="D63" s="2838" t="s">
        <v>741</v>
      </c>
      <c r="E63" s="149"/>
      <c r="F63" s="124">
        <v>187</v>
      </c>
      <c r="G63" s="60"/>
      <c r="H63" s="258"/>
    </row>
    <row r="64" spans="1:8" s="78" customFormat="1" ht="20.25" customHeight="1" x14ac:dyDescent="0.25">
      <c r="A64" s="238"/>
      <c r="B64" s="95"/>
      <c r="C64" s="176"/>
      <c r="D64" s="2839"/>
      <c r="E64" s="218"/>
      <c r="F64" s="97"/>
      <c r="G64" s="126"/>
      <c r="H64" s="259"/>
    </row>
    <row r="65" spans="1:14" s="45" customFormat="1" ht="47.25" customHeight="1" thickBot="1" x14ac:dyDescent="0.4">
      <c r="A65" s="40" t="s">
        <v>1338</v>
      </c>
      <c r="B65" s="41"/>
      <c r="C65" s="42"/>
      <c r="D65" s="43"/>
      <c r="E65" s="44">
        <f>SUM(E9,E12,E15,E22,E23,E26,E36,E39,E57)</f>
        <v>4570</v>
      </c>
      <c r="F65" s="44">
        <f>SUM(F9,F12,F15,F16,F19,F22,F23,,F26,F33,F36,F39,F57)</f>
        <v>5361</v>
      </c>
      <c r="G65" s="44">
        <f>SUM(G9,G12,G15,G16,G19,G22,G23,,G26,G33,G36,G39,G57)</f>
        <v>4850</v>
      </c>
      <c r="H65" s="301">
        <f>(G65/F65)*100</f>
        <v>90.468196232046267</v>
      </c>
      <c r="I65" s="81"/>
      <c r="J65" s="82"/>
      <c r="K65" s="82"/>
      <c r="L65" s="82"/>
      <c r="M65" s="82"/>
      <c r="N65" s="82"/>
    </row>
    <row r="66" spans="1:14" ht="13.5" thickTop="1" x14ac:dyDescent="0.2"/>
  </sheetData>
  <mergeCells count="2">
    <mergeCell ref="D29:D30"/>
    <mergeCell ref="D63:D64"/>
  </mergeCells>
  <phoneticPr fontId="33" type="noConversion"/>
  <pageMargins left="0.59055118110236227" right="0.39370078740157483" top="0.98425196850393704" bottom="0.98425196850393704" header="0.51181102362204722" footer="0.51181102362204722"/>
  <pageSetup paperSize="9" scale="85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 enableFormatConditionsCalculation="0">
    <tabColor indexed="33"/>
  </sheetPr>
  <dimension ref="A1:N40"/>
  <sheetViews>
    <sheetView showGridLines="0" topLeftCell="A34" zoomScaleNormal="100" workbookViewId="0">
      <selection activeCell="G2" sqref="G2"/>
    </sheetView>
  </sheetViews>
  <sheetFormatPr defaultRowHeight="12.75" x14ac:dyDescent="0.2"/>
  <cols>
    <col min="1" max="2" width="4.7109375" customWidth="1"/>
    <col min="3" max="3" width="6.7109375" customWidth="1"/>
    <col min="4" max="4" width="47.28515625" customWidth="1"/>
    <col min="5" max="7" width="13.5703125" style="12" customWidth="1"/>
    <col min="8" max="8" width="6.7109375" style="114" customWidth="1"/>
  </cols>
  <sheetData>
    <row r="1" spans="1:8" s="74" customFormat="1" ht="18" x14ac:dyDescent="0.25">
      <c r="A1" s="270" t="s">
        <v>291</v>
      </c>
      <c r="B1" s="271"/>
      <c r="C1" s="271"/>
      <c r="D1" s="272"/>
      <c r="E1" s="273"/>
      <c r="F1" s="274"/>
      <c r="G1" s="274"/>
      <c r="H1" s="216"/>
    </row>
    <row r="2" spans="1:8" ht="18" x14ac:dyDescent="0.25">
      <c r="A2" s="275" t="s">
        <v>728</v>
      </c>
      <c r="B2" s="276"/>
      <c r="C2" s="276"/>
      <c r="D2" s="277"/>
      <c r="E2" s="278"/>
      <c r="F2" s="278"/>
      <c r="G2" s="300" t="s">
        <v>729</v>
      </c>
    </row>
    <row r="3" spans="1:8" s="92" customFormat="1" ht="18" x14ac:dyDescent="0.25">
      <c r="A3" s="279"/>
      <c r="B3" s="280"/>
      <c r="C3" s="280"/>
      <c r="D3" s="281"/>
      <c r="E3" s="282"/>
      <c r="F3" s="282"/>
      <c r="G3" s="283"/>
      <c r="H3" s="284"/>
    </row>
    <row r="4" spans="1:8" ht="14.25" x14ac:dyDescent="0.2">
      <c r="A4" s="67" t="s">
        <v>404</v>
      </c>
      <c r="B4" s="28"/>
      <c r="C4" s="143" t="s">
        <v>363</v>
      </c>
      <c r="D4" s="14"/>
    </row>
    <row r="5" spans="1:8" ht="18" x14ac:dyDescent="0.25">
      <c r="A5" s="6"/>
      <c r="B5" s="28"/>
      <c r="C5" s="143" t="s">
        <v>690</v>
      </c>
      <c r="D5" s="135"/>
    </row>
    <row r="7" spans="1:8" ht="15.75" x14ac:dyDescent="0.25">
      <c r="A7" s="73" t="s">
        <v>988</v>
      </c>
    </row>
    <row r="8" spans="1:8" ht="13.5" thickBot="1" x14ac:dyDescent="0.25">
      <c r="H8" s="114" t="s">
        <v>179</v>
      </c>
    </row>
    <row r="9" spans="1:8" s="24" customFormat="1" ht="20.25" customHeight="1" thickTop="1" thickBot="1" x14ac:dyDescent="0.25">
      <c r="A9" s="21" t="s">
        <v>180</v>
      </c>
      <c r="B9" s="22" t="s">
        <v>181</v>
      </c>
      <c r="C9" s="46" t="s">
        <v>783</v>
      </c>
      <c r="D9" s="46" t="s">
        <v>182</v>
      </c>
      <c r="E9" s="46" t="s">
        <v>183</v>
      </c>
      <c r="F9" s="46" t="s">
        <v>985</v>
      </c>
      <c r="G9" s="46" t="s">
        <v>986</v>
      </c>
      <c r="H9" s="204" t="s">
        <v>987</v>
      </c>
    </row>
    <row r="10" spans="1:8" s="107" customFormat="1" ht="15.75" customHeight="1" thickTop="1" x14ac:dyDescent="0.25">
      <c r="A10" s="235">
        <v>2310</v>
      </c>
      <c r="B10" s="219">
        <v>6341</v>
      </c>
      <c r="C10" s="229"/>
      <c r="D10" s="221" t="s">
        <v>325</v>
      </c>
      <c r="E10" s="292"/>
      <c r="F10" s="88">
        <v>18393</v>
      </c>
      <c r="G10" s="88">
        <v>18268</v>
      </c>
      <c r="H10" s="285">
        <f>(G10/F10)*100</f>
        <v>99.320393628010663</v>
      </c>
    </row>
    <row r="11" spans="1:8" s="107" customFormat="1" ht="15.75" customHeight="1" x14ac:dyDescent="0.25">
      <c r="A11" s="286"/>
      <c r="B11" s="290"/>
      <c r="C11" s="291"/>
      <c r="D11" s="90" t="s">
        <v>428</v>
      </c>
      <c r="E11" s="293"/>
      <c r="F11" s="253"/>
      <c r="G11" s="55"/>
      <c r="H11" s="287"/>
    </row>
    <row r="12" spans="1:8" s="107" customFormat="1" ht="15.75" customHeight="1" x14ac:dyDescent="0.25">
      <c r="A12" s="295"/>
      <c r="B12" s="296"/>
      <c r="C12" s="230">
        <v>551</v>
      </c>
      <c r="D12" s="118" t="s">
        <v>730</v>
      </c>
      <c r="E12" s="297"/>
      <c r="F12" s="89">
        <v>18393</v>
      </c>
      <c r="G12" s="89"/>
      <c r="H12" s="239"/>
    </row>
    <row r="13" spans="1:8" s="107" customFormat="1" ht="15.75" customHeight="1" x14ac:dyDescent="0.25">
      <c r="A13" s="223">
        <v>2321</v>
      </c>
      <c r="B13" s="96">
        <v>6341</v>
      </c>
      <c r="C13" s="232"/>
      <c r="D13" s="68" t="s">
        <v>325</v>
      </c>
      <c r="E13" s="293"/>
      <c r="F13" s="71">
        <f>F15+F17</f>
        <v>26627</v>
      </c>
      <c r="G13" s="71">
        <v>26627</v>
      </c>
      <c r="H13" s="255">
        <f>(G13/F13)*100</f>
        <v>100</v>
      </c>
    </row>
    <row r="14" spans="1:8" s="107" customFormat="1" ht="15.75" customHeight="1" x14ac:dyDescent="0.25">
      <c r="A14" s="286"/>
      <c r="B14" s="290"/>
      <c r="C14" s="291"/>
      <c r="D14" s="90" t="s">
        <v>428</v>
      </c>
      <c r="E14" s="293"/>
      <c r="F14" s="253"/>
      <c r="G14" s="55"/>
      <c r="H14" s="287"/>
    </row>
    <row r="15" spans="1:8" s="107" customFormat="1" ht="15.75" customHeight="1" x14ac:dyDescent="0.25">
      <c r="A15" s="286"/>
      <c r="B15" s="290"/>
      <c r="C15" s="231">
        <v>551</v>
      </c>
      <c r="D15" s="117" t="s">
        <v>730</v>
      </c>
      <c r="E15" s="293"/>
      <c r="F15" s="55">
        <v>28652</v>
      </c>
      <c r="G15" s="55"/>
      <c r="H15" s="237"/>
    </row>
    <row r="16" spans="1:8" s="107" customFormat="1" ht="15.75" customHeight="1" x14ac:dyDescent="0.25">
      <c r="A16" s="286"/>
      <c r="B16" s="290"/>
      <c r="C16" s="231"/>
      <c r="D16" s="90" t="s">
        <v>999</v>
      </c>
      <c r="E16" s="293"/>
      <c r="F16" s="55"/>
      <c r="G16" s="55"/>
      <c r="H16" s="237"/>
    </row>
    <row r="17" spans="1:8" s="107" customFormat="1" ht="15.75" customHeight="1" x14ac:dyDescent="0.25">
      <c r="A17" s="295"/>
      <c r="B17" s="296"/>
      <c r="C17" s="230">
        <v>551</v>
      </c>
      <c r="D17" s="118" t="s">
        <v>731</v>
      </c>
      <c r="E17" s="297"/>
      <c r="F17" s="89">
        <v>-2025</v>
      </c>
      <c r="G17" s="89"/>
      <c r="H17" s="239"/>
    </row>
    <row r="18" spans="1:8" s="108" customFormat="1" ht="15.75" customHeight="1" x14ac:dyDescent="0.25">
      <c r="A18" s="223">
        <v>2334</v>
      </c>
      <c r="B18" s="96">
        <v>6341</v>
      </c>
      <c r="C18" s="232"/>
      <c r="D18" s="68" t="s">
        <v>325</v>
      </c>
      <c r="E18" s="293"/>
      <c r="F18" s="71">
        <v>1703</v>
      </c>
      <c r="G18" s="71">
        <v>1640</v>
      </c>
      <c r="H18" s="255">
        <f>(G18/F18)*100</f>
        <v>96.300645918966538</v>
      </c>
    </row>
    <row r="19" spans="1:8" s="108" customFormat="1" ht="15.75" customHeight="1" x14ac:dyDescent="0.25">
      <c r="A19" s="286"/>
      <c r="B19" s="290"/>
      <c r="C19" s="291"/>
      <c r="D19" s="90" t="s">
        <v>428</v>
      </c>
      <c r="E19" s="293"/>
      <c r="F19" s="55"/>
      <c r="G19" s="55"/>
      <c r="H19" s="287"/>
    </row>
    <row r="20" spans="1:8" s="107" customFormat="1" ht="15.75" customHeight="1" x14ac:dyDescent="0.25">
      <c r="A20" s="295"/>
      <c r="B20" s="296"/>
      <c r="C20" s="230">
        <v>551</v>
      </c>
      <c r="D20" s="118" t="s">
        <v>730</v>
      </c>
      <c r="E20" s="297"/>
      <c r="F20" s="89">
        <v>1703</v>
      </c>
      <c r="G20" s="89"/>
      <c r="H20" s="239"/>
    </row>
    <row r="21" spans="1:8" s="107" customFormat="1" ht="15.75" customHeight="1" x14ac:dyDescent="0.25">
      <c r="A21" s="223">
        <v>2399</v>
      </c>
      <c r="B21" s="96">
        <v>6341</v>
      </c>
      <c r="C21" s="232"/>
      <c r="D21" s="68" t="s">
        <v>325</v>
      </c>
      <c r="E21" s="149">
        <v>40000</v>
      </c>
      <c r="F21" s="60">
        <f>E21+F23+F24+F29+F25+F26+F32+F27</f>
        <v>27789</v>
      </c>
      <c r="G21" s="60">
        <v>0</v>
      </c>
      <c r="H21" s="298">
        <v>0</v>
      </c>
    </row>
    <row r="22" spans="1:8" s="107" customFormat="1" ht="15.75" customHeight="1" x14ac:dyDescent="0.25">
      <c r="A22" s="223"/>
      <c r="B22" s="96"/>
      <c r="C22" s="232"/>
      <c r="D22" s="90" t="s">
        <v>999</v>
      </c>
      <c r="E22" s="149"/>
      <c r="F22" s="60"/>
      <c r="G22" s="60"/>
      <c r="H22" s="288"/>
    </row>
    <row r="23" spans="1:8" s="107" customFormat="1" ht="15.75" customHeight="1" x14ac:dyDescent="0.25">
      <c r="A23" s="223"/>
      <c r="B23" s="96"/>
      <c r="C23" s="232"/>
      <c r="D23" s="91" t="s">
        <v>1466</v>
      </c>
      <c r="E23" s="149"/>
      <c r="F23" s="124">
        <v>-31543</v>
      </c>
      <c r="G23" s="60"/>
      <c r="H23" s="288"/>
    </row>
    <row r="24" spans="1:8" s="107" customFormat="1" ht="15.75" customHeight="1" x14ac:dyDescent="0.25">
      <c r="A24" s="223"/>
      <c r="B24" s="96"/>
      <c r="C24" s="232"/>
      <c r="D24" s="91" t="s">
        <v>1467</v>
      </c>
      <c r="E24" s="149"/>
      <c r="F24" s="124">
        <v>-102</v>
      </c>
      <c r="G24" s="60"/>
      <c r="H24" s="288"/>
    </row>
    <row r="25" spans="1:8" s="107" customFormat="1" ht="15.75" customHeight="1" x14ac:dyDescent="0.25">
      <c r="A25" s="223"/>
      <c r="B25" s="96"/>
      <c r="C25" s="232"/>
      <c r="D25" s="91" t="s">
        <v>314</v>
      </c>
      <c r="E25" s="149"/>
      <c r="F25" s="124">
        <v>-282</v>
      </c>
      <c r="G25" s="60"/>
      <c r="H25" s="288"/>
    </row>
    <row r="26" spans="1:8" s="107" customFormat="1" ht="15.75" customHeight="1" x14ac:dyDescent="0.25">
      <c r="A26" s="223"/>
      <c r="B26" s="96"/>
      <c r="C26" s="232"/>
      <c r="D26" s="91" t="s">
        <v>315</v>
      </c>
      <c r="E26" s="149"/>
      <c r="F26" s="124">
        <v>-48748</v>
      </c>
      <c r="G26" s="60"/>
      <c r="H26" s="288"/>
    </row>
    <row r="27" spans="1:8" s="107" customFormat="1" ht="15.75" customHeight="1" x14ac:dyDescent="0.25">
      <c r="A27" s="223"/>
      <c r="B27" s="96"/>
      <c r="C27" s="232"/>
      <c r="D27" s="91" t="s">
        <v>316</v>
      </c>
      <c r="E27" s="149"/>
      <c r="F27" s="124">
        <v>-41</v>
      </c>
      <c r="G27" s="60"/>
      <c r="H27" s="288"/>
    </row>
    <row r="28" spans="1:8" s="107" customFormat="1" ht="15.75" customHeight="1" x14ac:dyDescent="0.25">
      <c r="A28" s="223"/>
      <c r="B28" s="96"/>
      <c r="C28" s="232"/>
      <c r="D28" s="90" t="s">
        <v>428</v>
      </c>
      <c r="E28" s="149"/>
      <c r="F28" s="124"/>
      <c r="G28" s="60"/>
      <c r="H28" s="288"/>
    </row>
    <row r="29" spans="1:8" s="107" customFormat="1" ht="14.25" customHeight="1" x14ac:dyDescent="0.25">
      <c r="A29" s="223"/>
      <c r="B29" s="96"/>
      <c r="C29" s="175"/>
      <c r="D29" s="2842" t="s">
        <v>512</v>
      </c>
      <c r="E29" s="185"/>
      <c r="F29" s="124">
        <v>66480</v>
      </c>
      <c r="G29" s="60"/>
      <c r="H29" s="288"/>
    </row>
    <row r="30" spans="1:8" s="107" customFormat="1" ht="14.25" customHeight="1" x14ac:dyDescent="0.25">
      <c r="A30" s="223"/>
      <c r="B30" s="96"/>
      <c r="C30" s="175"/>
      <c r="D30" s="2842"/>
      <c r="E30" s="185"/>
      <c r="F30" s="124"/>
      <c r="G30" s="60"/>
      <c r="H30" s="288"/>
    </row>
    <row r="31" spans="1:8" s="107" customFormat="1" ht="14.25" customHeight="1" x14ac:dyDescent="0.25">
      <c r="A31" s="223"/>
      <c r="B31" s="96"/>
      <c r="C31" s="175"/>
      <c r="D31" s="2843"/>
      <c r="E31" s="185"/>
      <c r="F31" s="124"/>
      <c r="G31" s="60"/>
      <c r="H31" s="288"/>
    </row>
    <row r="32" spans="1:8" s="107" customFormat="1" ht="15.75" customHeight="1" x14ac:dyDescent="0.25">
      <c r="A32" s="238"/>
      <c r="B32" s="95"/>
      <c r="C32" s="176"/>
      <c r="D32" s="217" t="s">
        <v>513</v>
      </c>
      <c r="E32" s="294"/>
      <c r="F32" s="97">
        <v>2025</v>
      </c>
      <c r="G32" s="126"/>
      <c r="H32" s="289"/>
    </row>
    <row r="33" spans="1:14" s="107" customFormat="1" ht="15.75" customHeight="1" x14ac:dyDescent="0.25">
      <c r="A33" s="223">
        <v>2399</v>
      </c>
      <c r="B33" s="96">
        <v>5909</v>
      </c>
      <c r="C33" s="175"/>
      <c r="D33" s="174" t="s">
        <v>721</v>
      </c>
      <c r="E33" s="149"/>
      <c r="F33" s="60">
        <f>F35+F36+F37+F38</f>
        <v>31968</v>
      </c>
      <c r="G33" s="60">
        <v>31968</v>
      </c>
      <c r="H33" s="203">
        <f>(G33/F33)*100</f>
        <v>100</v>
      </c>
    </row>
    <row r="34" spans="1:14" s="107" customFormat="1" ht="15.75" customHeight="1" x14ac:dyDescent="0.25">
      <c r="A34" s="223"/>
      <c r="B34" s="96"/>
      <c r="C34" s="175"/>
      <c r="D34" s="90" t="s">
        <v>428</v>
      </c>
      <c r="E34" s="149"/>
      <c r="F34" s="60"/>
      <c r="G34" s="60"/>
      <c r="H34" s="288"/>
    </row>
    <row r="35" spans="1:14" s="107" customFormat="1" ht="15.75" customHeight="1" x14ac:dyDescent="0.25">
      <c r="A35" s="223"/>
      <c r="B35" s="96"/>
      <c r="C35" s="175"/>
      <c r="D35" s="91" t="s">
        <v>514</v>
      </c>
      <c r="E35" s="149"/>
      <c r="F35" s="124">
        <v>31543</v>
      </c>
      <c r="G35" s="60"/>
      <c r="H35" s="288"/>
    </row>
    <row r="36" spans="1:14" s="107" customFormat="1" ht="15.75" customHeight="1" x14ac:dyDescent="0.25">
      <c r="A36" s="223"/>
      <c r="B36" s="96"/>
      <c r="C36" s="175"/>
      <c r="D36" s="225" t="s">
        <v>815</v>
      </c>
      <c r="E36" s="149"/>
      <c r="F36" s="124">
        <v>102</v>
      </c>
      <c r="G36" s="60"/>
      <c r="H36" s="288"/>
    </row>
    <row r="37" spans="1:14" s="107" customFormat="1" ht="15.75" customHeight="1" x14ac:dyDescent="0.25">
      <c r="A37" s="223"/>
      <c r="B37" s="96"/>
      <c r="C37" s="175"/>
      <c r="D37" s="225" t="s">
        <v>816</v>
      </c>
      <c r="E37" s="149"/>
      <c r="F37" s="124">
        <v>282</v>
      </c>
      <c r="G37" s="60"/>
      <c r="H37" s="288"/>
    </row>
    <row r="38" spans="1:14" s="107" customFormat="1" ht="15.75" customHeight="1" x14ac:dyDescent="0.25">
      <c r="A38" s="238"/>
      <c r="B38" s="95"/>
      <c r="C38" s="176"/>
      <c r="D38" s="172" t="s">
        <v>382</v>
      </c>
      <c r="E38" s="218"/>
      <c r="F38" s="97">
        <v>41</v>
      </c>
      <c r="G38" s="126"/>
      <c r="H38" s="289"/>
    </row>
    <row r="39" spans="1:14" s="45" customFormat="1" ht="47.25" customHeight="1" thickBot="1" x14ac:dyDescent="0.4">
      <c r="A39" s="2840" t="s">
        <v>383</v>
      </c>
      <c r="B39" s="2841"/>
      <c r="C39" s="2841"/>
      <c r="D39" s="2841"/>
      <c r="E39" s="254">
        <f>SUM(E21)</f>
        <v>40000</v>
      </c>
      <c r="F39" s="254">
        <f>SUM(F10,F13,F18,F21,F33)</f>
        <v>106480</v>
      </c>
      <c r="G39" s="254">
        <f>SUM(G10,G13,G18,G21,G33)</f>
        <v>78503</v>
      </c>
      <c r="H39" s="299">
        <f>(G39/F39)*100</f>
        <v>73.725582268970697</v>
      </c>
      <c r="I39" s="81"/>
      <c r="J39" s="82"/>
      <c r="K39" s="82"/>
      <c r="L39" s="82"/>
      <c r="M39" s="82"/>
      <c r="N39" s="82"/>
    </row>
    <row r="40" spans="1:14" ht="13.5" thickTop="1" x14ac:dyDescent="0.2"/>
  </sheetData>
  <mergeCells count="2">
    <mergeCell ref="A39:D39"/>
    <mergeCell ref="D29:D31"/>
  </mergeCells>
  <phoneticPr fontId="33" type="noConversion"/>
  <pageMargins left="0.59055118110236227" right="0.39370078740157483" top="0.98425196850393704" bottom="0.98425196850393704" header="0.51181102362204722" footer="0.51181102362204722"/>
  <pageSetup paperSize="9" scale="85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40" sqref="E40"/>
    </sheetView>
  </sheetViews>
  <sheetFormatPr defaultRowHeight="12.75" x14ac:dyDescent="0.2"/>
  <sheetData/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 enableFormatConditionsCalculation="0">
    <tabColor rgb="FF92D050"/>
  </sheetPr>
  <dimension ref="A1:I24"/>
  <sheetViews>
    <sheetView showGridLines="0" view="pageBreakPreview" zoomScaleNormal="100" zoomScaleSheetLayoutView="100" workbookViewId="0">
      <selection activeCell="E12" sqref="E12"/>
    </sheetView>
  </sheetViews>
  <sheetFormatPr defaultRowHeight="12.75" x14ac:dyDescent="0.2"/>
  <cols>
    <col min="1" max="1" width="4.7109375" style="669" customWidth="1"/>
    <col min="2" max="2" width="4.7109375" style="558" customWidth="1"/>
    <col min="3" max="3" width="4.5703125" style="558" customWidth="1"/>
    <col min="4" max="4" width="47.28515625" style="558" customWidth="1"/>
    <col min="5" max="7" width="13.5703125" style="558" customWidth="1"/>
    <col min="8" max="8" width="8.42578125" style="558" customWidth="1"/>
    <col min="9" max="16384" width="9.140625" style="558"/>
  </cols>
  <sheetData>
    <row r="1" spans="1:9" ht="18" customHeight="1" thickBot="1" x14ac:dyDescent="0.3">
      <c r="A1" s="487" t="s">
        <v>918</v>
      </c>
      <c r="B1" s="488"/>
      <c r="C1" s="488"/>
      <c r="D1" s="499"/>
      <c r="E1" s="516"/>
      <c r="F1" s="491" t="s">
        <v>185</v>
      </c>
      <c r="G1" s="517"/>
      <c r="H1" s="517"/>
      <c r="I1" s="17"/>
    </row>
    <row r="2" spans="1:9" ht="12.75" customHeight="1" x14ac:dyDescent="0.25">
      <c r="A2" s="6"/>
      <c r="B2" s="28"/>
      <c r="C2" s="28"/>
      <c r="D2" s="10"/>
      <c r="E2" s="137"/>
      <c r="F2" s="137"/>
      <c r="G2" s="16"/>
      <c r="H2" s="17"/>
      <c r="I2" s="17"/>
    </row>
    <row r="3" spans="1:9" ht="12.75" customHeight="1" x14ac:dyDescent="0.25">
      <c r="A3" s="67" t="s">
        <v>404</v>
      </c>
      <c r="B3" s="28"/>
      <c r="C3" s="526" t="s">
        <v>495</v>
      </c>
      <c r="D3" s="653"/>
      <c r="E3" s="137"/>
      <c r="F3" s="16"/>
      <c r="G3" s="17"/>
      <c r="H3" s="17"/>
    </row>
    <row r="4" spans="1:9" ht="12.75" customHeight="1" x14ac:dyDescent="0.25">
      <c r="A4" s="6"/>
      <c r="B4" s="28"/>
      <c r="C4" s="526" t="s">
        <v>375</v>
      </c>
      <c r="D4" s="699"/>
      <c r="E4" s="138"/>
      <c r="F4" s="16"/>
      <c r="G4" s="17"/>
      <c r="H4" s="17"/>
    </row>
    <row r="5" spans="1:9" ht="12.75" customHeight="1" x14ac:dyDescent="0.25">
      <c r="A5" s="6"/>
      <c r="B5" s="28"/>
      <c r="C5" s="28"/>
      <c r="D5" s="10"/>
      <c r="E5" s="137"/>
      <c r="F5" s="137"/>
      <c r="G5" s="16"/>
      <c r="H5" s="17"/>
      <c r="I5" s="17"/>
    </row>
    <row r="6" spans="1:9" ht="18" x14ac:dyDescent="0.25">
      <c r="A6" s="33" t="s">
        <v>988</v>
      </c>
      <c r="B6" s="28"/>
      <c r="C6" s="28"/>
      <c r="D6" s="10"/>
      <c r="E6" s="137"/>
      <c r="F6" s="137"/>
      <c r="G6" s="16"/>
      <c r="H6" s="17"/>
      <c r="I6" s="17"/>
    </row>
    <row r="7" spans="1:9" ht="13.5" thickBot="1" x14ac:dyDescent="0.25">
      <c r="A7" s="655"/>
      <c r="B7" s="655"/>
      <c r="C7" s="655"/>
      <c r="D7" s="656"/>
      <c r="E7" s="517"/>
      <c r="F7" s="517"/>
      <c r="G7" s="1014"/>
      <c r="H7" s="517" t="s">
        <v>179</v>
      </c>
    </row>
    <row r="8" spans="1:9" s="107" customFormat="1" ht="20.25" customHeight="1" thickTop="1" thickBot="1" x14ac:dyDescent="0.25">
      <c r="A8" s="657" t="s">
        <v>180</v>
      </c>
      <c r="B8" s="658" t="s">
        <v>181</v>
      </c>
      <c r="C8" s="660" t="s">
        <v>783</v>
      </c>
      <c r="D8" s="660" t="s">
        <v>182</v>
      </c>
      <c r="E8" s="660" t="s">
        <v>183</v>
      </c>
      <c r="F8" s="660" t="s">
        <v>985</v>
      </c>
      <c r="G8" s="660" t="s">
        <v>986</v>
      </c>
      <c r="H8" s="661" t="s">
        <v>987</v>
      </c>
    </row>
    <row r="9" spans="1:9" s="386" customFormat="1" ht="13.5" thickTop="1" thickBot="1" x14ac:dyDescent="0.25">
      <c r="A9" s="592">
        <v>1</v>
      </c>
      <c r="B9" s="593">
        <v>2</v>
      </c>
      <c r="C9" s="593">
        <v>3</v>
      </c>
      <c r="D9" s="593">
        <v>4</v>
      </c>
      <c r="E9" s="593">
        <v>5</v>
      </c>
      <c r="F9" s="567">
        <v>6</v>
      </c>
      <c r="G9" s="567">
        <v>7</v>
      </c>
      <c r="H9" s="662" t="s">
        <v>61</v>
      </c>
      <c r="I9" s="107"/>
    </row>
    <row r="10" spans="1:9" s="107" customFormat="1" ht="20.25" customHeight="1" thickTop="1" x14ac:dyDescent="0.25">
      <c r="A10" s="1087">
        <v>6172</v>
      </c>
      <c r="B10" s="1088">
        <v>5166</v>
      </c>
      <c r="C10" s="1089"/>
      <c r="D10" s="1090" t="s">
        <v>677</v>
      </c>
      <c r="E10" s="1091">
        <v>10</v>
      </c>
      <c r="F10" s="1091">
        <v>10</v>
      </c>
      <c r="G10" s="1092">
        <v>0</v>
      </c>
      <c r="H10" s="985">
        <f>(G10/F10)*100</f>
        <v>0</v>
      </c>
    </row>
    <row r="11" spans="1:9" ht="15.75" thickBot="1" x14ac:dyDescent="0.3">
      <c r="A11" s="1093">
        <v>6172</v>
      </c>
      <c r="B11" s="1094">
        <v>5192</v>
      </c>
      <c r="C11" s="1095"/>
      <c r="D11" s="1096" t="s">
        <v>1380</v>
      </c>
      <c r="E11" s="1097">
        <v>70</v>
      </c>
      <c r="F11" s="1097">
        <v>70</v>
      </c>
      <c r="G11" s="1098">
        <v>34</v>
      </c>
      <c r="H11" s="1099">
        <f>(G11/F11)*100</f>
        <v>48.571428571428569</v>
      </c>
    </row>
    <row r="12" spans="1:9" s="362" customFormat="1" ht="30" customHeight="1" thickTop="1" thickBot="1" x14ac:dyDescent="0.3">
      <c r="A12" s="720" t="s">
        <v>268</v>
      </c>
      <c r="B12" s="986"/>
      <c r="C12" s="1100"/>
      <c r="D12" s="721"/>
      <c r="E12" s="723">
        <f>SUM(E11,E10)</f>
        <v>80</v>
      </c>
      <c r="F12" s="723">
        <f>SUM(F11,F10)</f>
        <v>80</v>
      </c>
      <c r="G12" s="723">
        <f>SUM(G11,G10)</f>
        <v>34</v>
      </c>
      <c r="H12" s="682">
        <f>(G12/F12)*100</f>
        <v>42.5</v>
      </c>
    </row>
    <row r="13" spans="1:9" ht="15.75" thickTop="1" x14ac:dyDescent="0.25">
      <c r="B13" s="669"/>
      <c r="C13" s="669"/>
      <c r="D13" s="670"/>
      <c r="E13" s="670"/>
      <c r="F13" s="671"/>
      <c r="G13" s="672"/>
      <c r="H13" s="673"/>
    </row>
    <row r="14" spans="1:9" ht="15" x14ac:dyDescent="0.25">
      <c r="B14" s="669"/>
      <c r="C14" s="669"/>
      <c r="D14" s="670"/>
      <c r="E14" s="670"/>
      <c r="F14" s="671"/>
      <c r="G14" s="672"/>
      <c r="H14" s="673"/>
    </row>
    <row r="15" spans="1:9" s="693" customFormat="1" ht="16.5" x14ac:dyDescent="0.25">
      <c r="A15" s="363" t="s">
        <v>532</v>
      </c>
      <c r="B15" s="364"/>
      <c r="C15" s="365"/>
      <c r="D15" s="365"/>
      <c r="E15" s="1008">
        <f>E16+E17+E18+E19</f>
        <v>80</v>
      </c>
      <c r="F15" s="1008">
        <f>F16+F17+F18+F19</f>
        <v>80</v>
      </c>
      <c r="G15" s="1008">
        <f>G16+G17+G18+G19</f>
        <v>34</v>
      </c>
      <c r="H15" s="1101">
        <f>(G15/F15)*100</f>
        <v>42.5</v>
      </c>
    </row>
    <row r="16" spans="1:9" s="1389" customFormat="1" ht="15" x14ac:dyDescent="0.2">
      <c r="A16" s="581" t="s">
        <v>288</v>
      </c>
      <c r="B16" s="611"/>
      <c r="C16" s="612"/>
      <c r="D16" s="612"/>
      <c r="E16" s="1009">
        <f t="shared" ref="E16:G17" si="0">E12</f>
        <v>80</v>
      </c>
      <c r="F16" s="1009">
        <f t="shared" si="0"/>
        <v>80</v>
      </c>
      <c r="G16" s="1009">
        <f t="shared" si="0"/>
        <v>34</v>
      </c>
      <c r="H16" s="1102">
        <f>(G16/F16)*100</f>
        <v>42.5</v>
      </c>
    </row>
    <row r="17" spans="1:8" s="1389" customFormat="1" ht="15" x14ac:dyDescent="0.2">
      <c r="A17" s="581" t="s">
        <v>289</v>
      </c>
      <c r="B17" s="616"/>
      <c r="C17" s="612"/>
      <c r="D17" s="612"/>
      <c r="E17" s="1010">
        <f t="shared" si="0"/>
        <v>0</v>
      </c>
      <c r="F17" s="1010">
        <f t="shared" si="0"/>
        <v>0</v>
      </c>
      <c r="G17" s="1010">
        <f t="shared" si="0"/>
        <v>0</v>
      </c>
      <c r="H17" s="1004">
        <v>0</v>
      </c>
    </row>
    <row r="18" spans="1:8" s="1389" customFormat="1" ht="15" x14ac:dyDescent="0.2">
      <c r="A18" s="581" t="s">
        <v>227</v>
      </c>
      <c r="B18" s="616"/>
      <c r="C18" s="612"/>
      <c r="D18" s="612"/>
      <c r="E18" s="1009">
        <v>0</v>
      </c>
      <c r="F18" s="614">
        <v>0</v>
      </c>
      <c r="G18" s="614">
        <v>0</v>
      </c>
      <c r="H18" s="1004">
        <v>0</v>
      </c>
    </row>
    <row r="19" spans="1:8" s="1389" customFormat="1" ht="15" x14ac:dyDescent="0.2">
      <c r="A19" s="581" t="s">
        <v>1291</v>
      </c>
      <c r="B19" s="616"/>
      <c r="C19" s="612"/>
      <c r="D19" s="612"/>
      <c r="E19" s="1009">
        <v>0</v>
      </c>
      <c r="F19" s="618">
        <v>0</v>
      </c>
      <c r="G19" s="618">
        <v>0</v>
      </c>
      <c r="H19" s="1004">
        <v>0</v>
      </c>
    </row>
    <row r="20" spans="1:8" ht="15" x14ac:dyDescent="0.2">
      <c r="A20" s="581"/>
      <c r="B20" s="616"/>
      <c r="C20" s="612"/>
      <c r="D20" s="612"/>
      <c r="E20" s="1009"/>
      <c r="F20" s="618"/>
      <c r="G20" s="618"/>
      <c r="H20" s="847"/>
    </row>
    <row r="21" spans="1:8" ht="15" x14ac:dyDescent="0.2">
      <c r="A21" s="581"/>
      <c r="B21" s="616"/>
      <c r="C21" s="612"/>
      <c r="D21" s="612"/>
      <c r="E21" s="1009"/>
      <c r="F21" s="618"/>
      <c r="G21" s="618"/>
      <c r="H21" s="847"/>
    </row>
    <row r="22" spans="1:8" x14ac:dyDescent="0.2">
      <c r="H22" s="692"/>
    </row>
    <row r="23" spans="1:8" s="58" customFormat="1" ht="47.25" customHeight="1" thickBot="1" x14ac:dyDescent="0.4">
      <c r="A23" s="674" t="s">
        <v>224</v>
      </c>
      <c r="B23" s="675"/>
      <c r="C23" s="676"/>
      <c r="D23" s="677"/>
      <c r="E23" s="619">
        <f>SUM(E12)</f>
        <v>80</v>
      </c>
      <c r="F23" s="619">
        <f>SUM(F12)</f>
        <v>80</v>
      </c>
      <c r="G23" s="619">
        <f>SUM(G12)</f>
        <v>34</v>
      </c>
      <c r="H23" s="1103">
        <f>(G23/F23)*100</f>
        <v>42.5</v>
      </c>
    </row>
    <row r="24" spans="1:8" ht="13.5" thickTop="1" x14ac:dyDescent="0.2"/>
  </sheetData>
  <phoneticPr fontId="0" type="noConversion"/>
  <pageMargins left="0.98425196850393704" right="0.98425196850393704" top="0.98425196850393704" bottom="0.98425196850393704" header="0.51181102362204722" footer="0.51181102362204722"/>
  <pageSetup paperSize="9" scale="70" firstPageNumber="37" orientation="portrait" useFirstPageNumber="1" r:id="rId1"/>
  <headerFooter alignWithMargins="0">
    <oddFooter xml:space="preserve">&amp;L&amp;"Arial,Kurzíva"Zastupitelstvo Olomouckého kraje 28. 6. 2013
6.- Závěrečný  účet Olomuckého kraje za rok 2012
Příloha č. 3: Plnění rozpočtu výdajů Olomouckého kraje k 31.12.2012&amp;R&amp;"Arial,Kurzíva"Strana &amp;P (Celkem 484)
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 enableFormatConditionsCalculation="0">
    <tabColor rgb="FF92D050"/>
  </sheetPr>
  <dimension ref="A1:J46"/>
  <sheetViews>
    <sheetView showGridLines="0" view="pageBreakPreview" zoomScaleNormal="100" zoomScaleSheetLayoutView="100" workbookViewId="0">
      <selection activeCell="D22" sqref="D22"/>
    </sheetView>
  </sheetViews>
  <sheetFormatPr defaultRowHeight="12.75" x14ac:dyDescent="0.2"/>
  <cols>
    <col min="1" max="1" width="4.7109375" style="669" customWidth="1"/>
    <col min="2" max="2" width="4.7109375" style="558" customWidth="1"/>
    <col min="3" max="3" width="8.7109375" style="1086" customWidth="1"/>
    <col min="4" max="4" width="47.28515625" style="558" customWidth="1"/>
    <col min="5" max="5" width="12.7109375" style="517" customWidth="1"/>
    <col min="6" max="7" width="13.5703125" style="517" customWidth="1"/>
    <col min="8" max="8" width="8.85546875" style="692" customWidth="1"/>
    <col min="9" max="16384" width="9.140625" style="558"/>
  </cols>
  <sheetData>
    <row r="1" spans="1:10" ht="18.75" thickBot="1" x14ac:dyDescent="0.3">
      <c r="A1" s="487" t="s">
        <v>1157</v>
      </c>
      <c r="B1" s="488"/>
      <c r="C1" s="523"/>
      <c r="D1" s="499"/>
      <c r="E1" s="516"/>
      <c r="F1" s="491" t="s">
        <v>186</v>
      </c>
      <c r="I1" s="17"/>
    </row>
    <row r="2" spans="1:10" ht="12.75" customHeight="1" x14ac:dyDescent="0.25">
      <c r="A2" s="6"/>
      <c r="B2" s="28"/>
      <c r="C2" s="52"/>
      <c r="D2" s="10"/>
      <c r="E2" s="137"/>
      <c r="F2" s="137"/>
      <c r="G2" s="16"/>
      <c r="H2" s="194"/>
      <c r="I2" s="17"/>
    </row>
    <row r="3" spans="1:10" ht="12.75" customHeight="1" x14ac:dyDescent="0.25">
      <c r="A3" s="67" t="s">
        <v>404</v>
      </c>
      <c r="B3" s="28"/>
      <c r="C3" s="526" t="s">
        <v>469</v>
      </c>
      <c r="D3" s="653"/>
      <c r="E3" s="137"/>
      <c r="F3" s="16"/>
      <c r="G3" s="17"/>
      <c r="H3" s="194"/>
    </row>
    <row r="4" spans="1:10" ht="12.75" customHeight="1" x14ac:dyDescent="0.25">
      <c r="A4" s="6"/>
      <c r="B4" s="28"/>
      <c r="C4" s="526" t="s">
        <v>1331</v>
      </c>
      <c r="D4" s="699"/>
      <c r="E4" s="138"/>
      <c r="F4" s="16"/>
      <c r="G4" s="17"/>
      <c r="H4" s="194"/>
    </row>
    <row r="5" spans="1:10" ht="12.75" customHeight="1" x14ac:dyDescent="0.25">
      <c r="A5" s="6"/>
      <c r="B5" s="28"/>
      <c r="C5" s="52"/>
      <c r="D5" s="10"/>
      <c r="E5" s="137"/>
      <c r="F5" s="137"/>
      <c r="G5" s="16"/>
      <c r="H5" s="194"/>
      <c r="I5" s="17"/>
    </row>
    <row r="6" spans="1:10" ht="18" x14ac:dyDescent="0.25">
      <c r="A6" s="33" t="s">
        <v>988</v>
      </c>
      <c r="B6" s="28"/>
      <c r="C6" s="52"/>
      <c r="D6" s="10"/>
      <c r="E6" s="137"/>
      <c r="F6" s="137"/>
      <c r="G6" s="16"/>
      <c r="H6" s="194"/>
      <c r="I6" s="17"/>
    </row>
    <row r="7" spans="1:10" ht="13.5" thickBot="1" x14ac:dyDescent="0.25">
      <c r="A7" s="655"/>
      <c r="B7" s="655"/>
      <c r="C7" s="1084"/>
      <c r="D7" s="656"/>
      <c r="G7" s="1014"/>
      <c r="H7" s="692" t="s">
        <v>179</v>
      </c>
    </row>
    <row r="8" spans="1:10" s="107" customFormat="1" ht="20.25" customHeight="1" thickTop="1" thickBot="1" x14ac:dyDescent="0.25">
      <c r="A8" s="657" t="s">
        <v>180</v>
      </c>
      <c r="B8" s="658" t="s">
        <v>181</v>
      </c>
      <c r="C8" s="660" t="s">
        <v>783</v>
      </c>
      <c r="D8" s="660" t="s">
        <v>182</v>
      </c>
      <c r="E8" s="660" t="s">
        <v>183</v>
      </c>
      <c r="F8" s="660" t="s">
        <v>985</v>
      </c>
      <c r="G8" s="660" t="s">
        <v>986</v>
      </c>
      <c r="H8" s="661" t="s">
        <v>987</v>
      </c>
    </row>
    <row r="9" spans="1:10" s="386" customFormat="1" ht="13.5" thickTop="1" thickBot="1" x14ac:dyDescent="0.25">
      <c r="A9" s="592">
        <v>1</v>
      </c>
      <c r="B9" s="593">
        <v>2</v>
      </c>
      <c r="C9" s="593">
        <v>3</v>
      </c>
      <c r="D9" s="593">
        <v>4</v>
      </c>
      <c r="E9" s="593">
        <v>5</v>
      </c>
      <c r="F9" s="567">
        <v>6</v>
      </c>
      <c r="G9" s="567">
        <v>7</v>
      </c>
      <c r="H9" s="662" t="s">
        <v>61</v>
      </c>
      <c r="I9" s="107"/>
    </row>
    <row r="10" spans="1:10" s="1166" customFormat="1" ht="15.75" thickTop="1" x14ac:dyDescent="0.25">
      <c r="A10" s="1205">
        <v>6172</v>
      </c>
      <c r="B10" s="1283">
        <v>5137</v>
      </c>
      <c r="C10" s="1176"/>
      <c r="D10" s="1229" t="s">
        <v>173</v>
      </c>
      <c r="E10" s="1182">
        <v>1420</v>
      </c>
      <c r="F10" s="1460">
        <v>1465</v>
      </c>
      <c r="G10" s="372">
        <v>1377</v>
      </c>
      <c r="H10" s="1221">
        <f>(G10/F10)*100</f>
        <v>93.99317406143345</v>
      </c>
    </row>
    <row r="11" spans="1:10" s="1166" customFormat="1" ht="15" x14ac:dyDescent="0.25">
      <c r="A11" s="34">
        <v>6172</v>
      </c>
      <c r="B11" s="1199">
        <v>5139</v>
      </c>
      <c r="C11" s="1177"/>
      <c r="D11" s="1167" t="s">
        <v>187</v>
      </c>
      <c r="E11" s="48">
        <v>400</v>
      </c>
      <c r="F11" s="168">
        <v>400</v>
      </c>
      <c r="G11" s="315">
        <v>97</v>
      </c>
      <c r="H11" s="1183">
        <f>(G11/F11)*100</f>
        <v>24.25</v>
      </c>
    </row>
    <row r="12" spans="1:10" s="1166" customFormat="1" ht="15" x14ac:dyDescent="0.25">
      <c r="A12" s="34">
        <v>6172</v>
      </c>
      <c r="B12" s="1199">
        <v>5164</v>
      </c>
      <c r="C12" s="1177"/>
      <c r="D12" s="1167" t="s">
        <v>188</v>
      </c>
      <c r="E12" s="48">
        <v>2203</v>
      </c>
      <c r="F12" s="48">
        <v>2203</v>
      </c>
      <c r="G12" s="48">
        <v>2151</v>
      </c>
      <c r="H12" s="1183">
        <f>(G12/F12)*100</f>
        <v>97.639582387653206</v>
      </c>
    </row>
    <row r="13" spans="1:10" s="1166" customFormat="1" ht="15" x14ac:dyDescent="0.25">
      <c r="A13" s="34">
        <v>6172</v>
      </c>
      <c r="B13" s="1199">
        <v>5166</v>
      </c>
      <c r="C13" s="1177"/>
      <c r="D13" s="1167" t="s">
        <v>677</v>
      </c>
      <c r="E13" s="48">
        <v>250</v>
      </c>
      <c r="F13" s="168">
        <v>250</v>
      </c>
      <c r="G13" s="315">
        <v>127</v>
      </c>
      <c r="H13" s="1183">
        <v>0</v>
      </c>
    </row>
    <row r="14" spans="1:10" s="1166" customFormat="1" ht="15" x14ac:dyDescent="0.25">
      <c r="A14" s="34">
        <v>6172</v>
      </c>
      <c r="B14" s="1199">
        <v>5168</v>
      </c>
      <c r="C14" s="1177"/>
      <c r="D14" s="1167" t="s">
        <v>191</v>
      </c>
      <c r="E14" s="48">
        <v>280</v>
      </c>
      <c r="F14" s="168">
        <v>280</v>
      </c>
      <c r="G14" s="315">
        <v>262</v>
      </c>
      <c r="H14" s="1183">
        <f>(G14/F14)*100</f>
        <v>93.571428571428569</v>
      </c>
    </row>
    <row r="15" spans="1:10" s="1166" customFormat="1" ht="15.75" x14ac:dyDescent="0.25">
      <c r="A15" s="34">
        <v>6172</v>
      </c>
      <c r="B15" s="1199">
        <v>5169</v>
      </c>
      <c r="C15" s="1177"/>
      <c r="D15" s="1167" t="s">
        <v>955</v>
      </c>
      <c r="E15" s="48">
        <v>12916</v>
      </c>
      <c r="F15" s="168">
        <v>15956</v>
      </c>
      <c r="G15" s="315">
        <v>12331</v>
      </c>
      <c r="H15" s="1183">
        <f>(G15/F15)*100</f>
        <v>77.281273502130858</v>
      </c>
      <c r="J15" s="1208"/>
    </row>
    <row r="16" spans="1:10" s="1166" customFormat="1" ht="15.75" x14ac:dyDescent="0.25">
      <c r="A16" s="34">
        <v>6172</v>
      </c>
      <c r="B16" s="1199">
        <v>5171</v>
      </c>
      <c r="C16" s="1177"/>
      <c r="D16" s="1167" t="s">
        <v>1383</v>
      </c>
      <c r="E16" s="48">
        <v>5700</v>
      </c>
      <c r="F16" s="168">
        <v>1433</v>
      </c>
      <c r="G16" s="315">
        <v>761</v>
      </c>
      <c r="H16" s="1183">
        <f>(G16/F16)*100</f>
        <v>53.105373342637819</v>
      </c>
      <c r="J16" s="1181"/>
    </row>
    <row r="17" spans="1:10" s="1166" customFormat="1" ht="16.5" thickBot="1" x14ac:dyDescent="0.3">
      <c r="A17" s="1206">
        <v>6172</v>
      </c>
      <c r="B17" s="1203">
        <v>5172</v>
      </c>
      <c r="C17" s="1220"/>
      <c r="D17" s="1187" t="s">
        <v>192</v>
      </c>
      <c r="E17" s="1194">
        <v>200</v>
      </c>
      <c r="F17" s="459">
        <v>200</v>
      </c>
      <c r="G17" s="458">
        <v>29</v>
      </c>
      <c r="H17" s="1188">
        <f>(G17/F17)*100</f>
        <v>14.499999999999998</v>
      </c>
      <c r="J17" s="1181"/>
    </row>
    <row r="18" spans="1:10" s="362" customFormat="1" ht="35.25" customHeight="1" thickTop="1" thickBot="1" x14ac:dyDescent="0.3">
      <c r="A18" s="663" t="s">
        <v>268</v>
      </c>
      <c r="B18" s="664"/>
      <c r="C18" s="665"/>
      <c r="D18" s="666"/>
      <c r="E18" s="667">
        <f>E10+E11+E12+E13+E14+E15+E16+E17</f>
        <v>23369</v>
      </c>
      <c r="F18" s="667">
        <f>F10+F11+F12+F14+F15+F16+F17+F13</f>
        <v>22187</v>
      </c>
      <c r="G18" s="667">
        <f>G10+G11+G12+G14+G15+G16+G17+G13</f>
        <v>17135</v>
      </c>
      <c r="H18" s="668">
        <f>(G18/F18)*100</f>
        <v>77.229909406409163</v>
      </c>
    </row>
    <row r="19" spans="1:10" ht="15.75" thickTop="1" x14ac:dyDescent="0.25">
      <c r="C19" s="656"/>
      <c r="D19" s="669"/>
      <c r="E19" s="710"/>
      <c r="F19" s="834"/>
      <c r="G19" s="710"/>
      <c r="H19" s="673"/>
    </row>
    <row r="20" spans="1:10" ht="15" x14ac:dyDescent="0.25">
      <c r="C20" s="656"/>
      <c r="D20" s="669"/>
      <c r="E20" s="710"/>
      <c r="F20" s="834"/>
      <c r="G20" s="710"/>
      <c r="H20" s="673"/>
    </row>
    <row r="21" spans="1:10" ht="15" x14ac:dyDescent="0.25">
      <c r="C21" s="656"/>
      <c r="D21" s="669"/>
      <c r="E21" s="710"/>
      <c r="F21" s="834"/>
      <c r="G21" s="710"/>
      <c r="H21" s="673"/>
    </row>
    <row r="22" spans="1:10" ht="15" x14ac:dyDescent="0.25">
      <c r="C22" s="656"/>
      <c r="D22" s="669"/>
      <c r="E22" s="710"/>
      <c r="F22" s="834"/>
      <c r="G22" s="710"/>
      <c r="H22" s="673"/>
    </row>
    <row r="23" spans="1:10" ht="15" x14ac:dyDescent="0.25">
      <c r="C23" s="656"/>
      <c r="D23" s="669"/>
      <c r="E23" s="710"/>
      <c r="F23" s="834"/>
      <c r="G23" s="710"/>
      <c r="H23" s="673"/>
    </row>
    <row r="24" spans="1:10" ht="15" x14ac:dyDescent="0.25">
      <c r="C24" s="656"/>
      <c r="D24" s="669"/>
      <c r="E24" s="710"/>
      <c r="F24" s="834"/>
      <c r="G24" s="710"/>
      <c r="H24" s="673"/>
    </row>
    <row r="25" spans="1:10" ht="18" x14ac:dyDescent="0.25">
      <c r="A25" s="33" t="s">
        <v>1403</v>
      </c>
      <c r="B25" s="28"/>
      <c r="C25" s="10"/>
      <c r="D25" s="139"/>
      <c r="E25" s="137"/>
      <c r="F25" s="16"/>
      <c r="G25" s="17"/>
      <c r="H25" s="194"/>
    </row>
    <row r="26" spans="1:10" ht="13.5" thickBot="1" x14ac:dyDescent="0.25">
      <c r="A26" s="655"/>
      <c r="B26" s="655"/>
      <c r="C26" s="656"/>
      <c r="F26" s="1014"/>
      <c r="H26" s="692" t="s">
        <v>179</v>
      </c>
    </row>
    <row r="27" spans="1:10" s="107" customFormat="1" ht="20.25" customHeight="1" thickTop="1" thickBot="1" x14ac:dyDescent="0.25">
      <c r="A27" s="657" t="s">
        <v>180</v>
      </c>
      <c r="B27" s="658" t="s">
        <v>181</v>
      </c>
      <c r="C27" s="660" t="s">
        <v>783</v>
      </c>
      <c r="D27" s="835" t="s">
        <v>182</v>
      </c>
      <c r="E27" s="835" t="s">
        <v>183</v>
      </c>
      <c r="F27" s="835" t="s">
        <v>985</v>
      </c>
      <c r="G27" s="835" t="s">
        <v>986</v>
      </c>
      <c r="H27" s="661" t="s">
        <v>987</v>
      </c>
    </row>
    <row r="28" spans="1:10" s="386" customFormat="1" ht="13.5" thickTop="1" thickBot="1" x14ac:dyDescent="0.25">
      <c r="A28" s="592">
        <v>1</v>
      </c>
      <c r="B28" s="593">
        <v>2</v>
      </c>
      <c r="C28" s="593">
        <v>3</v>
      </c>
      <c r="D28" s="593">
        <v>4</v>
      </c>
      <c r="E28" s="593">
        <v>5</v>
      </c>
      <c r="F28" s="567">
        <v>6</v>
      </c>
      <c r="G28" s="567">
        <v>7</v>
      </c>
      <c r="H28" s="662" t="s">
        <v>61</v>
      </c>
      <c r="I28" s="107"/>
    </row>
    <row r="29" spans="1:10" s="1166" customFormat="1" ht="16.5" thickTop="1" x14ac:dyDescent="0.25">
      <c r="A29" s="222">
        <v>6172</v>
      </c>
      <c r="B29" s="1170">
        <v>6111</v>
      </c>
      <c r="C29" s="1176"/>
      <c r="D29" s="1171" t="s">
        <v>192</v>
      </c>
      <c r="E29" s="1182">
        <v>1880</v>
      </c>
      <c r="F29" s="466">
        <v>1880</v>
      </c>
      <c r="G29" s="372">
        <v>1223</v>
      </c>
      <c r="H29" s="1221">
        <f>(G29/F29)*100</f>
        <v>65.053191489361708</v>
      </c>
      <c r="J29" s="1181"/>
    </row>
    <row r="30" spans="1:10" s="1166" customFormat="1" ht="15.75" x14ac:dyDescent="0.25">
      <c r="A30" s="50"/>
      <c r="B30" s="19"/>
      <c r="C30" s="1179" t="s">
        <v>1536</v>
      </c>
      <c r="D30" s="1955" t="s">
        <v>1537</v>
      </c>
      <c r="E30" s="55">
        <v>1880</v>
      </c>
      <c r="F30" s="316">
        <v>1880</v>
      </c>
      <c r="G30" s="316">
        <v>1223</v>
      </c>
      <c r="H30" s="1963">
        <f>(G30/F30)*100</f>
        <v>65.053191489361708</v>
      </c>
      <c r="J30" s="1181"/>
    </row>
    <row r="31" spans="1:10" s="1219" customFormat="1" ht="15" x14ac:dyDescent="0.25">
      <c r="A31" s="50">
        <v>6172</v>
      </c>
      <c r="B31" s="19">
        <v>6125</v>
      </c>
      <c r="C31" s="1177"/>
      <c r="D31" s="1511" t="s">
        <v>193</v>
      </c>
      <c r="E31" s="60">
        <v>520</v>
      </c>
      <c r="F31" s="315">
        <f>F32+F33+F34</f>
        <v>1430</v>
      </c>
      <c r="G31" s="315">
        <f>G32+G33+G34</f>
        <v>1419</v>
      </c>
      <c r="H31" s="1183">
        <f>(G31/F31)*100</f>
        <v>99.230769230769226</v>
      </c>
    </row>
    <row r="32" spans="1:10" s="1219" customFormat="1" ht="14.25" x14ac:dyDescent="0.2">
      <c r="A32" s="34"/>
      <c r="B32" s="1199"/>
      <c r="C32" s="1179" t="s">
        <v>838</v>
      </c>
      <c r="D32" s="117" t="s">
        <v>1415</v>
      </c>
      <c r="E32" s="1964"/>
      <c r="F32" s="316">
        <v>150</v>
      </c>
      <c r="G32" s="316">
        <v>139</v>
      </c>
      <c r="H32" s="1184">
        <f t="shared" ref="H32:H34" si="0">(G32/F32)*100</f>
        <v>92.666666666666657</v>
      </c>
    </row>
    <row r="33" spans="1:8" s="1219" customFormat="1" ht="14.25" x14ac:dyDescent="0.2">
      <c r="A33" s="34"/>
      <c r="B33" s="1199"/>
      <c r="C33" s="1179" t="s">
        <v>1536</v>
      </c>
      <c r="D33" s="1956" t="s">
        <v>1537</v>
      </c>
      <c r="E33" s="1964">
        <v>520</v>
      </c>
      <c r="F33" s="316">
        <v>520</v>
      </c>
      <c r="G33" s="316">
        <v>520</v>
      </c>
      <c r="H33" s="1184">
        <f t="shared" si="0"/>
        <v>100</v>
      </c>
    </row>
    <row r="34" spans="1:8" s="1219" customFormat="1" ht="15" thickBot="1" x14ac:dyDescent="0.25">
      <c r="A34" s="1206"/>
      <c r="B34" s="1203"/>
      <c r="C34" s="1179" t="s">
        <v>1727</v>
      </c>
      <c r="D34" s="1215" t="s">
        <v>1728</v>
      </c>
      <c r="E34" s="1965"/>
      <c r="F34" s="457">
        <v>760</v>
      </c>
      <c r="G34" s="457">
        <v>760</v>
      </c>
      <c r="H34" s="1184">
        <f t="shared" si="0"/>
        <v>100</v>
      </c>
    </row>
    <row r="35" spans="1:8" s="362" customFormat="1" ht="35.25" customHeight="1" thickTop="1" thickBot="1" x14ac:dyDescent="0.3">
      <c r="A35" s="663" t="s">
        <v>267</v>
      </c>
      <c r="B35" s="666"/>
      <c r="C35" s="665"/>
      <c r="D35" s="666"/>
      <c r="E35" s="1085">
        <f>E29+E31</f>
        <v>2400</v>
      </c>
      <c r="F35" s="667">
        <f>SUM(F29,F31)</f>
        <v>3310</v>
      </c>
      <c r="G35" s="667">
        <f>SUM(G29,G31)</f>
        <v>2642</v>
      </c>
      <c r="H35" s="682">
        <f>(G35/F35)*100</f>
        <v>79.818731117824768</v>
      </c>
    </row>
    <row r="36" spans="1:8" s="362" customFormat="1" ht="15.75" customHeight="1" thickTop="1" x14ac:dyDescent="0.25">
      <c r="A36" s="360"/>
      <c r="B36" s="361"/>
      <c r="C36" s="57"/>
      <c r="D36" s="361"/>
      <c r="E36" s="17"/>
      <c r="F36" s="17"/>
      <c r="G36" s="17"/>
      <c r="H36" s="995"/>
    </row>
    <row r="37" spans="1:8" s="362" customFormat="1" ht="15.75" customHeight="1" x14ac:dyDescent="0.25">
      <c r="A37" s="360"/>
      <c r="B37" s="361"/>
      <c r="C37" s="57"/>
      <c r="D37" s="361"/>
      <c r="E37" s="17"/>
      <c r="F37" s="17"/>
      <c r="G37" s="17"/>
      <c r="H37" s="995"/>
    </row>
    <row r="38" spans="1:8" s="693" customFormat="1" ht="16.5" x14ac:dyDescent="0.25">
      <c r="A38" s="363" t="s">
        <v>1503</v>
      </c>
      <c r="B38" s="364"/>
      <c r="C38" s="365"/>
      <c r="D38" s="365"/>
      <c r="E38" s="1008">
        <f>E39+E40+E41+E42</f>
        <v>25769</v>
      </c>
      <c r="F38" s="1008">
        <f>F39+F40+F41+F42</f>
        <v>25497</v>
      </c>
      <c r="G38" s="1008">
        <f>G39+G40+G41+G42</f>
        <v>19777</v>
      </c>
      <c r="H38" s="846">
        <f>(G38/F38)*100</f>
        <v>77.56598815546927</v>
      </c>
    </row>
    <row r="39" spans="1:8" s="1389" customFormat="1" ht="15" x14ac:dyDescent="0.2">
      <c r="A39" s="581" t="s">
        <v>288</v>
      </c>
      <c r="B39" s="611"/>
      <c r="C39" s="612"/>
      <c r="D39" s="612"/>
      <c r="E39" s="1009">
        <f>E18</f>
        <v>23369</v>
      </c>
      <c r="F39" s="1009">
        <f>F18</f>
        <v>22187</v>
      </c>
      <c r="G39" s="1009">
        <f>G18</f>
        <v>17135</v>
      </c>
      <c r="H39" s="1004">
        <f>(G39/F39)*100</f>
        <v>77.229909406409163</v>
      </c>
    </row>
    <row r="40" spans="1:8" s="1389" customFormat="1" ht="15" x14ac:dyDescent="0.2">
      <c r="A40" s="581" t="s">
        <v>289</v>
      </c>
      <c r="B40" s="616"/>
      <c r="C40" s="612"/>
      <c r="D40" s="612"/>
      <c r="E40" s="1010">
        <f>E35</f>
        <v>2400</v>
      </c>
      <c r="F40" s="1010">
        <f>F35</f>
        <v>3310</v>
      </c>
      <c r="G40" s="1010">
        <f>G35</f>
        <v>2642</v>
      </c>
      <c r="H40" s="1004">
        <f>(G40/F40)*100</f>
        <v>79.818731117824768</v>
      </c>
    </row>
    <row r="41" spans="1:8" s="1389" customFormat="1" ht="15" x14ac:dyDescent="0.2">
      <c r="A41" s="581" t="s">
        <v>227</v>
      </c>
      <c r="B41" s="616"/>
      <c r="C41" s="612"/>
      <c r="D41" s="612"/>
      <c r="E41" s="1009">
        <v>0</v>
      </c>
      <c r="F41" s="614">
        <v>0</v>
      </c>
      <c r="G41" s="614">
        <v>0</v>
      </c>
      <c r="H41" s="1004">
        <v>0</v>
      </c>
    </row>
    <row r="42" spans="1:8" s="1389" customFormat="1" ht="15" x14ac:dyDescent="0.2">
      <c r="A42" s="581" t="s">
        <v>1291</v>
      </c>
      <c r="B42" s="616"/>
      <c r="C42" s="612"/>
      <c r="D42" s="612"/>
      <c r="E42" s="1009">
        <v>0</v>
      </c>
      <c r="F42" s="618">
        <v>0</v>
      </c>
      <c r="G42" s="618">
        <v>0</v>
      </c>
      <c r="H42" s="1004">
        <v>0</v>
      </c>
    </row>
    <row r="43" spans="1:8" s="362" customFormat="1" ht="12.75" customHeight="1" x14ac:dyDescent="0.25">
      <c r="A43" s="360"/>
      <c r="B43" s="361"/>
      <c r="C43" s="57"/>
      <c r="D43" s="361"/>
      <c r="E43" s="17"/>
      <c r="F43" s="17"/>
      <c r="G43" s="17"/>
      <c r="H43" s="995"/>
    </row>
    <row r="44" spans="1:8" ht="15.75" customHeight="1" x14ac:dyDescent="0.2">
      <c r="A44" s="655"/>
      <c r="B44" s="1021"/>
      <c r="H44" s="1413"/>
    </row>
    <row r="45" spans="1:8" s="58" customFormat="1" ht="47.25" customHeight="1" thickBot="1" x14ac:dyDescent="0.4">
      <c r="A45" s="2710" t="s">
        <v>436</v>
      </c>
      <c r="B45" s="2711"/>
      <c r="C45" s="2711"/>
      <c r="D45" s="2711"/>
      <c r="E45" s="619">
        <f>SUM(E35,E18)</f>
        <v>25769</v>
      </c>
      <c r="F45" s="619">
        <f>SUM(F35,F18)</f>
        <v>25497</v>
      </c>
      <c r="G45" s="619">
        <f>SUM(G35,G18)</f>
        <v>19777</v>
      </c>
      <c r="H45" s="802">
        <f>(G45/F45)*100</f>
        <v>77.56598815546927</v>
      </c>
    </row>
    <row r="46" spans="1:8" ht="13.5" thickTop="1" x14ac:dyDescent="0.2"/>
  </sheetData>
  <mergeCells count="1">
    <mergeCell ref="A45:D45"/>
  </mergeCells>
  <phoneticPr fontId="0" type="noConversion"/>
  <pageMargins left="0.98425196850393704" right="0.98425196850393704" top="0.98425196850393704" bottom="0.98425196850393704" header="0.51181102362204722" footer="0.51181102362204722"/>
  <pageSetup paperSize="9" scale="70" firstPageNumber="38" orientation="portrait" useFirstPageNumber="1" r:id="rId1"/>
  <headerFooter alignWithMargins="0">
    <oddFooter xml:space="preserve">&amp;L&amp;"Arial,Kurzíva"Zastupitelstvo Olomouckého kraje 28. 6. 2013
6.- Závěrečný  účet Olomuckého kraje za rok 2012
Příloha č. 3: Plnění rozpočtu výdajů Olomouckého kraje k 31.12.2012&amp;R&amp;"Arial,Kurzíva"Strana &amp;P (Celkem 484)
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 enableFormatConditionsCalculation="0">
    <tabColor rgb="FF92D050"/>
  </sheetPr>
  <dimension ref="A1:N93"/>
  <sheetViews>
    <sheetView showGridLines="0" view="pageBreakPreview" zoomScaleNormal="100" zoomScaleSheetLayoutView="100" workbookViewId="0">
      <selection activeCell="B34" sqref="B34"/>
    </sheetView>
  </sheetViews>
  <sheetFormatPr defaultRowHeight="12.75" x14ac:dyDescent="0.2"/>
  <cols>
    <col min="1" max="1" width="4.7109375" style="669" customWidth="1"/>
    <col min="2" max="2" width="4.7109375" style="558" customWidth="1"/>
    <col min="3" max="3" width="8.5703125" style="884" customWidth="1"/>
    <col min="4" max="4" width="47.28515625" style="558" customWidth="1"/>
    <col min="5" max="5" width="14.140625" style="517" customWidth="1"/>
    <col min="6" max="6" width="14.42578125" style="517" customWidth="1"/>
    <col min="7" max="7" width="13.85546875" style="517" customWidth="1"/>
    <col min="8" max="8" width="9.140625" style="692"/>
    <col min="9" max="10" width="9.140625" style="517"/>
    <col min="11" max="16384" width="9.140625" style="558"/>
  </cols>
  <sheetData>
    <row r="1" spans="1:10" ht="18.75" thickBot="1" x14ac:dyDescent="0.3">
      <c r="A1" s="487" t="s">
        <v>964</v>
      </c>
      <c r="B1" s="488"/>
      <c r="C1" s="512"/>
      <c r="D1" s="499"/>
      <c r="E1" s="516"/>
      <c r="F1" s="491" t="s">
        <v>217</v>
      </c>
      <c r="I1" s="17"/>
    </row>
    <row r="2" spans="1:10" ht="12.75" customHeight="1" x14ac:dyDescent="0.25">
      <c r="A2" s="6"/>
      <c r="B2" s="28"/>
      <c r="C2" s="57"/>
      <c r="D2" s="10"/>
      <c r="E2" s="137"/>
      <c r="F2" s="137"/>
      <c r="G2" s="16"/>
      <c r="H2" s="194"/>
      <c r="I2" s="17"/>
    </row>
    <row r="3" spans="1:10" ht="12.75" customHeight="1" x14ac:dyDescent="0.25">
      <c r="A3" s="67" t="s">
        <v>404</v>
      </c>
      <c r="B3" s="28"/>
      <c r="C3" s="526" t="s">
        <v>957</v>
      </c>
      <c r="D3" s="653"/>
      <c r="E3" s="137"/>
      <c r="F3" s="16"/>
      <c r="G3" s="17"/>
      <c r="H3" s="194"/>
      <c r="I3" s="558"/>
      <c r="J3" s="558"/>
    </row>
    <row r="4" spans="1:10" ht="12.75" customHeight="1" x14ac:dyDescent="0.25">
      <c r="A4" s="6"/>
      <c r="B4" s="28"/>
      <c r="C4" s="526" t="s">
        <v>958</v>
      </c>
      <c r="D4" s="699"/>
      <c r="E4" s="138"/>
      <c r="F4" s="16"/>
      <c r="G4" s="17"/>
      <c r="H4" s="194"/>
      <c r="I4" s="558"/>
      <c r="J4" s="558"/>
    </row>
    <row r="5" spans="1:10" ht="12.75" customHeight="1" x14ac:dyDescent="0.25">
      <c r="A5" s="6"/>
      <c r="B5" s="28"/>
      <c r="C5" s="526"/>
      <c r="D5" s="699"/>
      <c r="E5" s="138"/>
      <c r="F5" s="16"/>
      <c r="G5" s="17"/>
      <c r="H5" s="194"/>
      <c r="I5" s="558"/>
      <c r="J5" s="558"/>
    </row>
    <row r="6" spans="1:10" ht="12.75" customHeight="1" x14ac:dyDescent="0.25">
      <c r="A6" s="6"/>
      <c r="B6" s="28"/>
      <c r="C6" s="526"/>
      <c r="D6" s="699"/>
      <c r="E6" s="138"/>
      <c r="F6" s="16"/>
      <c r="G6" s="17"/>
      <c r="H6" s="194"/>
      <c r="I6" s="558"/>
      <c r="J6" s="558"/>
    </row>
    <row r="7" spans="1:10" ht="12.75" customHeight="1" x14ac:dyDescent="0.25">
      <c r="A7" s="33" t="s">
        <v>988</v>
      </c>
      <c r="B7" s="28"/>
      <c r="C7" s="526"/>
      <c r="D7" s="699"/>
      <c r="E7" s="138"/>
      <c r="F7" s="16"/>
      <c r="G7" s="17"/>
      <c r="H7" s="194"/>
      <c r="I7" s="558"/>
      <c r="J7" s="558"/>
    </row>
    <row r="8" spans="1:10" ht="12.75" customHeight="1" x14ac:dyDescent="0.25">
      <c r="A8" s="33"/>
      <c r="B8" s="28"/>
      <c r="C8" s="526"/>
      <c r="D8" s="699"/>
      <c r="E8" s="138"/>
      <c r="F8" s="16"/>
      <c r="G8" s="17"/>
      <c r="H8" s="194"/>
      <c r="I8" s="558"/>
      <c r="J8" s="558"/>
    </row>
    <row r="9" spans="1:10" ht="12.75" customHeight="1" thickBot="1" x14ac:dyDescent="0.3">
      <c r="A9" s="6"/>
      <c r="B9" s="28"/>
      <c r="C9" s="57"/>
      <c r="D9" s="10"/>
      <c r="E9" s="137"/>
      <c r="F9" s="137"/>
      <c r="G9" s="16"/>
      <c r="H9" s="200" t="s">
        <v>179</v>
      </c>
      <c r="I9" s="17"/>
    </row>
    <row r="10" spans="1:10" s="1064" customFormat="1" ht="20.25" customHeight="1" thickTop="1" thickBot="1" x14ac:dyDescent="0.25">
      <c r="A10" s="1058" t="s">
        <v>180</v>
      </c>
      <c r="B10" s="1059" t="s">
        <v>181</v>
      </c>
      <c r="C10" s="1060" t="s">
        <v>783</v>
      </c>
      <c r="D10" s="1060" t="s">
        <v>182</v>
      </c>
      <c r="E10" s="1060" t="s">
        <v>183</v>
      </c>
      <c r="F10" s="1060" t="s">
        <v>985</v>
      </c>
      <c r="G10" s="1061" t="s">
        <v>986</v>
      </c>
      <c r="H10" s="1062" t="s">
        <v>987</v>
      </c>
      <c r="I10" s="1063"/>
      <c r="J10" s="1063"/>
    </row>
    <row r="11" spans="1:10" s="386" customFormat="1" ht="13.5" thickTop="1" thickBot="1" x14ac:dyDescent="0.25">
      <c r="A11" s="592">
        <v>1</v>
      </c>
      <c r="B11" s="593">
        <v>2</v>
      </c>
      <c r="C11" s="593">
        <v>3</v>
      </c>
      <c r="D11" s="593">
        <v>4</v>
      </c>
      <c r="E11" s="593">
        <v>5</v>
      </c>
      <c r="F11" s="567">
        <v>6</v>
      </c>
      <c r="G11" s="567">
        <v>7</v>
      </c>
      <c r="H11" s="662" t="s">
        <v>61</v>
      </c>
      <c r="I11" s="107"/>
    </row>
    <row r="12" spans="1:10" s="386" customFormat="1" ht="15.75" thickTop="1" x14ac:dyDescent="0.25">
      <c r="A12" s="1597">
        <v>2212</v>
      </c>
      <c r="B12" s="1598">
        <v>5641</v>
      </c>
      <c r="C12" s="1599"/>
      <c r="D12" s="1167" t="s">
        <v>1526</v>
      </c>
      <c r="E12" s="1319"/>
      <c r="F12" s="1326">
        <v>2000</v>
      </c>
      <c r="G12" s="415">
        <v>2000</v>
      </c>
      <c r="H12" s="203">
        <f>(G12/F12)*100</f>
        <v>100</v>
      </c>
      <c r="I12" s="107"/>
    </row>
    <row r="13" spans="1:10" s="1219" customFormat="1" ht="15" x14ac:dyDescent="0.25">
      <c r="A13" s="1280">
        <v>3636</v>
      </c>
      <c r="B13" s="268">
        <v>5325</v>
      </c>
      <c r="C13" s="1226"/>
      <c r="D13" s="128" t="s">
        <v>588</v>
      </c>
      <c r="E13" s="60">
        <v>500</v>
      </c>
      <c r="F13" s="149">
        <v>500</v>
      </c>
      <c r="G13" s="60">
        <v>500</v>
      </c>
      <c r="H13" s="1172">
        <f>(G13/F13)*100</f>
        <v>100</v>
      </c>
    </row>
    <row r="14" spans="1:10" s="1219" customFormat="1" ht="15" x14ac:dyDescent="0.25">
      <c r="A14" s="1280">
        <v>4372</v>
      </c>
      <c r="B14" s="268">
        <v>5901</v>
      </c>
      <c r="C14" s="1226"/>
      <c r="D14" s="1223" t="s">
        <v>670</v>
      </c>
      <c r="E14" s="60"/>
      <c r="F14" s="149">
        <v>1180</v>
      </c>
      <c r="G14" s="60">
        <v>0</v>
      </c>
      <c r="H14" s="1172">
        <v>0</v>
      </c>
    </row>
    <row r="15" spans="1:10" s="1219" customFormat="1" ht="15" x14ac:dyDescent="0.25">
      <c r="A15" s="1280"/>
      <c r="B15" s="268"/>
      <c r="C15" s="1179" t="s">
        <v>642</v>
      </c>
      <c r="D15" s="2712" t="s">
        <v>1141</v>
      </c>
      <c r="E15" s="60"/>
      <c r="F15" s="123">
        <v>1180</v>
      </c>
      <c r="G15" s="124">
        <v>0</v>
      </c>
      <c r="H15" s="1175">
        <v>0</v>
      </c>
    </row>
    <row r="16" spans="1:10" s="1219" customFormat="1" ht="15" x14ac:dyDescent="0.25">
      <c r="A16" s="1280"/>
      <c r="B16" s="268"/>
      <c r="C16" s="1179"/>
      <c r="D16" s="2712"/>
      <c r="E16" s="60"/>
      <c r="F16" s="149"/>
      <c r="G16" s="60"/>
      <c r="H16" s="1172"/>
    </row>
    <row r="17" spans="1:8" s="1219" customFormat="1" ht="15" x14ac:dyDescent="0.25">
      <c r="A17" s="1280">
        <v>6172</v>
      </c>
      <c r="B17" s="268">
        <v>5141</v>
      </c>
      <c r="C17" s="1226"/>
      <c r="D17" s="128" t="s">
        <v>1063</v>
      </c>
      <c r="E17" s="60">
        <f>E18+E19+E20</f>
        <v>93182</v>
      </c>
      <c r="F17" s="60">
        <f>F18+F19+F20</f>
        <v>75274</v>
      </c>
      <c r="G17" s="60">
        <f>G18+G19+G20</f>
        <v>47602</v>
      </c>
      <c r="H17" s="1172">
        <f t="shared" ref="H17:H31" si="0">(G17/F17)*100</f>
        <v>63.238302734011739</v>
      </c>
    </row>
    <row r="18" spans="1:8" s="1219" customFormat="1" ht="14.25" x14ac:dyDescent="0.2">
      <c r="A18" s="1280"/>
      <c r="B18" s="268"/>
      <c r="C18" s="1226" t="s">
        <v>637</v>
      </c>
      <c r="D18" s="166" t="s">
        <v>1150</v>
      </c>
      <c r="E18" s="124">
        <v>25127</v>
      </c>
      <c r="F18" s="314">
        <v>18127</v>
      </c>
      <c r="G18" s="316">
        <v>10402</v>
      </c>
      <c r="H18" s="1175">
        <f t="shared" si="0"/>
        <v>57.384012798587747</v>
      </c>
    </row>
    <row r="19" spans="1:8" s="1219" customFormat="1" ht="14.25" x14ac:dyDescent="0.2">
      <c r="A19" s="1280"/>
      <c r="B19" s="268"/>
      <c r="C19" s="1226" t="s">
        <v>1151</v>
      </c>
      <c r="D19" s="166" t="s">
        <v>1152</v>
      </c>
      <c r="E19" s="124">
        <v>47711</v>
      </c>
      <c r="F19" s="314">
        <v>36803</v>
      </c>
      <c r="G19" s="316">
        <v>26519</v>
      </c>
      <c r="H19" s="1175">
        <f t="shared" si="0"/>
        <v>72.056625818547403</v>
      </c>
    </row>
    <row r="20" spans="1:8" s="1219" customFormat="1" ht="14.25" x14ac:dyDescent="0.2">
      <c r="A20" s="1280"/>
      <c r="B20" s="268"/>
      <c r="C20" s="1226" t="s">
        <v>1527</v>
      </c>
      <c r="D20" s="166" t="s">
        <v>1528</v>
      </c>
      <c r="E20" s="124">
        <v>20344</v>
      </c>
      <c r="F20" s="314">
        <v>20344</v>
      </c>
      <c r="G20" s="316">
        <v>10681</v>
      </c>
      <c r="H20" s="1175">
        <f t="shared" si="0"/>
        <v>52.501966181675186</v>
      </c>
    </row>
    <row r="21" spans="1:8" s="1219" customFormat="1" ht="13.5" customHeight="1" x14ac:dyDescent="0.25">
      <c r="A21" s="1280">
        <v>6172</v>
      </c>
      <c r="B21" s="268">
        <v>5142</v>
      </c>
      <c r="C21" s="1213"/>
      <c r="D21" s="128" t="s">
        <v>321</v>
      </c>
      <c r="E21" s="60">
        <v>3000</v>
      </c>
      <c r="F21" s="313">
        <v>3000</v>
      </c>
      <c r="G21" s="315">
        <v>108</v>
      </c>
      <c r="H21" s="1172">
        <f t="shared" si="0"/>
        <v>3.5999999999999996</v>
      </c>
    </row>
    <row r="22" spans="1:8" s="1219" customFormat="1" ht="13.5" customHeight="1" x14ac:dyDescent="0.25">
      <c r="A22" s="1280">
        <v>6172</v>
      </c>
      <c r="B22" s="268">
        <v>5144</v>
      </c>
      <c r="C22" s="1213"/>
      <c r="D22" s="128" t="s">
        <v>1729</v>
      </c>
      <c r="E22" s="60"/>
      <c r="F22" s="313">
        <v>5</v>
      </c>
      <c r="G22" s="315">
        <v>5</v>
      </c>
      <c r="H22" s="1172">
        <f t="shared" si="0"/>
        <v>100</v>
      </c>
    </row>
    <row r="23" spans="1:8" s="1219" customFormat="1" ht="13.5" customHeight="1" x14ac:dyDescent="0.25">
      <c r="A23" s="1280">
        <v>6172</v>
      </c>
      <c r="B23" s="268">
        <v>5163</v>
      </c>
      <c r="C23" s="1213"/>
      <c r="D23" s="128" t="s">
        <v>997</v>
      </c>
      <c r="E23" s="60">
        <v>600</v>
      </c>
      <c r="F23" s="313">
        <v>595</v>
      </c>
      <c r="G23" s="315">
        <v>382</v>
      </c>
      <c r="H23" s="1172">
        <f t="shared" si="0"/>
        <v>64.201680672268907</v>
      </c>
    </row>
    <row r="24" spans="1:8" s="1219" customFormat="1" ht="13.5" customHeight="1" x14ac:dyDescent="0.25">
      <c r="A24" s="1280">
        <v>6172</v>
      </c>
      <c r="B24" s="268">
        <v>5164</v>
      </c>
      <c r="C24" s="1213"/>
      <c r="D24" s="128" t="s">
        <v>188</v>
      </c>
      <c r="E24" s="60">
        <v>5</v>
      </c>
      <c r="F24" s="313">
        <v>5</v>
      </c>
      <c r="G24" s="315">
        <v>5</v>
      </c>
      <c r="H24" s="1172">
        <f t="shared" si="0"/>
        <v>100</v>
      </c>
    </row>
    <row r="25" spans="1:8" s="1166" customFormat="1" ht="15" x14ac:dyDescent="0.25">
      <c r="A25" s="34">
        <v>6172</v>
      </c>
      <c r="B25" s="1199">
        <v>5166</v>
      </c>
      <c r="C25" s="1227"/>
      <c r="D25" s="1167" t="s">
        <v>677</v>
      </c>
      <c r="E25" s="48">
        <v>2000</v>
      </c>
      <c r="F25" s="168">
        <v>2000</v>
      </c>
      <c r="G25" s="315">
        <v>1539</v>
      </c>
      <c r="H25" s="1172">
        <f t="shared" si="0"/>
        <v>76.95</v>
      </c>
    </row>
    <row r="26" spans="1:8" s="1166" customFormat="1" ht="15" x14ac:dyDescent="0.25">
      <c r="A26" s="34">
        <v>6172</v>
      </c>
      <c r="B26" s="1199">
        <v>5169</v>
      </c>
      <c r="C26" s="1227"/>
      <c r="D26" s="1167" t="s">
        <v>955</v>
      </c>
      <c r="E26" s="48">
        <v>400</v>
      </c>
      <c r="F26" s="168">
        <v>400</v>
      </c>
      <c r="G26" s="315">
        <v>0</v>
      </c>
      <c r="H26" s="1172">
        <f t="shared" si="0"/>
        <v>0</v>
      </c>
    </row>
    <row r="27" spans="1:8" s="1166" customFormat="1" ht="15" x14ac:dyDescent="0.25">
      <c r="A27" s="34">
        <v>6172</v>
      </c>
      <c r="B27" s="1199">
        <v>5191</v>
      </c>
      <c r="C27" s="1227"/>
      <c r="D27" s="1167" t="s">
        <v>1894</v>
      </c>
      <c r="E27" s="48"/>
      <c r="F27" s="168">
        <v>44</v>
      </c>
      <c r="G27" s="315">
        <v>44</v>
      </c>
      <c r="H27" s="1172">
        <f t="shared" si="0"/>
        <v>100</v>
      </c>
    </row>
    <row r="28" spans="1:8" s="1166" customFormat="1" ht="15" x14ac:dyDescent="0.25">
      <c r="A28" s="34">
        <v>6172</v>
      </c>
      <c r="B28" s="1199">
        <v>5362</v>
      </c>
      <c r="C28" s="1227"/>
      <c r="D28" s="1223" t="s">
        <v>669</v>
      </c>
      <c r="E28" s="48">
        <f>E29+E30</f>
        <v>8647</v>
      </c>
      <c r="F28" s="48">
        <f>F29+F30</f>
        <v>21677</v>
      </c>
      <c r="G28" s="48">
        <f>G29+G30</f>
        <v>14897</v>
      </c>
      <c r="H28" s="1172">
        <f t="shared" si="0"/>
        <v>68.72260921714259</v>
      </c>
    </row>
    <row r="29" spans="1:8" s="1166" customFormat="1" ht="14.25" x14ac:dyDescent="0.2">
      <c r="A29" s="34"/>
      <c r="B29" s="1199"/>
      <c r="C29" s="1179" t="s">
        <v>838</v>
      </c>
      <c r="D29" s="1173" t="s">
        <v>1415</v>
      </c>
      <c r="E29" s="55">
        <v>4000</v>
      </c>
      <c r="F29" s="314">
        <v>17030</v>
      </c>
      <c r="G29" s="316">
        <v>14897</v>
      </c>
      <c r="H29" s="1175">
        <f t="shared" si="0"/>
        <v>87.475044039929543</v>
      </c>
    </row>
    <row r="30" spans="1:8" s="1166" customFormat="1" ht="14.25" x14ac:dyDescent="0.2">
      <c r="A30" s="34"/>
      <c r="B30" s="1199"/>
      <c r="C30" s="1179" t="s">
        <v>489</v>
      </c>
      <c r="D30" s="1955" t="s">
        <v>842</v>
      </c>
      <c r="E30" s="55">
        <v>4647</v>
      </c>
      <c r="F30" s="314">
        <v>4647</v>
      </c>
      <c r="G30" s="316">
        <v>0</v>
      </c>
      <c r="H30" s="1175">
        <f t="shared" si="0"/>
        <v>0</v>
      </c>
    </row>
    <row r="31" spans="1:8" s="1166" customFormat="1" ht="15" x14ac:dyDescent="0.25">
      <c r="A31" s="34">
        <v>6172</v>
      </c>
      <c r="B31" s="1199">
        <v>5901</v>
      </c>
      <c r="C31" s="1227"/>
      <c r="D31" s="1223" t="s">
        <v>670</v>
      </c>
      <c r="E31" s="48"/>
      <c r="F31" s="462">
        <v>53802</v>
      </c>
      <c r="G31" s="462">
        <v>0</v>
      </c>
      <c r="H31" s="1172">
        <f t="shared" si="0"/>
        <v>0</v>
      </c>
    </row>
    <row r="32" spans="1:8" s="1166" customFormat="1" ht="14.25" x14ac:dyDescent="0.2">
      <c r="A32" s="34"/>
      <c r="B32" s="1199"/>
      <c r="C32" s="1226" t="s">
        <v>838</v>
      </c>
      <c r="D32" s="1190" t="s">
        <v>1531</v>
      </c>
      <c r="E32" s="55"/>
      <c r="F32" s="314">
        <v>53802</v>
      </c>
      <c r="G32" s="316">
        <v>0</v>
      </c>
      <c r="H32" s="1175">
        <v>0</v>
      </c>
    </row>
    <row r="33" spans="1:14" s="1166" customFormat="1" ht="15" x14ac:dyDescent="0.25">
      <c r="A33" s="34">
        <v>6172</v>
      </c>
      <c r="B33" s="1199">
        <v>5909</v>
      </c>
      <c r="C33" s="1227"/>
      <c r="D33" s="1168" t="s">
        <v>488</v>
      </c>
      <c r="E33" s="48"/>
      <c r="F33" s="168">
        <v>0</v>
      </c>
      <c r="G33" s="315">
        <v>2336</v>
      </c>
      <c r="H33" s="1172">
        <v>0</v>
      </c>
    </row>
    <row r="34" spans="1:14" s="1166" customFormat="1" ht="30" x14ac:dyDescent="0.25">
      <c r="A34" s="1482">
        <v>6402</v>
      </c>
      <c r="B34" s="1479">
        <v>5364</v>
      </c>
      <c r="C34" s="1227"/>
      <c r="D34" s="1223" t="s">
        <v>1153</v>
      </c>
      <c r="E34" s="48"/>
      <c r="F34" s="1480">
        <v>1985</v>
      </c>
      <c r="G34" s="463">
        <v>1985</v>
      </c>
      <c r="H34" s="1481">
        <f>(G34/F34)*100</f>
        <v>100</v>
      </c>
    </row>
    <row r="35" spans="1:14" s="1166" customFormat="1" ht="15" x14ac:dyDescent="0.25">
      <c r="A35" s="1482"/>
      <c r="B35" s="1479"/>
      <c r="C35" s="1226" t="s">
        <v>638</v>
      </c>
      <c r="D35" s="1190" t="s">
        <v>494</v>
      </c>
      <c r="E35" s="48"/>
      <c r="F35" s="314">
        <v>1985</v>
      </c>
      <c r="G35" s="316">
        <v>1985</v>
      </c>
      <c r="H35" s="1175">
        <f>(G35/F35)*100</f>
        <v>100</v>
      </c>
    </row>
    <row r="36" spans="1:14" s="1166" customFormat="1" ht="15" x14ac:dyDescent="0.25">
      <c r="A36" s="34">
        <v>6409</v>
      </c>
      <c r="B36" s="1199">
        <v>5229</v>
      </c>
      <c r="C36" s="1195"/>
      <c r="D36" s="1167" t="s">
        <v>639</v>
      </c>
      <c r="E36" s="48">
        <f>E38+E39</f>
        <v>36800</v>
      </c>
      <c r="F36" s="48">
        <f>F38+F39</f>
        <v>23</v>
      </c>
      <c r="G36" s="48">
        <f>G38+G39</f>
        <v>0</v>
      </c>
      <c r="H36" s="1172">
        <v>0</v>
      </c>
    </row>
    <row r="37" spans="1:14" s="1166" customFormat="1" ht="15" x14ac:dyDescent="0.25">
      <c r="A37" s="34"/>
      <c r="B37" s="1199"/>
      <c r="C37" s="1227"/>
      <c r="D37" s="1167" t="s">
        <v>640</v>
      </c>
      <c r="E37" s="48"/>
      <c r="F37" s="168"/>
      <c r="G37" s="315"/>
      <c r="H37" s="1172"/>
      <c r="K37" s="1222"/>
    </row>
    <row r="38" spans="1:14" s="1166" customFormat="1" ht="14.25" x14ac:dyDescent="0.2">
      <c r="A38" s="34"/>
      <c r="B38" s="1199"/>
      <c r="C38" s="1195" t="s">
        <v>272</v>
      </c>
      <c r="D38" s="1173" t="s">
        <v>348</v>
      </c>
      <c r="E38" s="55">
        <v>26000</v>
      </c>
      <c r="F38" s="314">
        <v>0</v>
      </c>
      <c r="G38" s="316">
        <v>0</v>
      </c>
      <c r="H38" s="1175">
        <v>0</v>
      </c>
      <c r="K38" s="1222"/>
    </row>
    <row r="39" spans="1:14" s="1166" customFormat="1" ht="14.25" x14ac:dyDescent="0.2">
      <c r="A39" s="34"/>
      <c r="B39" s="1199"/>
      <c r="C39" s="1195" t="s">
        <v>1350</v>
      </c>
      <c r="D39" s="1841" t="s">
        <v>1737</v>
      </c>
      <c r="E39" s="55">
        <v>10800</v>
      </c>
      <c r="F39" s="314">
        <v>23</v>
      </c>
      <c r="G39" s="316">
        <v>0</v>
      </c>
      <c r="H39" s="1175">
        <v>0</v>
      </c>
      <c r="K39" s="1222"/>
    </row>
    <row r="40" spans="1:14" s="1166" customFormat="1" ht="15" customHeight="1" x14ac:dyDescent="0.25">
      <c r="A40" s="34">
        <v>6409</v>
      </c>
      <c r="B40" s="1199">
        <v>5901</v>
      </c>
      <c r="C40" s="1227"/>
      <c r="D40" s="1223" t="s">
        <v>670</v>
      </c>
      <c r="E40" s="48">
        <f>E41</f>
        <v>30000</v>
      </c>
      <c r="F40" s="168">
        <f>F41+F43+F44+F42</f>
        <v>211756</v>
      </c>
      <c r="G40" s="315">
        <v>0</v>
      </c>
      <c r="H40" s="1172">
        <v>0</v>
      </c>
    </row>
    <row r="41" spans="1:14" s="1166" customFormat="1" ht="15" customHeight="1" x14ac:dyDescent="0.2">
      <c r="A41" s="34"/>
      <c r="B41" s="1199"/>
      <c r="C41" s="1179" t="s">
        <v>838</v>
      </c>
      <c r="D41" s="1173" t="s">
        <v>1415</v>
      </c>
      <c r="E41" s="55">
        <v>30000</v>
      </c>
      <c r="F41" s="314">
        <v>30000</v>
      </c>
      <c r="G41" s="316">
        <v>0</v>
      </c>
      <c r="H41" s="1175">
        <v>0</v>
      </c>
    </row>
    <row r="42" spans="1:14" s="1166" customFormat="1" ht="15" customHeight="1" x14ac:dyDescent="0.2">
      <c r="A42" s="34"/>
      <c r="B42" s="1199"/>
      <c r="C42" s="1226" t="s">
        <v>1529</v>
      </c>
      <c r="D42" s="1955" t="s">
        <v>1530</v>
      </c>
      <c r="E42" s="55"/>
      <c r="F42" s="314">
        <v>34301</v>
      </c>
      <c r="G42" s="316"/>
      <c r="H42" s="1175"/>
    </row>
    <row r="43" spans="1:14" s="1166" customFormat="1" ht="15" customHeight="1" x14ac:dyDescent="0.25">
      <c r="A43" s="34"/>
      <c r="B43" s="1199"/>
      <c r="C43" s="1179" t="s">
        <v>1151</v>
      </c>
      <c r="D43" s="1478" t="s">
        <v>487</v>
      </c>
      <c r="E43" s="48"/>
      <c r="F43" s="314">
        <v>61998</v>
      </c>
      <c r="G43" s="316">
        <v>0</v>
      </c>
      <c r="H43" s="1175">
        <v>0</v>
      </c>
      <c r="J43" s="1208"/>
    </row>
    <row r="44" spans="1:14" s="1166" customFormat="1" ht="15" customHeight="1" x14ac:dyDescent="0.25">
      <c r="A44" s="34"/>
      <c r="B44" s="1199"/>
      <c r="C44" s="1226" t="s">
        <v>1527</v>
      </c>
      <c r="D44" s="166" t="s">
        <v>1528</v>
      </c>
      <c r="E44" s="48"/>
      <c r="F44" s="314">
        <v>85457</v>
      </c>
      <c r="G44" s="316">
        <v>0</v>
      </c>
      <c r="H44" s="1175">
        <v>0</v>
      </c>
      <c r="J44" s="1224" t="s">
        <v>1538</v>
      </c>
      <c r="L44" s="1201">
        <f>E20</f>
        <v>20344</v>
      </c>
      <c r="M44" s="1201">
        <f>F20+F44</f>
        <v>105801</v>
      </c>
      <c r="N44" s="1201">
        <f>G20+G44</f>
        <v>10681</v>
      </c>
    </row>
    <row r="45" spans="1:14" s="1166" customFormat="1" ht="15" customHeight="1" thickBot="1" x14ac:dyDescent="0.3">
      <c r="A45" s="34">
        <v>6409</v>
      </c>
      <c r="B45" s="1199">
        <v>5909</v>
      </c>
      <c r="C45" s="1227"/>
      <c r="D45" s="1168" t="s">
        <v>488</v>
      </c>
      <c r="E45" s="48"/>
      <c r="F45" s="168"/>
      <c r="G45" s="315">
        <v>-125</v>
      </c>
      <c r="H45" s="1172">
        <v>0</v>
      </c>
      <c r="J45" s="1224" t="s">
        <v>589</v>
      </c>
      <c r="L45" s="1201">
        <f>E18+E19</f>
        <v>72838</v>
      </c>
      <c r="M45" s="1201">
        <f>F43+F18+F19</f>
        <v>116928</v>
      </c>
      <c r="N45" s="1201">
        <f>G43+G18+G19</f>
        <v>36921</v>
      </c>
    </row>
    <row r="46" spans="1:14" s="362" customFormat="1" ht="35.85" customHeight="1" thickTop="1" thickBot="1" x14ac:dyDescent="0.35">
      <c r="A46" s="1065" t="s">
        <v>268</v>
      </c>
      <c r="B46" s="1066"/>
      <c r="C46" s="1067"/>
      <c r="D46" s="1068"/>
      <c r="E46" s="667">
        <f>E13+E17+E21+E23+E25+E26+E28+E31+E36+E40+E24</f>
        <v>175134</v>
      </c>
      <c r="F46" s="667">
        <f>F13+F14+F17+F21+F23+F24+F25+F26+F28+F31+F34+F40+F12+F36+F27+F22</f>
        <v>374246</v>
      </c>
      <c r="G46" s="667">
        <f>G13+G14+G17+G21+G23+G24+G25+G26+G28+G31+G34+G40+G12+G36+G27+G22+G33+G45</f>
        <v>71278</v>
      </c>
      <c r="H46" s="668">
        <f>G46/F46*100</f>
        <v>19.045761344142623</v>
      </c>
    </row>
    <row r="47" spans="1:14" ht="13.5" thickTop="1" x14ac:dyDescent="0.2"/>
    <row r="49" spans="1:10" ht="18" x14ac:dyDescent="0.25">
      <c r="A49" s="33" t="s">
        <v>1403</v>
      </c>
      <c r="B49" s="28"/>
      <c r="C49" s="10"/>
      <c r="D49" s="139"/>
      <c r="E49" s="137"/>
      <c r="F49" s="16"/>
      <c r="G49" s="17"/>
      <c r="H49" s="194"/>
      <c r="I49" s="558"/>
      <c r="J49" s="558"/>
    </row>
    <row r="50" spans="1:10" ht="13.5" thickBot="1" x14ac:dyDescent="0.25">
      <c r="A50" s="655"/>
      <c r="B50" s="655"/>
      <c r="C50" s="656"/>
      <c r="F50" s="1014"/>
      <c r="H50" s="692" t="s">
        <v>179</v>
      </c>
      <c r="I50" s="558"/>
      <c r="J50" s="558"/>
    </row>
    <row r="51" spans="1:10" s="107" customFormat="1" ht="20.25" customHeight="1" thickTop="1" thickBot="1" x14ac:dyDescent="0.25">
      <c r="A51" s="657" t="s">
        <v>180</v>
      </c>
      <c r="B51" s="658" t="s">
        <v>181</v>
      </c>
      <c r="C51" s="660" t="s">
        <v>783</v>
      </c>
      <c r="D51" s="835" t="s">
        <v>182</v>
      </c>
      <c r="E51" s="835" t="s">
        <v>183</v>
      </c>
      <c r="F51" s="835" t="s">
        <v>985</v>
      </c>
      <c r="G51" s="835" t="s">
        <v>986</v>
      </c>
      <c r="H51" s="661" t="s">
        <v>987</v>
      </c>
    </row>
    <row r="52" spans="1:10" s="386" customFormat="1" ht="13.5" thickTop="1" thickBot="1" x14ac:dyDescent="0.25">
      <c r="A52" s="592">
        <v>1</v>
      </c>
      <c r="B52" s="593">
        <v>2</v>
      </c>
      <c r="C52" s="593">
        <v>3</v>
      </c>
      <c r="D52" s="593">
        <v>4</v>
      </c>
      <c r="E52" s="593">
        <v>5</v>
      </c>
      <c r="F52" s="567">
        <v>6</v>
      </c>
      <c r="G52" s="567">
        <v>7</v>
      </c>
      <c r="H52" s="662" t="s">
        <v>61</v>
      </c>
      <c r="I52" s="107"/>
    </row>
    <row r="53" spans="1:10" s="1166" customFormat="1" ht="16.5" thickTop="1" x14ac:dyDescent="0.25">
      <c r="A53" s="222">
        <v>2212</v>
      </c>
      <c r="B53" s="1170">
        <v>6441</v>
      </c>
      <c r="C53" s="1176"/>
      <c r="D53" s="1171" t="s">
        <v>1730</v>
      </c>
      <c r="E53" s="1182"/>
      <c r="F53" s="466">
        <v>2500</v>
      </c>
      <c r="G53" s="372">
        <v>2500</v>
      </c>
      <c r="H53" s="1221">
        <f>(G53/F53)*100</f>
        <v>100</v>
      </c>
      <c r="J53" s="1181"/>
    </row>
    <row r="54" spans="1:10" s="1219" customFormat="1" ht="15.75" thickBot="1" x14ac:dyDescent="0.3">
      <c r="A54" s="50">
        <v>3412</v>
      </c>
      <c r="B54" s="19">
        <v>6441</v>
      </c>
      <c r="C54" s="1177"/>
      <c r="D54" s="1511" t="s">
        <v>1730</v>
      </c>
      <c r="E54" s="60"/>
      <c r="F54" s="315">
        <v>8000</v>
      </c>
      <c r="G54" s="315">
        <v>8000</v>
      </c>
      <c r="H54" s="1183">
        <f>(G54/F54)*100</f>
        <v>100</v>
      </c>
    </row>
    <row r="55" spans="1:10" s="362" customFormat="1" ht="35.25" customHeight="1" thickTop="1" thickBot="1" x14ac:dyDescent="0.3">
      <c r="A55" s="663" t="s">
        <v>267</v>
      </c>
      <c r="B55" s="666"/>
      <c r="C55" s="665"/>
      <c r="D55" s="666"/>
      <c r="E55" s="1085">
        <f>E53+E54</f>
        <v>0</v>
      </c>
      <c r="F55" s="667">
        <f>SUM(F53,F54)</f>
        <v>10500</v>
      </c>
      <c r="G55" s="667">
        <f>SUM(G53,G54)</f>
        <v>10500</v>
      </c>
      <c r="H55" s="682">
        <f>(G55/F55)*100</f>
        <v>100</v>
      </c>
    </row>
    <row r="56" spans="1:10" ht="13.5" thickTop="1" x14ac:dyDescent="0.2"/>
    <row r="57" spans="1:10" x14ac:dyDescent="0.2">
      <c r="A57" s="558"/>
      <c r="C57" s="558"/>
      <c r="E57" s="558"/>
      <c r="G57" s="558"/>
      <c r="I57" s="558"/>
      <c r="J57" s="558"/>
    </row>
    <row r="58" spans="1:10" s="693" customFormat="1" ht="16.5" x14ac:dyDescent="0.25">
      <c r="A58" s="363" t="s">
        <v>659</v>
      </c>
      <c r="B58" s="364"/>
      <c r="C58" s="365"/>
      <c r="D58" s="365"/>
      <c r="E58" s="1008">
        <f>E59+E60+E61+E62</f>
        <v>175134</v>
      </c>
      <c r="F58" s="1008">
        <f>F59+F60+F61+F62</f>
        <v>384746</v>
      </c>
      <c r="G58" s="1008">
        <f>G59+G60+G61+G62</f>
        <v>81778</v>
      </c>
      <c r="H58" s="305">
        <f>G58/F58*100</f>
        <v>21.255061781019165</v>
      </c>
    </row>
    <row r="59" spans="1:10" s="1389" customFormat="1" ht="15" x14ac:dyDescent="0.2">
      <c r="A59" s="581" t="s">
        <v>288</v>
      </c>
      <c r="B59" s="611"/>
      <c r="C59" s="612"/>
      <c r="D59" s="612"/>
      <c r="E59" s="1009">
        <f>E46</f>
        <v>175134</v>
      </c>
      <c r="F59" s="1009">
        <f>F46-F61</f>
        <v>373066</v>
      </c>
      <c r="G59" s="1009">
        <f>G46-G61</f>
        <v>71278</v>
      </c>
      <c r="H59" s="306">
        <f>G59/F59*100</f>
        <v>19.106002691212815</v>
      </c>
    </row>
    <row r="60" spans="1:10" s="1389" customFormat="1" ht="15" x14ac:dyDescent="0.2">
      <c r="A60" s="581" t="s">
        <v>289</v>
      </c>
      <c r="B60" s="616"/>
      <c r="C60" s="612"/>
      <c r="D60" s="612"/>
      <c r="E60" s="1010">
        <v>0</v>
      </c>
      <c r="F60" s="1010">
        <f>F55</f>
        <v>10500</v>
      </c>
      <c r="G60" s="1010">
        <f>G55</f>
        <v>10500</v>
      </c>
      <c r="H60" s="306">
        <v>0</v>
      </c>
    </row>
    <row r="61" spans="1:10" s="1389" customFormat="1" ht="15" x14ac:dyDescent="0.2">
      <c r="A61" s="581" t="s">
        <v>227</v>
      </c>
      <c r="B61" s="616"/>
      <c r="C61" s="612"/>
      <c r="D61" s="612"/>
      <c r="E61" s="1009">
        <v>0</v>
      </c>
      <c r="F61" s="614">
        <f>F15</f>
        <v>1180</v>
      </c>
      <c r="G61" s="614">
        <f>G15</f>
        <v>0</v>
      </c>
      <c r="H61" s="306">
        <f>G61/F61*100</f>
        <v>0</v>
      </c>
    </row>
    <row r="62" spans="1:10" s="1389" customFormat="1" ht="15" x14ac:dyDescent="0.2">
      <c r="A62" s="581" t="s">
        <v>1291</v>
      </c>
      <c r="B62" s="616"/>
      <c r="C62" s="612"/>
      <c r="D62" s="612"/>
      <c r="E62" s="1009">
        <v>0</v>
      </c>
      <c r="F62" s="618">
        <v>0</v>
      </c>
      <c r="G62" s="618">
        <v>0</v>
      </c>
      <c r="H62" s="306">
        <v>0</v>
      </c>
    </row>
    <row r="63" spans="1:10" s="1389" customFormat="1" ht="15" x14ac:dyDescent="0.2">
      <c r="A63" s="581"/>
      <c r="B63" s="616"/>
      <c r="C63" s="612"/>
      <c r="D63" s="612"/>
      <c r="E63" s="1009"/>
      <c r="F63" s="618"/>
      <c r="G63" s="618"/>
      <c r="H63" s="306"/>
    </row>
    <row r="64" spans="1:10" s="58" customFormat="1" ht="47.25" customHeight="1" thickBot="1" x14ac:dyDescent="0.4">
      <c r="A64" s="674" t="s">
        <v>1299</v>
      </c>
      <c r="B64" s="675"/>
      <c r="C64" s="676"/>
      <c r="D64" s="677"/>
      <c r="E64" s="619">
        <f>SUM(E46,E55)</f>
        <v>175134</v>
      </c>
      <c r="F64" s="619">
        <f>SUM(F46,F55)</f>
        <v>384746</v>
      </c>
      <c r="G64" s="619">
        <f>SUM(G46,G55)</f>
        <v>81778</v>
      </c>
      <c r="H64" s="1083">
        <f>(G64/F64)*100</f>
        <v>21.255061781019165</v>
      </c>
    </row>
    <row r="65" spans="1:10" ht="13.5" thickTop="1" x14ac:dyDescent="0.2"/>
    <row r="77" spans="1:10" x14ac:dyDescent="0.2">
      <c r="A77" s="558"/>
      <c r="C77" s="558"/>
      <c r="E77" s="558"/>
      <c r="G77" s="558"/>
      <c r="I77" s="558"/>
      <c r="J77" s="558"/>
    </row>
    <row r="78" spans="1:10" x14ac:dyDescent="0.2">
      <c r="A78" s="558"/>
      <c r="C78" s="558"/>
      <c r="E78" s="558"/>
      <c r="G78" s="558"/>
      <c r="I78" s="558"/>
      <c r="J78" s="558"/>
    </row>
    <row r="79" spans="1:10" x14ac:dyDescent="0.2">
      <c r="A79" s="558"/>
      <c r="C79" s="558"/>
      <c r="E79" s="558"/>
      <c r="G79" s="558"/>
      <c r="I79" s="558"/>
      <c r="J79" s="558"/>
    </row>
    <row r="80" spans="1:10" x14ac:dyDescent="0.2">
      <c r="A80" s="558"/>
      <c r="C80" s="558"/>
      <c r="E80" s="558"/>
      <c r="G80" s="558"/>
      <c r="I80" s="558"/>
      <c r="J80" s="558"/>
    </row>
    <row r="81" spans="1:10" x14ac:dyDescent="0.2">
      <c r="A81" s="558"/>
      <c r="C81" s="558"/>
      <c r="E81" s="558"/>
      <c r="G81" s="558"/>
      <c r="I81" s="558"/>
      <c r="J81" s="558"/>
    </row>
    <row r="82" spans="1:10" s="58" customFormat="1" ht="47.25" customHeight="1" x14ac:dyDescent="0.35">
      <c r="A82" s="558"/>
      <c r="B82" s="558"/>
      <c r="C82" s="558"/>
      <c r="D82" s="558"/>
      <c r="E82" s="558"/>
      <c r="F82" s="517"/>
      <c r="G82" s="558"/>
      <c r="H82" s="692"/>
    </row>
    <row r="83" spans="1:10" s="670" customFormat="1" x14ac:dyDescent="0.2">
      <c r="A83" s="693"/>
      <c r="B83" s="693"/>
      <c r="C83" s="693"/>
      <c r="D83" s="693"/>
      <c r="E83" s="693"/>
      <c r="F83" s="699"/>
      <c r="G83" s="693"/>
      <c r="H83" s="700"/>
      <c r="I83" s="987"/>
      <c r="J83" s="987"/>
    </row>
    <row r="84" spans="1:10" x14ac:dyDescent="0.2">
      <c r="A84" s="558"/>
      <c r="C84" s="558"/>
      <c r="E84" s="558"/>
      <c r="G84" s="558"/>
    </row>
    <row r="85" spans="1:10" x14ac:dyDescent="0.2">
      <c r="A85" s="558"/>
      <c r="C85" s="558"/>
      <c r="E85" s="558"/>
      <c r="G85" s="558"/>
    </row>
    <row r="86" spans="1:10" x14ac:dyDescent="0.2">
      <c r="A86" s="558"/>
      <c r="C86" s="558"/>
      <c r="E86" s="558"/>
      <c r="G86" s="558"/>
    </row>
    <row r="87" spans="1:10" x14ac:dyDescent="0.2">
      <c r="A87" s="558"/>
      <c r="C87" s="558"/>
      <c r="E87" s="558"/>
      <c r="G87" s="558"/>
    </row>
    <row r="88" spans="1:10" x14ac:dyDescent="0.2">
      <c r="A88" s="558"/>
      <c r="C88" s="558"/>
      <c r="E88" s="558"/>
      <c r="G88" s="558"/>
    </row>
    <row r="89" spans="1:10" x14ac:dyDescent="0.2">
      <c r="A89" s="558"/>
      <c r="C89" s="558"/>
      <c r="E89" s="558"/>
      <c r="G89" s="558"/>
    </row>
    <row r="90" spans="1:10" x14ac:dyDescent="0.2">
      <c r="A90" s="558"/>
      <c r="C90" s="558"/>
      <c r="E90" s="558"/>
      <c r="G90" s="558"/>
    </row>
    <row r="91" spans="1:10" x14ac:dyDescent="0.2">
      <c r="A91" s="558"/>
      <c r="C91" s="558"/>
      <c r="E91" s="558"/>
      <c r="G91" s="558"/>
    </row>
    <row r="92" spans="1:10" x14ac:dyDescent="0.2">
      <c r="A92" s="558"/>
      <c r="C92" s="558"/>
      <c r="E92" s="558"/>
      <c r="G92" s="558"/>
    </row>
    <row r="93" spans="1:10" x14ac:dyDescent="0.2">
      <c r="A93" s="558"/>
      <c r="C93" s="558"/>
      <c r="E93" s="558"/>
      <c r="G93" s="558"/>
    </row>
  </sheetData>
  <mergeCells count="1">
    <mergeCell ref="D15:D16"/>
  </mergeCells>
  <phoneticPr fontId="0" type="noConversion"/>
  <pageMargins left="0.98425196850393704" right="0.98425196850393704" top="0.98425196850393704" bottom="0.98425196850393704" header="0.51181102362204722" footer="0.51181102362204722"/>
  <pageSetup paperSize="9" scale="70" firstPageNumber="39" orientation="portrait" useFirstPageNumber="1" r:id="rId1"/>
  <headerFooter alignWithMargins="0">
    <oddFooter xml:space="preserve">&amp;L&amp;"Arial,Kurzíva"Zastupitelstvo Olomouckého kraje 28. 6. 2013
6.- Závěrečný  účet Olomuckého kraje za rok 2012
Příloha č. 3: Plnění rozpočtu výdajů Olomouckého kraje k 31.12.2012&amp;R&amp;"Arial,Kurzíva"Strana &amp;P (Celkem 484)
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66</vt:i4>
      </vt:variant>
      <vt:variant>
        <vt:lpstr>Pojmenované oblasti</vt:lpstr>
      </vt:variant>
      <vt:variant>
        <vt:i4>63</vt:i4>
      </vt:variant>
    </vt:vector>
  </HeadingPairs>
  <TitlesOfParts>
    <vt:vector size="129" baseType="lpstr">
      <vt:lpstr>Rekapitulace</vt:lpstr>
      <vt:lpstr>Odbor celkem</vt:lpstr>
      <vt:lpstr>01 </vt:lpstr>
      <vt:lpstr>02</vt:lpstr>
      <vt:lpstr>03</vt:lpstr>
      <vt:lpstr>04</vt:lpstr>
      <vt:lpstr>05</vt:lpstr>
      <vt:lpstr>06</vt:lpstr>
      <vt:lpstr>07</vt:lpstr>
      <vt:lpstr>08</vt:lpstr>
      <vt:lpstr>OPOK</vt:lpstr>
      <vt:lpstr>SROP</vt:lpstr>
      <vt:lpstr>List1</vt:lpstr>
      <vt:lpstr>09</vt:lpstr>
      <vt:lpstr>10</vt:lpstr>
      <vt:lpstr>10 - PO</vt:lpstr>
      <vt:lpstr>10 - soukr.šk.</vt:lpstr>
      <vt:lpstr>11</vt:lpstr>
      <vt:lpstr>12</vt:lpstr>
      <vt:lpstr>13 </vt:lpstr>
      <vt:lpstr>14</vt:lpstr>
      <vt:lpstr>15</vt:lpstr>
      <vt:lpstr>16</vt:lpstr>
      <vt:lpstr>17</vt:lpstr>
      <vt:lpstr>17-st. akce</vt:lpstr>
      <vt:lpstr>30  </vt:lpstr>
      <vt:lpstr>32 </vt:lpstr>
      <vt:lpstr>37 </vt:lpstr>
      <vt:lpstr>38</vt:lpstr>
      <vt:lpstr>39 </vt:lpstr>
      <vt:lpstr>41 </vt:lpstr>
      <vt:lpstr>42 </vt:lpstr>
      <vt:lpstr>47 </vt:lpstr>
      <vt:lpstr>48 </vt:lpstr>
      <vt:lpstr>49 </vt:lpstr>
      <vt:lpstr>37</vt:lpstr>
      <vt:lpstr>50 </vt:lpstr>
      <vt:lpstr> 52 </vt:lpstr>
      <vt:lpstr>53  </vt:lpstr>
      <vt:lpstr>54 </vt:lpstr>
      <vt:lpstr>55  </vt:lpstr>
      <vt:lpstr>56 </vt:lpstr>
      <vt:lpstr>57 </vt:lpstr>
      <vt:lpstr>58 </vt:lpstr>
      <vt:lpstr>59 </vt:lpstr>
      <vt:lpstr>60 </vt:lpstr>
      <vt:lpstr>61  </vt:lpstr>
      <vt:lpstr>62  </vt:lpstr>
      <vt:lpstr>63  </vt:lpstr>
      <vt:lpstr>64 </vt:lpstr>
      <vt:lpstr>65 </vt:lpstr>
      <vt:lpstr>46</vt:lpstr>
      <vt:lpstr>66 </vt:lpstr>
      <vt:lpstr>67</vt:lpstr>
      <vt:lpstr>68</vt:lpstr>
      <vt:lpstr>69</vt:lpstr>
      <vt:lpstr>70</vt:lpstr>
      <vt:lpstr>71</vt:lpstr>
      <vt:lpstr>72</vt:lpstr>
      <vt:lpstr>73</vt:lpstr>
      <vt:lpstr>74</vt:lpstr>
      <vt:lpstr>F - 99</vt:lpstr>
      <vt:lpstr>F -199 </vt:lpstr>
      <vt:lpstr>199</vt:lpstr>
      <vt:lpstr>99</vt:lpstr>
      <vt:lpstr>List2</vt:lpstr>
      <vt:lpstr>' 52 '!Oblast_tisku</vt:lpstr>
      <vt:lpstr>'01 '!Oblast_tisku</vt:lpstr>
      <vt:lpstr>'02'!Oblast_tisku</vt:lpstr>
      <vt:lpstr>'03'!Oblast_tisku</vt:lpstr>
      <vt:lpstr>'04'!Oblast_tisku</vt:lpstr>
      <vt:lpstr>'05'!Oblast_tisku</vt:lpstr>
      <vt:lpstr>'06'!Oblast_tisku</vt:lpstr>
      <vt:lpstr>'07'!Oblast_tisku</vt:lpstr>
      <vt:lpstr>'08'!Oblast_tisku</vt:lpstr>
      <vt:lpstr>'09'!Oblast_tisku</vt:lpstr>
      <vt:lpstr>'10'!Oblast_tisku</vt:lpstr>
      <vt:lpstr>'10 - PO'!Oblast_tisku</vt:lpstr>
      <vt:lpstr>'10 - soukr.šk.'!Oblast_tisku</vt:lpstr>
      <vt:lpstr>'11'!Oblast_tisku</vt:lpstr>
      <vt:lpstr>'12'!Oblast_tisku</vt:lpstr>
      <vt:lpstr>'13 '!Oblast_tisku</vt:lpstr>
      <vt:lpstr>'14'!Oblast_tisku</vt:lpstr>
      <vt:lpstr>'15'!Oblast_tisku</vt:lpstr>
      <vt:lpstr>'16'!Oblast_tisku</vt:lpstr>
      <vt:lpstr>'17'!Oblast_tisku</vt:lpstr>
      <vt:lpstr>'17-st. akce'!Oblast_tisku</vt:lpstr>
      <vt:lpstr>'199'!Oblast_tisku</vt:lpstr>
      <vt:lpstr>'30  '!Oblast_tisku</vt:lpstr>
      <vt:lpstr>'32 '!Oblast_tisku</vt:lpstr>
      <vt:lpstr>'37'!Oblast_tisku</vt:lpstr>
      <vt:lpstr>'37 '!Oblast_tisku</vt:lpstr>
      <vt:lpstr>'38'!Oblast_tisku</vt:lpstr>
      <vt:lpstr>'39 '!Oblast_tisku</vt:lpstr>
      <vt:lpstr>'41 '!Oblast_tisku</vt:lpstr>
      <vt:lpstr>'42 '!Oblast_tisku</vt:lpstr>
      <vt:lpstr>'47 '!Oblast_tisku</vt:lpstr>
      <vt:lpstr>'48 '!Oblast_tisku</vt:lpstr>
      <vt:lpstr>'49 '!Oblast_tisku</vt:lpstr>
      <vt:lpstr>'50 '!Oblast_tisku</vt:lpstr>
      <vt:lpstr>'53  '!Oblast_tisku</vt:lpstr>
      <vt:lpstr>'54 '!Oblast_tisku</vt:lpstr>
      <vt:lpstr>'55  '!Oblast_tisku</vt:lpstr>
      <vt:lpstr>'56 '!Oblast_tisku</vt:lpstr>
      <vt:lpstr>'57 '!Oblast_tisku</vt:lpstr>
      <vt:lpstr>'58 '!Oblast_tisku</vt:lpstr>
      <vt:lpstr>'59 '!Oblast_tisku</vt:lpstr>
      <vt:lpstr>'60 '!Oblast_tisku</vt:lpstr>
      <vt:lpstr>'61  '!Oblast_tisku</vt:lpstr>
      <vt:lpstr>'62  '!Oblast_tisku</vt:lpstr>
      <vt:lpstr>'63  '!Oblast_tisku</vt:lpstr>
      <vt:lpstr>'64 '!Oblast_tisku</vt:lpstr>
      <vt:lpstr>'65 '!Oblast_tisku</vt:lpstr>
      <vt:lpstr>'66 '!Oblast_tisku</vt:lpstr>
      <vt:lpstr>'67'!Oblast_tisku</vt:lpstr>
      <vt:lpstr>'68'!Oblast_tisku</vt:lpstr>
      <vt:lpstr>'69'!Oblast_tisku</vt:lpstr>
      <vt:lpstr>'70'!Oblast_tisku</vt:lpstr>
      <vt:lpstr>'71'!Oblast_tisku</vt:lpstr>
      <vt:lpstr>'72'!Oblast_tisku</vt:lpstr>
      <vt:lpstr>'73'!Oblast_tisku</vt:lpstr>
      <vt:lpstr>'74'!Oblast_tisku</vt:lpstr>
      <vt:lpstr>'99'!Oblast_tisku</vt:lpstr>
      <vt:lpstr>'F - 99'!Oblast_tisku</vt:lpstr>
      <vt:lpstr>'F -199 '!Oblast_tisku</vt:lpstr>
      <vt:lpstr>'Odbor celkem'!Oblast_tisku</vt:lpstr>
      <vt:lpstr>OPOK!Oblast_tisku</vt:lpstr>
      <vt:lpstr>Rekapitulace!Oblast_tisku</vt:lpstr>
      <vt:lpstr>SROP!Oblast_tisku</vt:lpstr>
    </vt:vector>
  </TitlesOfParts>
  <Company>Krajský úřad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Ing. Petra Vítková</dc:creator>
  <cp:lastModifiedBy>Jančíková Kateřina</cp:lastModifiedBy>
  <cp:lastPrinted>2013-06-07T08:53:32Z</cp:lastPrinted>
  <dcterms:created xsi:type="dcterms:W3CDTF">2003-03-17T17:09:55Z</dcterms:created>
  <dcterms:modified xsi:type="dcterms:W3CDTF">2013-07-10T06:55:40Z</dcterms:modified>
</cp:coreProperties>
</file>