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00" tabRatio="934"/>
  </bookViews>
  <sheets>
    <sheet name="Rekapitulace" sheetId="38" r:id="rId1"/>
    <sheet name="1. DD Javorník" sheetId="4" r:id="rId2"/>
    <sheet name="2. DD Kobylá" sheetId="5" r:id="rId3"/>
    <sheet name="3. Domov Sněženka" sheetId="6" r:id="rId4"/>
    <sheet name="4. Středisko PS Jeseník" sheetId="7" r:id="rId5"/>
    <sheet name="5. DD Červenka" sheetId="8" r:id="rId6"/>
    <sheet name="6. Námešt na Hané" sheetId="36" r:id="rId7"/>
    <sheet name="7.DD Hrubá Voda" sheetId="10" r:id="rId8"/>
    <sheet name="8. DD Chválkovice" sheetId="11" r:id="rId9"/>
    <sheet name="9.Sociál. služby Olomouc" sheetId="12" r:id="rId10"/>
    <sheet name="10. Vincentinum" sheetId="13" r:id="rId11"/>
    <sheet name="11. Klíč" sheetId="14" r:id="rId12"/>
    <sheet name="12. Nové Zámky" sheetId="15" r:id="rId13"/>
    <sheet name="13. Středisko soc. prevence" sheetId="16" r:id="rId14"/>
    <sheet name="14.DD Šumperk" sheetId="17" r:id="rId15"/>
    <sheet name="15. DD Libina" sheetId="18" r:id="rId16"/>
    <sheet name="16. DD Štíty" sheetId="19" r:id="rId17"/>
    <sheet name="17. Soc. služby Šumperk" sheetId="20" r:id="rId18"/>
    <sheet name="18. Penzion Loštice" sheetId="21" r:id="rId19"/>
    <sheet name="19. Domov Paprsek Olšany" sheetId="22" r:id="rId20"/>
    <sheet name="20. Duha Centrum Vikýřovice" sheetId="23" r:id="rId21"/>
    <sheet name="21. DD Prostějov" sheetId="24" r:id="rId22"/>
    <sheet name="22. DD Jesenec" sheetId="25" r:id="rId23"/>
    <sheet name="23. Domov Nezamyslice" sheetId="26" r:id="rId24"/>
    <sheet name="24. Soc. služby Prostějov" sheetId="27" r:id="rId25"/>
    <sheet name="25. Centrum soc. sl." sheetId="28" r:id="rId26"/>
    <sheet name="26. Domov Radkova Lhota" sheetId="29" r:id="rId27"/>
    <sheet name="27. Domov Alfreda Pavlovice" sheetId="30" r:id="rId28"/>
    <sheet name="28. Domov Tovačov" sheetId="31" r:id="rId29"/>
    <sheet name="29. Domov Skalička" sheetId="32" r:id="rId30"/>
    <sheet name="30. Centrum Kokory" sheetId="33" r:id="rId31"/>
    <sheet name="31. Domov Adam Dřev." sheetId="34" r:id="rId32"/>
    <sheet name="32. Domov Na Zámečku Rokytnice" sheetId="35" r:id="rId33"/>
    <sheet name="CELKEM" sheetId="37" state="hidden" r:id="rId34"/>
  </sheets>
  <definedNames>
    <definedName name="__xlnm.Print_Area_14">'20. Duha Centrum Vikýřovice'!$A$1:$I$56</definedName>
    <definedName name="_xlnm.Print_Titles" localSheetId="0">Rekapitulace!$8:$9</definedName>
    <definedName name="_xlnm.Print_Area" localSheetId="1">'1. DD Javorník'!$A$1:$I$56</definedName>
    <definedName name="_xlnm.Print_Area" localSheetId="10">'10. Vincentinum'!$A$1:$I$56</definedName>
    <definedName name="_xlnm.Print_Area" localSheetId="11">'11. Klíč'!$A$1:$I$56</definedName>
    <definedName name="_xlnm.Print_Area" localSheetId="12">'12. Nové Zámky'!$A$1:$I$56</definedName>
    <definedName name="_xlnm.Print_Area" localSheetId="13">'13. Středisko soc. prevence'!$A$1:$I$56</definedName>
    <definedName name="_xlnm.Print_Area" localSheetId="14">'14.DD Šumperk'!$A$1:$I$56</definedName>
    <definedName name="_xlnm.Print_Area" localSheetId="15">'15. DD Libina'!$A$1:$I$56</definedName>
    <definedName name="_xlnm.Print_Area" localSheetId="16">'16. DD Štíty'!$A$1:$I$56</definedName>
    <definedName name="_xlnm.Print_Area" localSheetId="17">'17. Soc. služby Šumperk'!$A$1:$I$56</definedName>
    <definedName name="_xlnm.Print_Area" localSheetId="18">'18. Penzion Loštice'!$A$1:$I$56</definedName>
    <definedName name="_xlnm.Print_Area" localSheetId="19">'19. Domov Paprsek Olšany'!$A$1:$I$56</definedName>
    <definedName name="_xlnm.Print_Area" localSheetId="2">'2. DD Kobylá'!$A$1:$I$56</definedName>
    <definedName name="_xlnm.Print_Area" localSheetId="20">'20. Duha Centrum Vikýřovice'!$A$1:$I$56</definedName>
    <definedName name="_xlnm.Print_Area" localSheetId="21">'21. DD Prostějov'!$A$1:$I$56</definedName>
    <definedName name="_xlnm.Print_Area" localSheetId="22">'22. DD Jesenec'!$A$1:$I$56</definedName>
    <definedName name="_xlnm.Print_Area" localSheetId="23">'23. Domov Nezamyslice'!$A$1:$I$56</definedName>
    <definedName name="_xlnm.Print_Area" localSheetId="24">'24. Soc. služby Prostějov'!$A$1:$I$56</definedName>
    <definedName name="_xlnm.Print_Area" localSheetId="25">'25. Centrum soc. sl.'!$A$1:$I$56</definedName>
    <definedName name="_xlnm.Print_Area" localSheetId="26">'26. Domov Radkova Lhota'!$A$1:$I$56</definedName>
    <definedName name="_xlnm.Print_Area" localSheetId="27">'27. Domov Alfreda Pavlovice'!$A$1:$I$56</definedName>
    <definedName name="_xlnm.Print_Area" localSheetId="28">'28. Domov Tovačov'!$A$1:$I$56</definedName>
    <definedName name="_xlnm.Print_Area" localSheetId="29">'29. Domov Skalička'!$A$1:$I$56</definedName>
    <definedName name="_xlnm.Print_Area" localSheetId="3">'3. Domov Sněženka'!$A$1:$I$56</definedName>
    <definedName name="_xlnm.Print_Area" localSheetId="30">'30. Centrum Kokory'!$A$1:$I$56</definedName>
    <definedName name="_xlnm.Print_Area" localSheetId="31">'31. Domov Adam Dřev.'!$A$1:$I$56</definedName>
    <definedName name="_xlnm.Print_Area" localSheetId="32">'32. Domov Na Zámečku Rokytnice'!$A$1:$I$56</definedName>
    <definedName name="_xlnm.Print_Area" localSheetId="4">'4. Středisko PS Jeseník'!$A$1:$I$56</definedName>
    <definedName name="_xlnm.Print_Area" localSheetId="5">'5. DD Červenka'!$A$1:$I$56</definedName>
    <definedName name="_xlnm.Print_Area" localSheetId="6">'6. Námešt na Hané'!$A$1:$I$56</definedName>
    <definedName name="_xlnm.Print_Area" localSheetId="7">'7.DD Hrubá Voda'!$A$1:$I$56</definedName>
    <definedName name="_xlnm.Print_Area" localSheetId="8">'8. DD Chválkovice'!$A$1:$I$56</definedName>
    <definedName name="_xlnm.Print_Area" localSheetId="9">'9.Sociál. služby Olomouc'!$A$1:$I$56</definedName>
    <definedName name="_xlnm.Print_Area" localSheetId="33">CELKEM!$A$1:$I$56</definedName>
    <definedName name="_xlnm.Print_Area" localSheetId="0">Rekapitulace!$A$1:$R$92</definedName>
  </definedNames>
  <calcPr calcId="145621"/>
</workbook>
</file>

<file path=xl/calcChain.xml><?xml version="1.0" encoding="utf-8"?>
<calcChain xmlns="http://schemas.openxmlformats.org/spreadsheetml/2006/main">
  <c r="Q51" i="38" l="1"/>
  <c r="G37" i="37" l="1"/>
  <c r="I22" i="37" l="1"/>
  <c r="H22" i="37"/>
  <c r="G22" i="37"/>
  <c r="G22" i="21"/>
  <c r="G37" i="4" l="1"/>
  <c r="F37" i="4"/>
  <c r="G37" i="35" l="1"/>
  <c r="F37" i="35"/>
  <c r="G37" i="34" l="1"/>
  <c r="F37" i="34"/>
  <c r="G37" i="33"/>
  <c r="F37" i="33"/>
  <c r="G37" i="32"/>
  <c r="F37" i="32"/>
  <c r="H53" i="31" l="1"/>
  <c r="F37" i="31"/>
  <c r="G37" i="31"/>
  <c r="G37" i="30"/>
  <c r="F37" i="30" l="1"/>
  <c r="G37" i="29" l="1"/>
  <c r="F37" i="29"/>
  <c r="G37" i="28"/>
  <c r="F37" i="28"/>
  <c r="F37" i="27"/>
  <c r="G37" i="27"/>
  <c r="F37" i="26"/>
  <c r="G37" i="26"/>
  <c r="G37" i="25"/>
  <c r="F37" i="25"/>
  <c r="G37" i="24"/>
  <c r="F37" i="24"/>
  <c r="F37" i="23"/>
  <c r="G37" i="23"/>
  <c r="G37" i="22" l="1"/>
  <c r="F37" i="22"/>
  <c r="G37" i="21"/>
  <c r="F37" i="21"/>
  <c r="F37" i="20"/>
  <c r="G37" i="20"/>
  <c r="G37" i="19" l="1"/>
  <c r="F37" i="19"/>
  <c r="G37" i="18" l="1"/>
  <c r="F37" i="18"/>
  <c r="F37" i="16"/>
  <c r="F37" i="17"/>
  <c r="G37" i="17"/>
  <c r="G37" i="16"/>
  <c r="G37" i="15" l="1"/>
  <c r="F37" i="15"/>
  <c r="G37" i="14"/>
  <c r="F37" i="14"/>
  <c r="G37" i="13"/>
  <c r="F37" i="13"/>
  <c r="H54" i="12" l="1"/>
  <c r="G37" i="12"/>
  <c r="F37" i="12"/>
  <c r="H54" i="11" l="1"/>
  <c r="G37" i="11"/>
  <c r="F37" i="11"/>
  <c r="G37" i="10"/>
  <c r="G37" i="36"/>
  <c r="G37" i="8"/>
  <c r="F37" i="8"/>
  <c r="G37" i="7"/>
  <c r="F37" i="7"/>
  <c r="G37" i="5" l="1"/>
  <c r="G51" i="5" l="1"/>
  <c r="H51" i="5" s="1"/>
  <c r="E51" i="5"/>
  <c r="E16" i="10" l="1"/>
  <c r="K38" i="34" l="1"/>
  <c r="K37" i="34"/>
  <c r="R10" i="38" l="1"/>
  <c r="T45" i="38"/>
  <c r="R12" i="38"/>
  <c r="T19" i="38"/>
  <c r="P72" i="38"/>
  <c r="O72" i="38"/>
  <c r="R70" i="38"/>
  <c r="P70" i="38"/>
  <c r="O70" i="38"/>
  <c r="H70" i="38"/>
  <c r="G70" i="38"/>
  <c r="R68" i="38"/>
  <c r="P68" i="38"/>
  <c r="T68" i="38" s="1"/>
  <c r="O68" i="38"/>
  <c r="H68" i="38"/>
  <c r="G68" i="38"/>
  <c r="P66" i="38"/>
  <c r="O66" i="38"/>
  <c r="P64" i="38"/>
  <c r="O64" i="38"/>
  <c r="P62" i="38"/>
  <c r="O62" i="38"/>
  <c r="R60" i="38"/>
  <c r="P60" i="38"/>
  <c r="T60" i="38" s="1"/>
  <c r="O60" i="38"/>
  <c r="H60" i="38"/>
  <c r="G60" i="38"/>
  <c r="P58" i="38"/>
  <c r="O58" i="38"/>
  <c r="P56" i="38"/>
  <c r="O56" i="38"/>
  <c r="R54" i="38"/>
  <c r="P54" i="38"/>
  <c r="O54" i="38"/>
  <c r="H54" i="38"/>
  <c r="G54" i="38"/>
  <c r="R52" i="38"/>
  <c r="Q52" i="38"/>
  <c r="P52" i="38"/>
  <c r="O52" i="38"/>
  <c r="H52" i="38"/>
  <c r="G52" i="38"/>
  <c r="Q50" i="38"/>
  <c r="P50" i="38"/>
  <c r="O50" i="38"/>
  <c r="G18" i="23"/>
  <c r="G22" i="23"/>
  <c r="G16" i="23"/>
  <c r="G16" i="22"/>
  <c r="P48" i="38"/>
  <c r="O48" i="38"/>
  <c r="K48" i="38"/>
  <c r="H48" i="38"/>
  <c r="G48" i="38"/>
  <c r="P46" i="38"/>
  <c r="O46" i="38"/>
  <c r="G46" i="38"/>
  <c r="P44" i="38"/>
  <c r="O44" i="38"/>
  <c r="P42" i="38"/>
  <c r="O42" i="38"/>
  <c r="P40" i="38"/>
  <c r="O40" i="38"/>
  <c r="P38" i="38"/>
  <c r="O38" i="38"/>
  <c r="P36" i="38"/>
  <c r="O36" i="38"/>
  <c r="R34" i="38"/>
  <c r="P34" i="38"/>
  <c r="T34" i="38" s="1"/>
  <c r="O34" i="38"/>
  <c r="H34" i="38"/>
  <c r="G34" i="38"/>
  <c r="P32" i="38"/>
  <c r="O32" i="38"/>
  <c r="P30" i="38"/>
  <c r="O30" i="38"/>
  <c r="R28" i="38"/>
  <c r="P28" i="38"/>
  <c r="T28" i="38" s="1"/>
  <c r="O28" i="38"/>
  <c r="H28" i="38"/>
  <c r="G28" i="38"/>
  <c r="R26" i="38"/>
  <c r="P26" i="38"/>
  <c r="T26" i="38" s="1"/>
  <c r="O26" i="38"/>
  <c r="H26" i="38"/>
  <c r="G26" i="38"/>
  <c r="R24" i="38"/>
  <c r="P24" i="38"/>
  <c r="T24" i="38" s="1"/>
  <c r="O24" i="38"/>
  <c r="H24" i="38"/>
  <c r="G24" i="38"/>
  <c r="R22" i="38"/>
  <c r="P22" i="38"/>
  <c r="T22" i="38" s="1"/>
  <c r="O22" i="38"/>
  <c r="H22" i="38"/>
  <c r="G22" i="38"/>
  <c r="R20" i="38"/>
  <c r="P20" i="38"/>
  <c r="T20" i="38" s="1"/>
  <c r="O20" i="38"/>
  <c r="H20" i="38"/>
  <c r="G20" i="38"/>
  <c r="R18" i="38"/>
  <c r="P18" i="38"/>
  <c r="T18" i="38" s="1"/>
  <c r="O18" i="38"/>
  <c r="H18" i="38"/>
  <c r="G18" i="38"/>
  <c r="R16" i="38"/>
  <c r="P16" i="38"/>
  <c r="T16" i="38" s="1"/>
  <c r="O16" i="38"/>
  <c r="H16" i="38"/>
  <c r="G16" i="38"/>
  <c r="R14" i="38"/>
  <c r="P14" i="38"/>
  <c r="T14" i="38" s="1"/>
  <c r="O14" i="38"/>
  <c r="H14" i="38"/>
  <c r="G14" i="38"/>
  <c r="P12" i="38"/>
  <c r="O12" i="38"/>
  <c r="P10" i="38"/>
  <c r="O10" i="38"/>
  <c r="I53" i="37"/>
  <c r="G53" i="37"/>
  <c r="F53" i="37"/>
  <c r="G52" i="37"/>
  <c r="F52" i="37"/>
  <c r="I51" i="37"/>
  <c r="G51" i="37"/>
  <c r="F51" i="37"/>
  <c r="G50" i="37"/>
  <c r="F50" i="37"/>
  <c r="E53" i="37"/>
  <c r="E52" i="37"/>
  <c r="E51" i="37"/>
  <c r="E50" i="37"/>
  <c r="G41" i="37"/>
  <c r="F41" i="37"/>
  <c r="G40" i="37"/>
  <c r="F40" i="37"/>
  <c r="G39" i="37"/>
  <c r="F39" i="37"/>
  <c r="G38" i="37"/>
  <c r="F38" i="37"/>
  <c r="J38" i="37" s="1"/>
  <c r="K38" i="37" s="1"/>
  <c r="F37" i="37"/>
  <c r="G31" i="37"/>
  <c r="G30" i="37"/>
  <c r="G29" i="37"/>
  <c r="H18" i="37"/>
  <c r="H16" i="37"/>
  <c r="F18" i="37"/>
  <c r="F16" i="37"/>
  <c r="E18" i="37"/>
  <c r="E16" i="37"/>
  <c r="T54" i="38" l="1"/>
  <c r="T70" i="38"/>
  <c r="T10" i="38"/>
  <c r="J37" i="37"/>
  <c r="K37" i="37" s="1"/>
  <c r="T52" i="38"/>
  <c r="T12" i="38"/>
  <c r="H28" i="37"/>
  <c r="G28" i="13"/>
  <c r="G28" i="35" l="1"/>
  <c r="R72" i="38" s="1"/>
  <c r="T72" i="38" s="1"/>
  <c r="G28" i="34"/>
  <c r="G28" i="33"/>
  <c r="G28" i="32"/>
  <c r="R66" i="38" s="1"/>
  <c r="T66" i="38" s="1"/>
  <c r="G28" i="31"/>
  <c r="R64" i="38" s="1"/>
  <c r="T64" i="38" s="1"/>
  <c r="G28" i="30"/>
  <c r="R62" i="38" s="1"/>
  <c r="T62" i="38" s="1"/>
  <c r="G28" i="29"/>
  <c r="G28" i="28"/>
  <c r="R58" i="38" s="1"/>
  <c r="T58" i="38" s="1"/>
  <c r="G28" i="27"/>
  <c r="R56" i="38" s="1"/>
  <c r="G28" i="26"/>
  <c r="G28" i="25"/>
  <c r="G28" i="24"/>
  <c r="R50" i="38" s="1"/>
  <c r="G28" i="23"/>
  <c r="R48" i="38" s="1"/>
  <c r="G28" i="22"/>
  <c r="R46" i="38" s="1"/>
  <c r="T46" i="38" s="1"/>
  <c r="G28" i="21"/>
  <c r="R44" i="38" s="1"/>
  <c r="T44" i="38" s="1"/>
  <c r="G28" i="20"/>
  <c r="R42" i="38" s="1"/>
  <c r="G28" i="19"/>
  <c r="R40" i="38" s="1"/>
  <c r="G28" i="18"/>
  <c r="R38" i="38" s="1"/>
  <c r="T38" i="38" s="1"/>
  <c r="G28" i="17"/>
  <c r="R36" i="38" s="1"/>
  <c r="T36" i="38" s="1"/>
  <c r="G28" i="16"/>
  <c r="G28" i="15"/>
  <c r="R32" i="38" s="1"/>
  <c r="G28" i="14"/>
  <c r="G28" i="12"/>
  <c r="G28" i="11"/>
  <c r="G28" i="10"/>
  <c r="G28" i="36"/>
  <c r="G28" i="8"/>
  <c r="G28" i="7"/>
  <c r="G28" i="6"/>
  <c r="G28" i="5"/>
  <c r="P11" i="38"/>
  <c r="O13" i="38"/>
  <c r="P13" i="38"/>
  <c r="I14" i="38"/>
  <c r="P15" i="38"/>
  <c r="O15" i="38"/>
  <c r="I16" i="38"/>
  <c r="P17" i="38"/>
  <c r="O17" i="38"/>
  <c r="I18" i="38"/>
  <c r="I20" i="38"/>
  <c r="O21" i="38"/>
  <c r="P21" i="38"/>
  <c r="I22" i="38"/>
  <c r="O23" i="38"/>
  <c r="P23" i="38"/>
  <c r="I24" i="38"/>
  <c r="O25" i="38"/>
  <c r="P25" i="38"/>
  <c r="I26" i="38"/>
  <c r="O27" i="38"/>
  <c r="P27" i="38"/>
  <c r="I28" i="38"/>
  <c r="P29" i="38"/>
  <c r="O29" i="38"/>
  <c r="I34" i="38"/>
  <c r="O35" i="38"/>
  <c r="P35" i="38"/>
  <c r="P37" i="38"/>
  <c r="P47" i="38"/>
  <c r="I48" i="38"/>
  <c r="L48" i="38" s="1"/>
  <c r="I52" i="38"/>
  <c r="O53" i="38"/>
  <c r="P53" i="38"/>
  <c r="I54" i="38"/>
  <c r="O55" i="38"/>
  <c r="P55" i="38"/>
  <c r="P59" i="38"/>
  <c r="I60" i="38"/>
  <c r="O61" i="38"/>
  <c r="P61" i="38"/>
  <c r="P63" i="38"/>
  <c r="P65" i="38"/>
  <c r="P67" i="38"/>
  <c r="I68" i="38"/>
  <c r="O69" i="38"/>
  <c r="P69" i="38"/>
  <c r="I70" i="38"/>
  <c r="O71" i="38"/>
  <c r="P71" i="38"/>
  <c r="J78" i="38"/>
  <c r="O78" i="38"/>
  <c r="P78" i="38"/>
  <c r="Q78" i="38"/>
  <c r="G80" i="38"/>
  <c r="H80" i="38"/>
  <c r="I80" i="38"/>
  <c r="J80" i="38"/>
  <c r="K80" i="38"/>
  <c r="L80" i="38"/>
  <c r="J83" i="38"/>
  <c r="O73" i="38" l="1"/>
  <c r="O67" i="38"/>
  <c r="R67" i="38" s="1"/>
  <c r="T67" i="38" s="1"/>
  <c r="O65" i="38"/>
  <c r="O63" i="38"/>
  <c r="O59" i="38"/>
  <c r="T56" i="38"/>
  <c r="O57" i="38"/>
  <c r="P57" i="38"/>
  <c r="R57" i="38" s="1"/>
  <c r="T57" i="38" s="1"/>
  <c r="T50" i="38"/>
  <c r="O51" i="38"/>
  <c r="P51" i="38"/>
  <c r="T48" i="38"/>
  <c r="P49" i="38"/>
  <c r="O49" i="38"/>
  <c r="O47" i="38"/>
  <c r="T42" i="38"/>
  <c r="O43" i="38"/>
  <c r="P43" i="38"/>
  <c r="R43" i="38" s="1"/>
  <c r="T43" i="38" s="1"/>
  <c r="T40" i="38"/>
  <c r="O41" i="38"/>
  <c r="P41" i="38"/>
  <c r="O39" i="38"/>
  <c r="O37" i="38"/>
  <c r="T32" i="38"/>
  <c r="O33" i="38"/>
  <c r="P33" i="38"/>
  <c r="R33" i="38" s="1"/>
  <c r="T33" i="38" s="1"/>
  <c r="R30" i="38"/>
  <c r="G28" i="37"/>
  <c r="R63" i="38"/>
  <c r="T63" i="38" s="1"/>
  <c r="R59" i="38"/>
  <c r="T59" i="38" s="1"/>
  <c r="R55" i="38"/>
  <c r="T55" i="38" s="1"/>
  <c r="R47" i="38"/>
  <c r="T47" i="38" s="1"/>
  <c r="R37" i="38"/>
  <c r="T37" i="38" s="1"/>
  <c r="R25" i="38"/>
  <c r="T25" i="38" s="1"/>
  <c r="R21" i="38"/>
  <c r="T21" i="38"/>
  <c r="R15" i="38"/>
  <c r="T15" i="38"/>
  <c r="R69" i="38"/>
  <c r="T69" i="38"/>
  <c r="R65" i="38"/>
  <c r="T65" i="38" s="1"/>
  <c r="R61" i="38"/>
  <c r="T61" i="38" s="1"/>
  <c r="R53" i="38"/>
  <c r="T53" i="38" s="1"/>
  <c r="R35" i="38"/>
  <c r="T35" i="38" s="1"/>
  <c r="R29" i="38"/>
  <c r="T29" i="38" s="1"/>
  <c r="R27" i="38"/>
  <c r="T27" i="38" s="1"/>
  <c r="R23" i="38"/>
  <c r="T23" i="38" s="1"/>
  <c r="R17" i="38"/>
  <c r="T17" i="38" s="1"/>
  <c r="R11" i="38"/>
  <c r="T11" i="38" s="1"/>
  <c r="R13" i="38"/>
  <c r="T13" i="38" s="1"/>
  <c r="R71" i="38"/>
  <c r="T71" i="38" s="1"/>
  <c r="I52" i="37"/>
  <c r="I50" i="37"/>
  <c r="I18" i="37"/>
  <c r="I16" i="37"/>
  <c r="M48" i="38"/>
  <c r="S48" i="38" s="1"/>
  <c r="N48" i="38"/>
  <c r="P73" i="38"/>
  <c r="P39" i="38"/>
  <c r="R41" i="38" l="1"/>
  <c r="T41" i="38" s="1"/>
  <c r="R51" i="38"/>
  <c r="T51" i="38" s="1"/>
  <c r="R49" i="38"/>
  <c r="T49" i="38" s="1"/>
  <c r="T30" i="38"/>
  <c r="P31" i="38"/>
  <c r="R78" i="38"/>
  <c r="O31" i="38"/>
  <c r="R39" i="38"/>
  <c r="T39" i="38" s="1"/>
  <c r="R73" i="38"/>
  <c r="T73" i="38" s="1"/>
  <c r="R31" i="38" l="1"/>
  <c r="T31" i="38" s="1"/>
  <c r="Q79" i="38"/>
  <c r="O79" i="38"/>
  <c r="P79" i="38"/>
  <c r="I41" i="37"/>
  <c r="I40" i="37"/>
  <c r="I39" i="37"/>
  <c r="I38" i="37"/>
  <c r="I37" i="37"/>
  <c r="G16" i="36"/>
  <c r="G22" i="36"/>
  <c r="G18" i="36"/>
  <c r="H24" i="36"/>
  <c r="I24" i="36"/>
  <c r="I37" i="36"/>
  <c r="I38" i="36"/>
  <c r="I39" i="36"/>
  <c r="I40" i="36"/>
  <c r="I41" i="36"/>
  <c r="H50" i="36"/>
  <c r="H51" i="36"/>
  <c r="H54" i="36" s="1"/>
  <c r="H52" i="36"/>
  <c r="H53" i="36"/>
  <c r="E54" i="36"/>
  <c r="F54" i="36"/>
  <c r="G54" i="36"/>
  <c r="I54" i="36"/>
  <c r="K22" i="38" l="1"/>
  <c r="L22" i="38" s="1"/>
  <c r="K20" i="38"/>
  <c r="L20" i="38" s="1"/>
  <c r="G24" i="36"/>
  <c r="R79" i="38"/>
  <c r="G16" i="35"/>
  <c r="G72" i="38" s="1"/>
  <c r="G22" i="35"/>
  <c r="K72" i="38" s="1"/>
  <c r="G18" i="35"/>
  <c r="H24" i="35"/>
  <c r="I24" i="35"/>
  <c r="I37" i="35"/>
  <c r="I38" i="35"/>
  <c r="I39" i="35"/>
  <c r="I40" i="35"/>
  <c r="I41" i="35"/>
  <c r="H50" i="35"/>
  <c r="H51" i="35"/>
  <c r="H52" i="35"/>
  <c r="H53" i="35"/>
  <c r="G54" i="35"/>
  <c r="F54" i="35"/>
  <c r="I54" i="35"/>
  <c r="M20" i="38" l="1"/>
  <c r="S20" i="38" s="1"/>
  <c r="N20" i="38"/>
  <c r="M22" i="38"/>
  <c r="S22" i="38" s="1"/>
  <c r="N22" i="38"/>
  <c r="G24" i="35"/>
  <c r="H72" i="38"/>
  <c r="I72" i="38" s="1"/>
  <c r="L72" i="38" s="1"/>
  <c r="H54" i="35"/>
  <c r="E54" i="35"/>
  <c r="M72" i="38" l="1"/>
  <c r="S72" i="38" s="1"/>
  <c r="N72" i="38"/>
  <c r="G16" i="34"/>
  <c r="G22" i="34"/>
  <c r="K70" i="38" s="1"/>
  <c r="L70" i="38" s="1"/>
  <c r="G18" i="34"/>
  <c r="H24" i="34"/>
  <c r="I24" i="34"/>
  <c r="I37" i="34"/>
  <c r="I38" i="34"/>
  <c r="I39" i="34"/>
  <c r="I40" i="34"/>
  <c r="I41" i="34"/>
  <c r="H50" i="34"/>
  <c r="H51" i="34"/>
  <c r="H54" i="34" s="1"/>
  <c r="H52" i="34"/>
  <c r="H53" i="34"/>
  <c r="F54" i="34"/>
  <c r="G54" i="34"/>
  <c r="I54" i="34"/>
  <c r="M70" i="38" l="1"/>
  <c r="S70" i="38" s="1"/>
  <c r="N70" i="38"/>
  <c r="G24" i="34"/>
  <c r="E54" i="34"/>
  <c r="G16" i="33" l="1"/>
  <c r="G22" i="33"/>
  <c r="K68" i="38" s="1"/>
  <c r="L68" i="38" s="1"/>
  <c r="G18" i="33"/>
  <c r="H24" i="33"/>
  <c r="I24" i="33"/>
  <c r="I37" i="33"/>
  <c r="I38" i="33"/>
  <c r="I39" i="33"/>
  <c r="I40" i="33"/>
  <c r="I41" i="33"/>
  <c r="H50" i="33"/>
  <c r="H51" i="33"/>
  <c r="H54" i="33" s="1"/>
  <c r="H52" i="33"/>
  <c r="H53" i="33"/>
  <c r="E54" i="33"/>
  <c r="F54" i="33"/>
  <c r="G54" i="33"/>
  <c r="I54" i="33"/>
  <c r="M68" i="38" l="1"/>
  <c r="S68" i="38" s="1"/>
  <c r="N68" i="38"/>
  <c r="G24" i="33"/>
  <c r="G16" i="32" l="1"/>
  <c r="G66" i="38" s="1"/>
  <c r="G22" i="32"/>
  <c r="K66" i="38" s="1"/>
  <c r="G18" i="32"/>
  <c r="H24" i="32"/>
  <c r="I24" i="32"/>
  <c r="I37" i="32"/>
  <c r="I38" i="32"/>
  <c r="I39" i="32"/>
  <c r="I40" i="32"/>
  <c r="I41" i="32"/>
  <c r="H50" i="32"/>
  <c r="H51" i="32"/>
  <c r="H52" i="32"/>
  <c r="H53" i="32"/>
  <c r="E54" i="32"/>
  <c r="F54" i="32"/>
  <c r="G54" i="32"/>
  <c r="I54" i="32"/>
  <c r="H54" i="32" l="1"/>
  <c r="G24" i="32"/>
  <c r="H66" i="38"/>
  <c r="I66" i="38" s="1"/>
  <c r="L66" i="38" s="1"/>
  <c r="G16" i="31"/>
  <c r="G64" i="38" s="1"/>
  <c r="G22" i="31"/>
  <c r="K64" i="38" s="1"/>
  <c r="G18" i="31"/>
  <c r="H24" i="31"/>
  <c r="I24" i="31"/>
  <c r="I37" i="31"/>
  <c r="I38" i="31"/>
  <c r="I39" i="31"/>
  <c r="I40" i="31"/>
  <c r="I41" i="31"/>
  <c r="H50" i="31"/>
  <c r="H51" i="31"/>
  <c r="H52" i="31"/>
  <c r="E54" i="31"/>
  <c r="F54" i="31"/>
  <c r="G54" i="31"/>
  <c r="I54" i="31"/>
  <c r="M66" i="38" l="1"/>
  <c r="S66" i="38" s="1"/>
  <c r="N66" i="38"/>
  <c r="G24" i="31"/>
  <c r="H64" i="38"/>
  <c r="I64" i="38" s="1"/>
  <c r="L64" i="38" s="1"/>
  <c r="H54" i="31"/>
  <c r="G16" i="30"/>
  <c r="G62" i="38" s="1"/>
  <c r="G22" i="30"/>
  <c r="K62" i="38" s="1"/>
  <c r="G18" i="30"/>
  <c r="H24" i="30"/>
  <c r="I24" i="30"/>
  <c r="I37" i="30"/>
  <c r="I38" i="30"/>
  <c r="I39" i="30"/>
  <c r="I40" i="30"/>
  <c r="I41" i="30"/>
  <c r="H50" i="30"/>
  <c r="H51" i="30"/>
  <c r="H52" i="30"/>
  <c r="H53" i="30"/>
  <c r="E54" i="30"/>
  <c r="F54" i="30"/>
  <c r="G54" i="30"/>
  <c r="I54" i="30"/>
  <c r="M64" i="38" l="1"/>
  <c r="S64" i="38" s="1"/>
  <c r="N64" i="38"/>
  <c r="G24" i="30"/>
  <c r="H62" i="38"/>
  <c r="I62" i="38" s="1"/>
  <c r="L62" i="38" s="1"/>
  <c r="H54" i="30"/>
  <c r="N62" i="38" l="1"/>
  <c r="M62" i="38"/>
  <c r="S62" i="38" s="1"/>
  <c r="G16" i="29"/>
  <c r="G22" i="29"/>
  <c r="K60" i="38" s="1"/>
  <c r="L60" i="38" s="1"/>
  <c r="G18" i="29"/>
  <c r="H24" i="29"/>
  <c r="I24" i="29"/>
  <c r="I37" i="29"/>
  <c r="I38" i="29"/>
  <c r="I39" i="29"/>
  <c r="I40" i="29"/>
  <c r="I41" i="29"/>
  <c r="H50" i="29"/>
  <c r="H51" i="29"/>
  <c r="H54" i="29" s="1"/>
  <c r="H52" i="29"/>
  <c r="H53" i="29"/>
  <c r="E54" i="29"/>
  <c r="F54" i="29"/>
  <c r="G54" i="29"/>
  <c r="I54" i="29"/>
  <c r="M60" i="38" l="1"/>
  <c r="S60" i="38" s="1"/>
  <c r="N60" i="38"/>
  <c r="G24" i="29"/>
  <c r="G16" i="28"/>
  <c r="G58" i="38" s="1"/>
  <c r="G22" i="28"/>
  <c r="K58" i="38" s="1"/>
  <c r="G18" i="28"/>
  <c r="H24" i="28"/>
  <c r="I24" i="28"/>
  <c r="I37" i="28"/>
  <c r="I38" i="28"/>
  <c r="I39" i="28"/>
  <c r="I40" i="28"/>
  <c r="I41" i="28"/>
  <c r="H50" i="28"/>
  <c r="H51" i="28"/>
  <c r="H52" i="28"/>
  <c r="H53" i="28"/>
  <c r="F54" i="28"/>
  <c r="G54" i="28"/>
  <c r="I54" i="28"/>
  <c r="G24" i="28" l="1"/>
  <c r="H58" i="38"/>
  <c r="I58" i="38" s="1"/>
  <c r="L58" i="38" s="1"/>
  <c r="H54" i="28"/>
  <c r="E54" i="28"/>
  <c r="M58" i="38" l="1"/>
  <c r="S58" i="38" s="1"/>
  <c r="N58" i="38"/>
  <c r="G16" i="27"/>
  <c r="G56" i="38" s="1"/>
  <c r="G18" i="27"/>
  <c r="H56" i="38" s="1"/>
  <c r="I24" i="27"/>
  <c r="I37" i="27"/>
  <c r="I38" i="27"/>
  <c r="I39" i="27"/>
  <c r="I41" i="27"/>
  <c r="H50" i="27"/>
  <c r="H52" i="27"/>
  <c r="G54" i="27"/>
  <c r="F54" i="27"/>
  <c r="I54" i="27"/>
  <c r="I56" i="38" l="1"/>
  <c r="E54" i="27"/>
  <c r="H53" i="27"/>
  <c r="I40" i="27"/>
  <c r="H24" i="27"/>
  <c r="H51" i="27"/>
  <c r="H54" i="27" s="1"/>
  <c r="G22" i="27"/>
  <c r="G24" i="27" l="1"/>
  <c r="K56" i="38"/>
  <c r="L56" i="38" s="1"/>
  <c r="G16" i="26"/>
  <c r="H24" i="26"/>
  <c r="I24" i="26"/>
  <c r="I37" i="26"/>
  <c r="I38" i="26"/>
  <c r="I39" i="26"/>
  <c r="I40" i="26"/>
  <c r="I41" i="26"/>
  <c r="H50" i="26"/>
  <c r="H52" i="26"/>
  <c r="H53" i="26"/>
  <c r="E54" i="26"/>
  <c r="F54" i="26"/>
  <c r="G54" i="26"/>
  <c r="I54" i="26"/>
  <c r="N56" i="38" l="1"/>
  <c r="M56" i="38"/>
  <c r="S56" i="38" s="1"/>
  <c r="H51" i="26"/>
  <c r="H54" i="26" s="1"/>
  <c r="G18" i="26"/>
  <c r="G22" i="26"/>
  <c r="K54" i="38" s="1"/>
  <c r="L54" i="38" s="1"/>
  <c r="G16" i="25"/>
  <c r="G22" i="25"/>
  <c r="K52" i="38" s="1"/>
  <c r="L52" i="38" s="1"/>
  <c r="G18" i="25"/>
  <c r="H24" i="25"/>
  <c r="I24" i="25"/>
  <c r="I37" i="25"/>
  <c r="I38" i="25"/>
  <c r="I39" i="25"/>
  <c r="I41" i="25"/>
  <c r="H50" i="25"/>
  <c r="G54" i="25"/>
  <c r="H52" i="25"/>
  <c r="F54" i="25"/>
  <c r="I54" i="25"/>
  <c r="M54" i="38" l="1"/>
  <c r="S54" i="38" s="1"/>
  <c r="N54" i="38"/>
  <c r="G24" i="25"/>
  <c r="M52" i="38"/>
  <c r="S52" i="38" s="1"/>
  <c r="N52" i="38"/>
  <c r="H51" i="25"/>
  <c r="G24" i="26"/>
  <c r="E54" i="25"/>
  <c r="H53" i="25"/>
  <c r="I40" i="25"/>
  <c r="G16" i="24"/>
  <c r="G50" i="38" s="1"/>
  <c r="G18" i="24"/>
  <c r="H50" i="38" s="1"/>
  <c r="I50" i="38" s="1"/>
  <c r="H24" i="24"/>
  <c r="I24" i="24"/>
  <c r="I37" i="24"/>
  <c r="I38" i="24"/>
  <c r="I39" i="24"/>
  <c r="I41" i="24"/>
  <c r="H50" i="24"/>
  <c r="H52" i="24"/>
  <c r="F54" i="24"/>
  <c r="G54" i="24"/>
  <c r="I54" i="24"/>
  <c r="H51" i="24" l="1"/>
  <c r="G22" i="24"/>
  <c r="E54" i="24"/>
  <c r="H53" i="24"/>
  <c r="I40" i="24"/>
  <c r="H54" i="25"/>
  <c r="H24" i="23"/>
  <c r="I24" i="23"/>
  <c r="I37" i="23"/>
  <c r="I39" i="23"/>
  <c r="I40" i="23"/>
  <c r="I41" i="23"/>
  <c r="H50" i="23"/>
  <c r="H52" i="23"/>
  <c r="E54" i="23"/>
  <c r="F54" i="23"/>
  <c r="G54" i="23"/>
  <c r="I54" i="23"/>
  <c r="G24" i="24" l="1"/>
  <c r="K50" i="38"/>
  <c r="L50" i="38" s="1"/>
  <c r="H53" i="23"/>
  <c r="G24" i="23"/>
  <c r="H51" i="23"/>
  <c r="I38" i="23"/>
  <c r="H54" i="24"/>
  <c r="H54" i="23"/>
  <c r="N50" i="38" l="1"/>
  <c r="M50" i="38"/>
  <c r="S50" i="38" s="1"/>
  <c r="H24" i="22"/>
  <c r="I24" i="22"/>
  <c r="I37" i="22"/>
  <c r="I38" i="22"/>
  <c r="I39" i="22"/>
  <c r="I40" i="22"/>
  <c r="I41" i="22"/>
  <c r="H50" i="22"/>
  <c r="H52" i="22"/>
  <c r="E54" i="22"/>
  <c r="F54" i="22"/>
  <c r="G54" i="22"/>
  <c r="I54" i="22"/>
  <c r="H53" i="22" l="1"/>
  <c r="H51" i="22"/>
  <c r="G18" i="22"/>
  <c r="G22" i="22"/>
  <c r="K46" i="38" s="1"/>
  <c r="G16" i="21"/>
  <c r="G44" i="38" s="1"/>
  <c r="G18" i="21"/>
  <c r="H44" i="38" s="1"/>
  <c r="H24" i="21"/>
  <c r="I24" i="21"/>
  <c r="I37" i="21"/>
  <c r="I38" i="21"/>
  <c r="I39" i="21"/>
  <c r="I41" i="21"/>
  <c r="H50" i="21"/>
  <c r="H52" i="21"/>
  <c r="F54" i="21"/>
  <c r="G24" i="22" l="1"/>
  <c r="H46" i="38"/>
  <c r="I46" i="38" s="1"/>
  <c r="L46" i="38" s="1"/>
  <c r="I44" i="38"/>
  <c r="G54" i="21"/>
  <c r="H51" i="21"/>
  <c r="K44" i="38"/>
  <c r="H54" i="22"/>
  <c r="H53" i="21"/>
  <c r="I54" i="21"/>
  <c r="I40" i="21"/>
  <c r="G24" i="21"/>
  <c r="E54" i="21"/>
  <c r="G22" i="20"/>
  <c r="K42" i="38" s="1"/>
  <c r="G18" i="20"/>
  <c r="H42" i="38" s="1"/>
  <c r="I24" i="20"/>
  <c r="I37" i="20"/>
  <c r="I39" i="20"/>
  <c r="I40" i="20"/>
  <c r="I41" i="20"/>
  <c r="H50" i="20"/>
  <c r="H52" i="20"/>
  <c r="E54" i="20"/>
  <c r="F54" i="20"/>
  <c r="G54" i="20"/>
  <c r="I54" i="20"/>
  <c r="N46" i="38" l="1"/>
  <c r="M46" i="38"/>
  <c r="S46" i="38" s="1"/>
  <c r="L44" i="38"/>
  <c r="H53" i="20"/>
  <c r="H54" i="21"/>
  <c r="H51" i="20"/>
  <c r="I38" i="20"/>
  <c r="H24" i="20"/>
  <c r="G16" i="20"/>
  <c r="H54" i="20"/>
  <c r="M44" i="38" l="1"/>
  <c r="S44" i="38" s="1"/>
  <c r="N44" i="38"/>
  <c r="G24" i="20"/>
  <c r="G42" i="38"/>
  <c r="I42" i="38" s="1"/>
  <c r="L42" i="38" s="1"/>
  <c r="G16" i="19"/>
  <c r="G40" i="38" s="1"/>
  <c r="H24" i="19"/>
  <c r="I24" i="19"/>
  <c r="I37" i="19"/>
  <c r="I39" i="19"/>
  <c r="I41" i="19"/>
  <c r="H50" i="19"/>
  <c r="G54" i="19"/>
  <c r="I54" i="19"/>
  <c r="F54" i="19"/>
  <c r="M42" i="38" l="1"/>
  <c r="S42" i="38" s="1"/>
  <c r="N42" i="38"/>
  <c r="I40" i="19"/>
  <c r="H52" i="19"/>
  <c r="G18" i="19"/>
  <c r="H40" i="38" s="1"/>
  <c r="I40" i="38" s="1"/>
  <c r="H53" i="19"/>
  <c r="G22" i="19"/>
  <c r="H51" i="19"/>
  <c r="I38" i="19"/>
  <c r="H54" i="19"/>
  <c r="E54" i="19"/>
  <c r="G16" i="18"/>
  <c r="G38" i="38" s="1"/>
  <c r="I24" i="18"/>
  <c r="H24" i="18"/>
  <c r="I37" i="18"/>
  <c r="I38" i="18"/>
  <c r="I39" i="18"/>
  <c r="I41" i="18"/>
  <c r="H50" i="18"/>
  <c r="H52" i="18"/>
  <c r="I54" i="18"/>
  <c r="F54" i="18"/>
  <c r="G54" i="18"/>
  <c r="G24" i="19" l="1"/>
  <c r="K40" i="38"/>
  <c r="L40" i="38" s="1"/>
  <c r="H53" i="18"/>
  <c r="I40" i="18"/>
  <c r="G18" i="18"/>
  <c r="G22" i="18"/>
  <c r="K38" i="38" s="1"/>
  <c r="H51" i="18"/>
  <c r="H54" i="18" s="1"/>
  <c r="E54" i="18"/>
  <c r="M40" i="38" l="1"/>
  <c r="S40" i="38" s="1"/>
  <c r="N40" i="38"/>
  <c r="G24" i="18"/>
  <c r="H38" i="38"/>
  <c r="I38" i="38" s="1"/>
  <c r="L38" i="38" s="1"/>
  <c r="G16" i="17"/>
  <c r="G36" i="38" s="1"/>
  <c r="G18" i="17"/>
  <c r="H36" i="38" s="1"/>
  <c r="H24" i="17"/>
  <c r="I24" i="17"/>
  <c r="I37" i="17"/>
  <c r="I38" i="17"/>
  <c r="I39" i="17"/>
  <c r="I41" i="17"/>
  <c r="H50" i="17"/>
  <c r="H52" i="17"/>
  <c r="E54" i="17"/>
  <c r="F54" i="17"/>
  <c r="G54" i="17"/>
  <c r="I54" i="17"/>
  <c r="M38" i="38" l="1"/>
  <c r="S38" i="38" s="1"/>
  <c r="N38" i="38"/>
  <c r="I36" i="38"/>
  <c r="H51" i="17"/>
  <c r="H53" i="17"/>
  <c r="I40" i="17"/>
  <c r="G22" i="17"/>
  <c r="H54" i="17"/>
  <c r="G24" i="17" l="1"/>
  <c r="K36" i="38"/>
  <c r="L36" i="38" s="1"/>
  <c r="G16" i="16"/>
  <c r="G18" i="16"/>
  <c r="H24" i="16"/>
  <c r="I24" i="16"/>
  <c r="I37" i="16"/>
  <c r="I38" i="16"/>
  <c r="I39" i="16"/>
  <c r="I41" i="16"/>
  <c r="H50" i="16"/>
  <c r="H52" i="16"/>
  <c r="G54" i="16"/>
  <c r="F54" i="16"/>
  <c r="I54" i="16"/>
  <c r="M36" i="38" l="1"/>
  <c r="S36" i="38" s="1"/>
  <c r="N36" i="38"/>
  <c r="H51" i="16"/>
  <c r="E54" i="16"/>
  <c r="H53" i="16"/>
  <c r="I40" i="16"/>
  <c r="G22" i="16"/>
  <c r="K34" i="38" s="1"/>
  <c r="L34" i="38" s="1"/>
  <c r="H54" i="16"/>
  <c r="N34" i="38" l="1"/>
  <c r="M34" i="38"/>
  <c r="S34" i="38" s="1"/>
  <c r="G24" i="16"/>
  <c r="G16" i="15"/>
  <c r="G32" i="38" s="1"/>
  <c r="G22" i="15"/>
  <c r="K32" i="38" s="1"/>
  <c r="G18" i="15"/>
  <c r="H24" i="15"/>
  <c r="I24" i="15"/>
  <c r="I37" i="15"/>
  <c r="I38" i="15"/>
  <c r="I39" i="15"/>
  <c r="I41" i="15"/>
  <c r="H50" i="15"/>
  <c r="H52" i="15"/>
  <c r="G54" i="15"/>
  <c r="F54" i="15"/>
  <c r="I54" i="15"/>
  <c r="G24" i="15" l="1"/>
  <c r="H32" i="38"/>
  <c r="I32" i="38" s="1"/>
  <c r="L32" i="38" s="1"/>
  <c r="E54" i="15"/>
  <c r="H53" i="15"/>
  <c r="I40" i="15"/>
  <c r="H51" i="15"/>
  <c r="H54" i="15" s="1"/>
  <c r="G16" i="14"/>
  <c r="G30" i="38" s="1"/>
  <c r="G18" i="14"/>
  <c r="H30" i="38" s="1"/>
  <c r="H24" i="14"/>
  <c r="H24" i="37" s="1"/>
  <c r="I24" i="14"/>
  <c r="I24" i="37" s="1"/>
  <c r="I37" i="14"/>
  <c r="I38" i="14"/>
  <c r="I39" i="14"/>
  <c r="I41" i="14"/>
  <c r="H50" i="14"/>
  <c r="H52" i="14"/>
  <c r="F54" i="14"/>
  <c r="F54" i="37" s="1"/>
  <c r="I54" i="14"/>
  <c r="I54" i="37" s="1"/>
  <c r="N32" i="38" l="1"/>
  <c r="M32" i="38"/>
  <c r="S32" i="38" s="1"/>
  <c r="I30" i="38"/>
  <c r="H51" i="14"/>
  <c r="G54" i="14"/>
  <c r="H53" i="14"/>
  <c r="I40" i="14"/>
  <c r="G22" i="14"/>
  <c r="E54" i="14"/>
  <c r="G24" i="14" l="1"/>
  <c r="K30" i="38"/>
  <c r="L30" i="38" s="1"/>
  <c r="H54" i="14"/>
  <c r="G16" i="13"/>
  <c r="G18" i="13"/>
  <c r="H24" i="13"/>
  <c r="I24" i="13"/>
  <c r="I37" i="13"/>
  <c r="I38" i="13"/>
  <c r="I39" i="13"/>
  <c r="I41" i="13"/>
  <c r="H50" i="13"/>
  <c r="H52" i="13"/>
  <c r="F54" i="13"/>
  <c r="G54" i="13"/>
  <c r="I54" i="13"/>
  <c r="M30" i="38" l="1"/>
  <c r="S30" i="38" s="1"/>
  <c r="N30" i="38"/>
  <c r="E54" i="13"/>
  <c r="H53" i="13"/>
  <c r="I40" i="13"/>
  <c r="G22" i="13"/>
  <c r="K28" i="38" s="1"/>
  <c r="L28" i="38" s="1"/>
  <c r="H51" i="13"/>
  <c r="H54" i="13" s="1"/>
  <c r="G16" i="12"/>
  <c r="G18" i="12"/>
  <c r="H24" i="12"/>
  <c r="I24" i="12"/>
  <c r="I37" i="12"/>
  <c r="I38" i="12"/>
  <c r="I39" i="12"/>
  <c r="I41" i="12"/>
  <c r="H50" i="12"/>
  <c r="H52" i="12"/>
  <c r="E54" i="12"/>
  <c r="F54" i="12"/>
  <c r="G54" i="12"/>
  <c r="I54" i="12"/>
  <c r="M28" i="38" l="1"/>
  <c r="S28" i="38" s="1"/>
  <c r="N28" i="38"/>
  <c r="G24" i="13"/>
  <c r="H53" i="12"/>
  <c r="I40" i="12"/>
  <c r="H51" i="12"/>
  <c r="G22" i="12"/>
  <c r="G16" i="11"/>
  <c r="H24" i="11"/>
  <c r="I24" i="11"/>
  <c r="I37" i="11"/>
  <c r="I39" i="11"/>
  <c r="I41" i="11"/>
  <c r="H50" i="11"/>
  <c r="E54" i="11"/>
  <c r="F54" i="11"/>
  <c r="G54" i="11"/>
  <c r="I54" i="11"/>
  <c r="G24" i="12" l="1"/>
  <c r="K26" i="38"/>
  <c r="L26" i="38" s="1"/>
  <c r="I40" i="11"/>
  <c r="H52" i="11"/>
  <c r="G18" i="11"/>
  <c r="H53" i="11"/>
  <c r="G22" i="11"/>
  <c r="H51" i="11"/>
  <c r="I38" i="11"/>
  <c r="G16" i="10"/>
  <c r="G18" i="10"/>
  <c r="H24" i="10"/>
  <c r="I24" i="10"/>
  <c r="I37" i="10"/>
  <c r="I38" i="10"/>
  <c r="I39" i="10"/>
  <c r="I41" i="10"/>
  <c r="H50" i="10"/>
  <c r="H52" i="10"/>
  <c r="F54" i="10"/>
  <c r="G54" i="10"/>
  <c r="I54" i="10"/>
  <c r="M26" i="38" l="1"/>
  <c r="S26" i="38" s="1"/>
  <c r="N26" i="38"/>
  <c r="G24" i="11"/>
  <c r="K24" i="38"/>
  <c r="L24" i="38" s="1"/>
  <c r="H51" i="10"/>
  <c r="H54" i="10" s="1"/>
  <c r="E54" i="10"/>
  <c r="H53" i="10"/>
  <c r="I40" i="10"/>
  <c r="G22" i="10"/>
  <c r="G24" i="10" s="1"/>
  <c r="N24" i="38" l="1"/>
  <c r="M24" i="38"/>
  <c r="S24" i="38" s="1"/>
  <c r="G16" i="8"/>
  <c r="G18" i="8"/>
  <c r="H24" i="8"/>
  <c r="I37" i="8"/>
  <c r="I39" i="8"/>
  <c r="I41" i="8"/>
  <c r="H50" i="8"/>
  <c r="H52" i="8"/>
  <c r="F54" i="8"/>
  <c r="I54" i="8"/>
  <c r="G54" i="8" l="1"/>
  <c r="E54" i="8"/>
  <c r="I38" i="8"/>
  <c r="H53" i="8"/>
  <c r="I40" i="8"/>
  <c r="I24" i="8"/>
  <c r="G22" i="8"/>
  <c r="K18" i="38" s="1"/>
  <c r="L18" i="38" s="1"/>
  <c r="H51" i="8"/>
  <c r="H54" i="8" s="1"/>
  <c r="G16" i="7"/>
  <c r="G18" i="7"/>
  <c r="H24" i="7"/>
  <c r="I24" i="7"/>
  <c r="I37" i="7"/>
  <c r="I38" i="7"/>
  <c r="I39" i="7"/>
  <c r="I41" i="7"/>
  <c r="H50" i="7"/>
  <c r="H52" i="7"/>
  <c r="F54" i="7"/>
  <c r="G54" i="7"/>
  <c r="I54" i="7"/>
  <c r="G24" i="8" l="1"/>
  <c r="M18" i="38"/>
  <c r="S18" i="38" s="1"/>
  <c r="N18" i="38"/>
  <c r="E54" i="7"/>
  <c r="H53" i="7"/>
  <c r="I40" i="7"/>
  <c r="G22" i="7"/>
  <c r="K16" i="38" s="1"/>
  <c r="L16" i="38" s="1"/>
  <c r="H51" i="7"/>
  <c r="H54" i="7" s="1"/>
  <c r="G24" i="7"/>
  <c r="G16" i="6"/>
  <c r="H24" i="6"/>
  <c r="I24" i="6"/>
  <c r="I37" i="6"/>
  <c r="I38" i="6"/>
  <c r="I39" i="6"/>
  <c r="I41" i="6"/>
  <c r="H50" i="6"/>
  <c r="H52" i="6"/>
  <c r="F54" i="6"/>
  <c r="I54" i="6"/>
  <c r="M16" i="38" l="1"/>
  <c r="S16" i="38" s="1"/>
  <c r="N16" i="38"/>
  <c r="H51" i="6"/>
  <c r="G54" i="6"/>
  <c r="H53" i="6"/>
  <c r="I40" i="6"/>
  <c r="G18" i="6"/>
  <c r="G22" i="6"/>
  <c r="K14" i="38" s="1"/>
  <c r="L14" i="38" s="1"/>
  <c r="H54" i="6"/>
  <c r="E54" i="6"/>
  <c r="M14" i="38" l="1"/>
  <c r="S14" i="38" s="1"/>
  <c r="N14" i="38"/>
  <c r="G24" i="6"/>
  <c r="G16" i="5"/>
  <c r="G12" i="38" s="1"/>
  <c r="G18" i="5"/>
  <c r="H12" i="38" s="1"/>
  <c r="H24" i="5"/>
  <c r="I24" i="5"/>
  <c r="I37" i="5"/>
  <c r="I38" i="5"/>
  <c r="I39" i="5"/>
  <c r="I40" i="5"/>
  <c r="I41" i="5"/>
  <c r="H50" i="5"/>
  <c r="H52" i="5"/>
  <c r="E54" i="5"/>
  <c r="E54" i="37" s="1"/>
  <c r="F54" i="5"/>
  <c r="G54" i="5"/>
  <c r="G54" i="37" s="1"/>
  <c r="I54" i="5"/>
  <c r="I12" i="38" l="1"/>
  <c r="H54" i="5"/>
  <c r="H53" i="5"/>
  <c r="G22" i="5"/>
  <c r="K12" i="38" s="1"/>
  <c r="G24" i="5"/>
  <c r="L12" i="38" l="1"/>
  <c r="N12" i="38" s="1"/>
  <c r="G16" i="4"/>
  <c r="G18" i="4"/>
  <c r="H24" i="4"/>
  <c r="I24" i="4"/>
  <c r="I37" i="4"/>
  <c r="I38" i="4"/>
  <c r="I39" i="4"/>
  <c r="I41" i="4"/>
  <c r="H50" i="4"/>
  <c r="H50" i="37" s="1"/>
  <c r="H52" i="4"/>
  <c r="H52" i="37" s="1"/>
  <c r="E54" i="4"/>
  <c r="F54" i="4"/>
  <c r="G54" i="4"/>
  <c r="I54" i="4"/>
  <c r="M12" i="38" l="1"/>
  <c r="S12" i="38" s="1"/>
  <c r="H10" i="38"/>
  <c r="G18" i="37"/>
  <c r="G16" i="37"/>
  <c r="G10" i="38"/>
  <c r="G78" i="38" s="1"/>
  <c r="G83" i="38" s="1"/>
  <c r="H53" i="4"/>
  <c r="H53" i="37" s="1"/>
  <c r="I40" i="4"/>
  <c r="H51" i="4"/>
  <c r="G22" i="4"/>
  <c r="G24" i="4" l="1"/>
  <c r="G24" i="37" s="1"/>
  <c r="K10" i="38"/>
  <c r="K78" i="38" s="1"/>
  <c r="K83" i="38" s="1"/>
  <c r="H54" i="4"/>
  <c r="H54" i="37" s="1"/>
  <c r="H51" i="37"/>
  <c r="I10" i="38"/>
  <c r="H78" i="38"/>
  <c r="H83" i="38" s="1"/>
  <c r="L10" i="38" l="1"/>
  <c r="I78" i="38"/>
  <c r="I83" i="38" s="1"/>
  <c r="M10" i="38" l="1"/>
  <c r="L78" i="38"/>
  <c r="L83" i="38" s="1"/>
  <c r="N10" i="38"/>
  <c r="N78" i="38" s="1"/>
  <c r="H92" i="38" s="1"/>
  <c r="K86" i="38" l="1"/>
  <c r="K84" i="38"/>
  <c r="K85" i="38"/>
  <c r="S10" i="38"/>
  <c r="M78" i="38"/>
  <c r="N79" i="38" l="1"/>
  <c r="H90" i="38"/>
</calcChain>
</file>

<file path=xl/sharedStrings.xml><?xml version="1.0" encoding="utf-8"?>
<sst xmlns="http://schemas.openxmlformats.org/spreadsheetml/2006/main" count="2228" uniqueCount="355">
  <si>
    <t>celkem</t>
  </si>
  <si>
    <t>Investiční fond</t>
  </si>
  <si>
    <t>Fond rezervní</t>
  </si>
  <si>
    <t>FKSP</t>
  </si>
  <si>
    <t>Fond odměn</t>
  </si>
  <si>
    <t>Finanční krytí k</t>
  </si>
  <si>
    <t xml:space="preserve">Stav k </t>
  </si>
  <si>
    <t>Čerpání</t>
  </si>
  <si>
    <t>Tvorba</t>
  </si>
  <si>
    <t>Stav k 1.1.2012</t>
  </si>
  <si>
    <t>jednotka -  Kč na 2 des. místa</t>
  </si>
  <si>
    <t>Fondy</t>
  </si>
  <si>
    <t>d)</t>
  </si>
  <si>
    <t xml:space="preserve">Pozn. : </t>
  </si>
  <si>
    <t>Odvody z investičního fondu /spolufin. akcí/</t>
  </si>
  <si>
    <t>Odvody z investičního fondu /odpisy/</t>
  </si>
  <si>
    <t>Neinvestiční příspěvek/nájemné/</t>
  </si>
  <si>
    <t>Neinvestiční příspěvek /odpisy/</t>
  </si>
  <si>
    <t>Limit mzdových prostředků</t>
  </si>
  <si>
    <t>% plnění</t>
  </si>
  <si>
    <t>Skutečnost</t>
  </si>
  <si>
    <t>Schválená částka</t>
  </si>
  <si>
    <t>Závazné ukazatele</t>
  </si>
  <si>
    <t>c)</t>
  </si>
  <si>
    <t xml:space="preserve">Ćástka </t>
  </si>
  <si>
    <t xml:space="preserve"> - Způsob krytí ztráty :</t>
  </si>
  <si>
    <t xml:space="preserve"> - Návrh na příděly do fondů:</t>
  </si>
  <si>
    <t>Rozdělení výsledku hospodaření</t>
  </si>
  <si>
    <t>b)</t>
  </si>
  <si>
    <t>Výsledek hospodaření /po zdanění/</t>
  </si>
  <si>
    <t>Výnosy</t>
  </si>
  <si>
    <t>Náklady</t>
  </si>
  <si>
    <t xml:space="preserve">a)    Náklady a výnosy    </t>
  </si>
  <si>
    <t>jednotka - Kč na 2 des. místa</t>
  </si>
  <si>
    <t>Doplňková  činnost</t>
  </si>
  <si>
    <t>Hlavní činnost</t>
  </si>
  <si>
    <t xml:space="preserve">celkem   </t>
  </si>
  <si>
    <t>rozpočet</t>
  </si>
  <si>
    <t>z toho:</t>
  </si>
  <si>
    <t>Upravený</t>
  </si>
  <si>
    <t xml:space="preserve">Schválený </t>
  </si>
  <si>
    <t>………………………………                                                                  ………….…..……………………………</t>
  </si>
  <si>
    <t>ORG</t>
  </si>
  <si>
    <t>IĆ</t>
  </si>
  <si>
    <t>……………………………………….……..………………………………………..…………………………………</t>
  </si>
  <si>
    <t>Adresa :</t>
  </si>
  <si>
    <t>Název organizace :</t>
  </si>
  <si>
    <t>REKAPITULACE ZA ORGANIZACI :</t>
  </si>
  <si>
    <t>Kč</t>
  </si>
  <si>
    <t>tis. Kč</t>
  </si>
  <si>
    <t xml:space="preserve"> - 0 organizací ve ztrátě</t>
  </si>
  <si>
    <t xml:space="preserve"> </t>
  </si>
  <si>
    <t>Z celkového počtu 32 organizací skončilo :</t>
  </si>
  <si>
    <t>Rozdíl :</t>
  </si>
  <si>
    <t>vedlejší činnost</t>
  </si>
  <si>
    <t>hlavní činnost</t>
  </si>
  <si>
    <t>Kontrolní sestava:</t>
  </si>
  <si>
    <t>saldo</t>
  </si>
  <si>
    <t>CELKEM</t>
  </si>
  <si>
    <t>751 04 Rokytnice</t>
  </si>
  <si>
    <t>U Rybníčka 1</t>
  </si>
  <si>
    <t>Domov Na zámečku Rokytnice, příspěvková organizace</t>
  </si>
  <si>
    <t>§ 4357</t>
  </si>
  <si>
    <t>751 05 Dřevohostice</t>
  </si>
  <si>
    <t>Lapač 449</t>
  </si>
  <si>
    <t>Domov ADAM Dřevohostice, příspěvková organizace</t>
  </si>
  <si>
    <t>751 05  Kokory</t>
  </si>
  <si>
    <t>Kokory 54</t>
  </si>
  <si>
    <t>Centrum Dominika Kokory, příspěvková organizace</t>
  </si>
  <si>
    <t>753 52 Skalička</t>
  </si>
  <si>
    <t>Skalička 1</t>
  </si>
  <si>
    <t>Domov Větrný mlýn Skalička, příspěvková organizace</t>
  </si>
  <si>
    <t>751 01 Tovačov</t>
  </si>
  <si>
    <t>Nádražní ul. 94</t>
  </si>
  <si>
    <t>Domov pro seniory Tovačov, příspěvková organizace</t>
  </si>
  <si>
    <t>751 12 Pavlovice u Přerova</t>
  </si>
  <si>
    <t>Pavlovice u Přerova 95</t>
  </si>
  <si>
    <t>Domov Alfreda Skeneho Pavlovice u Přerova, příspěvková organizace</t>
  </si>
  <si>
    <t>751 14 Dřevohostice</t>
  </si>
  <si>
    <t>Radkova Lhota 16</t>
  </si>
  <si>
    <t>Domov pro seniory Radkova Lhota, příspěvková organizace</t>
  </si>
  <si>
    <t>796 01 Prostějov</t>
  </si>
  <si>
    <t>Lidická 86</t>
  </si>
  <si>
    <t>Centrum sociálních služeb, Prostějov, příspěvková organizace</t>
  </si>
  <si>
    <t>Pod Kosířem 27</t>
  </si>
  <si>
    <t>Sociální služby Prostějov, příspěvková organizace</t>
  </si>
  <si>
    <t>§ 4351</t>
  </si>
  <si>
    <t>798 26 Nezamyslice</t>
  </si>
  <si>
    <t>Děkana Kvapily 17</t>
  </si>
  <si>
    <t>Domov "Na Zámku", příspěvková organizace</t>
  </si>
  <si>
    <t>Jesenec 1</t>
  </si>
  <si>
    <t xml:space="preserve"> Domov důchodců Jesenec, příspěvková organizace</t>
  </si>
  <si>
    <t>Nerudova 70</t>
  </si>
  <si>
    <t>Domov důchodců Prostějov, příspěvková organizace</t>
  </si>
  <si>
    <t>788 13 Vikýřovice, Šumperk</t>
  </si>
  <si>
    <t>Krenišovská 224</t>
  </si>
  <si>
    <t>Duha - centrum sociálních služeb Vikýřovice, příspěvková organizace</t>
  </si>
  <si>
    <t>§ 4356</t>
  </si>
  <si>
    <t>789 62 Olšany, Šumperk</t>
  </si>
  <si>
    <t xml:space="preserve">Olšany 105 </t>
  </si>
  <si>
    <t>Domov Paprsek Olšany, příspěvková organizace</t>
  </si>
  <si>
    <t>789 83 Loštice</t>
  </si>
  <si>
    <t xml:space="preserve">Hradská 113  </t>
  </si>
  <si>
    <t>Penzion pro důchodce Loštice,příspěvková organizace</t>
  </si>
  <si>
    <t>§ 4354</t>
  </si>
  <si>
    <t>787 01 Šumperk</t>
  </si>
  <si>
    <t>Vančurova 37</t>
  </si>
  <si>
    <t>Sociální služby Šumperk, příspěvková organizace</t>
  </si>
  <si>
    <t>789 91 Štíty</t>
  </si>
  <si>
    <t xml:space="preserve">Na Pilníku 222 </t>
  </si>
  <si>
    <t>Domov důchodců Štíty, příspěvková organizace</t>
  </si>
  <si>
    <t>788 05 Libina</t>
  </si>
  <si>
    <t>Libina 540</t>
  </si>
  <si>
    <t>Domov důchodců Libina, příspěvková organizace</t>
  </si>
  <si>
    <t xml:space="preserve">U Sanatoria 25 </t>
  </si>
  <si>
    <t>Domov důchodců Šumperk,příspěvková organizace</t>
  </si>
  <si>
    <t>772 00 Olomouc</t>
  </si>
  <si>
    <t xml:space="preserve">Na Vozovce 26 </t>
  </si>
  <si>
    <t>Středisko sociální prevence Olomouc, příspěvková organizace</t>
  </si>
  <si>
    <t>§ 4372</t>
  </si>
  <si>
    <t>784 01 Litovel</t>
  </si>
  <si>
    <t>Nové Zámky 2</t>
  </si>
  <si>
    <t>Nové Zámky - poskytovatel sociálních služeb, příspěvková organizace</t>
  </si>
  <si>
    <t>779 00 Olomouc</t>
  </si>
  <si>
    <t>Dolní Hejčínská 28</t>
  </si>
  <si>
    <t>Klíč - centrum sociálních služeb, příspěvková organizace</t>
  </si>
  <si>
    <t>785 01 Šternberk</t>
  </si>
  <si>
    <t xml:space="preserve">Sadová 7 </t>
  </si>
  <si>
    <t>Vincentinum - poskytovatel sociálních služeb Šternberk, přísp. org.</t>
  </si>
  <si>
    <t xml:space="preserve"> 779 00 Olomouc</t>
  </si>
  <si>
    <t>Zikova 14</t>
  </si>
  <si>
    <t>Sociální služby pro seniory Olomouc, příspěvková organizace</t>
  </si>
  <si>
    <t>772 00 Olomouc - Chválkovice</t>
  </si>
  <si>
    <t>Švabinského 3</t>
  </si>
  <si>
    <t>Domov seniorů POHODA Chválkovice, přísp. organizace</t>
  </si>
  <si>
    <t>783 61 Hlubočky</t>
  </si>
  <si>
    <t>Hlubočky 11</t>
  </si>
  <si>
    <t>Domov důchodců Hrubá Voda,přísp.organizace</t>
  </si>
  <si>
    <t>783 44 Náměšť na Hané</t>
  </si>
  <si>
    <t>Komenského 291</t>
  </si>
  <si>
    <t>Dům seniorů FRANTIŠEK Náměšť na Hané, příspěvková organizace</t>
  </si>
  <si>
    <t>Nádražní 105</t>
  </si>
  <si>
    <t>Domov důchodců Červenka, příspěvková organizace</t>
  </si>
  <si>
    <t>790 01 Jeseník</t>
  </si>
  <si>
    <t>Kostelní 160</t>
  </si>
  <si>
    <t>Středisko pečovatelské služby Jeseník,  příspěvková organizace</t>
  </si>
  <si>
    <t xml:space="preserve">Moravská 814/2 </t>
  </si>
  <si>
    <t>Domov Sněženka Jeseník, příspěvková organizace</t>
  </si>
  <si>
    <t>790 56 Kobylá nad Vidnavkou</t>
  </si>
  <si>
    <t>Kobylá nad Vidnavkou č. 153</t>
  </si>
  <si>
    <t>Domov důchodců Kobylá, příspěvková organizace</t>
  </si>
  <si>
    <t xml:space="preserve"> 790 70 Javorník</t>
  </si>
  <si>
    <t>Školní 104</t>
  </si>
  <si>
    <t>Domov pro seniory Javorník, příspěvková organizace</t>
  </si>
  <si>
    <t>Celkem</t>
  </si>
  <si>
    <t>Pokrytí ztáty min. období</t>
  </si>
  <si>
    <t>Fond  rezervní</t>
  </si>
  <si>
    <t>ztráta</t>
  </si>
  <si>
    <t>zlepšený VH</t>
  </si>
  <si>
    <t>HV po zdanění</t>
  </si>
  <si>
    <t>Daň a dodatečné odvody daně z příjmů</t>
  </si>
  <si>
    <t>dań z příjmu</t>
  </si>
  <si>
    <t xml:space="preserve"> HV</t>
  </si>
  <si>
    <t>Rozdělení do fondů - v Kč</t>
  </si>
  <si>
    <t>Výsledek hospodaření</t>
  </si>
  <si>
    <t>Dań</t>
  </si>
  <si>
    <t>Adresa</t>
  </si>
  <si>
    <t>Název zařízení</t>
  </si>
  <si>
    <t>PO</t>
  </si>
  <si>
    <t>§</t>
  </si>
  <si>
    <t>v Kč</t>
  </si>
  <si>
    <t>ORJ -11</t>
  </si>
  <si>
    <t>Rekapitulace  hospodaření /výsledek hospodaření -2012/</t>
  </si>
  <si>
    <t>Domov pro seniory Javorník příspěvková organizace</t>
  </si>
  <si>
    <t>Školní 104 790 70 Javorník</t>
  </si>
  <si>
    <t>75004101</t>
  </si>
  <si>
    <t>1631</t>
  </si>
  <si>
    <t>Domov důchodců Kobylá nad Vidnavkou</t>
  </si>
  <si>
    <t>Kobylá nad Vidnavkou 153,  790 65</t>
  </si>
  <si>
    <t>75004127</t>
  </si>
  <si>
    <t>1632</t>
  </si>
  <si>
    <t>Domov Sněženka Jeseník</t>
  </si>
  <si>
    <t>Moravská 814/2, 790 01  Jeseník</t>
  </si>
  <si>
    <t>75004097</t>
  </si>
  <si>
    <t>1633</t>
  </si>
  <si>
    <t>Středisko pečovatelské služby Jeseník, přísp.org</t>
  </si>
  <si>
    <t>Otakara Březiny 1370/2c, 790 01 Jeseník</t>
  </si>
  <si>
    <t>75004143</t>
  </si>
  <si>
    <t>1634</t>
  </si>
  <si>
    <t>Domov důchodců Červenka</t>
  </si>
  <si>
    <t>75004402</t>
  </si>
  <si>
    <t>1635</t>
  </si>
  <si>
    <t>1636</t>
  </si>
  <si>
    <t>Dům seniorů FRANTIŠEK Náměšť na Hané, p.o.</t>
  </si>
  <si>
    <t>Komenského 291, 783 44 Náměšť na Hané</t>
  </si>
  <si>
    <t>750 04 381</t>
  </si>
  <si>
    <t>Domov důchodců Hrubá Voda</t>
  </si>
  <si>
    <t>Hrubá Voda 11, 783 61 Hlubočky</t>
  </si>
  <si>
    <t>75004399</t>
  </si>
  <si>
    <t>1637</t>
  </si>
  <si>
    <t>Domov seniorů Pohoda Chválkovice</t>
  </si>
  <si>
    <t>Švabinského 3, Olomouc 772 00</t>
  </si>
  <si>
    <t>75004372</t>
  </si>
  <si>
    <t>1638</t>
  </si>
  <si>
    <t>Sociální služby pro seniory Olomouc</t>
  </si>
  <si>
    <t>Zikova 618/14, 770 10 Olomouc</t>
  </si>
  <si>
    <t>75004259</t>
  </si>
  <si>
    <t>1639</t>
  </si>
  <si>
    <t>Vincentinum - poskytovatel sociálních služeb Šternberk</t>
  </si>
  <si>
    <t>Sadová 7, 785 01 Šternberk</t>
  </si>
  <si>
    <t>75004429</t>
  </si>
  <si>
    <t>1640</t>
  </si>
  <si>
    <t>Klíč - centrum sociálních služeb, p.o.</t>
  </si>
  <si>
    <t>Dolní Hejčínská 50/28</t>
  </si>
  <si>
    <t>70890595</t>
  </si>
  <si>
    <t>1641</t>
  </si>
  <si>
    <t>Nové Zámky-poskytovatel sociálních služeb,příspěvková organizace</t>
  </si>
  <si>
    <t>Mladeč,Nové Zámky č.p.2,Litovel ,784 01</t>
  </si>
  <si>
    <t>70890871</t>
  </si>
  <si>
    <t>1642</t>
  </si>
  <si>
    <t>Středisko sociální prevence Olomouc, p. o.</t>
  </si>
  <si>
    <t>Na Vozovce 26, 779 00 Olomouc</t>
  </si>
  <si>
    <t>75004437</t>
  </si>
  <si>
    <t>1644</t>
  </si>
  <si>
    <t>Domov důchodců Šumperk, příspěvková organizace</t>
  </si>
  <si>
    <t>U Sanatoria 25,  787 01 Šumperk</t>
  </si>
  <si>
    <t>75004011</t>
  </si>
  <si>
    <t>1645</t>
  </si>
  <si>
    <t>Libina 540, 788 05 Libina</t>
  </si>
  <si>
    <t>75003988</t>
  </si>
  <si>
    <t>1646</t>
  </si>
  <si>
    <t>Domov důchodců Štíty</t>
  </si>
  <si>
    <t>Na Pilníku 222, 789 91 Štíty</t>
  </si>
  <si>
    <t>750 04 003</t>
  </si>
  <si>
    <t>1647</t>
  </si>
  <si>
    <t>Vančurova 37, 787 01 Šumperk</t>
  </si>
  <si>
    <t>75004038</t>
  </si>
  <si>
    <t>1648</t>
  </si>
  <si>
    <t>Penzion pro důchodce Loštice, příspěvková organizace</t>
  </si>
  <si>
    <t>Hradská 113/5, 789 83 Loštice</t>
  </si>
  <si>
    <t>75004020</t>
  </si>
  <si>
    <t>1649</t>
  </si>
  <si>
    <t>Olšany 105, 789 62</t>
  </si>
  <si>
    <t>75004054</t>
  </si>
  <si>
    <t>1650</t>
  </si>
  <si>
    <t>Duha-centrum sociálních služeb Vikýřovice, p.o.</t>
  </si>
  <si>
    <t>Krenišovská 224, 788 13 Vikýřovice</t>
  </si>
  <si>
    <t>75004089</t>
  </si>
  <si>
    <t>1651</t>
  </si>
  <si>
    <t>Domov důchodců Prostějov</t>
  </si>
  <si>
    <t>Nerudova 1666/70</t>
  </si>
  <si>
    <t>71197699</t>
  </si>
  <si>
    <t>1652</t>
  </si>
  <si>
    <t>Domov důchodců Jesenec, příspěvková organizace</t>
  </si>
  <si>
    <t>Jesenec, č.p.1, PSČ 798 53</t>
  </si>
  <si>
    <t>711 97 702</t>
  </si>
  <si>
    <t>1653</t>
  </si>
  <si>
    <t>nám. děk. Františka Kvapila 17</t>
  </si>
  <si>
    <t>71197737</t>
  </si>
  <si>
    <t>1654</t>
  </si>
  <si>
    <t>SOCIÁLNÍ SLUŽBY PROSTĚJOV, p. o.</t>
  </si>
  <si>
    <t>POD KOSÍŘEM 27, 796 01 PROSTĚJOV</t>
  </si>
  <si>
    <t>00150100</t>
  </si>
  <si>
    <t>1655</t>
  </si>
  <si>
    <t>1656</t>
  </si>
  <si>
    <t>Centrum sociálních služeb Prostějov, p.o.</t>
  </si>
  <si>
    <t>Lidická 86, Prostějov</t>
  </si>
  <si>
    <t>479 21 293</t>
  </si>
  <si>
    <t>1657</t>
  </si>
  <si>
    <t>Domov pro seniory Radkova Lhota, p.o.</t>
  </si>
  <si>
    <t>Radkova Lhota 16,  751 14 Dřevohostice</t>
  </si>
  <si>
    <t>61985881</t>
  </si>
  <si>
    <t>1658</t>
  </si>
  <si>
    <t>Domov Alfreda Skeneho Pavlovice u Přerova, p.o.</t>
  </si>
  <si>
    <t>Pavlovice u Přerova č. 95, 751 12</t>
  </si>
  <si>
    <t>61985864</t>
  </si>
  <si>
    <t>1659</t>
  </si>
  <si>
    <t>Domov pro seniory Tovačov, p. o.</t>
  </si>
  <si>
    <t>Nádražní 94, 751 01 Tovačov</t>
  </si>
  <si>
    <t>619 85 872</t>
  </si>
  <si>
    <t>1660</t>
  </si>
  <si>
    <t>Domov Větrný mlýn Skalička p.o.</t>
  </si>
  <si>
    <t>Skalička č.1, 753 52</t>
  </si>
  <si>
    <t>61985902</t>
  </si>
  <si>
    <t>1661</t>
  </si>
  <si>
    <t>Kokory 54, 751 05 Kokory</t>
  </si>
  <si>
    <t>61985929</t>
  </si>
  <si>
    <t>1662</t>
  </si>
  <si>
    <t>Domov ADAM Dřevohostice</t>
  </si>
  <si>
    <t>Lapač 449, 751 14 Dřevohostice</t>
  </si>
  <si>
    <t>61985899</t>
  </si>
  <si>
    <t>1663</t>
  </si>
  <si>
    <t>Domov Na zámečku Rokytnice, p. o.</t>
  </si>
  <si>
    <t>Rokytnice č. p. 1</t>
  </si>
  <si>
    <t>61985911</t>
  </si>
  <si>
    <t>Zlepšený výsledek hospodaření za rok 2012 ve výši 61 696,96 Kč bude použit k úhradě ztráty minulých let, která je k 31.12.2012 ve výši    425 704,21 Kč. Zbylá část  tj.  364 007,25 Kč bude uhrazena ze zlepšeného výsledku hospodaření v následujících letech.</t>
  </si>
  <si>
    <r>
      <rPr>
        <sz val="4"/>
        <rFont val="Arial"/>
        <family val="2"/>
        <charset val="238"/>
      </rPr>
      <t xml:space="preserve">POČET  </t>
    </r>
    <r>
      <rPr>
        <sz val="10"/>
        <rFont val="Arial"/>
        <family val="2"/>
        <charset val="238"/>
      </rPr>
      <t>PO v  +</t>
    </r>
  </si>
  <si>
    <r>
      <rPr>
        <sz val="4"/>
        <rFont val="Arial"/>
        <family val="2"/>
        <charset val="238"/>
      </rPr>
      <t xml:space="preserve">POČET  </t>
    </r>
    <r>
      <rPr>
        <sz val="10"/>
        <rFont val="Arial"/>
        <family val="2"/>
        <charset val="238"/>
      </rPr>
      <t>PO v  -</t>
    </r>
  </si>
  <si>
    <t xml:space="preserve"> - 30 organizací  se zlepšeným hospodářským výsledkem, v celkové výši </t>
  </si>
  <si>
    <t xml:space="preserve"> - 2 organizace s vyrovnaným  hospodářským výsledkem</t>
  </si>
  <si>
    <t>Zlepšený výsledek hospodaření Domova důchodců Prostějova za rok 2012  ve výši 61 696,96 Kč bude použit k úhradě ztráty minulých let, která je k 31.12.2012 ve výši    425 704,21 Kč. Zbylá část  tj.  364 007,25 Kč bude uhrazena ze zlepšeného výsledku hospodaření v následujících letech.</t>
  </si>
  <si>
    <t>Vynaložené odpisy nad stanovený limit byly finančně pokryty z provozních prostředků organizace-148,- Kč.</t>
  </si>
  <si>
    <t>Překročení limitu mzdových prostředků  o 50 200,- Kč, jedná se o zapojení prostředků na mzdy, poskytnuté Úřadem práce Jeseník a to ve výši 50 200,- Kč.</t>
  </si>
  <si>
    <t>Vynaložené odpisy nad stanovený limit byly finančně pokryty z provozních prostředků organizace-2 977,90 Kč.</t>
  </si>
  <si>
    <t>V čerpání mzdových prostředků je zahrnuta i dotace poskytnutá z úřadu práce v celkové výši 53 594,- Kč ( z toho 16 tis. Kč - mzda koordinátora dobrovolníků a 37 594 Kč - program "Vzdělávejte se pro růst"), mzdové náklady byly nedočerpány z důvodu úbytku klientů a tím i pracovníků (147 433,- Kč).</t>
  </si>
  <si>
    <t>Vynaložené odpisy nad stanovený limit byly finančně pokryty z provozních prostředků organizace-240,- Kč.</t>
  </si>
  <si>
    <t>Neinvestiční příspěvek - odpisy - příspěvková organizace vrátila částku 59,- Kč dne 9.1.2013 na účet Olom. kraje .</t>
  </si>
  <si>
    <t>Vynaložené odpisy nad stanovený limit byly finančně pokryty z provozních prostředků organizace-510,-  Kč.</t>
  </si>
  <si>
    <t>Překročení limitu mzdových prostředků  o 149 933,- Kč, jedná se o zapojení prostředků na mzdy, poskytnuté Úřadem práce.</t>
  </si>
  <si>
    <t>Vynaložené odpisy nad stanovený limit byly finančně pokryty z provozních prostředků organizace-4 138,- Kč.</t>
  </si>
  <si>
    <t>Vynaložené odpisy nad stanovený limit byly finančně pokryty z provozních prostředků organizace-26 866,- Kč.</t>
  </si>
  <si>
    <t>Vynaložené odpisy nad stanovený limit byly finančně pokryty z provozních prostředků organizace-2 455,- Kč.</t>
  </si>
  <si>
    <t>Překročení limitu mzdových prostředků  o 968 790,- Kč. Z toho 956 637,- Kč bylo způsobeno zapojením prostředků na mzdy, poskytnuté Úřadem práce v Olomouci na základě dohod  a 2 153,- Kč bylo uhrazeno z  fondu odměn  na vyplacené odměny .</t>
  </si>
  <si>
    <t xml:space="preserve">Vynaložené odpisy nad stanovený limit byly finančně pokryty z provozních prostředků organizace-2 778,- Kč. </t>
  </si>
  <si>
    <t>Neinvestiční příspěvek - odpisy - příspěvková organizace vrátila částku 7 108,- Kč dne 10.1.2013 na účet Olom. kraje .</t>
  </si>
  <si>
    <t>Vynaložené odpisy nad stanovený limit byly finančně pokryty z provozních prostředků organizace-203,- Kč.</t>
  </si>
  <si>
    <t>Vynaložené odpisy nad stanovený limit byly finančně pokryty z provozních prostředků organizace-976,32 Kč.</t>
  </si>
  <si>
    <t xml:space="preserve">Nedočerpání limitu mzdových prostředků  o 1 282 901,- Kč., bylo způsobeno  zrušením pracovních míst (zredukován počet odborných pracovníků), pracovní neschopností zaměstnanců. Po část roku 2012 nebyly obsazeny plánované pracovní pozice psychologa v PPR Jeseník a Šumperk a také místo sociální pracovnice ve službě Sociálně aktivizační služby pro rodiny s dětmi.
</t>
  </si>
  <si>
    <t xml:space="preserve">Nedočerpání limitu mzdových prostředků  o 699 287,- Kč., bylo způsobeno přijetím úsporných opatření v této oblasti. Další nedočerpání bylo způsobeno dlouhodobou pracovní neschopností zaměstnanců.
</t>
  </si>
  <si>
    <t>Neinvestiční příspěvek - odpisy - příspěvková organizace vrátila částku 2 732,- Kč dne 10.1.2013 na účet Olom. Kraje (po mělo vrátit pouze 870,- Kč) .</t>
  </si>
  <si>
    <t>Vynaložené odpisy nad stanovený limit byly finančně pokryty z provozních prostředků organizace- 612,- Kč.</t>
  </si>
  <si>
    <t>Vynaložené odpisy nad stanovený limit byly finančně pokryty z provozních prostředků organizace-1 300,- Kč.</t>
  </si>
  <si>
    <t>Limit mzdových prostředků nebyl vyčerpán, příspěvková organizace obdržela i prostředky od Úřadu práce v Olomouci v celkové výši 32 tis. Kč určeného na mzdové náklady a pojistné.</t>
  </si>
  <si>
    <t>Vynaložené odpisy nad stanovený limit byly finančně pokryty z provozních prostředků organizace-974,- Kč.</t>
  </si>
  <si>
    <t>Vynaložené odpisy nad stanovený limit byly finančně pokryty z provozních prostředků organizace-212,- Kč.</t>
  </si>
  <si>
    <t>Vynaložené odpisy nad stanovený limit byly finančně pokryty z provozních prostředků organizace-1 343,- Kč.</t>
  </si>
  <si>
    <t>Překročení limitu mzdových prostředků  o 64 518- Kč bylo způsobeno zapojením prostředků na mzdy, poskytnuté Úřadem práce na základě dohod  o vytvoření pracovních příležitostí v rámci veřejně prospěšných prací.</t>
  </si>
  <si>
    <t>Vynaložené odpisy nad stanovený limit byly finančně pokryty z provozních prostředků organizace-680,- Kč.</t>
  </si>
  <si>
    <t>Vynaložené odpisy nad stanovený limit byly finančně pokryty z provozních prostředků organizace-604,-Kč.</t>
  </si>
  <si>
    <t>Vynaložené odpisy nad stanovený limit byly finančně pokryty z provozních prostředků organizace-120 291,40 Kč.</t>
  </si>
  <si>
    <t>Vynaložené odpisy nad stanovený limit byly finančně pokryty z provozních prostředků organizace-723,- Kč.</t>
  </si>
  <si>
    <t>Vynaložené odpisy nad stanovený limit byly finančně pokryty z provozních prostředků organizace-787,- Kč.</t>
  </si>
  <si>
    <t>Překročení limitu mzdových prostředků  o 165 624,- Kč, jedná se o zapojení prostředků na mzdy, poskytnuté Úřadem práce a to ve výši 165 669,- Kč a nedočerpání limitu ve výši 45,- Kč.</t>
  </si>
  <si>
    <t>Vynaložené odpisy nad stanovený limit byly finančně pokryty z provozních prostředků organizace-246,- Kč.</t>
  </si>
  <si>
    <t xml:space="preserve">Nedočerpání limitu mzdových prostředků  o 80 081,- Kč., bylo způsobeno  snížením stavu zaměstnanců v části roku 2012 z důvodu nenaplnění kapacity uživatelů sociálních služeb a nemocností zaměstnanců.
</t>
  </si>
  <si>
    <t>Překročení limitu mzdových prostředků  o 102 984,- Kč, z toho částka 107 716,- Kč představuje  zapojení prostředků na mzdy, poskytnuté Úřadem práce a 4 732,- Kč nedočerpání limitu mzdových prostředků.</t>
  </si>
  <si>
    <t>Vynaložené odpisy nad stanovený limit byly finančně pokryty z provozních prostředků organizace- 114,67 Kč.</t>
  </si>
  <si>
    <t>Vynaložené odpisy nad stanovený limit byly finančně pokryty z provozních prostředků organizace- 322,- Kč.</t>
  </si>
  <si>
    <t>Vynaložené odpisy nad stanovený limit byly finančně pokryty z provozních prostředků organizace-718,30 Kč.</t>
  </si>
  <si>
    <t>Vynaložené odpisy nad stanovený limit byly finančně pokryty z provozních prostředků organizace-2 711,- Kč.</t>
  </si>
  <si>
    <t>V čerpání mzdových prostředků je zahrnuta i dotace poskytnutá z úřadu práce v celkové výši 11 940,- Kč, mzdové náklady byly nedočerpány (89 499,- Kč).</t>
  </si>
  <si>
    <t>Vynaložené odpisy nad stanovený limit byly finančně pokryty z provozních prostředků organizace-1 467,- Kč.</t>
  </si>
  <si>
    <t>Překročení limitu mzdových prostředků  o 31 939,- Kč, jedná se o zapojení prostředků na mzdy, poskytnuté Úřadem práce a to ve výši 32 000,- Kč a nedočerpáním limitu ve výši 61,- Kč.</t>
  </si>
  <si>
    <t>Překročení limitu mzdových prostředků  o 86 816,- Kč bylo způsobeno zapojením prostředků na mzdy, poskytnuté dohody s ÚP v Olomouci o vytvoření pracovních příležitostí v rámci veřejně prospěšných prací a poskytnutí příspěvku, spolufin.ze státního rozpočtu a Evropského sociálního fondu č. JEA-JL-5/2011/ č. projektu CZ.1.04/2.1.00/13.00061 a dál dohody s ÚP v Jeseníku o vytvoření pracovních příležitostí v rámci veřejně prospěšných prací a poskytnutí příspěvku č. MJE-V-15/2012 a č.MJE-V-18/2012 v celkové výši 180 475.- Kč a nedočerpáním limitu ve výši 93 659,- Kč. .</t>
  </si>
  <si>
    <t>Překročení limitu mzdových prostředků  o 133 190,- Kč, jedná se o zapojení prostředků na mzdy, poskytnuté Úřadem práce na veřejně prospěšné práce.</t>
  </si>
  <si>
    <t xml:space="preserve">Překročení limitu mzdových prostředků  o 152 466,- Kč., bylo způsobeno zapojením prostředků na mzdy, poskytnuté Úřadem práce  v rámci dohody o vyhrazení společensky účelného pracovního místa (20 896,- Kč) a dohod o zabezpečení vzdělávacích aktivit zaměstnanců v rámci projektu „Vzdělávejte se pro růst“ (131 570,-Kč). </t>
  </si>
  <si>
    <t xml:space="preserve">Správce:  vedoucí odboru </t>
  </si>
  <si>
    <t>b) Příspěvkové organizace v oblasti sociálních věcí</t>
  </si>
  <si>
    <t>Doplňující údaje :</t>
  </si>
  <si>
    <t>daň z příjmů,dodatečné odvody daně z příjmů (nákladová položka)</t>
  </si>
  <si>
    <t>Vynaložené odpisy nad stanovený limit byly finančně pokryty z provozních prostředků organizace-635,52,- Kč.</t>
  </si>
  <si>
    <t>Nedočerpání limitu mzdových prostředků  o 63 175,- Kč.</t>
  </si>
  <si>
    <t xml:space="preserve">Nedočerpání limitu mzdových prostředků  o 140 567,- Kč., bylo způsobeno  snížením počtu zdravotních sester a sociálních pracovníků. Ze samostatného sociálního oddělení byl vytvořen jeden celek, tím došlo ke  snížení o jednoho vedoucího pracovníka.
</t>
  </si>
  <si>
    <t>Vynaložené odpisy nad stanovený limit byly finančně pokryty z provozních prostředků organizace - 62 Kč.</t>
  </si>
  <si>
    <t xml:space="preserve">     Mgr. Bc. Zbyněk Vočka (pověřený vedením odboru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</si>
</sst>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č&quot;"/>
  </numFmts>
  <fonts count="59" x14ac:knownFonts="1">
    <font>
      <sz val="11"/>
      <color theme="1"/>
      <name val="Calibri"/>
      <family val="2"/>
      <charset val="238"/>
      <scheme val="minor"/>
    </font>
    <font>
      <sz val="10"/>
      <name val="Arial"/>
      <family val="2"/>
      <charset val="238"/>
    </font>
    <font>
      <sz val="11"/>
      <name val="Arial"/>
      <family val="2"/>
      <charset val="238"/>
    </font>
    <font>
      <b/>
      <sz val="11"/>
      <color indexed="19"/>
      <name val="Comic Sans MS"/>
      <family val="4"/>
      <charset val="238"/>
    </font>
    <font>
      <sz val="8"/>
      <name val="Comic Sans MS"/>
      <family val="4"/>
      <charset val="238"/>
    </font>
    <font>
      <sz val="9"/>
      <name val="Arial"/>
      <family val="2"/>
      <charset val="238"/>
    </font>
    <font>
      <b/>
      <sz val="10"/>
      <name val="Arial"/>
      <family val="2"/>
      <charset val="238"/>
    </font>
    <font>
      <b/>
      <sz val="11"/>
      <name val="Arial"/>
      <family val="2"/>
      <charset val="238"/>
    </font>
    <font>
      <b/>
      <sz val="11"/>
      <name val="Comic Sans MS"/>
      <family val="4"/>
      <charset val="238"/>
    </font>
    <font>
      <sz val="8"/>
      <name val="Arial"/>
      <family val="2"/>
      <charset val="238"/>
    </font>
    <font>
      <b/>
      <sz val="11"/>
      <color indexed="19"/>
      <name val="Arial Black"/>
      <family val="2"/>
      <charset val="238"/>
    </font>
    <font>
      <b/>
      <sz val="11"/>
      <name val="Arial Black"/>
      <family val="2"/>
      <charset val="238"/>
    </font>
    <font>
      <b/>
      <sz val="10"/>
      <name val="Comic Sans MS"/>
      <family val="4"/>
      <charset val="238"/>
    </font>
    <font>
      <sz val="10"/>
      <name val="Comic Sans MS"/>
      <family val="4"/>
      <charset val="238"/>
    </font>
    <font>
      <b/>
      <sz val="9"/>
      <name val="Arial"/>
      <family val="2"/>
      <charset val="238"/>
    </font>
    <font>
      <sz val="11"/>
      <name val="Arial Black"/>
      <family val="2"/>
      <charset val="238"/>
    </font>
    <font>
      <sz val="12"/>
      <name val="Arial Black"/>
      <family val="2"/>
    </font>
    <font>
      <sz val="11"/>
      <name val="Comic Sans MS"/>
      <family val="4"/>
      <charset val="238"/>
    </font>
    <font>
      <sz val="10"/>
      <name val="Arial Black"/>
      <family val="2"/>
      <charset val="238"/>
    </font>
    <font>
      <sz val="12"/>
      <name val="Arial Black"/>
      <family val="2"/>
      <charset val="238"/>
    </font>
    <font>
      <b/>
      <sz val="14"/>
      <name val="Arial Black"/>
      <family val="2"/>
      <charset val="238"/>
    </font>
    <font>
      <sz val="14"/>
      <name val="Arial Black"/>
      <family val="2"/>
      <charset val="238"/>
    </font>
    <font>
      <sz val="14"/>
      <name val="Arial"/>
      <family val="2"/>
      <charset val="238"/>
    </font>
    <font>
      <b/>
      <sz val="12"/>
      <name val="Comic Sans MS"/>
      <family val="4"/>
      <charset val="238"/>
    </font>
    <font>
      <b/>
      <sz val="12"/>
      <name val="Arial"/>
      <family val="2"/>
      <charset val="238"/>
    </font>
    <font>
      <sz val="9"/>
      <name val="Comic Sans MS"/>
      <family val="4"/>
      <charset val="238"/>
    </font>
    <font>
      <b/>
      <sz val="10"/>
      <color indexed="19"/>
      <name val="Comic Sans MS"/>
      <family val="4"/>
      <charset val="238"/>
    </font>
    <font>
      <b/>
      <sz val="12"/>
      <name val="Arial Black"/>
      <family val="2"/>
      <charset val="238"/>
    </font>
    <font>
      <sz val="12"/>
      <name val="Arial"/>
      <family val="2"/>
      <charset val="238"/>
    </font>
    <font>
      <sz val="10"/>
      <color indexed="12"/>
      <name val="Arial"/>
      <family val="2"/>
      <charset val="238"/>
    </font>
    <font>
      <sz val="10"/>
      <color indexed="10"/>
      <name val="Arial"/>
      <family val="2"/>
      <charset val="238"/>
    </font>
    <font>
      <sz val="12"/>
      <color indexed="10"/>
      <name val="Arial"/>
      <family val="2"/>
      <charset val="238"/>
    </font>
    <font>
      <sz val="12"/>
      <color indexed="48"/>
      <name val="Arial"/>
      <family val="2"/>
      <charset val="238"/>
    </font>
    <font>
      <sz val="10"/>
      <color indexed="48"/>
      <name val="Arial"/>
      <family val="2"/>
      <charset val="238"/>
    </font>
    <font>
      <sz val="8"/>
      <color indexed="10"/>
      <name val="Arial"/>
      <family val="2"/>
      <charset val="238"/>
    </font>
    <font>
      <sz val="7"/>
      <name val="Arial"/>
      <family val="2"/>
      <charset val="238"/>
    </font>
    <font>
      <b/>
      <sz val="8"/>
      <name val="Arial"/>
      <family val="2"/>
      <charset val="238"/>
    </font>
    <font>
      <sz val="8"/>
      <name val="Times New Roman"/>
      <family val="1"/>
      <charset val="238"/>
    </font>
    <font>
      <sz val="8"/>
      <color indexed="12"/>
      <name val="Arial"/>
      <family val="2"/>
      <charset val="238"/>
    </font>
    <font>
      <sz val="10"/>
      <color theme="3" tint="0.39997558519241921"/>
      <name val="Arial"/>
      <family val="2"/>
      <charset val="238"/>
    </font>
    <font>
      <sz val="8"/>
      <color indexed="11"/>
      <name val="Arial"/>
      <family val="2"/>
      <charset val="238"/>
    </font>
    <font>
      <sz val="10"/>
      <name val="Times New Roman"/>
      <family val="1"/>
      <charset val="238"/>
    </font>
    <font>
      <u/>
      <sz val="12"/>
      <name val="Arial"/>
      <family val="2"/>
      <charset val="238"/>
    </font>
    <font>
      <b/>
      <u/>
      <sz val="12"/>
      <name val="Arial"/>
      <family val="2"/>
      <charset val="238"/>
    </font>
    <font>
      <b/>
      <sz val="14"/>
      <name val="Arial"/>
      <family val="2"/>
      <charset val="238"/>
    </font>
    <font>
      <b/>
      <u/>
      <sz val="16"/>
      <name val="Arial CE"/>
      <family val="2"/>
      <charset val="238"/>
    </font>
    <font>
      <sz val="10"/>
      <color theme="1"/>
      <name val="Arial"/>
      <family val="2"/>
      <charset val="238"/>
    </font>
    <font>
      <sz val="4"/>
      <name val="Arial"/>
      <family val="2"/>
      <charset val="238"/>
    </font>
    <font>
      <b/>
      <u/>
      <sz val="9"/>
      <name val="Arial"/>
      <family val="2"/>
      <charset val="238"/>
    </font>
    <font>
      <u/>
      <sz val="8"/>
      <name val="Arial"/>
      <family val="2"/>
      <charset val="238"/>
    </font>
    <font>
      <b/>
      <u/>
      <sz val="11"/>
      <name val="Arial"/>
      <family val="2"/>
      <charset val="238"/>
    </font>
    <font>
      <b/>
      <u/>
      <sz val="10"/>
      <name val="Arial"/>
      <family val="2"/>
      <charset val="238"/>
    </font>
    <font>
      <u/>
      <sz val="10"/>
      <name val="Arial"/>
      <family val="2"/>
      <charset val="238"/>
    </font>
    <font>
      <sz val="10"/>
      <name val="Franklin Gothic Book"/>
      <family val="2"/>
      <charset val="238"/>
    </font>
    <font>
      <sz val="9"/>
      <color theme="1"/>
      <name val="Arial"/>
      <family val="2"/>
      <charset val="238"/>
    </font>
    <font>
      <sz val="11"/>
      <color theme="1"/>
      <name val="Arial"/>
      <family val="2"/>
      <charset val="238"/>
    </font>
    <font>
      <sz val="11"/>
      <color theme="1"/>
      <name val="Calibri"/>
      <family val="2"/>
      <charset val="238"/>
      <scheme val="minor"/>
    </font>
    <font>
      <sz val="9"/>
      <color theme="1"/>
      <name val="Calibri"/>
      <family val="2"/>
      <charset val="238"/>
      <scheme val="minor"/>
    </font>
    <font>
      <sz val="8"/>
      <color theme="1"/>
      <name val="Arial"/>
      <family val="2"/>
      <charset val="238"/>
    </font>
  </fonts>
  <fills count="6">
    <fill>
      <patternFill patternType="none"/>
    </fill>
    <fill>
      <patternFill patternType="gray125"/>
    </fill>
    <fill>
      <patternFill patternType="solid">
        <fgColor indexed="9"/>
        <bgColor indexed="64"/>
      </patternFill>
    </fill>
    <fill>
      <patternFill patternType="solid">
        <fgColor indexed="9"/>
        <bgColor indexed="44"/>
      </patternFill>
    </fill>
    <fill>
      <patternFill patternType="solid">
        <fgColor rgb="FFFFFF00"/>
        <bgColor indexed="64"/>
      </patternFill>
    </fill>
    <fill>
      <patternFill patternType="solid">
        <fgColor theme="0"/>
        <bgColor indexed="64"/>
      </patternFill>
    </fill>
  </fills>
  <borders count="87">
    <border>
      <left/>
      <right/>
      <top/>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top style="thick">
        <color indexed="64"/>
      </top>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bottom style="thick">
        <color indexed="64"/>
      </bottom>
      <diagonal/>
    </border>
    <border>
      <left style="thin">
        <color indexed="64"/>
      </left>
      <right style="thin">
        <color indexed="64"/>
      </right>
      <top/>
      <bottom style="thick">
        <color indexed="64"/>
      </bottom>
      <diagonal/>
    </border>
    <border>
      <left/>
      <right style="thick">
        <color indexed="64"/>
      </right>
      <top/>
      <bottom/>
      <diagonal/>
    </border>
    <border>
      <left style="thin">
        <color indexed="64"/>
      </left>
      <right style="thin">
        <color indexed="64"/>
      </right>
      <top/>
      <bottom/>
      <diagonal/>
    </border>
    <border>
      <left style="thick">
        <color indexed="64"/>
      </left>
      <right/>
      <top/>
      <bottom/>
      <diagonal/>
    </border>
    <border>
      <left/>
      <right/>
      <top style="thick">
        <color indexed="64"/>
      </top>
      <bottom/>
      <diagonal/>
    </border>
    <border>
      <left/>
      <right style="thick">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ck">
        <color indexed="8"/>
      </left>
      <right style="thin">
        <color indexed="8"/>
      </right>
      <top style="thin">
        <color indexed="8"/>
      </top>
      <bottom style="thick">
        <color indexed="8"/>
      </bottom>
      <diagonal/>
    </border>
    <border>
      <left/>
      <right/>
      <top/>
      <bottom style="thick">
        <color indexed="8"/>
      </bottom>
      <diagonal/>
    </border>
    <border>
      <left style="thick">
        <color indexed="8"/>
      </left>
      <right/>
      <top/>
      <bottom style="thick">
        <color indexed="8"/>
      </bottom>
      <diagonal/>
    </border>
    <border>
      <left/>
      <right style="thick">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ck">
        <color indexed="8"/>
      </right>
      <top style="thick">
        <color indexed="8"/>
      </top>
      <bottom/>
      <diagonal/>
    </border>
    <border>
      <left style="thin">
        <color indexed="8"/>
      </left>
      <right style="thin">
        <color indexed="8"/>
      </right>
      <top style="thick">
        <color indexed="8"/>
      </top>
      <bottom/>
      <diagonal/>
    </border>
    <border>
      <left style="thick">
        <color indexed="8"/>
      </left>
      <right/>
      <top style="thick">
        <color indexed="8"/>
      </top>
      <bottom/>
      <diagonal/>
    </border>
    <border>
      <left/>
      <right/>
      <top style="thick">
        <color indexed="8"/>
      </top>
      <bottom style="thin">
        <color indexed="8"/>
      </bottom>
      <diagonal/>
    </border>
    <border>
      <left style="thick">
        <color indexed="8"/>
      </left>
      <right/>
      <top style="thick">
        <color indexed="8"/>
      </top>
      <bottom style="thin">
        <color indexed="8"/>
      </bottom>
      <diagonal/>
    </border>
    <border>
      <left/>
      <right style="thick">
        <color indexed="8"/>
      </right>
      <top/>
      <bottom style="thick">
        <color indexed="8"/>
      </bottom>
      <diagonal/>
    </border>
    <border>
      <left style="thin">
        <color indexed="8"/>
      </left>
      <right style="thin">
        <color indexed="8"/>
      </right>
      <top/>
      <bottom style="thick">
        <color indexed="8"/>
      </bottom>
      <diagonal/>
    </border>
    <border>
      <left/>
      <right style="thick">
        <color indexed="8"/>
      </right>
      <top/>
      <bottom/>
      <diagonal/>
    </border>
    <border>
      <left style="thin">
        <color indexed="8"/>
      </left>
      <right style="thin">
        <color indexed="8"/>
      </right>
      <top/>
      <bottom/>
      <diagonal/>
    </border>
    <border>
      <left style="thick">
        <color indexed="8"/>
      </left>
      <right/>
      <top/>
      <bottom/>
      <diagonal/>
    </border>
    <border>
      <left/>
      <right/>
      <top style="thick">
        <color indexed="8"/>
      </top>
      <bottom/>
      <diagonal/>
    </border>
    <border>
      <left style="thin">
        <color indexed="64"/>
      </left>
      <right style="thick">
        <color indexed="64"/>
      </right>
      <top/>
      <bottom style="thick">
        <color indexed="64"/>
      </bottom>
      <diagonal/>
    </border>
    <border>
      <left style="hair">
        <color indexed="64"/>
      </left>
      <right style="thick">
        <color indexed="64"/>
      </right>
      <top/>
      <bottom style="thick">
        <color indexed="64"/>
      </bottom>
      <diagonal/>
    </border>
    <border>
      <left style="thin">
        <color indexed="64"/>
      </left>
      <right/>
      <top/>
      <bottom style="thick">
        <color indexed="64"/>
      </bottom>
      <diagonal/>
    </border>
    <border>
      <left style="thick">
        <color indexed="64"/>
      </left>
      <right style="hair">
        <color indexed="64"/>
      </right>
      <top/>
      <bottom style="thick">
        <color indexed="64"/>
      </bottom>
      <diagonal/>
    </border>
    <border>
      <left style="thin">
        <color indexed="64"/>
      </left>
      <right style="thick">
        <color indexed="64"/>
      </right>
      <top/>
      <bottom/>
      <diagonal/>
    </border>
    <border>
      <left style="hair">
        <color indexed="64"/>
      </left>
      <right style="thick">
        <color indexed="64"/>
      </right>
      <top/>
      <bottom/>
      <diagonal/>
    </border>
    <border>
      <left style="thick">
        <color indexed="64"/>
      </left>
      <right style="hair">
        <color indexed="64"/>
      </right>
      <top/>
      <bottom/>
      <diagonal/>
    </border>
    <border>
      <left style="thin">
        <color indexed="64"/>
      </left>
      <right style="thick">
        <color indexed="64"/>
      </right>
      <top style="thick">
        <color indexed="64"/>
      </top>
      <bottom/>
      <diagonal/>
    </border>
    <border>
      <left style="hair">
        <color indexed="64"/>
      </left>
      <right style="thick">
        <color indexed="64"/>
      </right>
      <top style="thick">
        <color indexed="64"/>
      </top>
      <bottom/>
      <diagonal/>
    </border>
    <border>
      <left style="thin">
        <color indexed="64"/>
      </left>
      <right/>
      <top style="thick">
        <color indexed="64"/>
      </top>
      <bottom/>
      <diagonal/>
    </border>
    <border>
      <left style="thick">
        <color indexed="64"/>
      </left>
      <right style="hair">
        <color indexed="64"/>
      </right>
      <top style="thick">
        <color indexed="64"/>
      </top>
      <bottom/>
      <diagonal/>
    </border>
    <border>
      <left style="thin">
        <color indexed="64"/>
      </left>
      <right style="hair">
        <color indexed="64"/>
      </right>
      <top/>
      <bottom style="thick">
        <color indexed="64"/>
      </bottom>
      <diagonal/>
    </border>
    <border>
      <left style="hair">
        <color indexed="64"/>
      </left>
      <right style="thick">
        <color indexed="64"/>
      </right>
      <top/>
      <bottom style="hair">
        <color indexed="64"/>
      </bottom>
      <diagonal/>
    </border>
    <border>
      <left style="thin">
        <color indexed="64"/>
      </left>
      <right/>
      <top/>
      <bottom style="hair">
        <color indexed="64"/>
      </bottom>
      <diagonal/>
    </border>
    <border>
      <left style="thick">
        <color indexed="64"/>
      </left>
      <right/>
      <top/>
      <bottom style="hair">
        <color indexed="64"/>
      </bottom>
      <diagonal/>
    </border>
    <border>
      <left/>
      <right/>
      <top/>
      <bottom style="hair">
        <color indexed="64"/>
      </bottom>
      <diagonal/>
    </border>
    <border>
      <left style="thick">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top/>
      <bottom/>
      <diagonal/>
    </border>
    <border>
      <left style="thin">
        <color indexed="64"/>
      </left>
      <right style="hair">
        <color indexed="64"/>
      </right>
      <top/>
      <bottom/>
      <diagonal/>
    </border>
    <border>
      <left/>
      <right style="thick">
        <color indexed="64"/>
      </right>
      <top/>
      <bottom style="hair">
        <color indexed="64"/>
      </bottom>
      <diagonal/>
    </border>
    <border>
      <left style="thin">
        <color indexed="64"/>
      </left>
      <right style="thick">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ck">
        <color indexed="64"/>
      </right>
      <top style="hair">
        <color indexed="64"/>
      </top>
      <bottom/>
      <diagonal/>
    </border>
    <border>
      <left/>
      <right/>
      <top style="hair">
        <color indexed="64"/>
      </top>
      <bottom/>
      <diagonal/>
    </border>
    <border>
      <left style="thick">
        <color indexed="64"/>
      </left>
      <right/>
      <top style="hair">
        <color indexed="64"/>
      </top>
      <bottom/>
      <diagonal/>
    </border>
    <border>
      <left style="thick">
        <color indexed="64"/>
      </left>
      <right style="thin">
        <color indexed="64"/>
      </right>
      <top style="hair">
        <color indexed="64"/>
      </top>
      <bottom/>
      <diagonal/>
    </border>
    <border>
      <left style="hair">
        <color indexed="64"/>
      </left>
      <right style="thick">
        <color indexed="64"/>
      </right>
      <top style="hair">
        <color indexed="64"/>
      </top>
      <bottom/>
      <diagonal/>
    </border>
    <border>
      <left style="thin">
        <color indexed="64"/>
      </left>
      <right/>
      <top style="hair">
        <color indexed="64"/>
      </top>
      <bottom/>
      <diagonal/>
    </border>
    <border>
      <left style="thick">
        <color indexed="64"/>
      </left>
      <right style="hair">
        <color indexed="64"/>
      </right>
      <top style="hair">
        <color indexed="64"/>
      </top>
      <bottom/>
      <diagonal/>
    </border>
    <border>
      <left style="thin">
        <color indexed="64"/>
      </left>
      <right style="hair">
        <color indexed="64"/>
      </right>
      <top style="hair">
        <color indexed="64"/>
      </top>
      <bottom/>
      <diagonal/>
    </border>
    <border>
      <left style="thick">
        <color indexed="64"/>
      </left>
      <right style="thin">
        <color indexed="64"/>
      </right>
      <top/>
      <bottom style="hair">
        <color indexed="64"/>
      </bottom>
      <diagonal/>
    </border>
    <border>
      <left style="thick">
        <color indexed="64"/>
      </left>
      <right style="thin">
        <color indexed="64"/>
      </right>
      <top/>
      <bottom/>
      <diagonal/>
    </border>
    <border>
      <left/>
      <right style="thin">
        <color indexed="64"/>
      </right>
      <top/>
      <bottom/>
      <diagonal/>
    </border>
    <border>
      <left style="thick">
        <color indexed="64"/>
      </left>
      <right style="thin">
        <color indexed="64"/>
      </right>
      <top/>
      <bottom style="thick">
        <color indexed="64"/>
      </bottom>
      <diagonal/>
    </border>
    <border>
      <left/>
      <right style="thin">
        <color indexed="64"/>
      </right>
      <top/>
      <bottom style="thick">
        <color indexed="64"/>
      </bottom>
      <diagonal/>
    </border>
    <border>
      <left/>
      <right style="thick">
        <color indexed="64"/>
      </right>
      <top style="thick">
        <color indexed="64"/>
      </top>
      <bottom style="thin">
        <color indexed="64"/>
      </bottom>
      <diagonal/>
    </border>
    <border>
      <left style="thin">
        <color indexed="64"/>
      </left>
      <right style="hair">
        <color indexed="64"/>
      </right>
      <top style="thick">
        <color indexed="64"/>
      </top>
      <bottom/>
      <diagonal/>
    </border>
    <border>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s>
  <cellStyleXfs count="3">
    <xf numFmtId="0" fontId="0" fillId="0" borderId="0"/>
    <xf numFmtId="0" fontId="1" fillId="0" borderId="0"/>
    <xf numFmtId="0" fontId="1" fillId="0" borderId="0"/>
  </cellStyleXfs>
  <cellXfs count="587">
    <xf numFmtId="0" fontId="0" fillId="0" borderId="0" xfId="0"/>
    <xf numFmtId="0" fontId="1" fillId="0" borderId="0" xfId="1"/>
    <xf numFmtId="0" fontId="1" fillId="0" borderId="0" xfId="1" applyFont="1" applyProtection="1">
      <protection hidden="1"/>
    </xf>
    <xf numFmtId="0" fontId="1" fillId="0" borderId="0" xfId="1" applyFont="1" applyProtection="1">
      <protection locked="0"/>
    </xf>
    <xf numFmtId="0" fontId="1" fillId="0" borderId="0" xfId="1" applyFont="1" applyBorder="1" applyProtection="1">
      <protection hidden="1"/>
    </xf>
    <xf numFmtId="0" fontId="2" fillId="0" borderId="0" xfId="1" applyFont="1" applyBorder="1" applyProtection="1">
      <protection hidden="1"/>
    </xf>
    <xf numFmtId="0" fontId="3" fillId="0" borderId="0" xfId="1" applyFont="1" applyBorder="1" applyProtection="1">
      <protection hidden="1"/>
    </xf>
    <xf numFmtId="0" fontId="4" fillId="0" borderId="0" xfId="1" applyFont="1" applyBorder="1" applyProtection="1">
      <protection hidden="1"/>
    </xf>
    <xf numFmtId="4" fontId="5" fillId="0" borderId="0" xfId="1" applyNumberFormat="1" applyFont="1" applyProtection="1">
      <protection hidden="1"/>
    </xf>
    <xf numFmtId="0" fontId="1" fillId="0" borderId="0" xfId="1" applyFont="1" applyBorder="1" applyAlignment="1" applyProtection="1">
      <alignment shrinkToFit="1"/>
      <protection hidden="1"/>
    </xf>
    <xf numFmtId="4" fontId="6" fillId="0" borderId="0" xfId="1" applyNumberFormat="1" applyFont="1" applyBorder="1" applyProtection="1">
      <protection hidden="1"/>
    </xf>
    <xf numFmtId="4" fontId="7" fillId="0" borderId="1" xfId="1" applyNumberFormat="1" applyFont="1" applyBorder="1" applyAlignment="1" applyProtection="1">
      <alignment shrinkToFit="1"/>
      <protection hidden="1"/>
    </xf>
    <xf numFmtId="4" fontId="7" fillId="0" borderId="2" xfId="1" applyNumberFormat="1" applyFont="1" applyBorder="1" applyAlignment="1" applyProtection="1">
      <alignment shrinkToFit="1"/>
      <protection hidden="1"/>
    </xf>
    <xf numFmtId="0" fontId="7" fillId="0" borderId="4" xfId="1" applyFont="1" applyBorder="1" applyProtection="1">
      <protection hidden="1"/>
    </xf>
    <xf numFmtId="0" fontId="8" fillId="0" borderId="5" xfId="1" applyFont="1" applyBorder="1" applyProtection="1">
      <protection hidden="1"/>
    </xf>
    <xf numFmtId="4" fontId="1" fillId="0" borderId="6" xfId="1" applyNumberFormat="1" applyFont="1" applyBorder="1" applyAlignment="1" applyProtection="1">
      <alignment shrinkToFit="1"/>
      <protection hidden="1"/>
    </xf>
    <xf numFmtId="4" fontId="1" fillId="0" borderId="7" xfId="1" applyNumberFormat="1" applyFont="1" applyBorder="1" applyAlignment="1" applyProtection="1">
      <alignment shrinkToFit="1"/>
      <protection hidden="1"/>
    </xf>
    <xf numFmtId="4" fontId="1" fillId="0" borderId="7" xfId="1" applyNumberFormat="1" applyFont="1" applyBorder="1" applyAlignment="1" applyProtection="1">
      <alignment horizontal="right" shrinkToFit="1"/>
      <protection hidden="1"/>
    </xf>
    <xf numFmtId="0" fontId="1" fillId="0" borderId="9" xfId="1" applyFont="1" applyBorder="1" applyProtection="1">
      <protection hidden="1"/>
    </xf>
    <xf numFmtId="0" fontId="1" fillId="0" borderId="8" xfId="1" applyFont="1" applyBorder="1" applyProtection="1">
      <protection hidden="1"/>
    </xf>
    <xf numFmtId="4" fontId="1" fillId="0" borderId="10" xfId="1" applyNumberFormat="1" applyFont="1" applyBorder="1" applyAlignment="1" applyProtection="1">
      <alignment shrinkToFit="1"/>
      <protection hidden="1"/>
    </xf>
    <xf numFmtId="4" fontId="1" fillId="0" borderId="11" xfId="1" applyNumberFormat="1" applyFont="1" applyBorder="1" applyAlignment="1" applyProtection="1">
      <alignment shrinkToFit="1"/>
      <protection hidden="1"/>
    </xf>
    <xf numFmtId="4" fontId="1" fillId="0" borderId="11" xfId="1" applyNumberFormat="1" applyFont="1" applyBorder="1" applyAlignment="1" applyProtection="1">
      <alignment horizontal="right" shrinkToFit="1"/>
      <protection hidden="1"/>
    </xf>
    <xf numFmtId="0" fontId="1" fillId="0" borderId="13" xfId="1" applyFont="1" applyBorder="1" applyProtection="1">
      <protection hidden="1"/>
    </xf>
    <xf numFmtId="0" fontId="1" fillId="0" borderId="14" xfId="1" applyFont="1" applyBorder="1" applyProtection="1">
      <protection hidden="1"/>
    </xf>
    <xf numFmtId="0" fontId="1" fillId="0" borderId="15" xfId="1" applyFont="1" applyBorder="1" applyProtection="1">
      <protection hidden="1"/>
    </xf>
    <xf numFmtId="0" fontId="1" fillId="0" borderId="16" xfId="1" applyFont="1" applyBorder="1" applyProtection="1">
      <protection hidden="1"/>
    </xf>
    <xf numFmtId="0" fontId="1" fillId="0" borderId="5" xfId="1" applyFont="1" applyBorder="1" applyProtection="1">
      <protection hidden="1"/>
    </xf>
    <xf numFmtId="0" fontId="1" fillId="0" borderId="4" xfId="1" applyFont="1" applyBorder="1" applyProtection="1">
      <protection hidden="1"/>
    </xf>
    <xf numFmtId="0" fontId="1" fillId="0" borderId="17" xfId="1" applyFont="1" applyBorder="1" applyProtection="1">
      <protection hidden="1"/>
    </xf>
    <xf numFmtId="0" fontId="1" fillId="0" borderId="18" xfId="1" applyFont="1" applyBorder="1" applyAlignment="1" applyProtection="1">
      <alignment horizontal="center"/>
      <protection hidden="1"/>
    </xf>
    <xf numFmtId="0" fontId="1" fillId="0" borderId="19" xfId="1" applyFont="1" applyBorder="1" applyProtection="1">
      <protection hidden="1"/>
    </xf>
    <xf numFmtId="14" fontId="1" fillId="0" borderId="17" xfId="1" applyNumberFormat="1" applyFont="1" applyBorder="1" applyProtection="1">
      <protection hidden="1"/>
    </xf>
    <xf numFmtId="14" fontId="1" fillId="0" borderId="18" xfId="1" applyNumberFormat="1" applyFont="1" applyBorder="1" applyProtection="1">
      <protection hidden="1"/>
    </xf>
    <xf numFmtId="0" fontId="1" fillId="0" borderId="18" xfId="1" applyFont="1" applyBorder="1" applyProtection="1">
      <protection hidden="1"/>
    </xf>
    <xf numFmtId="0" fontId="1" fillId="0" borderId="10" xfId="1" applyFont="1" applyBorder="1" applyProtection="1">
      <protection hidden="1"/>
    </xf>
    <xf numFmtId="0" fontId="1" fillId="0" borderId="11" xfId="1" applyFont="1" applyBorder="1" applyProtection="1">
      <protection hidden="1"/>
    </xf>
    <xf numFmtId="0" fontId="1" fillId="0" borderId="11" xfId="1" applyFont="1" applyBorder="1" applyAlignment="1" applyProtection="1">
      <alignment horizontal="center"/>
      <protection hidden="1"/>
    </xf>
    <xf numFmtId="0" fontId="9" fillId="0" borderId="12" xfId="1" applyFont="1" applyBorder="1" applyAlignment="1" applyProtection="1">
      <alignment horizontal="center"/>
      <protection hidden="1"/>
    </xf>
    <xf numFmtId="0" fontId="1" fillId="0" borderId="20" xfId="1" applyFont="1" applyBorder="1" applyProtection="1">
      <protection hidden="1"/>
    </xf>
    <xf numFmtId="0" fontId="3" fillId="0" borderId="20" xfId="1" applyFont="1" applyBorder="1" applyProtection="1">
      <protection hidden="1"/>
    </xf>
    <xf numFmtId="0" fontId="8" fillId="0" borderId="12" xfId="1" applyFont="1" applyBorder="1" applyProtection="1">
      <protection hidden="1"/>
    </xf>
    <xf numFmtId="0" fontId="10" fillId="0" borderId="0" xfId="1" applyFont="1" applyBorder="1" applyProtection="1">
      <protection hidden="1"/>
    </xf>
    <xf numFmtId="0" fontId="11" fillId="0" borderId="0" xfId="1" applyFont="1" applyBorder="1" applyProtection="1">
      <protection hidden="1"/>
    </xf>
    <xf numFmtId="10" fontId="1" fillId="0" borderId="0" xfId="1" applyNumberFormat="1" applyFont="1" applyBorder="1" applyAlignment="1" applyProtection="1">
      <alignment horizontal="right" indent="3"/>
      <protection locked="0"/>
    </xf>
    <xf numFmtId="0" fontId="1" fillId="0" borderId="0" xfId="1" applyFont="1" applyBorder="1" applyAlignment="1" applyProtection="1">
      <alignment horizontal="center"/>
      <protection locked="0"/>
    </xf>
    <xf numFmtId="4" fontId="1" fillId="0" borderId="0" xfId="1" applyNumberFormat="1" applyFont="1" applyBorder="1" applyProtection="1">
      <protection locked="0"/>
    </xf>
    <xf numFmtId="0" fontId="2" fillId="0" borderId="0" xfId="1" applyFont="1" applyBorder="1" applyProtection="1">
      <protection locked="0"/>
    </xf>
    <xf numFmtId="0" fontId="12" fillId="0" borderId="0" xfId="1" applyFont="1" applyBorder="1" applyProtection="1">
      <protection locked="0"/>
    </xf>
    <xf numFmtId="0" fontId="13" fillId="0" borderId="0" xfId="1" applyFont="1" applyBorder="1" applyProtection="1">
      <protection locked="0"/>
    </xf>
    <xf numFmtId="0" fontId="1" fillId="0" borderId="0" xfId="1" applyFont="1" applyBorder="1" applyAlignment="1" applyProtection="1">
      <alignment horizontal="left" indent="2"/>
      <protection locked="0"/>
    </xf>
    <xf numFmtId="0" fontId="14" fillId="0" borderId="0" xfId="1" applyFont="1" applyBorder="1" applyProtection="1">
      <protection locked="0"/>
    </xf>
    <xf numFmtId="0" fontId="5" fillId="0" borderId="0" xfId="1" applyFont="1" applyBorder="1" applyProtection="1">
      <protection locked="0"/>
    </xf>
    <xf numFmtId="0" fontId="1" fillId="0" borderId="0" xfId="1" applyFont="1" applyBorder="1" applyAlignment="1" applyProtection="1">
      <protection locked="0"/>
    </xf>
    <xf numFmtId="10" fontId="1" fillId="0" borderId="0" xfId="1" applyNumberFormat="1" applyFont="1" applyBorder="1" applyAlignment="1" applyProtection="1">
      <alignment horizontal="right" indent="3"/>
      <protection hidden="1"/>
    </xf>
    <xf numFmtId="0" fontId="1" fillId="0" borderId="0" xfId="1" applyFont="1" applyBorder="1" applyAlignment="1" applyProtection="1">
      <alignment horizontal="center"/>
      <protection hidden="1"/>
    </xf>
    <xf numFmtId="4" fontId="1" fillId="0" borderId="0" xfId="1" applyNumberFormat="1" applyFont="1" applyBorder="1" applyAlignment="1" applyProtection="1">
      <alignment shrinkToFit="1"/>
      <protection hidden="1"/>
    </xf>
    <xf numFmtId="0" fontId="12" fillId="0" borderId="0" xfId="1" applyFont="1" applyBorder="1" applyProtection="1">
      <protection hidden="1"/>
    </xf>
    <xf numFmtId="0" fontId="13" fillId="0" borderId="0" xfId="1" applyFont="1" applyBorder="1" applyProtection="1">
      <protection hidden="1"/>
    </xf>
    <xf numFmtId="0" fontId="1" fillId="0" borderId="0" xfId="1" applyFont="1" applyBorder="1" applyAlignment="1" applyProtection="1">
      <alignment horizontal="left" indent="2"/>
      <protection hidden="1"/>
    </xf>
    <xf numFmtId="0" fontId="7" fillId="0" borderId="0" xfId="1" applyFont="1" applyBorder="1" applyProtection="1">
      <protection hidden="1"/>
    </xf>
    <xf numFmtId="0" fontId="1" fillId="0" borderId="0" xfId="1" applyFont="1" applyBorder="1" applyAlignment="1" applyProtection="1">
      <alignment horizontal="right" indent="3"/>
      <protection hidden="1"/>
    </xf>
    <xf numFmtId="0" fontId="9" fillId="0" borderId="0" xfId="1" applyFont="1" applyBorder="1" applyAlignment="1" applyProtection="1">
      <alignment horizontal="right" shrinkToFit="1"/>
      <protection hidden="1"/>
    </xf>
    <xf numFmtId="0" fontId="15" fillId="0" borderId="0" xfId="1" applyFont="1" applyBorder="1" applyProtection="1">
      <protection hidden="1"/>
    </xf>
    <xf numFmtId="4" fontId="16" fillId="0" borderId="0" xfId="1" applyNumberFormat="1" applyFont="1" applyBorder="1" applyProtection="1">
      <protection hidden="1"/>
    </xf>
    <xf numFmtId="0" fontId="8" fillId="0" borderId="0" xfId="1" applyFont="1" applyBorder="1" applyProtection="1">
      <protection hidden="1"/>
    </xf>
    <xf numFmtId="0" fontId="1" fillId="2" borderId="0" xfId="1" applyFont="1" applyFill="1" applyBorder="1" applyProtection="1">
      <protection hidden="1"/>
    </xf>
    <xf numFmtId="4" fontId="2" fillId="2" borderId="0" xfId="1" applyNumberFormat="1" applyFont="1" applyFill="1" applyBorder="1" applyAlignment="1" applyProtection="1">
      <alignment horizontal="right" shrinkToFit="1"/>
      <protection hidden="1"/>
    </xf>
    <xf numFmtId="0" fontId="17" fillId="2" borderId="0" xfId="1" applyFont="1" applyFill="1" applyBorder="1" applyProtection="1">
      <protection hidden="1"/>
    </xf>
    <xf numFmtId="0" fontId="13" fillId="2" borderId="0" xfId="1" applyFont="1" applyFill="1" applyBorder="1" applyProtection="1">
      <protection hidden="1"/>
    </xf>
    <xf numFmtId="0" fontId="18" fillId="2" borderId="0" xfId="1" applyFont="1" applyFill="1" applyBorder="1" applyProtection="1">
      <protection hidden="1"/>
    </xf>
    <xf numFmtId="0" fontId="11" fillId="2" borderId="0" xfId="1" applyFont="1" applyFill="1" applyBorder="1" applyProtection="1">
      <protection hidden="1"/>
    </xf>
    <xf numFmtId="4" fontId="2" fillId="0" borderId="0" xfId="1" applyNumberFormat="1" applyFont="1" applyFill="1" applyBorder="1" applyAlignment="1" applyProtection="1">
      <alignment shrinkToFit="1"/>
      <protection hidden="1"/>
    </xf>
    <xf numFmtId="0" fontId="1" fillId="0" borderId="0" xfId="1" applyFont="1" applyFill="1" applyBorder="1" applyProtection="1">
      <protection hidden="1"/>
    </xf>
    <xf numFmtId="4" fontId="2" fillId="2" borderId="0" xfId="1" applyNumberFormat="1" applyFont="1" applyFill="1" applyBorder="1" applyAlignment="1" applyProtection="1">
      <alignment shrinkToFit="1"/>
      <protection hidden="1"/>
    </xf>
    <xf numFmtId="4" fontId="19" fillId="0" borderId="0" xfId="1" applyNumberFormat="1" applyFont="1" applyFill="1" applyBorder="1" applyAlignment="1" applyProtection="1">
      <alignment shrinkToFit="1"/>
      <protection hidden="1"/>
    </xf>
    <xf numFmtId="0" fontId="20" fillId="2" borderId="0" xfId="1" applyFont="1" applyFill="1" applyBorder="1" applyProtection="1">
      <protection hidden="1"/>
    </xf>
    <xf numFmtId="0" fontId="21" fillId="2" borderId="0" xfId="1" applyFont="1" applyFill="1" applyProtection="1">
      <protection hidden="1"/>
    </xf>
    <xf numFmtId="4" fontId="1" fillId="0" borderId="0" xfId="1" applyNumberFormat="1" applyFont="1" applyFill="1" applyBorder="1" applyAlignment="1" applyProtection="1">
      <alignment shrinkToFit="1"/>
      <protection hidden="1"/>
    </xf>
    <xf numFmtId="4" fontId="7" fillId="0" borderId="0" xfId="1" applyNumberFormat="1" applyFont="1" applyFill="1" applyBorder="1" applyAlignment="1" applyProtection="1">
      <alignment shrinkToFit="1"/>
      <protection hidden="1"/>
    </xf>
    <xf numFmtId="0" fontId="22" fillId="2" borderId="0" xfId="1" applyFont="1" applyFill="1" applyBorder="1" applyProtection="1">
      <protection hidden="1"/>
    </xf>
    <xf numFmtId="0" fontId="22" fillId="2" borderId="0" xfId="1" applyFont="1" applyFill="1" applyProtection="1">
      <protection hidden="1"/>
    </xf>
    <xf numFmtId="0" fontId="2" fillId="2" borderId="0" xfId="1" applyFont="1" applyFill="1" applyBorder="1" applyProtection="1">
      <protection hidden="1"/>
    </xf>
    <xf numFmtId="0" fontId="8" fillId="2" borderId="0" xfId="1" applyFont="1" applyFill="1" applyBorder="1" applyProtection="1">
      <protection hidden="1"/>
    </xf>
    <xf numFmtId="4" fontId="8" fillId="2" borderId="0" xfId="1" applyNumberFormat="1" applyFont="1" applyFill="1" applyBorder="1" applyProtection="1">
      <protection hidden="1"/>
    </xf>
    <xf numFmtId="0" fontId="23" fillId="2" borderId="0" xfId="1" applyFont="1" applyFill="1" applyBorder="1" applyProtection="1">
      <protection hidden="1"/>
    </xf>
    <xf numFmtId="4" fontId="8" fillId="0" borderId="0" xfId="1" applyNumberFormat="1" applyFont="1" applyFill="1" applyBorder="1" applyAlignment="1" applyProtection="1">
      <alignment shrinkToFit="1"/>
      <protection hidden="1"/>
    </xf>
    <xf numFmtId="0" fontId="8" fillId="0" borderId="0" xfId="1" applyFont="1" applyFill="1" applyBorder="1" applyProtection="1">
      <protection hidden="1"/>
    </xf>
    <xf numFmtId="0" fontId="12" fillId="0" borderId="0" xfId="1" applyFont="1" applyFill="1" applyBorder="1" applyProtection="1">
      <protection hidden="1"/>
    </xf>
    <xf numFmtId="4" fontId="6" fillId="0" borderId="0" xfId="1" applyNumberFormat="1" applyFont="1" applyFill="1" applyBorder="1" applyAlignment="1" applyProtection="1">
      <alignment shrinkToFit="1"/>
      <protection hidden="1"/>
    </xf>
    <xf numFmtId="4" fontId="24" fillId="0" borderId="0" xfId="1" applyNumberFormat="1" applyFont="1" applyFill="1" applyBorder="1" applyAlignment="1" applyProtection="1">
      <alignment shrinkToFit="1"/>
      <protection hidden="1"/>
    </xf>
    <xf numFmtId="4" fontId="24" fillId="0" borderId="0" xfId="1" applyNumberFormat="1" applyFont="1" applyFill="1" applyAlignment="1" applyProtection="1">
      <alignment shrinkToFit="1"/>
      <protection hidden="1"/>
    </xf>
    <xf numFmtId="0" fontId="12" fillId="2" borderId="0" xfId="1" applyFont="1" applyFill="1" applyBorder="1" applyProtection="1">
      <protection hidden="1"/>
    </xf>
    <xf numFmtId="4" fontId="1" fillId="0" borderId="0" xfId="1" applyNumberFormat="1" applyFont="1" applyFill="1" applyAlignment="1" applyProtection="1">
      <alignment shrinkToFit="1"/>
      <protection hidden="1"/>
    </xf>
    <xf numFmtId="0" fontId="1" fillId="2" borderId="0" xfId="1" applyFont="1" applyFill="1" applyProtection="1">
      <protection hidden="1"/>
    </xf>
    <xf numFmtId="0" fontId="1" fillId="2" borderId="0" xfId="1" applyFont="1" applyFill="1" applyAlignment="1" applyProtection="1">
      <alignment shrinkToFit="1"/>
      <protection hidden="1"/>
    </xf>
    <xf numFmtId="0" fontId="5" fillId="2" borderId="0" xfId="1" applyFont="1" applyFill="1" applyProtection="1">
      <protection hidden="1"/>
    </xf>
    <xf numFmtId="0" fontId="25" fillId="2" borderId="0" xfId="1" applyFont="1" applyFill="1" applyBorder="1" applyProtection="1">
      <protection hidden="1"/>
    </xf>
    <xf numFmtId="0" fontId="10" fillId="2" borderId="0" xfId="1" applyFont="1" applyFill="1" applyBorder="1" applyProtection="1">
      <protection hidden="1"/>
    </xf>
    <xf numFmtId="0" fontId="18" fillId="2" borderId="0" xfId="1" applyFont="1" applyFill="1" applyProtection="1">
      <protection hidden="1"/>
    </xf>
    <xf numFmtId="0" fontId="26" fillId="2" borderId="0" xfId="1" applyFont="1" applyFill="1" applyBorder="1" applyProtection="1">
      <protection hidden="1"/>
    </xf>
    <xf numFmtId="0" fontId="1" fillId="0" borderId="0" xfId="1" applyFont="1" applyAlignment="1" applyProtection="1">
      <alignment horizontal="right"/>
      <protection hidden="1"/>
    </xf>
    <xf numFmtId="0" fontId="1" fillId="0" borderId="0" xfId="1" applyFont="1" applyFill="1" applyAlignment="1" applyProtection="1">
      <alignment horizontal="right"/>
      <protection hidden="1"/>
    </xf>
    <xf numFmtId="0" fontId="2" fillId="2" borderId="0" xfId="1" applyFont="1" applyFill="1" applyAlignment="1" applyProtection="1">
      <alignment horizontal="right"/>
      <protection hidden="1"/>
    </xf>
    <xf numFmtId="0" fontId="18" fillId="2" borderId="0" xfId="1" applyFont="1" applyFill="1" applyBorder="1" applyAlignment="1" applyProtection="1">
      <alignment horizontal="center" vertical="center"/>
      <protection hidden="1"/>
    </xf>
    <xf numFmtId="0" fontId="1" fillId="2" borderId="0" xfId="1" applyFont="1" applyFill="1" applyBorder="1" applyAlignment="1" applyProtection="1">
      <alignment horizontal="center" shrinkToFit="1"/>
      <protection hidden="1"/>
    </xf>
    <xf numFmtId="0" fontId="9" fillId="2" borderId="0" xfId="1" applyFont="1" applyFill="1" applyBorder="1" applyAlignment="1" applyProtection="1">
      <alignment horizontal="center" shrinkToFit="1"/>
      <protection hidden="1"/>
    </xf>
    <xf numFmtId="0" fontId="15" fillId="2" borderId="0" xfId="1" applyFont="1" applyFill="1" applyBorder="1" applyAlignment="1" applyProtection="1">
      <alignment horizontal="right"/>
      <protection hidden="1"/>
    </xf>
    <xf numFmtId="0" fontId="6" fillId="0" borderId="0" xfId="1" applyFont="1" applyAlignment="1" applyProtection="1">
      <alignment horizontal="right"/>
      <protection hidden="1"/>
    </xf>
    <xf numFmtId="0" fontId="1" fillId="2" borderId="0" xfId="1" applyFont="1" applyFill="1" applyBorder="1" applyAlignment="1" applyProtection="1">
      <alignment horizontal="center"/>
      <protection hidden="1"/>
    </xf>
    <xf numFmtId="0" fontId="6" fillId="2" borderId="0" xfId="1" applyFont="1" applyFill="1" applyProtection="1">
      <protection hidden="1"/>
    </xf>
    <xf numFmtId="0" fontId="1" fillId="0" borderId="0" xfId="1" applyFont="1" applyAlignment="1" applyProtection="1">
      <alignment horizontal="left" shrinkToFit="1"/>
      <protection hidden="1"/>
    </xf>
    <xf numFmtId="0" fontId="18" fillId="0" borderId="0" xfId="1" applyFont="1" applyAlignment="1" applyProtection="1">
      <alignment shrinkToFit="1"/>
      <protection hidden="1"/>
    </xf>
    <xf numFmtId="0" fontId="27" fillId="0" borderId="0" xfId="1" applyFont="1" applyProtection="1">
      <protection hidden="1"/>
    </xf>
    <xf numFmtId="0" fontId="1" fillId="0" borderId="0" xfId="1" applyAlignment="1" applyProtection="1">
      <alignment horizontal="left" shrinkToFit="1"/>
      <protection hidden="1"/>
    </xf>
    <xf numFmtId="0" fontId="24" fillId="0" borderId="0" xfId="1" applyFont="1" applyProtection="1">
      <protection hidden="1"/>
    </xf>
    <xf numFmtId="0" fontId="1" fillId="0" borderId="0" xfId="1" applyAlignment="1" applyProtection="1">
      <alignment horizontal="left"/>
      <protection hidden="1"/>
    </xf>
    <xf numFmtId="0" fontId="27" fillId="0" borderId="0" xfId="1" applyFont="1" applyAlignment="1" applyProtection="1">
      <protection hidden="1"/>
    </xf>
    <xf numFmtId="0" fontId="28" fillId="0" borderId="0" xfId="1" applyFont="1" applyProtection="1">
      <protection hidden="1"/>
    </xf>
    <xf numFmtId="0" fontId="19" fillId="0" borderId="0" xfId="1" applyFont="1" applyProtection="1">
      <protection hidden="1"/>
    </xf>
    <xf numFmtId="0" fontId="2" fillId="0" borderId="0" xfId="2" applyFont="1" applyBorder="1" applyProtection="1">
      <protection hidden="1"/>
    </xf>
    <xf numFmtId="0" fontId="3" fillId="0" borderId="0" xfId="2" applyFont="1" applyBorder="1" applyProtection="1">
      <protection hidden="1"/>
    </xf>
    <xf numFmtId="0" fontId="4" fillId="0" borderId="0" xfId="2" applyFont="1" applyBorder="1" applyProtection="1">
      <protection hidden="1"/>
    </xf>
    <xf numFmtId="4" fontId="5" fillId="0" borderId="0" xfId="2" applyNumberFormat="1" applyFont="1" applyProtection="1">
      <protection hidden="1"/>
    </xf>
    <xf numFmtId="4" fontId="6" fillId="0" borderId="0" xfId="2" applyNumberFormat="1" applyFont="1" applyBorder="1" applyProtection="1">
      <protection hidden="1"/>
    </xf>
    <xf numFmtId="4" fontId="7" fillId="0" borderId="21" xfId="2" applyNumberFormat="1" applyFont="1" applyBorder="1" applyAlignment="1" applyProtection="1">
      <alignment shrinkToFit="1"/>
      <protection hidden="1"/>
    </xf>
    <xf numFmtId="4" fontId="7" fillId="0" borderId="22" xfId="2" applyNumberFormat="1" applyFont="1" applyBorder="1" applyAlignment="1" applyProtection="1">
      <alignment shrinkToFit="1"/>
      <protection hidden="1"/>
    </xf>
    <xf numFmtId="0" fontId="7" fillId="0" borderId="24" xfId="2" applyFont="1" applyBorder="1" applyProtection="1">
      <protection hidden="1"/>
    </xf>
    <xf numFmtId="0" fontId="8" fillId="0" borderId="25" xfId="2" applyFont="1" applyBorder="1" applyProtection="1">
      <protection hidden="1"/>
    </xf>
    <xf numFmtId="0" fontId="9" fillId="0" borderId="32" xfId="2" applyFont="1" applyBorder="1" applyAlignment="1" applyProtection="1">
      <alignment horizontal="center"/>
      <protection hidden="1"/>
    </xf>
    <xf numFmtId="0" fontId="3" fillId="0" borderId="40" xfId="2" applyFont="1" applyBorder="1" applyProtection="1">
      <protection hidden="1"/>
    </xf>
    <xf numFmtId="0" fontId="8" fillId="0" borderId="32" xfId="2" applyFont="1" applyBorder="1" applyProtection="1">
      <protection hidden="1"/>
    </xf>
    <xf numFmtId="0" fontId="10" fillId="0" borderId="0" xfId="2" applyFont="1" applyBorder="1" applyProtection="1">
      <protection hidden="1"/>
    </xf>
    <xf numFmtId="0" fontId="11" fillId="0" borderId="0" xfId="2" applyFont="1" applyBorder="1" applyProtection="1">
      <protection hidden="1"/>
    </xf>
    <xf numFmtId="0" fontId="2" fillId="0" borderId="0" xfId="2" applyFont="1" applyBorder="1" applyProtection="1">
      <protection locked="0"/>
    </xf>
    <xf numFmtId="0" fontId="12" fillId="0" borderId="0" xfId="2" applyFont="1" applyBorder="1" applyProtection="1">
      <protection locked="0"/>
    </xf>
    <xf numFmtId="0" fontId="13" fillId="0" borderId="0" xfId="2" applyFont="1" applyBorder="1" applyProtection="1">
      <protection locked="0"/>
    </xf>
    <xf numFmtId="0" fontId="9" fillId="0" borderId="0" xfId="2" applyFont="1" applyBorder="1" applyAlignment="1" applyProtection="1">
      <alignment horizontal="right" shrinkToFit="1"/>
      <protection hidden="1"/>
    </xf>
    <xf numFmtId="0" fontId="15" fillId="0" borderId="0" xfId="2" applyFont="1" applyBorder="1" applyProtection="1">
      <protection hidden="1"/>
    </xf>
    <xf numFmtId="4" fontId="16" fillId="0" borderId="0" xfId="2" applyNumberFormat="1" applyFont="1" applyBorder="1" applyProtection="1">
      <protection hidden="1"/>
    </xf>
    <xf numFmtId="0" fontId="8" fillId="0" borderId="0" xfId="2" applyFont="1" applyBorder="1" applyProtection="1">
      <protection hidden="1"/>
    </xf>
    <xf numFmtId="4" fontId="2" fillId="3" borderId="0" xfId="2" applyNumberFormat="1" applyFont="1" applyFill="1" applyBorder="1" applyAlignment="1" applyProtection="1">
      <alignment horizontal="right" shrinkToFit="1"/>
      <protection hidden="1"/>
    </xf>
    <xf numFmtId="0" fontId="17" fillId="3" borderId="0" xfId="2" applyFont="1" applyFill="1" applyBorder="1" applyProtection="1">
      <protection hidden="1"/>
    </xf>
    <xf numFmtId="0" fontId="13" fillId="3" borderId="0" xfId="2" applyFont="1" applyFill="1" applyBorder="1" applyProtection="1">
      <protection hidden="1"/>
    </xf>
    <xf numFmtId="0" fontId="18" fillId="3" borderId="0" xfId="2" applyFont="1" applyFill="1" applyBorder="1" applyProtection="1">
      <protection hidden="1"/>
    </xf>
    <xf numFmtId="0" fontId="11" fillId="3" borderId="0" xfId="2" applyFont="1" applyFill="1" applyBorder="1" applyProtection="1">
      <protection hidden="1"/>
    </xf>
    <xf numFmtId="4" fontId="19" fillId="0" borderId="0" xfId="2" applyNumberFormat="1" applyFont="1" applyFill="1" applyBorder="1" applyAlignment="1" applyProtection="1">
      <alignment shrinkToFit="1"/>
      <protection hidden="1"/>
    </xf>
    <xf numFmtId="0" fontId="20" fillId="3" borderId="0" xfId="2" applyFont="1" applyFill="1" applyBorder="1" applyProtection="1">
      <protection hidden="1"/>
    </xf>
    <xf numFmtId="0" fontId="21" fillId="3" borderId="0" xfId="2" applyFont="1" applyFill="1" applyProtection="1">
      <protection hidden="1"/>
    </xf>
    <xf numFmtId="4" fontId="7" fillId="0" borderId="0" xfId="2" applyNumberFormat="1" applyFont="1" applyFill="1" applyBorder="1" applyAlignment="1" applyProtection="1">
      <alignment shrinkToFit="1"/>
      <protection hidden="1"/>
    </xf>
    <xf numFmtId="0" fontId="22" fillId="3" borderId="0" xfId="2" applyFont="1" applyFill="1" applyBorder="1" applyProtection="1">
      <protection hidden="1"/>
    </xf>
    <xf numFmtId="0" fontId="22" fillId="3" borderId="0" xfId="2" applyFont="1" applyFill="1" applyProtection="1">
      <protection hidden="1"/>
    </xf>
    <xf numFmtId="0" fontId="2" fillId="3" borderId="0" xfId="2" applyFont="1" applyFill="1" applyBorder="1" applyProtection="1">
      <protection hidden="1"/>
    </xf>
    <xf numFmtId="0" fontId="8" fillId="3" borderId="0" xfId="2" applyFont="1" applyFill="1" applyBorder="1" applyProtection="1">
      <protection hidden="1"/>
    </xf>
    <xf numFmtId="4" fontId="8" fillId="3" borderId="0" xfId="2" applyNumberFormat="1" applyFont="1" applyFill="1" applyBorder="1" applyProtection="1">
      <protection hidden="1"/>
    </xf>
    <xf numFmtId="0" fontId="23" fillId="3" borderId="0" xfId="2" applyFont="1" applyFill="1" applyBorder="1" applyProtection="1">
      <protection hidden="1"/>
    </xf>
    <xf numFmtId="4" fontId="8" fillId="0" borderId="0" xfId="2" applyNumberFormat="1" applyFont="1" applyFill="1" applyBorder="1" applyAlignment="1" applyProtection="1">
      <alignment shrinkToFit="1"/>
      <protection hidden="1"/>
    </xf>
    <xf numFmtId="0" fontId="8" fillId="0" borderId="0" xfId="2" applyFont="1" applyFill="1" applyBorder="1" applyProtection="1">
      <protection hidden="1"/>
    </xf>
    <xf numFmtId="0" fontId="12" fillId="0" borderId="0" xfId="2" applyFont="1" applyFill="1" applyBorder="1" applyProtection="1">
      <protection hidden="1"/>
    </xf>
    <xf numFmtId="4" fontId="6" fillId="0" borderId="0" xfId="2" applyNumberFormat="1" applyFont="1" applyFill="1" applyBorder="1" applyAlignment="1" applyProtection="1">
      <alignment shrinkToFit="1"/>
      <protection hidden="1"/>
    </xf>
    <xf numFmtId="4" fontId="24" fillId="0" borderId="0" xfId="2" applyNumberFormat="1" applyFont="1" applyFill="1" applyBorder="1" applyAlignment="1" applyProtection="1">
      <alignment shrinkToFit="1"/>
      <protection hidden="1"/>
    </xf>
    <xf numFmtId="4" fontId="24" fillId="0" borderId="0" xfId="2" applyNumberFormat="1" applyFont="1" applyFill="1" applyAlignment="1" applyProtection="1">
      <alignment shrinkToFit="1"/>
      <protection hidden="1"/>
    </xf>
    <xf numFmtId="0" fontId="12" fillId="3" borderId="0" xfId="2" applyFont="1" applyFill="1" applyBorder="1" applyProtection="1">
      <protection hidden="1"/>
    </xf>
    <xf numFmtId="0" fontId="5" fillId="3" borderId="0" xfId="2" applyFont="1" applyFill="1" applyProtection="1">
      <protection hidden="1"/>
    </xf>
    <xf numFmtId="0" fontId="25" fillId="3" borderId="0" xfId="2" applyFont="1" applyFill="1" applyBorder="1" applyProtection="1">
      <protection hidden="1"/>
    </xf>
    <xf numFmtId="0" fontId="10" fillId="3" borderId="0" xfId="2" applyFont="1" applyFill="1" applyBorder="1" applyProtection="1">
      <protection hidden="1"/>
    </xf>
    <xf numFmtId="0" fontId="18" fillId="3" borderId="0" xfId="2" applyFont="1" applyFill="1" applyProtection="1">
      <protection hidden="1"/>
    </xf>
    <xf numFmtId="0" fontId="26" fillId="3" borderId="0" xfId="2" applyFont="1" applyFill="1" applyBorder="1" applyProtection="1">
      <protection hidden="1"/>
    </xf>
    <xf numFmtId="0" fontId="2" fillId="3" borderId="0" xfId="2" applyFont="1" applyFill="1" applyAlignment="1" applyProtection="1">
      <alignment horizontal="right"/>
      <protection hidden="1"/>
    </xf>
    <xf numFmtId="0" fontId="18" fillId="3" borderId="0" xfId="2" applyFont="1" applyFill="1" applyBorder="1" applyAlignment="1" applyProtection="1">
      <alignment horizontal="center" vertical="center"/>
      <protection hidden="1"/>
    </xf>
    <xf numFmtId="0" fontId="9" fillId="3" borderId="0" xfId="2" applyFont="1" applyFill="1" applyBorder="1" applyAlignment="1" applyProtection="1">
      <alignment horizontal="center" shrinkToFit="1"/>
      <protection hidden="1"/>
    </xf>
    <xf numFmtId="0" fontId="15" fillId="3" borderId="0" xfId="2" applyFont="1" applyFill="1" applyBorder="1" applyAlignment="1" applyProtection="1">
      <alignment horizontal="right"/>
      <protection hidden="1"/>
    </xf>
    <xf numFmtId="0" fontId="6" fillId="0" borderId="0" xfId="2" applyFont="1" applyAlignment="1" applyProtection="1">
      <alignment horizontal="right"/>
      <protection hidden="1"/>
    </xf>
    <xf numFmtId="0" fontId="6" fillId="3" borderId="0" xfId="2" applyFont="1" applyFill="1" applyProtection="1">
      <protection hidden="1"/>
    </xf>
    <xf numFmtId="0" fontId="18" fillId="0" borderId="0" xfId="2" applyFont="1" applyAlignment="1" applyProtection="1">
      <alignment shrinkToFit="1"/>
      <protection hidden="1"/>
    </xf>
    <xf numFmtId="0" fontId="27" fillId="0" borderId="0" xfId="2" applyFont="1" applyProtection="1">
      <protection hidden="1"/>
    </xf>
    <xf numFmtId="0" fontId="24" fillId="0" borderId="0" xfId="2" applyFont="1" applyProtection="1">
      <protection hidden="1"/>
    </xf>
    <xf numFmtId="0" fontId="27" fillId="0" borderId="0" xfId="2" applyFont="1" applyAlignment="1" applyProtection="1">
      <protection hidden="1"/>
    </xf>
    <xf numFmtId="0" fontId="28" fillId="0" borderId="0" xfId="2" applyFont="1" applyProtection="1">
      <protection hidden="1"/>
    </xf>
    <xf numFmtId="0" fontId="19" fillId="0" borderId="0" xfId="2" applyFont="1" applyProtection="1">
      <protection hidden="1"/>
    </xf>
    <xf numFmtId="0" fontId="1" fillId="0" borderId="0" xfId="1" applyFont="1"/>
    <xf numFmtId="0" fontId="5" fillId="0" borderId="0" xfId="1" applyFont="1" applyAlignment="1">
      <alignment shrinkToFit="1"/>
    </xf>
    <xf numFmtId="0" fontId="5" fillId="0" borderId="0" xfId="1" applyFont="1"/>
    <xf numFmtId="0" fontId="28" fillId="0" borderId="0" xfId="1" applyFont="1"/>
    <xf numFmtId="4" fontId="1" fillId="0" borderId="0" xfId="1" applyNumberFormat="1"/>
    <xf numFmtId="4" fontId="9" fillId="0" borderId="0" xfId="1" applyNumberFormat="1" applyFont="1" applyAlignment="1">
      <alignment shrinkToFit="1"/>
    </xf>
    <xf numFmtId="4" fontId="28" fillId="0" borderId="0" xfId="1" applyNumberFormat="1" applyFont="1" applyAlignment="1">
      <alignment shrinkToFit="1"/>
    </xf>
    <xf numFmtId="0" fontId="1" fillId="0" borderId="0" xfId="1" applyBorder="1"/>
    <xf numFmtId="3" fontId="28" fillId="0" borderId="0" xfId="1" applyNumberFormat="1" applyFont="1" applyAlignment="1">
      <alignment shrinkToFit="1"/>
    </xf>
    <xf numFmtId="0" fontId="28" fillId="0" borderId="0" xfId="1" applyFont="1" applyAlignment="1">
      <alignment horizontal="left" indent="10"/>
    </xf>
    <xf numFmtId="0" fontId="32" fillId="0" borderId="0" xfId="1" applyFont="1"/>
    <xf numFmtId="0" fontId="33" fillId="0" borderId="0" xfId="1" applyFont="1"/>
    <xf numFmtId="4" fontId="28" fillId="0" borderId="0" xfId="1" applyNumberFormat="1" applyFont="1"/>
    <xf numFmtId="0" fontId="1" fillId="0" borderId="0" xfId="1" applyFont="1" applyBorder="1"/>
    <xf numFmtId="4" fontId="1" fillId="0" borderId="0" xfId="1" applyNumberFormat="1" applyFont="1" applyBorder="1"/>
    <xf numFmtId="4" fontId="1" fillId="0" borderId="0" xfId="1" applyNumberFormat="1" applyBorder="1"/>
    <xf numFmtId="4" fontId="1" fillId="0" borderId="0" xfId="1" applyNumberFormat="1" applyAlignment="1">
      <alignment shrinkToFit="1"/>
    </xf>
    <xf numFmtId="4" fontId="1" fillId="0" borderId="0" xfId="1" applyNumberFormat="1" applyFont="1"/>
    <xf numFmtId="0" fontId="1" fillId="0" borderId="0" xfId="1" applyFont="1" applyBorder="1" applyAlignment="1">
      <alignment shrinkToFit="1"/>
    </xf>
    <xf numFmtId="4" fontId="30" fillId="0" borderId="0" xfId="1" applyNumberFormat="1" applyFont="1"/>
    <xf numFmtId="4" fontId="30" fillId="0" borderId="0" xfId="1" applyNumberFormat="1" applyFont="1" applyAlignment="1">
      <alignment shrinkToFit="1"/>
    </xf>
    <xf numFmtId="0" fontId="34" fillId="0" borderId="0" xfId="1" applyFont="1" applyAlignment="1">
      <alignment shrinkToFit="1"/>
    </xf>
    <xf numFmtId="0" fontId="34" fillId="0" borderId="0" xfId="1" applyFont="1"/>
    <xf numFmtId="0" fontId="31" fillId="0" borderId="0" xfId="1" applyFont="1"/>
    <xf numFmtId="0" fontId="30" fillId="0" borderId="0" xfId="1" applyFont="1"/>
    <xf numFmtId="0" fontId="35" fillId="0" borderId="0" xfId="1" applyFont="1" applyFill="1" applyAlignment="1"/>
    <xf numFmtId="0" fontId="1" fillId="0" borderId="0" xfId="1" applyAlignment="1">
      <alignment shrinkToFit="1"/>
    </xf>
    <xf numFmtId="0" fontId="9" fillId="0" borderId="0" xfId="1" applyFont="1" applyAlignment="1">
      <alignment shrinkToFit="1"/>
    </xf>
    <xf numFmtId="0" fontId="9" fillId="0" borderId="0" xfId="1" applyFont="1" applyBorder="1"/>
    <xf numFmtId="0" fontId="9" fillId="0" borderId="0" xfId="1" applyFont="1" applyBorder="1" applyAlignment="1">
      <alignment shrinkToFit="1"/>
    </xf>
    <xf numFmtId="0" fontId="28" fillId="0" borderId="0" xfId="1" applyFont="1" applyBorder="1"/>
    <xf numFmtId="0" fontId="35" fillId="0" borderId="20" xfId="1" applyFont="1" applyFill="1" applyBorder="1" applyAlignment="1"/>
    <xf numFmtId="4" fontId="35" fillId="0" borderId="20" xfId="1" applyNumberFormat="1" applyFont="1" applyFill="1" applyBorder="1" applyAlignment="1"/>
    <xf numFmtId="4" fontId="6" fillId="0" borderId="0" xfId="1" applyNumberFormat="1" applyFont="1"/>
    <xf numFmtId="4" fontId="6" fillId="0" borderId="0" xfId="1" applyNumberFormat="1" applyFont="1" applyAlignment="1">
      <alignment shrinkToFit="1"/>
    </xf>
    <xf numFmtId="0" fontId="36" fillId="0" borderId="0" xfId="1" applyFont="1" applyBorder="1" applyAlignment="1">
      <alignment shrinkToFit="1"/>
    </xf>
    <xf numFmtId="0" fontId="36" fillId="0" borderId="0" xfId="1" applyFont="1" applyBorder="1"/>
    <xf numFmtId="0" fontId="24" fillId="0" borderId="0" xfId="1" applyFont="1" applyBorder="1"/>
    <xf numFmtId="0" fontId="24" fillId="0" borderId="0" xfId="1" applyFont="1"/>
    <xf numFmtId="10" fontId="1" fillId="0" borderId="15" xfId="1" applyNumberFormat="1" applyFont="1" applyFill="1" applyBorder="1" applyAlignment="1">
      <alignment shrinkToFit="1"/>
    </xf>
    <xf numFmtId="10" fontId="37" fillId="0" borderId="4" xfId="1" applyNumberFormat="1" applyFont="1" applyFill="1" applyBorder="1" applyAlignment="1" applyProtection="1">
      <alignment shrinkToFit="1"/>
    </xf>
    <xf numFmtId="10" fontId="37" fillId="0" borderId="5" xfId="1" applyNumberFormat="1" applyFont="1" applyFill="1" applyBorder="1" applyAlignment="1" applyProtection="1">
      <alignment shrinkToFit="1"/>
    </xf>
    <xf numFmtId="4" fontId="6" fillId="0" borderId="41" xfId="1" applyNumberFormat="1" applyFont="1" applyFill="1" applyBorder="1" applyAlignment="1">
      <alignment shrinkToFit="1"/>
    </xf>
    <xf numFmtId="0" fontId="6" fillId="0" borderId="5" xfId="1" applyFont="1" applyFill="1" applyBorder="1" applyAlignment="1">
      <alignment shrinkToFit="1"/>
    </xf>
    <xf numFmtId="0" fontId="1" fillId="0" borderId="42" xfId="1" applyFill="1" applyBorder="1" applyAlignment="1">
      <alignment shrinkToFit="1"/>
    </xf>
    <xf numFmtId="0" fontId="1" fillId="0" borderId="43" xfId="1" applyFill="1" applyBorder="1" applyAlignment="1">
      <alignment shrinkToFit="1"/>
    </xf>
    <xf numFmtId="0" fontId="1" fillId="0" borderId="4" xfId="1" applyFill="1" applyBorder="1" applyAlignment="1">
      <alignment shrinkToFit="1"/>
    </xf>
    <xf numFmtId="4" fontId="1" fillId="0" borderId="42" xfId="1" applyNumberFormat="1" applyFill="1" applyBorder="1" applyAlignment="1">
      <alignment shrinkToFit="1"/>
    </xf>
    <xf numFmtId="4" fontId="30" fillId="0" borderId="44" xfId="1" applyNumberFormat="1" applyFont="1" applyFill="1" applyBorder="1" applyAlignment="1">
      <alignment shrinkToFit="1"/>
    </xf>
    <xf numFmtId="0" fontId="5" fillId="0" borderId="4" xfId="1" applyFont="1" applyFill="1" applyBorder="1" applyAlignment="1">
      <alignment shrinkToFit="1"/>
    </xf>
    <xf numFmtId="0" fontId="5" fillId="0" borderId="4" xfId="1" applyFont="1" applyFill="1" applyBorder="1"/>
    <xf numFmtId="0" fontId="28" fillId="0" borderId="4" xfId="1" applyFont="1" applyFill="1" applyBorder="1"/>
    <xf numFmtId="0" fontId="28" fillId="0" borderId="5" xfId="1" applyFont="1" applyFill="1" applyBorder="1"/>
    <xf numFmtId="4" fontId="14" fillId="0" borderId="17" xfId="1" applyNumberFormat="1" applyFont="1" applyFill="1" applyBorder="1" applyAlignment="1">
      <alignment shrinkToFit="1"/>
    </xf>
    <xf numFmtId="4" fontId="14" fillId="0" borderId="0" xfId="1" applyNumberFormat="1" applyFont="1" applyFill="1" applyBorder="1" applyAlignment="1">
      <alignment shrinkToFit="1"/>
    </xf>
    <xf numFmtId="4" fontId="14" fillId="0" borderId="19" xfId="1" applyNumberFormat="1" applyFont="1" applyFill="1" applyBorder="1" applyAlignment="1">
      <alignment shrinkToFit="1"/>
    </xf>
    <xf numFmtId="4" fontId="14" fillId="0" borderId="45" xfId="1" applyNumberFormat="1" applyFont="1" applyFill="1" applyBorder="1" applyAlignment="1">
      <alignment shrinkToFit="1"/>
    </xf>
    <xf numFmtId="4" fontId="14" fillId="0" borderId="46" xfId="1" applyNumberFormat="1" applyFont="1" applyFill="1" applyBorder="1" applyAlignment="1">
      <alignment shrinkToFit="1"/>
    </xf>
    <xf numFmtId="4" fontId="14" fillId="0" borderId="47" xfId="1" applyNumberFormat="1" applyFont="1" applyFill="1" applyBorder="1" applyAlignment="1">
      <alignment shrinkToFit="1"/>
    </xf>
    <xf numFmtId="0" fontId="14" fillId="0" borderId="0" xfId="1" applyFont="1" applyFill="1" applyBorder="1" applyAlignment="1">
      <alignment shrinkToFit="1"/>
    </xf>
    <xf numFmtId="0" fontId="14" fillId="0" borderId="0" xfId="1" applyFont="1" applyFill="1" applyBorder="1"/>
    <xf numFmtId="0" fontId="7" fillId="0" borderId="0" xfId="1" applyFont="1" applyFill="1" applyBorder="1"/>
    <xf numFmtId="0" fontId="7" fillId="0" borderId="19" xfId="1" applyFont="1" applyFill="1" applyBorder="1"/>
    <xf numFmtId="4" fontId="1" fillId="0" borderId="10" xfId="1" applyNumberFormat="1" applyFont="1" applyFill="1" applyBorder="1" applyAlignment="1">
      <alignment shrinkToFit="1"/>
    </xf>
    <xf numFmtId="4" fontId="1" fillId="0" borderId="20" xfId="1" applyNumberFormat="1" applyFill="1" applyBorder="1" applyAlignment="1">
      <alignment shrinkToFit="1"/>
    </xf>
    <xf numFmtId="4" fontId="1" fillId="0" borderId="12" xfId="1" applyNumberFormat="1" applyFill="1" applyBorder="1" applyAlignment="1">
      <alignment shrinkToFit="1"/>
    </xf>
    <xf numFmtId="0" fontId="1" fillId="0" borderId="48" xfId="1" applyFill="1" applyBorder="1"/>
    <xf numFmtId="0" fontId="1" fillId="0" borderId="12" xfId="1" applyFill="1" applyBorder="1"/>
    <xf numFmtId="0" fontId="1" fillId="0" borderId="49" xfId="1" applyFill="1" applyBorder="1"/>
    <xf numFmtId="0" fontId="1" fillId="0" borderId="50" xfId="1" applyFill="1" applyBorder="1"/>
    <xf numFmtId="0" fontId="1" fillId="0" borderId="20" xfId="1" applyFill="1" applyBorder="1"/>
    <xf numFmtId="4" fontId="1" fillId="0" borderId="49" xfId="1" applyNumberFormat="1" applyFill="1" applyBorder="1"/>
    <xf numFmtId="4" fontId="1" fillId="0" borderId="51" xfId="1" applyNumberFormat="1" applyFill="1" applyBorder="1"/>
    <xf numFmtId="0" fontId="5" fillId="0" borderId="20" xfId="1" applyFont="1" applyFill="1" applyBorder="1" applyAlignment="1">
      <alignment shrinkToFit="1"/>
    </xf>
    <xf numFmtId="0" fontId="5" fillId="0" borderId="20" xfId="1" applyFont="1" applyFill="1" applyBorder="1"/>
    <xf numFmtId="0" fontId="28" fillId="0" borderId="20" xfId="1" applyFont="1" applyFill="1" applyBorder="1"/>
    <xf numFmtId="0" fontId="28" fillId="0" borderId="12" xfId="1" applyFont="1" applyFill="1" applyBorder="1"/>
    <xf numFmtId="4" fontId="1" fillId="0" borderId="15" xfId="1" applyNumberFormat="1" applyFont="1" applyFill="1" applyBorder="1" applyAlignment="1">
      <alignment shrinkToFit="1"/>
    </xf>
    <xf numFmtId="4" fontId="29" fillId="0" borderId="4" xfId="1" applyNumberFormat="1" applyFont="1" applyFill="1" applyBorder="1" applyAlignment="1">
      <alignment shrinkToFit="1"/>
    </xf>
    <xf numFmtId="4" fontId="29" fillId="0" borderId="5" xfId="1" applyNumberFormat="1" applyFont="1" applyFill="1" applyBorder="1" applyAlignment="1">
      <alignment shrinkToFit="1"/>
    </xf>
    <xf numFmtId="0" fontId="1" fillId="0" borderId="41" xfId="1" applyFill="1" applyBorder="1"/>
    <xf numFmtId="0" fontId="1" fillId="0" borderId="5" xfId="1" applyFill="1" applyBorder="1"/>
    <xf numFmtId="0" fontId="1" fillId="0" borderId="42" xfId="1" applyFill="1" applyBorder="1"/>
    <xf numFmtId="0" fontId="1" fillId="0" borderId="43" xfId="1" applyFill="1" applyBorder="1"/>
    <xf numFmtId="0" fontId="1" fillId="0" borderId="4" xfId="1" applyFill="1" applyBorder="1"/>
    <xf numFmtId="4" fontId="1" fillId="0" borderId="42" xfId="1" applyNumberFormat="1" applyFill="1" applyBorder="1"/>
    <xf numFmtId="4" fontId="1" fillId="0" borderId="44" xfId="1" applyNumberFormat="1" applyFill="1" applyBorder="1"/>
    <xf numFmtId="0" fontId="28" fillId="0" borderId="52" xfId="1" applyFont="1" applyFill="1" applyBorder="1" applyAlignment="1">
      <alignment vertical="justify"/>
    </xf>
    <xf numFmtId="0" fontId="1" fillId="0" borderId="4" xfId="1" applyFont="1" applyFill="1" applyBorder="1"/>
    <xf numFmtId="0" fontId="1" fillId="0" borderId="5" xfId="1" applyFont="1" applyFill="1" applyBorder="1"/>
    <xf numFmtId="4" fontId="9" fillId="0" borderId="17" xfId="1" applyNumberFormat="1" applyFont="1" applyFill="1" applyBorder="1" applyAlignment="1">
      <alignment shrinkToFit="1"/>
    </xf>
    <xf numFmtId="4" fontId="38" fillId="0" borderId="0" xfId="1" applyNumberFormat="1" applyFont="1" applyFill="1" applyBorder="1" applyAlignment="1">
      <alignment shrinkToFit="1"/>
    </xf>
    <xf numFmtId="4" fontId="38" fillId="0" borderId="19" xfId="1" applyNumberFormat="1" applyFont="1" applyFill="1" applyBorder="1" applyAlignment="1">
      <alignment shrinkToFit="1"/>
    </xf>
    <xf numFmtId="0" fontId="1" fillId="0" borderId="45" xfId="1" applyFill="1" applyBorder="1"/>
    <xf numFmtId="0" fontId="1" fillId="0" borderId="19" xfId="1" applyFill="1" applyBorder="1"/>
    <xf numFmtId="0" fontId="1" fillId="0" borderId="53" xfId="1" applyFill="1" applyBorder="1"/>
    <xf numFmtId="0" fontId="1" fillId="0" borderId="54" xfId="1" applyFill="1" applyBorder="1"/>
    <xf numFmtId="0" fontId="1" fillId="0" borderId="55" xfId="1" applyFill="1" applyBorder="1"/>
    <xf numFmtId="0" fontId="1" fillId="0" borderId="56" xfId="1" applyFill="1" applyBorder="1"/>
    <xf numFmtId="4" fontId="1" fillId="0" borderId="53" xfId="1" applyNumberFormat="1" applyFill="1" applyBorder="1"/>
    <xf numFmtId="4" fontId="1" fillId="0" borderId="57" xfId="1" applyNumberFormat="1" applyFill="1" applyBorder="1"/>
    <xf numFmtId="0" fontId="5" fillId="0" borderId="56" xfId="1" applyFont="1" applyFill="1" applyBorder="1" applyAlignment="1">
      <alignment shrinkToFit="1"/>
    </xf>
    <xf numFmtId="0" fontId="5" fillId="0" borderId="56" xfId="1" applyFont="1" applyFill="1" applyBorder="1"/>
    <xf numFmtId="0" fontId="1" fillId="0" borderId="56" xfId="1" applyFont="1" applyFill="1" applyBorder="1"/>
    <xf numFmtId="0" fontId="1" fillId="0" borderId="55" xfId="1" applyFont="1" applyFill="1" applyBorder="1"/>
    <xf numFmtId="4" fontId="1" fillId="0" borderId="45" xfId="1" applyNumberFormat="1" applyFont="1" applyFill="1" applyBorder="1"/>
    <xf numFmtId="4" fontId="1" fillId="0" borderId="19" xfId="1" applyNumberFormat="1" applyFont="1" applyFill="1" applyBorder="1"/>
    <xf numFmtId="4" fontId="1" fillId="0" borderId="46" xfId="1" applyNumberFormat="1" applyFill="1" applyBorder="1"/>
    <xf numFmtId="4" fontId="1" fillId="0" borderId="59" xfId="1" applyNumberFormat="1" applyFill="1" applyBorder="1"/>
    <xf numFmtId="4" fontId="1" fillId="0" borderId="19" xfId="1" applyNumberFormat="1" applyFill="1" applyBorder="1"/>
    <xf numFmtId="4" fontId="1" fillId="0" borderId="0" xfId="1" applyNumberFormat="1" applyFill="1" applyBorder="1"/>
    <xf numFmtId="4" fontId="1" fillId="0" borderId="47" xfId="1" applyNumberFormat="1" applyFill="1" applyBorder="1"/>
    <xf numFmtId="0" fontId="9" fillId="0" borderId="0" xfId="1" applyFont="1" applyFill="1" applyBorder="1" applyAlignment="1">
      <alignment shrinkToFit="1"/>
    </xf>
    <xf numFmtId="0" fontId="9" fillId="0" borderId="0" xfId="1" applyFont="1" applyFill="1" applyBorder="1"/>
    <xf numFmtId="0" fontId="1" fillId="0" borderId="0" xfId="1" applyFont="1" applyFill="1" applyBorder="1"/>
    <xf numFmtId="0" fontId="1" fillId="0" borderId="19" xfId="1" applyFont="1" applyFill="1" applyBorder="1"/>
    <xf numFmtId="10" fontId="9" fillId="0" borderId="61" xfId="1" applyNumberFormat="1" applyFont="1" applyFill="1" applyBorder="1" applyAlignment="1">
      <alignment vertical="top" shrinkToFit="1"/>
    </xf>
    <xf numFmtId="10" fontId="37" fillId="0" borderId="56" xfId="1" applyNumberFormat="1" applyFont="1" applyFill="1" applyBorder="1" applyAlignment="1" applyProtection="1">
      <alignment vertical="top" shrinkToFit="1"/>
    </xf>
    <xf numFmtId="10" fontId="37" fillId="0" borderId="55" xfId="1" applyNumberFormat="1" applyFont="1" applyFill="1" applyBorder="1" applyAlignment="1" applyProtection="1">
      <alignment vertical="top" shrinkToFit="1"/>
    </xf>
    <xf numFmtId="0" fontId="1" fillId="0" borderId="62" xfId="1" applyFont="1" applyFill="1" applyBorder="1"/>
    <xf numFmtId="0" fontId="1" fillId="0" borderId="53" xfId="1" applyFont="1" applyFill="1" applyBorder="1"/>
    <xf numFmtId="0" fontId="1" fillId="0" borderId="54" xfId="1" applyFont="1" applyFill="1" applyBorder="1"/>
    <xf numFmtId="4" fontId="1" fillId="0" borderId="53" xfId="1" applyNumberFormat="1" applyFont="1" applyFill="1" applyBorder="1"/>
    <xf numFmtId="4" fontId="1" fillId="0" borderId="57" xfId="1" applyNumberFormat="1" applyFont="1" applyFill="1" applyBorder="1"/>
    <xf numFmtId="0" fontId="1" fillId="0" borderId="63" xfId="1" applyFont="1" applyFill="1" applyBorder="1"/>
    <xf numFmtId="4" fontId="9" fillId="0" borderId="0" xfId="1" applyNumberFormat="1" applyFont="1" applyFill="1" applyBorder="1" applyAlignment="1">
      <alignment shrinkToFit="1"/>
    </xf>
    <xf numFmtId="4" fontId="9" fillId="0" borderId="19" xfId="1" applyNumberFormat="1" applyFont="1" applyFill="1" applyBorder="1" applyAlignment="1">
      <alignment shrinkToFit="1"/>
    </xf>
    <xf numFmtId="4" fontId="1" fillId="0" borderId="46" xfId="1" applyNumberFormat="1" applyFont="1" applyFill="1" applyBorder="1"/>
    <xf numFmtId="4" fontId="1" fillId="0" borderId="59" xfId="1" applyNumberFormat="1" applyFont="1" applyFill="1" applyBorder="1"/>
    <xf numFmtId="4" fontId="1" fillId="0" borderId="0" xfId="1" applyNumberFormat="1" applyFont="1" applyFill="1" applyBorder="1"/>
    <xf numFmtId="4" fontId="1" fillId="0" borderId="47" xfId="1" applyNumberFormat="1" applyFont="1" applyFill="1" applyBorder="1"/>
    <xf numFmtId="0" fontId="1" fillId="0" borderId="64" xfId="1" applyFont="1" applyFill="1" applyBorder="1"/>
    <xf numFmtId="10" fontId="9" fillId="0" borderId="61" xfId="1" applyNumberFormat="1" applyFont="1" applyFill="1" applyBorder="1" applyAlignment="1">
      <alignment shrinkToFit="1"/>
    </xf>
    <xf numFmtId="10" fontId="37" fillId="0" borderId="56" xfId="1" applyNumberFormat="1" applyFont="1" applyFill="1" applyBorder="1" applyAlignment="1" applyProtection="1">
      <alignment shrinkToFit="1"/>
    </xf>
    <xf numFmtId="10" fontId="37" fillId="0" borderId="55" xfId="1" applyNumberFormat="1" applyFont="1" applyFill="1" applyBorder="1" applyAlignment="1" applyProtection="1">
      <alignment shrinkToFit="1"/>
    </xf>
    <xf numFmtId="0" fontId="9" fillId="0" borderId="56" xfId="1" applyFont="1" applyFill="1" applyBorder="1" applyAlignment="1">
      <alignment shrinkToFit="1"/>
    </xf>
    <xf numFmtId="0" fontId="9" fillId="0" borderId="56" xfId="1" applyFont="1" applyFill="1" applyBorder="1"/>
    <xf numFmtId="4" fontId="9" fillId="0" borderId="65" xfId="1" applyNumberFormat="1" applyFont="1" applyFill="1" applyBorder="1" applyAlignment="1">
      <alignment shrinkToFit="1"/>
    </xf>
    <xf numFmtId="4" fontId="9" fillId="0" borderId="66" xfId="1" applyNumberFormat="1" applyFont="1" applyFill="1" applyBorder="1" applyAlignment="1">
      <alignment shrinkToFit="1"/>
    </xf>
    <xf numFmtId="4" fontId="9" fillId="0" borderId="67" xfId="1" applyNumberFormat="1" applyFont="1" applyFill="1" applyBorder="1" applyAlignment="1">
      <alignment shrinkToFit="1"/>
    </xf>
    <xf numFmtId="4" fontId="1" fillId="0" borderId="65" xfId="1" applyNumberFormat="1" applyFont="1" applyFill="1" applyBorder="1"/>
    <xf numFmtId="4" fontId="1" fillId="0" borderId="68" xfId="1" applyNumberFormat="1" applyFont="1" applyFill="1" applyBorder="1"/>
    <xf numFmtId="4" fontId="1" fillId="0" borderId="69" xfId="1" applyNumberFormat="1" applyFont="1" applyFill="1" applyBorder="1"/>
    <xf numFmtId="4" fontId="1" fillId="0" borderId="70" xfId="1" applyNumberFormat="1" applyFont="1" applyFill="1" applyBorder="1"/>
    <xf numFmtId="4" fontId="1" fillId="0" borderId="67" xfId="1" applyNumberFormat="1" applyFont="1" applyFill="1" applyBorder="1"/>
    <xf numFmtId="4" fontId="1" fillId="0" borderId="71" xfId="1" applyNumberFormat="1" applyFont="1" applyFill="1" applyBorder="1"/>
    <xf numFmtId="0" fontId="9" fillId="0" borderId="66" xfId="1" applyFont="1" applyFill="1" applyBorder="1" applyAlignment="1">
      <alignment shrinkToFit="1"/>
    </xf>
    <xf numFmtId="0" fontId="9" fillId="0" borderId="66" xfId="1" applyFont="1" applyFill="1" applyBorder="1"/>
    <xf numFmtId="0" fontId="1" fillId="0" borderId="67" xfId="1" applyFont="1" applyFill="1" applyBorder="1"/>
    <xf numFmtId="0" fontId="1" fillId="0" borderId="61" xfId="1" applyFont="1" applyFill="1" applyBorder="1"/>
    <xf numFmtId="0" fontId="1" fillId="0" borderId="73" xfId="1" applyFont="1" applyFill="1" applyBorder="1"/>
    <xf numFmtId="4" fontId="1" fillId="0" borderId="17" xfId="1" applyNumberFormat="1" applyFont="1" applyFill="1" applyBorder="1"/>
    <xf numFmtId="4" fontId="1" fillId="0" borderId="74" xfId="1" applyNumberFormat="1" applyFont="1" applyFill="1" applyBorder="1"/>
    <xf numFmtId="0" fontId="1" fillId="0" borderId="75" xfId="1" applyFont="1" applyFill="1" applyBorder="1"/>
    <xf numFmtId="4" fontId="1" fillId="0" borderId="66" xfId="1" applyNumberFormat="1" applyFont="1" applyFill="1" applyBorder="1"/>
    <xf numFmtId="0" fontId="1" fillId="0" borderId="66" xfId="1" applyFont="1" applyFill="1" applyBorder="1"/>
    <xf numFmtId="4" fontId="1" fillId="0" borderId="61" xfId="1" applyNumberFormat="1" applyFont="1" applyFill="1" applyBorder="1"/>
    <xf numFmtId="4" fontId="1" fillId="0" borderId="73" xfId="1" applyNumberFormat="1" applyFont="1" applyFill="1" applyBorder="1"/>
    <xf numFmtId="4" fontId="1" fillId="0" borderId="54" xfId="1" applyNumberFormat="1" applyFont="1" applyFill="1" applyBorder="1"/>
    <xf numFmtId="4" fontId="1" fillId="0" borderId="55" xfId="1" applyNumberFormat="1" applyFont="1" applyFill="1" applyBorder="1"/>
    <xf numFmtId="4" fontId="1" fillId="0" borderId="56" xfId="1" applyNumberFormat="1" applyFont="1" applyFill="1" applyBorder="1"/>
    <xf numFmtId="0" fontId="1" fillId="0" borderId="17" xfId="1" applyFont="1" applyFill="1" applyBorder="1"/>
    <xf numFmtId="0" fontId="1" fillId="0" borderId="74" xfId="1" applyFont="1" applyFill="1" applyBorder="1"/>
    <xf numFmtId="0" fontId="1" fillId="0" borderId="46" xfId="1" applyFont="1" applyFill="1" applyBorder="1"/>
    <xf numFmtId="4" fontId="37" fillId="0" borderId="67" xfId="1" applyNumberFormat="1" applyFont="1" applyFill="1" applyBorder="1" applyAlignment="1" applyProtection="1">
      <alignment shrinkToFit="1"/>
    </xf>
    <xf numFmtId="4" fontId="1" fillId="4" borderId="0" xfId="1" applyNumberFormat="1" applyFont="1" applyFill="1"/>
    <xf numFmtId="10" fontId="9" fillId="0" borderId="17" xfId="1" applyNumberFormat="1" applyFont="1" applyFill="1" applyBorder="1" applyAlignment="1">
      <alignment shrinkToFit="1"/>
    </xf>
    <xf numFmtId="10" fontId="37" fillId="0" borderId="0" xfId="1" applyNumberFormat="1" applyFont="1" applyFill="1" applyBorder="1" applyAlignment="1" applyProtection="1">
      <alignment shrinkToFit="1"/>
    </xf>
    <xf numFmtId="10" fontId="37" fillId="0" borderId="19" xfId="1" applyNumberFormat="1" applyFont="1" applyFill="1" applyBorder="1" applyAlignment="1" applyProtection="1">
      <alignment shrinkToFit="1"/>
    </xf>
    <xf numFmtId="4" fontId="37" fillId="0" borderId="19" xfId="1" applyNumberFormat="1" applyFont="1" applyFill="1" applyBorder="1" applyAlignment="1" applyProtection="1">
      <alignment shrinkToFit="1"/>
    </xf>
    <xf numFmtId="4" fontId="1" fillId="0" borderId="72" xfId="1" applyNumberFormat="1" applyFont="1" applyFill="1" applyBorder="1"/>
    <xf numFmtId="0" fontId="5" fillId="0" borderId="66" xfId="1" applyFont="1" applyFill="1" applyBorder="1" applyAlignment="1">
      <alignment shrinkToFit="1"/>
    </xf>
    <xf numFmtId="0" fontId="5" fillId="0" borderId="66" xfId="1" applyFont="1" applyFill="1" applyBorder="1"/>
    <xf numFmtId="0" fontId="1" fillId="0" borderId="59" xfId="1" applyFont="1" applyFill="1" applyBorder="1"/>
    <xf numFmtId="0" fontId="5" fillId="0" borderId="0" xfId="1" applyFont="1" applyFill="1" applyBorder="1" applyAlignment="1">
      <alignment shrinkToFit="1"/>
    </xf>
    <xf numFmtId="0" fontId="5" fillId="0" borderId="0" xfId="1" applyFont="1" applyFill="1" applyBorder="1"/>
    <xf numFmtId="10" fontId="9" fillId="0" borderId="15" xfId="1" applyNumberFormat="1" applyFont="1" applyFill="1" applyBorder="1" applyAlignment="1">
      <alignment shrinkToFit="1"/>
    </xf>
    <xf numFmtId="0" fontId="1" fillId="0" borderId="15" xfId="1" applyFont="1" applyFill="1" applyBorder="1"/>
    <xf numFmtId="0" fontId="1" fillId="0" borderId="76" xfId="1" applyFont="1" applyFill="1" applyBorder="1"/>
    <xf numFmtId="0" fontId="1" fillId="0" borderId="42" xfId="1" applyFont="1" applyFill="1" applyBorder="1"/>
    <xf numFmtId="0" fontId="1" fillId="0" borderId="43" xfId="1" applyFont="1" applyFill="1" applyBorder="1"/>
    <xf numFmtId="4" fontId="1" fillId="0" borderId="42" xfId="1" applyNumberFormat="1" applyFont="1" applyFill="1" applyBorder="1" applyAlignment="1">
      <alignment shrinkToFit="1"/>
    </xf>
    <xf numFmtId="4" fontId="1" fillId="0" borderId="44" xfId="1" applyNumberFormat="1" applyFont="1" applyFill="1" applyBorder="1" applyAlignment="1">
      <alignment shrinkToFit="1"/>
    </xf>
    <xf numFmtId="4" fontId="1" fillId="0" borderId="53" xfId="1" applyNumberFormat="1" applyFont="1" applyFill="1" applyBorder="1" applyAlignment="1">
      <alignment shrinkToFit="1"/>
    </xf>
    <xf numFmtId="4" fontId="1" fillId="0" borderId="57" xfId="1" applyNumberFormat="1" applyFont="1" applyFill="1" applyBorder="1" applyAlignment="1">
      <alignment shrinkToFit="1"/>
    </xf>
    <xf numFmtId="4" fontId="1" fillId="0" borderId="69" xfId="1" applyNumberFormat="1" applyFont="1" applyFill="1" applyBorder="1" applyAlignment="1">
      <alignment shrinkToFit="1"/>
    </xf>
    <xf numFmtId="4" fontId="1" fillId="0" borderId="71" xfId="1" applyNumberFormat="1" applyFont="1" applyFill="1" applyBorder="1" applyAlignment="1">
      <alignment shrinkToFit="1"/>
    </xf>
    <xf numFmtId="4" fontId="1" fillId="0" borderId="46" xfId="1" applyNumberFormat="1" applyFont="1" applyFill="1" applyBorder="1" applyAlignment="1">
      <alignment shrinkToFit="1"/>
    </xf>
    <xf numFmtId="4" fontId="1" fillId="0" borderId="47" xfId="1" applyNumberFormat="1" applyFont="1" applyFill="1" applyBorder="1" applyAlignment="1">
      <alignment shrinkToFit="1"/>
    </xf>
    <xf numFmtId="0" fontId="39" fillId="0" borderId="0" xfId="1" applyFont="1" applyFill="1"/>
    <xf numFmtId="10" fontId="40" fillId="0" borderId="61" xfId="1" applyNumberFormat="1" applyFont="1" applyFill="1" applyBorder="1" applyAlignment="1">
      <alignment shrinkToFit="1"/>
    </xf>
    <xf numFmtId="0" fontId="41" fillId="0" borderId="15" xfId="1" applyFont="1" applyFill="1" applyBorder="1" applyAlignment="1">
      <alignment horizontal="center" vertical="justify"/>
    </xf>
    <xf numFmtId="0" fontId="37" fillId="0" borderId="4" xfId="1" applyFont="1" applyFill="1" applyBorder="1" applyAlignment="1">
      <alignment horizontal="center" vertical="justify"/>
    </xf>
    <xf numFmtId="0" fontId="37" fillId="0" borderId="4" xfId="1" applyFont="1" applyFill="1" applyBorder="1" applyProtection="1"/>
    <xf numFmtId="0" fontId="37" fillId="0" borderId="5" xfId="1" applyFont="1" applyFill="1" applyBorder="1" applyProtection="1"/>
    <xf numFmtId="0" fontId="1" fillId="0" borderId="1" xfId="1" applyFont="1" applyFill="1" applyBorder="1" applyAlignment="1">
      <alignment horizontal="center"/>
    </xf>
    <xf numFmtId="0" fontId="1" fillId="0" borderId="3" xfId="1" applyFont="1" applyFill="1" applyBorder="1" applyAlignment="1">
      <alignment horizontal="center" shrinkToFit="1"/>
    </xf>
    <xf numFmtId="0" fontId="1" fillId="0" borderId="42" xfId="1" applyFont="1" applyFill="1" applyBorder="1" applyAlignment="1">
      <alignment horizontal="center" vertical="justify"/>
    </xf>
    <xf numFmtId="0" fontId="35" fillId="0" borderId="43" xfId="1" applyFont="1" applyFill="1" applyBorder="1" applyAlignment="1">
      <alignment horizontal="center" vertical="justify"/>
    </xf>
    <xf numFmtId="0" fontId="1" fillId="0" borderId="76" xfId="1" applyFont="1" applyFill="1" applyBorder="1" applyAlignment="1">
      <alignment horizontal="center" vertical="justify"/>
    </xf>
    <xf numFmtId="0" fontId="1" fillId="0" borderId="4" xfId="1" applyFont="1" applyFill="1" applyBorder="1" applyAlignment="1">
      <alignment horizontal="center"/>
    </xf>
    <xf numFmtId="0" fontId="1" fillId="0" borderId="44" xfId="1" applyFont="1" applyFill="1" applyBorder="1"/>
    <xf numFmtId="0" fontId="14" fillId="0" borderId="4" xfId="1" applyFont="1" applyFill="1" applyBorder="1" applyAlignment="1">
      <alignment shrinkToFit="1"/>
    </xf>
    <xf numFmtId="0" fontId="14" fillId="0" borderId="4" xfId="1" applyFont="1" applyFill="1" applyBorder="1"/>
    <xf numFmtId="0" fontId="24" fillId="0" borderId="52" xfId="1" applyFont="1" applyFill="1" applyBorder="1"/>
    <xf numFmtId="0" fontId="6" fillId="0" borderId="4" xfId="1" applyFont="1" applyFill="1" applyBorder="1"/>
    <xf numFmtId="0" fontId="6" fillId="0" borderId="5" xfId="1" applyFont="1" applyFill="1" applyBorder="1"/>
    <xf numFmtId="0" fontId="1" fillId="0" borderId="10" xfId="1" applyFont="1" applyFill="1" applyBorder="1" applyAlignment="1">
      <alignment horizontal="center"/>
    </xf>
    <xf numFmtId="0" fontId="1" fillId="0" borderId="20" xfId="1" applyFill="1" applyBorder="1" applyAlignment="1">
      <alignment horizontal="center"/>
    </xf>
    <xf numFmtId="0" fontId="24" fillId="0" borderId="49" xfId="1" applyFont="1" applyFill="1" applyBorder="1" applyAlignment="1">
      <alignment horizontal="center"/>
    </xf>
    <xf numFmtId="0" fontId="24" fillId="0" borderId="51" xfId="1" applyFont="1" applyFill="1" applyBorder="1" applyAlignment="1">
      <alignment horizontal="center"/>
    </xf>
    <xf numFmtId="0" fontId="14" fillId="0" borderId="20" xfId="1" applyFont="1" applyFill="1" applyBorder="1" applyAlignment="1">
      <alignment shrinkToFit="1"/>
    </xf>
    <xf numFmtId="0" fontId="14" fillId="0" borderId="20" xfId="1" applyFont="1" applyFill="1" applyBorder="1"/>
    <xf numFmtId="0" fontId="24" fillId="0" borderId="79" xfId="1" applyFont="1" applyFill="1" applyBorder="1"/>
    <xf numFmtId="0" fontId="6" fillId="0" borderId="20" xfId="1" applyFont="1" applyFill="1" applyBorder="1" applyAlignment="1">
      <alignment horizontal="center"/>
    </xf>
    <xf numFmtId="0" fontId="6" fillId="0" borderId="12" xfId="1" applyFont="1" applyFill="1" applyBorder="1"/>
    <xf numFmtId="0" fontId="1" fillId="0" borderId="4" xfId="1" applyFont="1" applyBorder="1"/>
    <xf numFmtId="0" fontId="1" fillId="0" borderId="0" xfId="1" applyAlignment="1">
      <alignment horizontal="right"/>
    </xf>
    <xf numFmtId="0" fontId="42" fillId="0" borderId="0" xfId="1" applyFont="1" applyAlignment="1"/>
    <xf numFmtId="0" fontId="42" fillId="0" borderId="0" xfId="1" applyFont="1" applyAlignment="1">
      <alignment horizontal="justify" vertical="justify" shrinkToFit="1"/>
    </xf>
    <xf numFmtId="0" fontId="42" fillId="0" borderId="0" xfId="1" applyFont="1" applyAlignment="1">
      <alignment horizontal="justify" vertical="justify"/>
    </xf>
    <xf numFmtId="0" fontId="44" fillId="0" borderId="0" xfId="1" applyFont="1" applyAlignment="1">
      <alignment horizontal="right"/>
    </xf>
    <xf numFmtId="0" fontId="1" fillId="0" borderId="0" xfId="1" applyFill="1"/>
    <xf numFmtId="0" fontId="45" fillId="0" borderId="0" xfId="1" applyFont="1"/>
    <xf numFmtId="4" fontId="9" fillId="0" borderId="0" xfId="1" applyNumberFormat="1" applyFont="1" applyFill="1" applyBorder="1" applyAlignment="1" applyProtection="1">
      <alignment shrinkToFit="1"/>
      <protection hidden="1"/>
    </xf>
    <xf numFmtId="4" fontId="1" fillId="0" borderId="0" xfId="1" applyNumberFormat="1" applyFont="1" applyBorder="1" applyAlignment="1" applyProtection="1">
      <alignment horizontal="center"/>
      <protection hidden="1"/>
    </xf>
    <xf numFmtId="4" fontId="1" fillId="0" borderId="82" xfId="1" applyNumberFormat="1" applyFont="1" applyFill="1" applyBorder="1" applyAlignment="1" applyProtection="1">
      <alignment shrinkToFit="1"/>
      <protection hidden="1"/>
    </xf>
    <xf numFmtId="4" fontId="1" fillId="0" borderId="83" xfId="1" applyNumberFormat="1" applyFont="1" applyFill="1" applyBorder="1" applyAlignment="1" applyProtection="1">
      <alignment shrinkToFit="1"/>
      <protection hidden="1"/>
    </xf>
    <xf numFmtId="4" fontId="1" fillId="0" borderId="7" xfId="1" applyNumberFormat="1" applyFont="1" applyFill="1" applyBorder="1" applyAlignment="1" applyProtection="1">
      <alignment shrinkToFit="1"/>
      <protection hidden="1"/>
    </xf>
    <xf numFmtId="4" fontId="1" fillId="0" borderId="85" xfId="1" applyNumberFormat="1" applyFont="1" applyFill="1" applyBorder="1" applyAlignment="1" applyProtection="1">
      <alignment shrinkToFit="1"/>
      <protection hidden="1"/>
    </xf>
    <xf numFmtId="4" fontId="7" fillId="0" borderId="3" xfId="1" applyNumberFormat="1" applyFont="1" applyFill="1" applyBorder="1" applyAlignment="1" applyProtection="1">
      <alignment shrinkToFit="1"/>
      <protection hidden="1"/>
    </xf>
    <xf numFmtId="4" fontId="7" fillId="0" borderId="2" xfId="1" applyNumberFormat="1" applyFont="1" applyFill="1" applyBorder="1" applyAlignment="1" applyProtection="1">
      <alignment shrinkToFit="1"/>
      <protection hidden="1"/>
    </xf>
    <xf numFmtId="4" fontId="7" fillId="0" borderId="86" xfId="1" applyNumberFormat="1" applyFont="1" applyFill="1" applyBorder="1" applyAlignment="1" applyProtection="1">
      <alignment shrinkToFit="1"/>
      <protection hidden="1"/>
    </xf>
    <xf numFmtId="4" fontId="46" fillId="0" borderId="0" xfId="2" applyNumberFormat="1" applyFont="1" applyFill="1" applyBorder="1" applyAlignment="1" applyProtection="1">
      <alignment shrinkToFit="1"/>
      <protection hidden="1"/>
    </xf>
    <xf numFmtId="4" fontId="46" fillId="0" borderId="0" xfId="2" applyNumberFormat="1" applyFont="1" applyFill="1" applyAlignment="1" applyProtection="1">
      <alignment shrinkToFit="1"/>
      <protection hidden="1"/>
    </xf>
    <xf numFmtId="0" fontId="1" fillId="0" borderId="0" xfId="2" applyFont="1" applyBorder="1" applyProtection="1">
      <protection hidden="1"/>
    </xf>
    <xf numFmtId="0" fontId="6" fillId="0" borderId="0" xfId="2" applyFont="1" applyBorder="1" applyProtection="1">
      <protection hidden="1"/>
    </xf>
    <xf numFmtId="0" fontId="46" fillId="0" borderId="0" xfId="2" applyFont="1" applyBorder="1" applyAlignment="1" applyProtection="1">
      <alignment horizontal="left" indent="2"/>
      <protection hidden="1"/>
    </xf>
    <xf numFmtId="0" fontId="46" fillId="0" borderId="33" xfId="2" applyFont="1" applyBorder="1" applyProtection="1">
      <protection hidden="1"/>
    </xf>
    <xf numFmtId="4" fontId="46" fillId="0" borderId="31" xfId="2" applyNumberFormat="1" applyFont="1" applyBorder="1" applyAlignment="1" applyProtection="1">
      <alignment horizontal="right" shrinkToFit="1"/>
      <protection hidden="1"/>
    </xf>
    <xf numFmtId="4" fontId="46" fillId="0" borderId="31" xfId="2" applyNumberFormat="1" applyFont="1" applyBorder="1" applyAlignment="1" applyProtection="1">
      <alignment shrinkToFit="1"/>
      <protection hidden="1"/>
    </xf>
    <xf numFmtId="4" fontId="46" fillId="0" borderId="30" xfId="2" applyNumberFormat="1" applyFont="1" applyBorder="1" applyAlignment="1" applyProtection="1">
      <alignment shrinkToFit="1"/>
      <protection hidden="1"/>
    </xf>
    <xf numFmtId="0" fontId="46" fillId="0" borderId="29" xfId="2" applyFont="1" applyBorder="1" applyProtection="1">
      <protection hidden="1"/>
    </xf>
    <xf numFmtId="4" fontId="46" fillId="0" borderId="27" xfId="2" applyNumberFormat="1" applyFont="1" applyBorder="1" applyAlignment="1" applyProtection="1">
      <alignment horizontal="right" shrinkToFit="1"/>
      <protection hidden="1"/>
    </xf>
    <xf numFmtId="4" fontId="46" fillId="0" borderId="27" xfId="2" applyNumberFormat="1" applyFont="1" applyBorder="1" applyAlignment="1" applyProtection="1">
      <alignment shrinkToFit="1"/>
      <protection hidden="1"/>
    </xf>
    <xf numFmtId="4" fontId="46" fillId="0" borderId="26" xfId="2" applyNumberFormat="1" applyFont="1" applyBorder="1" applyAlignment="1" applyProtection="1">
      <alignment shrinkToFit="1"/>
      <protection hidden="1"/>
    </xf>
    <xf numFmtId="0" fontId="1" fillId="0" borderId="0" xfId="2" applyFont="1"/>
    <xf numFmtId="0" fontId="46" fillId="0" borderId="0" xfId="2" applyFont="1" applyBorder="1" applyAlignment="1" applyProtection="1">
      <protection locked="0"/>
    </xf>
    <xf numFmtId="0" fontId="1" fillId="0" borderId="0" xfId="2" applyFont="1" applyBorder="1" applyProtection="1">
      <protection locked="0"/>
    </xf>
    <xf numFmtId="0" fontId="6" fillId="0" borderId="0" xfId="2" applyFont="1" applyBorder="1" applyProtection="1">
      <protection locked="0"/>
    </xf>
    <xf numFmtId="4" fontId="46" fillId="0" borderId="0" xfId="2" applyNumberFormat="1" applyFont="1" applyBorder="1" applyProtection="1">
      <protection locked="0"/>
    </xf>
    <xf numFmtId="0" fontId="46" fillId="0" borderId="0" xfId="2" applyFont="1" applyBorder="1" applyAlignment="1" applyProtection="1">
      <alignment horizontal="center"/>
      <protection locked="0"/>
    </xf>
    <xf numFmtId="10" fontId="46" fillId="0" borderId="0" xfId="2" applyNumberFormat="1" applyFont="1" applyBorder="1" applyAlignment="1" applyProtection="1">
      <alignment horizontal="right" indent="3"/>
      <protection locked="0"/>
    </xf>
    <xf numFmtId="4" fontId="46" fillId="0" borderId="0" xfId="2" applyNumberFormat="1" applyFont="1" applyBorder="1" applyAlignment="1" applyProtection="1">
      <alignment shrinkToFit="1"/>
      <protection hidden="1"/>
    </xf>
    <xf numFmtId="0" fontId="46" fillId="3" borderId="0" xfId="2" applyFont="1" applyFill="1" applyBorder="1" applyProtection="1">
      <protection hidden="1"/>
    </xf>
    <xf numFmtId="0" fontId="46" fillId="0" borderId="0" xfId="2" applyFont="1" applyFill="1" applyBorder="1" applyProtection="1">
      <protection hidden="1"/>
    </xf>
    <xf numFmtId="4" fontId="1" fillId="0" borderId="59" xfId="1" applyNumberFormat="1" applyFont="1" applyFill="1" applyBorder="1" applyAlignment="1">
      <alignment shrinkToFit="1"/>
    </xf>
    <xf numFmtId="4" fontId="48" fillId="0" borderId="0" xfId="1" applyNumberFormat="1" applyFont="1" applyFill="1" applyBorder="1" applyAlignment="1" applyProtection="1">
      <alignment shrinkToFit="1"/>
      <protection hidden="1"/>
    </xf>
    <xf numFmtId="4" fontId="49" fillId="0" borderId="0" xfId="1" applyNumberFormat="1" applyFont="1" applyFill="1" applyBorder="1" applyAlignment="1" applyProtection="1">
      <alignment shrinkToFit="1"/>
      <protection hidden="1"/>
    </xf>
    <xf numFmtId="4" fontId="50" fillId="0" borderId="0" xfId="1" applyNumberFormat="1" applyFont="1" applyFill="1" applyBorder="1" applyAlignment="1" applyProtection="1">
      <alignment shrinkToFit="1"/>
      <protection hidden="1"/>
    </xf>
    <xf numFmtId="4" fontId="51" fillId="0" borderId="0" xfId="1" applyNumberFormat="1" applyFont="1" applyFill="1" applyBorder="1" applyAlignment="1" applyProtection="1">
      <alignment shrinkToFit="1"/>
      <protection hidden="1"/>
    </xf>
    <xf numFmtId="4" fontId="52" fillId="0" borderId="81" xfId="1" applyNumberFormat="1" applyFont="1" applyFill="1" applyBorder="1" applyAlignment="1" applyProtection="1">
      <alignment shrinkToFit="1"/>
      <protection hidden="1"/>
    </xf>
    <xf numFmtId="4" fontId="52" fillId="0" borderId="82" xfId="1" applyNumberFormat="1" applyFont="1" applyFill="1" applyBorder="1" applyAlignment="1" applyProtection="1">
      <alignment shrinkToFit="1"/>
      <protection hidden="1"/>
    </xf>
    <xf numFmtId="4" fontId="52" fillId="0" borderId="84" xfId="1" applyNumberFormat="1" applyFont="1" applyFill="1" applyBorder="1" applyAlignment="1" applyProtection="1">
      <alignment shrinkToFit="1"/>
      <protection hidden="1"/>
    </xf>
    <xf numFmtId="4" fontId="52" fillId="0" borderId="7" xfId="1" applyNumberFormat="1" applyFont="1" applyFill="1" applyBorder="1" applyAlignment="1" applyProtection="1">
      <alignment shrinkToFit="1"/>
      <protection hidden="1"/>
    </xf>
    <xf numFmtId="0" fontId="53" fillId="0" borderId="0" xfId="1" applyFont="1"/>
    <xf numFmtId="164" fontId="5" fillId="0" borderId="0" xfId="1" applyNumberFormat="1" applyFont="1" applyAlignment="1">
      <alignment shrinkToFit="1"/>
    </xf>
    <xf numFmtId="164" fontId="9" fillId="0" borderId="0" xfId="1" applyNumberFormat="1" applyFont="1" applyAlignment="1">
      <alignment shrinkToFit="1"/>
    </xf>
    <xf numFmtId="4" fontId="52" fillId="0" borderId="0" xfId="1" applyNumberFormat="1" applyFont="1" applyFill="1" applyBorder="1" applyAlignment="1" applyProtection="1">
      <alignment shrinkToFit="1"/>
      <protection hidden="1"/>
    </xf>
    <xf numFmtId="4" fontId="1" fillId="0" borderId="0" xfId="1" applyNumberFormat="1" applyFont="1" applyBorder="1" applyProtection="1">
      <protection hidden="1"/>
    </xf>
    <xf numFmtId="0" fontId="1" fillId="0" borderId="0" xfId="1" applyFont="1" applyBorder="1" applyAlignment="1" applyProtection="1">
      <alignment vertical="top"/>
      <protection locked="0"/>
    </xf>
    <xf numFmtId="0" fontId="1" fillId="0" borderId="0" xfId="1" applyFont="1" applyFill="1" applyBorder="1" applyAlignment="1" applyProtection="1">
      <alignment horizontal="left" indent="2"/>
      <protection locked="0"/>
    </xf>
    <xf numFmtId="4" fontId="52" fillId="0" borderId="85" xfId="1" applyNumberFormat="1" applyFont="1" applyFill="1" applyBorder="1" applyAlignment="1" applyProtection="1">
      <alignment shrinkToFit="1"/>
      <protection hidden="1"/>
    </xf>
    <xf numFmtId="4" fontId="50" fillId="0" borderId="2" xfId="1" applyNumberFormat="1" applyFont="1" applyFill="1" applyBorder="1" applyAlignment="1" applyProtection="1">
      <alignment shrinkToFit="1"/>
      <protection hidden="1"/>
    </xf>
    <xf numFmtId="4" fontId="2" fillId="0" borderId="0" xfId="1" applyNumberFormat="1" applyFont="1" applyFill="1" applyBorder="1" applyAlignment="1" applyProtection="1">
      <alignment horizontal="right" shrinkToFit="1"/>
      <protection hidden="1"/>
    </xf>
    <xf numFmtId="0" fontId="27" fillId="0" borderId="0" xfId="1" applyFont="1" applyAlignment="1" applyProtection="1">
      <protection hidden="1"/>
    </xf>
    <xf numFmtId="0" fontId="1" fillId="0" borderId="0" xfId="1" applyFont="1" applyFill="1" applyAlignment="1" applyProtection="1">
      <alignment horizontal="right"/>
      <protection hidden="1"/>
    </xf>
    <xf numFmtId="0" fontId="1" fillId="0" borderId="0" xfId="1" applyFont="1" applyAlignment="1" applyProtection="1">
      <alignment horizontal="right"/>
      <protection hidden="1"/>
    </xf>
    <xf numFmtId="0" fontId="1" fillId="0" borderId="0" xfId="1" applyFont="1" applyAlignment="1" applyProtection="1">
      <alignment horizontal="left"/>
      <protection hidden="1"/>
    </xf>
    <xf numFmtId="4" fontId="20" fillId="0" borderId="0" xfId="1" applyNumberFormat="1" applyFont="1" applyFill="1" applyBorder="1" applyAlignment="1" applyProtection="1">
      <alignment shrinkToFit="1"/>
      <protection hidden="1"/>
    </xf>
    <xf numFmtId="4" fontId="19" fillId="0" borderId="0" xfId="1" applyNumberFormat="1" applyFont="1" applyBorder="1" applyAlignment="1" applyProtection="1">
      <alignment shrinkToFit="1"/>
      <protection hidden="1"/>
    </xf>
    <xf numFmtId="0" fontId="1" fillId="0" borderId="0" xfId="1" applyFont="1" applyAlignment="1">
      <alignment shrinkToFit="1"/>
    </xf>
    <xf numFmtId="164" fontId="1" fillId="0" borderId="0" xfId="1" applyNumberFormat="1" applyFont="1"/>
    <xf numFmtId="4" fontId="1" fillId="0" borderId="12" xfId="1" applyNumberFormat="1" applyFont="1" applyBorder="1" applyAlignment="1" applyProtection="1">
      <alignment shrinkToFit="1"/>
      <protection hidden="1"/>
    </xf>
    <xf numFmtId="4" fontId="1" fillId="0" borderId="8" xfId="1" applyNumberFormat="1" applyFont="1" applyBorder="1" applyAlignment="1" applyProtection="1">
      <alignment shrinkToFit="1"/>
      <protection hidden="1"/>
    </xf>
    <xf numFmtId="4" fontId="7" fillId="0" borderId="3" xfId="1" applyNumberFormat="1" applyFont="1" applyBorder="1" applyAlignment="1" applyProtection="1">
      <alignment shrinkToFit="1"/>
      <protection hidden="1"/>
    </xf>
    <xf numFmtId="4" fontId="1" fillId="0" borderId="8" xfId="1" applyNumberFormat="1" applyFont="1" applyFill="1" applyBorder="1" applyAlignment="1" applyProtection="1">
      <alignment shrinkToFit="1"/>
      <protection hidden="1"/>
    </xf>
    <xf numFmtId="4" fontId="1" fillId="0" borderId="7" xfId="1" applyNumberFormat="1" applyFont="1" applyFill="1" applyBorder="1" applyAlignment="1" applyProtection="1">
      <alignment horizontal="right" shrinkToFit="1"/>
      <protection hidden="1"/>
    </xf>
    <xf numFmtId="0" fontId="56" fillId="0" borderId="0" xfId="2" applyFont="1" applyProtection="1">
      <protection hidden="1"/>
    </xf>
    <xf numFmtId="0" fontId="1" fillId="0" borderId="0" xfId="2" applyFont="1" applyAlignment="1" applyProtection="1">
      <alignment horizontal="left" shrinkToFit="1"/>
      <protection hidden="1"/>
    </xf>
    <xf numFmtId="0" fontId="56" fillId="0" borderId="0" xfId="2" applyFont="1" applyAlignment="1" applyProtection="1">
      <alignment horizontal="left" shrinkToFit="1"/>
      <protection hidden="1"/>
    </xf>
    <xf numFmtId="0" fontId="56" fillId="3" borderId="0" xfId="2" applyFont="1" applyFill="1" applyProtection="1">
      <protection hidden="1"/>
    </xf>
    <xf numFmtId="0" fontId="56" fillId="3" borderId="0" xfId="2" applyFont="1" applyFill="1" applyBorder="1" applyAlignment="1" applyProtection="1">
      <alignment horizontal="center"/>
      <protection hidden="1"/>
    </xf>
    <xf numFmtId="0" fontId="56" fillId="3" borderId="0" xfId="2" applyFont="1" applyFill="1" applyBorder="1" applyProtection="1">
      <protection hidden="1"/>
    </xf>
    <xf numFmtId="0" fontId="56" fillId="3" borderId="0" xfId="2" applyFont="1" applyFill="1" applyBorder="1" applyAlignment="1" applyProtection="1">
      <alignment horizontal="center" shrinkToFit="1"/>
      <protection hidden="1"/>
    </xf>
    <xf numFmtId="0" fontId="56" fillId="0" borderId="0" xfId="2" applyFont="1" applyFill="1" applyAlignment="1" applyProtection="1">
      <alignment horizontal="right"/>
      <protection hidden="1"/>
    </xf>
    <xf numFmtId="0" fontId="56" fillId="0" borderId="0" xfId="2" applyFont="1" applyAlignment="1" applyProtection="1">
      <alignment horizontal="right"/>
      <protection hidden="1"/>
    </xf>
    <xf numFmtId="0" fontId="56" fillId="3" borderId="0" xfId="2" applyFont="1" applyFill="1" applyAlignment="1" applyProtection="1">
      <alignment shrinkToFit="1"/>
      <protection hidden="1"/>
    </xf>
    <xf numFmtId="4" fontId="20" fillId="0" borderId="0" xfId="2" applyNumberFormat="1" applyFont="1" applyFill="1" applyBorder="1" applyAlignment="1" applyProtection="1">
      <alignment shrinkToFit="1"/>
      <protection hidden="1"/>
    </xf>
    <xf numFmtId="0" fontId="56" fillId="0" borderId="0" xfId="2" applyFont="1" applyBorder="1" applyProtection="1">
      <protection hidden="1"/>
    </xf>
    <xf numFmtId="0" fontId="56" fillId="0" borderId="0" xfId="2" applyFont="1" applyBorder="1" applyAlignment="1" applyProtection="1">
      <alignment horizontal="center"/>
      <protection hidden="1"/>
    </xf>
    <xf numFmtId="4" fontId="2" fillId="3" borderId="0" xfId="2" applyNumberFormat="1" applyFont="1" applyFill="1" applyBorder="1" applyAlignment="1" applyProtection="1">
      <alignment shrinkToFit="1"/>
      <protection hidden="1"/>
    </xf>
    <xf numFmtId="4" fontId="2" fillId="0" borderId="0" xfId="2" applyNumberFormat="1" applyFont="1" applyFill="1" applyBorder="1" applyAlignment="1" applyProtection="1">
      <alignment shrinkToFit="1"/>
      <protection hidden="1"/>
    </xf>
    <xf numFmtId="0" fontId="56" fillId="0" borderId="0" xfId="2" applyFont="1" applyBorder="1" applyAlignment="1" applyProtection="1">
      <alignment shrinkToFit="1"/>
      <protection hidden="1"/>
    </xf>
    <xf numFmtId="0" fontId="56" fillId="0" borderId="0" xfId="2" applyFont="1" applyBorder="1" applyAlignment="1" applyProtection="1">
      <alignment horizontal="right" indent="3"/>
      <protection hidden="1"/>
    </xf>
    <xf numFmtId="10" fontId="56" fillId="0" borderId="0" xfId="2" applyNumberFormat="1" applyFont="1" applyBorder="1" applyAlignment="1" applyProtection="1">
      <alignment horizontal="right" indent="3"/>
      <protection hidden="1"/>
    </xf>
    <xf numFmtId="0" fontId="56" fillId="0" borderId="0" xfId="2" applyFont="1" applyBorder="1" applyAlignment="1" applyProtection="1">
      <alignment horizontal="left" indent="2"/>
      <protection locked="0"/>
    </xf>
    <xf numFmtId="4" fontId="56" fillId="0" borderId="0" xfId="2" applyNumberFormat="1" applyFont="1" applyBorder="1" applyProtection="1">
      <protection locked="0"/>
    </xf>
    <xf numFmtId="0" fontId="56" fillId="0" borderId="0" xfId="2" applyFont="1" applyBorder="1" applyAlignment="1" applyProtection="1">
      <alignment horizontal="center"/>
      <protection locked="0"/>
    </xf>
    <xf numFmtId="10" fontId="56" fillId="0" borderId="0" xfId="2" applyNumberFormat="1" applyFont="1" applyBorder="1" applyAlignment="1" applyProtection="1">
      <alignment horizontal="right" indent="3"/>
      <protection locked="0"/>
    </xf>
    <xf numFmtId="0" fontId="56" fillId="0" borderId="40" xfId="2" applyFont="1" applyBorder="1" applyProtection="1">
      <protection hidden="1"/>
    </xf>
    <xf numFmtId="0" fontId="56" fillId="0" borderId="31" xfId="2" applyFont="1" applyBorder="1" applyAlignment="1" applyProtection="1">
      <alignment horizontal="center"/>
      <protection hidden="1"/>
    </xf>
    <xf numFmtId="0" fontId="56" fillId="0" borderId="31" xfId="2" applyFont="1" applyBorder="1" applyProtection="1">
      <protection hidden="1"/>
    </xf>
    <xf numFmtId="0" fontId="56" fillId="0" borderId="30" xfId="2" applyFont="1" applyBorder="1" applyProtection="1">
      <protection hidden="1"/>
    </xf>
    <xf numFmtId="0" fontId="56" fillId="0" borderId="39" xfId="2" applyFont="1" applyBorder="1" applyProtection="1">
      <protection hidden="1"/>
    </xf>
    <xf numFmtId="0" fontId="56" fillId="0" borderId="38" xfId="2" applyFont="1" applyBorder="1" applyProtection="1">
      <protection hidden="1"/>
    </xf>
    <xf numFmtId="14" fontId="56" fillId="0" borderId="38" xfId="2" applyNumberFormat="1" applyFont="1" applyBorder="1" applyProtection="1">
      <protection hidden="1"/>
    </xf>
    <xf numFmtId="14" fontId="56" fillId="0" borderId="37" xfId="2" applyNumberFormat="1" applyFont="1" applyBorder="1" applyProtection="1">
      <protection hidden="1"/>
    </xf>
    <xf numFmtId="0" fontId="56" fillId="0" borderId="38" xfId="2" applyFont="1" applyBorder="1" applyAlignment="1" applyProtection="1">
      <alignment horizontal="center"/>
      <protection hidden="1"/>
    </xf>
    <xf numFmtId="0" fontId="56" fillId="0" borderId="37" xfId="2" applyFont="1" applyBorder="1" applyProtection="1">
      <protection hidden="1"/>
    </xf>
    <xf numFmtId="0" fontId="56" fillId="0" borderId="25" xfId="2" applyFont="1" applyBorder="1" applyProtection="1">
      <protection hidden="1"/>
    </xf>
    <xf numFmtId="0" fontId="56" fillId="0" borderId="24" xfId="2" applyFont="1" applyBorder="1" applyProtection="1">
      <protection hidden="1"/>
    </xf>
    <xf numFmtId="0" fontId="56" fillId="0" borderId="36" xfId="2" applyFont="1" applyBorder="1" applyProtection="1">
      <protection hidden="1"/>
    </xf>
    <xf numFmtId="0" fontId="56" fillId="0" borderId="35" xfId="2" applyFont="1" applyBorder="1" applyProtection="1">
      <protection hidden="1"/>
    </xf>
    <xf numFmtId="0" fontId="56" fillId="0" borderId="34" xfId="2" applyFont="1" applyBorder="1" applyProtection="1">
      <protection hidden="1"/>
    </xf>
    <xf numFmtId="0" fontId="56" fillId="0" borderId="33" xfId="2" applyFont="1" applyBorder="1" applyProtection="1">
      <protection hidden="1"/>
    </xf>
    <xf numFmtId="4" fontId="46" fillId="0" borderId="32" xfId="2" applyNumberFormat="1" applyFont="1" applyBorder="1" applyAlignment="1" applyProtection="1">
      <alignment shrinkToFit="1"/>
      <protection hidden="1"/>
    </xf>
    <xf numFmtId="0" fontId="56" fillId="0" borderId="28" xfId="2" applyFont="1" applyBorder="1" applyProtection="1">
      <protection hidden="1"/>
    </xf>
    <xf numFmtId="0" fontId="56" fillId="0" borderId="29" xfId="2" applyFont="1" applyBorder="1" applyProtection="1">
      <protection hidden="1"/>
    </xf>
    <xf numFmtId="4" fontId="46" fillId="0" borderId="28" xfId="2" applyNumberFormat="1" applyFont="1" applyBorder="1" applyAlignment="1" applyProtection="1">
      <alignment shrinkToFit="1"/>
      <protection hidden="1"/>
    </xf>
    <xf numFmtId="4" fontId="7" fillId="0" borderId="23" xfId="2" applyNumberFormat="1" applyFont="1" applyBorder="1" applyAlignment="1" applyProtection="1">
      <alignment shrinkToFit="1"/>
      <protection hidden="1"/>
    </xf>
    <xf numFmtId="0" fontId="56" fillId="0" borderId="0" xfId="2" applyFont="1" applyProtection="1">
      <protection locked="0"/>
    </xf>
    <xf numFmtId="0" fontId="1" fillId="0" borderId="0" xfId="1" applyFont="1" applyFill="1"/>
    <xf numFmtId="4" fontId="1" fillId="0" borderId="0" xfId="1" applyNumberFormat="1" applyFont="1" applyAlignment="1">
      <alignment shrinkToFit="1"/>
    </xf>
    <xf numFmtId="0" fontId="2" fillId="0" borderId="0" xfId="1" applyFont="1" applyAlignment="1">
      <alignment horizontal="left"/>
    </xf>
    <xf numFmtId="0" fontId="2" fillId="0" borderId="0" xfId="0" applyFont="1" applyFill="1" applyAlignment="1">
      <alignment horizontal="left" wrapText="1"/>
    </xf>
    <xf numFmtId="0" fontId="0" fillId="0" borderId="0" xfId="0" applyAlignment="1">
      <alignment wrapText="1"/>
    </xf>
    <xf numFmtId="0" fontId="23" fillId="0" borderId="0" xfId="0" applyFont="1" applyFill="1" applyBorder="1" applyProtection="1"/>
    <xf numFmtId="0" fontId="8" fillId="0" borderId="0" xfId="0" applyFont="1" applyFill="1" applyBorder="1" applyProtection="1"/>
    <xf numFmtId="0" fontId="9" fillId="0" borderId="0" xfId="0" applyFont="1" applyFill="1" applyBorder="1" applyProtection="1"/>
    <xf numFmtId="0" fontId="2" fillId="0" borderId="0" xfId="0" applyFont="1" applyFill="1" applyAlignment="1">
      <alignment horizontal="left" wrapText="1"/>
    </xf>
    <xf numFmtId="0" fontId="0" fillId="0" borderId="0" xfId="0" applyAlignment="1">
      <alignment wrapText="1"/>
    </xf>
    <xf numFmtId="0" fontId="43" fillId="0" borderId="0" xfId="1" applyFont="1" applyAlignment="1">
      <alignment horizontal="justify" vertical="justify"/>
    </xf>
    <xf numFmtId="0" fontId="1" fillId="0" borderId="0" xfId="1" applyAlignment="1"/>
    <xf numFmtId="0" fontId="9" fillId="0" borderId="72" xfId="1" applyFont="1" applyFill="1" applyBorder="1" applyAlignment="1">
      <alignment vertical="justify"/>
    </xf>
    <xf numFmtId="0" fontId="9" fillId="0" borderId="58" xfId="1" applyFont="1" applyFill="1" applyBorder="1" applyAlignment="1">
      <alignment vertical="justify"/>
    </xf>
    <xf numFmtId="0" fontId="9" fillId="0" borderId="0" xfId="1" applyFont="1" applyAlignment="1">
      <alignment horizontal="right"/>
    </xf>
    <xf numFmtId="0" fontId="6" fillId="0" borderId="80" xfId="1" applyFont="1" applyFill="1" applyBorder="1" applyAlignment="1">
      <alignment horizontal="center" vertical="center" wrapText="1"/>
    </xf>
    <xf numFmtId="0" fontId="1" fillId="0" borderId="77" xfId="1" applyFill="1" applyBorder="1" applyAlignment="1">
      <alignment horizontal="center" vertical="center" wrapText="1"/>
    </xf>
    <xf numFmtId="0" fontId="24" fillId="0" borderId="12" xfId="1" applyFont="1" applyFill="1" applyBorder="1" applyAlignment="1">
      <alignment horizontal="center"/>
    </xf>
    <xf numFmtId="0" fontId="24" fillId="0" borderId="20" xfId="1" applyFont="1" applyFill="1" applyBorder="1" applyAlignment="1">
      <alignment horizontal="center"/>
    </xf>
    <xf numFmtId="0" fontId="1" fillId="0" borderId="10" xfId="1" applyFill="1" applyBorder="1" applyAlignment="1">
      <alignment horizontal="center"/>
    </xf>
    <xf numFmtId="0" fontId="6" fillId="0" borderId="14" xfId="1" applyFont="1" applyFill="1" applyBorder="1" applyAlignment="1">
      <alignment horizontal="center" vertical="justify" shrinkToFit="1"/>
    </xf>
    <xf numFmtId="0" fontId="1" fillId="0" borderId="78" xfId="1" applyFont="1" applyFill="1" applyBorder="1" applyAlignment="1">
      <alignment horizontal="center" shrinkToFit="1"/>
    </xf>
    <xf numFmtId="0" fontId="1" fillId="0" borderId="12" xfId="1" applyFill="1" applyBorder="1" applyAlignment="1">
      <alignment horizontal="center" shrinkToFit="1"/>
    </xf>
    <xf numFmtId="0" fontId="1" fillId="0" borderId="20" xfId="1" applyFill="1" applyBorder="1" applyAlignment="1">
      <alignment horizontal="center" shrinkToFit="1"/>
    </xf>
    <xf numFmtId="0" fontId="9" fillId="0" borderId="60" xfId="1" applyFont="1" applyFill="1" applyBorder="1" applyAlignment="1">
      <alignment vertical="justify"/>
    </xf>
    <xf numFmtId="0" fontId="9" fillId="0" borderId="52" xfId="1" applyFont="1" applyFill="1" applyBorder="1" applyAlignment="1">
      <alignment vertical="justify"/>
    </xf>
    <xf numFmtId="0" fontId="9" fillId="0" borderId="66" xfId="1" applyFont="1" applyFill="1" applyBorder="1" applyAlignment="1">
      <alignment vertical="justify" shrinkToFit="1"/>
    </xf>
    <xf numFmtId="0" fontId="1" fillId="0" borderId="56" xfId="1" applyFont="1" applyFill="1" applyBorder="1" applyAlignment="1">
      <alignment vertical="justify" shrinkToFit="1"/>
    </xf>
    <xf numFmtId="0" fontId="28" fillId="0" borderId="60" xfId="1" applyFont="1" applyFill="1" applyBorder="1" applyAlignment="1">
      <alignment vertical="justify"/>
    </xf>
    <xf numFmtId="0" fontId="28" fillId="0" borderId="58" xfId="1" applyFont="1" applyFill="1" applyBorder="1" applyAlignment="1">
      <alignment vertical="justify"/>
    </xf>
    <xf numFmtId="0" fontId="1" fillId="0" borderId="18" xfId="1" applyFont="1" applyBorder="1" applyAlignment="1" applyProtection="1">
      <alignment vertical="justify"/>
      <protection hidden="1"/>
    </xf>
    <xf numFmtId="0" fontId="1" fillId="0" borderId="0" xfId="1" applyFont="1" applyAlignment="1" applyProtection="1">
      <alignment horizontal="left" shrinkToFit="1"/>
      <protection hidden="1"/>
    </xf>
    <xf numFmtId="0" fontId="11" fillId="2" borderId="0" xfId="1" applyFont="1" applyFill="1" applyBorder="1" applyAlignment="1" applyProtection="1">
      <alignment wrapText="1" shrinkToFit="1"/>
      <protection hidden="1"/>
    </xf>
    <xf numFmtId="0" fontId="1" fillId="0" borderId="0" xfId="1" applyFont="1" applyAlignment="1" applyProtection="1">
      <alignment wrapText="1" shrinkToFit="1"/>
      <protection hidden="1"/>
    </xf>
    <xf numFmtId="0" fontId="9" fillId="0" borderId="0" xfId="1" applyFont="1" applyAlignment="1" applyProtection="1">
      <alignment horizontal="left" shrinkToFit="1"/>
      <protection hidden="1"/>
    </xf>
    <xf numFmtId="0" fontId="9" fillId="0" borderId="0" xfId="1" applyFont="1" applyFill="1" applyAlignment="1" applyProtection="1">
      <alignment horizontal="center"/>
      <protection hidden="1"/>
    </xf>
    <xf numFmtId="0" fontId="9" fillId="0" borderId="0" xfId="1" applyFont="1" applyAlignment="1" applyProtection="1">
      <alignment horizontal="center"/>
      <protection hidden="1"/>
    </xf>
    <xf numFmtId="0" fontId="1" fillId="0" borderId="0" xfId="1" applyFont="1" applyFill="1" applyAlignment="1" applyProtection="1">
      <alignment horizontal="right"/>
      <protection hidden="1"/>
    </xf>
    <xf numFmtId="0" fontId="1" fillId="0" borderId="0" xfId="1" applyFont="1" applyAlignment="1" applyProtection="1">
      <alignment horizontal="right"/>
      <protection hidden="1"/>
    </xf>
    <xf numFmtId="0" fontId="1" fillId="0" borderId="0" xfId="1" applyFont="1" applyFill="1" applyBorder="1" applyAlignment="1" applyProtection="1">
      <alignment horizontal="justify" vertical="justify" wrapText="1"/>
      <protection locked="0"/>
    </xf>
    <xf numFmtId="0" fontId="55" fillId="0" borderId="0" xfId="0" applyFont="1" applyFill="1" applyAlignment="1">
      <alignment horizontal="justify" vertical="justify" wrapText="1"/>
    </xf>
    <xf numFmtId="0" fontId="27" fillId="0" borderId="0" xfId="1" applyFont="1" applyAlignment="1" applyProtection="1">
      <protection hidden="1"/>
    </xf>
    <xf numFmtId="0" fontId="27" fillId="0" borderId="0" xfId="1" applyFont="1" applyAlignment="1" applyProtection="1">
      <alignment horizontal="left" shrinkToFit="1"/>
      <protection hidden="1"/>
    </xf>
    <xf numFmtId="0" fontId="1" fillId="0" borderId="0" xfId="1" applyFont="1" applyAlignment="1" applyProtection="1">
      <alignment shrinkToFit="1"/>
      <protection hidden="1"/>
    </xf>
    <xf numFmtId="0" fontId="9" fillId="5" borderId="0" xfId="1" applyFont="1" applyFill="1" applyBorder="1" applyAlignment="1" applyProtection="1">
      <alignment horizontal="justify" vertical="justify" wrapText="1"/>
      <protection locked="0"/>
    </xf>
    <xf numFmtId="0" fontId="58" fillId="5" borderId="0" xfId="0" applyFont="1" applyFill="1" applyAlignment="1">
      <alignment horizontal="justify" vertical="justify" wrapText="1"/>
    </xf>
    <xf numFmtId="0" fontId="1" fillId="0" borderId="0" xfId="1" applyFont="1" applyFill="1" applyBorder="1" applyAlignment="1" applyProtection="1">
      <alignment vertical="justify" wrapText="1"/>
      <protection locked="0"/>
    </xf>
    <xf numFmtId="0" fontId="55" fillId="0" borderId="0" xfId="0" applyFont="1" applyFill="1" applyAlignment="1">
      <alignment vertical="justify" wrapText="1"/>
    </xf>
    <xf numFmtId="0" fontId="5" fillId="0" borderId="0" xfId="0" applyFont="1" applyFill="1" applyBorder="1" applyAlignment="1" applyProtection="1">
      <alignment horizontal="justify" vertical="top" wrapText="1"/>
      <protection locked="0"/>
    </xf>
    <xf numFmtId="0" fontId="1" fillId="0" borderId="0" xfId="0" applyFont="1" applyFill="1" applyAlignment="1">
      <alignment horizontal="justify" vertical="top" wrapText="1"/>
    </xf>
    <xf numFmtId="0" fontId="5" fillId="0" borderId="0" xfId="0" applyFont="1" applyFill="1" applyBorder="1" applyAlignment="1" applyProtection="1">
      <alignment horizontal="justify" vertical="justify" wrapText="1"/>
      <protection locked="0"/>
    </xf>
    <xf numFmtId="0" fontId="1" fillId="0" borderId="0" xfId="0" applyFont="1" applyFill="1" applyAlignment="1">
      <alignment horizontal="justify" vertical="justify" wrapText="1"/>
    </xf>
    <xf numFmtId="0" fontId="5" fillId="0" borderId="0" xfId="1" applyFont="1" applyBorder="1" applyAlignment="1" applyProtection="1">
      <alignment horizontal="justify" vertical="justify" wrapText="1"/>
      <protection locked="0"/>
    </xf>
    <xf numFmtId="0" fontId="57" fillId="0" borderId="0" xfId="0" applyFont="1" applyAlignment="1">
      <alignment horizontal="justify" vertical="justify" wrapText="1"/>
    </xf>
    <xf numFmtId="0" fontId="1" fillId="0" borderId="0" xfId="1" applyFont="1" applyBorder="1" applyAlignment="1" applyProtection="1">
      <alignment horizontal="justify" vertical="justify" wrapText="1"/>
      <protection locked="0"/>
    </xf>
    <xf numFmtId="0" fontId="56" fillId="0" borderId="0" xfId="0" applyFont="1" applyAlignment="1">
      <alignment horizontal="justify" vertical="justify" wrapText="1"/>
    </xf>
    <xf numFmtId="0" fontId="5" fillId="0" borderId="0" xfId="1" applyFont="1" applyBorder="1" applyAlignment="1" applyProtection="1">
      <alignment wrapText="1"/>
      <protection locked="0"/>
    </xf>
    <xf numFmtId="0" fontId="56" fillId="0" borderId="0" xfId="0" applyFont="1" applyAlignment="1">
      <alignment wrapText="1"/>
    </xf>
    <xf numFmtId="0" fontId="56" fillId="0" borderId="0" xfId="2" applyFont="1" applyFill="1" applyBorder="1" applyAlignment="1" applyProtection="1">
      <alignment horizontal="right"/>
      <protection hidden="1"/>
    </xf>
    <xf numFmtId="0" fontId="56" fillId="0" borderId="38" xfId="2" applyFont="1" applyBorder="1" applyAlignment="1" applyProtection="1">
      <alignment vertical="top" wrapText="1"/>
      <protection hidden="1"/>
    </xf>
    <xf numFmtId="0" fontId="9" fillId="0" borderId="0" xfId="2" applyFont="1" applyBorder="1" applyAlignment="1" applyProtection="1">
      <alignment horizontal="left" shrinkToFit="1"/>
      <protection hidden="1"/>
    </xf>
    <xf numFmtId="0" fontId="1" fillId="0" borderId="0" xfId="2" applyFont="1" applyBorder="1" applyAlignment="1" applyProtection="1">
      <alignment horizontal="left" shrinkToFit="1"/>
      <protection hidden="1"/>
    </xf>
    <xf numFmtId="0" fontId="9" fillId="0" borderId="0" xfId="2" applyFont="1" applyFill="1" applyBorder="1" applyAlignment="1" applyProtection="1">
      <alignment horizontal="center"/>
      <protection hidden="1"/>
    </xf>
    <xf numFmtId="0" fontId="27" fillId="0" borderId="0" xfId="2" applyFont="1" applyBorder="1" applyAlignment="1" applyProtection="1">
      <protection hidden="1"/>
    </xf>
    <xf numFmtId="0" fontId="27" fillId="0" borderId="0" xfId="2" applyFont="1" applyBorder="1" applyAlignment="1" applyProtection="1">
      <alignment horizontal="left" shrinkToFit="1"/>
      <protection hidden="1"/>
    </xf>
    <xf numFmtId="0" fontId="1" fillId="0" borderId="0" xfId="2" applyFont="1" applyBorder="1" applyAlignment="1" applyProtection="1">
      <alignment shrinkToFit="1"/>
      <protection hidden="1"/>
    </xf>
    <xf numFmtId="0" fontId="11" fillId="3" borderId="0" xfId="2" applyFont="1" applyFill="1" applyBorder="1" applyAlignment="1" applyProtection="1">
      <alignment wrapText="1" shrinkToFit="1"/>
      <protection hidden="1"/>
    </xf>
    <xf numFmtId="0" fontId="5" fillId="2" borderId="0" xfId="1" applyFont="1" applyFill="1" applyBorder="1" applyAlignment="1" applyProtection="1">
      <alignment vertical="top" wrapText="1" shrinkToFit="1"/>
      <protection hidden="1"/>
    </xf>
    <xf numFmtId="0" fontId="5" fillId="0" borderId="0" xfId="1" applyFont="1" applyAlignment="1" applyProtection="1">
      <alignment vertical="top" wrapText="1" shrinkToFit="1"/>
      <protection hidden="1"/>
    </xf>
    <xf numFmtId="0" fontId="5" fillId="0" borderId="0" xfId="1" applyFont="1" applyFill="1" applyBorder="1" applyAlignment="1" applyProtection="1">
      <alignment horizontal="justify" vertical="justify" wrapText="1"/>
      <protection locked="0"/>
    </xf>
    <xf numFmtId="0" fontId="54" fillId="0" borderId="0" xfId="0" applyFont="1" applyFill="1" applyAlignment="1">
      <alignment horizontal="justify" vertical="justify" wrapText="1"/>
    </xf>
    <xf numFmtId="0" fontId="5" fillId="2" borderId="0" xfId="1" applyFont="1" applyFill="1" applyBorder="1" applyAlignment="1" applyProtection="1">
      <alignment horizontal="left" wrapText="1" shrinkToFit="1"/>
      <protection hidden="1"/>
    </xf>
    <xf numFmtId="0" fontId="5" fillId="0" borderId="0" xfId="1" applyFont="1" applyAlignment="1" applyProtection="1">
      <alignment horizontal="left" wrapText="1" shrinkToFit="1"/>
      <protection hidden="1"/>
    </xf>
    <xf numFmtId="0" fontId="1" fillId="0" borderId="0" xfId="1" applyAlignment="1" applyProtection="1">
      <alignment horizontal="left" shrinkToFit="1"/>
      <protection hidden="1"/>
    </xf>
    <xf numFmtId="0" fontId="1" fillId="0" borderId="0" xfId="1" applyAlignment="1" applyProtection="1">
      <alignment shrinkToFit="1"/>
      <protection hidden="1"/>
    </xf>
  </cellXfs>
  <cellStyles count="3">
    <cellStyle name="Excel Built-in Normal" xfId="2"/>
    <cellStyle name="Normální" xfId="0" builtinId="0"/>
    <cellStyle name="Normální 2" xfId="1"/>
  </cellStyles>
  <dxfs count="473">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dxf>
    <dxf>
      <font>
        <color theme="3" tint="0.39994506668294322"/>
      </font>
    </dxf>
    <dxf>
      <font>
        <color theme="3" tint="0.39994506668294322"/>
      </font>
    </dxf>
    <dxf>
      <font>
        <color rgb="FFFF000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ndense val="0"/>
        <extend val="0"/>
        <color indexed="10"/>
      </font>
    </dxf>
    <dxf>
      <font>
        <condense val="0"/>
        <extend val="0"/>
        <color indexed="12"/>
      </font>
    </dxf>
    <dxf>
      <font>
        <condense val="0"/>
        <extend val="0"/>
        <color indexed="10"/>
      </font>
    </dxf>
    <dxf>
      <font>
        <condense val="0"/>
        <extend val="0"/>
        <color indexed="10"/>
      </font>
      <fill>
        <patternFill>
          <bgColor indexed="9"/>
        </patternFill>
      </fill>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fill>
        <patternFill>
          <bgColor indexed="26"/>
        </patternFill>
      </fill>
    </dxf>
    <dxf>
      <font>
        <color rgb="FFFF0000"/>
      </font>
      <fill>
        <patternFill>
          <bgColor rgb="FFFFFF00"/>
        </patternFill>
      </fill>
    </dxf>
    <dxf>
      <font>
        <b val="0"/>
        <condense val="0"/>
        <extend val="0"/>
        <color indexed="10"/>
      </font>
      <fill>
        <patternFill patternType="solid">
          <fgColor indexed="47"/>
          <bgColor indexed="26"/>
        </patternFill>
      </fill>
    </dxf>
    <dxf>
      <font>
        <b val="0"/>
        <condense val="0"/>
        <extend val="0"/>
        <color indexed="10"/>
      </font>
      <fill>
        <patternFill patternType="solid">
          <fgColor indexed="34"/>
          <bgColor indexed="13"/>
        </patternFill>
      </fill>
    </dxf>
    <dxf>
      <font>
        <b val="0"/>
        <condense val="0"/>
        <extend val="0"/>
        <color indexed="10"/>
      </font>
      <fill>
        <patternFill patternType="solid">
          <fgColor indexed="34"/>
          <bgColor indexed="13"/>
        </patternFill>
      </fill>
    </dxf>
    <dxf>
      <font>
        <b val="0"/>
        <condense val="0"/>
        <extend val="0"/>
        <color indexed="10"/>
      </font>
      <fill>
        <patternFill patternType="solid">
          <fgColor indexed="47"/>
          <bgColor indexed="26"/>
        </patternFill>
      </fill>
    </dxf>
    <dxf>
      <font>
        <b val="0"/>
        <condense val="0"/>
        <extend val="0"/>
        <color indexed="10"/>
      </font>
      <fill>
        <patternFill patternType="solid">
          <fgColor indexed="47"/>
          <bgColor indexed="26"/>
        </patternFill>
      </fill>
    </dxf>
    <dxf>
      <font>
        <b val="0"/>
        <condense val="0"/>
        <extend val="0"/>
        <color indexed="10"/>
      </font>
      <fill>
        <patternFill patternType="solid">
          <fgColor indexed="34"/>
          <bgColor indexed="13"/>
        </patternFill>
      </fill>
    </dxf>
    <dxf>
      <font>
        <b val="0"/>
        <condense val="0"/>
        <extend val="0"/>
        <color indexed="10"/>
      </font>
      <fill>
        <patternFill patternType="solid">
          <fgColor indexed="34"/>
          <bgColor indexed="13"/>
        </patternFill>
      </fill>
    </dxf>
    <dxf>
      <font>
        <b val="0"/>
        <condense val="0"/>
        <extend val="0"/>
        <color indexed="10"/>
      </font>
      <fill>
        <patternFill patternType="solid">
          <fgColor indexed="34"/>
          <bgColor indexed="13"/>
        </patternFill>
      </fill>
    </dxf>
    <dxf>
      <font>
        <b val="0"/>
        <condense val="0"/>
        <extend val="0"/>
        <color indexed="1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ndense val="0"/>
        <extend val="0"/>
        <color indexed="1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lor rgb="FFFF0000"/>
      </font>
      <fill>
        <patternFill>
          <bgColor rgb="FFFFFF00"/>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dxf>
    <dxf>
      <font>
        <color rgb="FFFF0000"/>
      </font>
    </dxf>
    <dxf>
      <font>
        <color theme="3" tint="0.39994506668294322"/>
      </font>
    </dxf>
    <dxf>
      <font>
        <color theme="3" tint="0.39994506668294322"/>
      </font>
    </dxf>
    <dxf>
      <font>
        <color rgb="FFFF0000"/>
      </font>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26"/>
        </patternFill>
      </fill>
    </dxf>
    <dxf>
      <font>
        <color rgb="FFFF0000"/>
      </font>
      <fill>
        <patternFill>
          <bgColor rgb="FFFFFFCC"/>
        </patternFill>
      </fill>
    </dxf>
    <dxf>
      <font>
        <condense val="0"/>
        <extend val="0"/>
        <color indexed="10"/>
      </font>
    </dxf>
    <dxf>
      <font>
        <color rgb="FFFF0000"/>
      </font>
      <fill>
        <patternFill>
          <bgColor rgb="FFFFFFCC"/>
        </patternFill>
      </fill>
    </dxf>
    <dxf>
      <font>
        <strike/>
        <color rgb="FFFF0000"/>
      </font>
      <fill>
        <patternFill>
          <bgColor rgb="FFFFFF00"/>
        </patternFill>
      </fill>
    </dxf>
    <dxf>
      <font>
        <color rgb="FFFF0000"/>
      </font>
    </dxf>
    <dxf>
      <font>
        <color rgb="FFFF0000"/>
      </font>
    </dxf>
    <dxf>
      <font>
        <color auto="1"/>
      </font>
    </dxf>
    <dxf>
      <font>
        <strike val="0"/>
        <color auto="1"/>
      </font>
    </dxf>
    <dxf>
      <font>
        <color theme="1"/>
      </font>
    </dxf>
    <dxf>
      <font>
        <color rgb="FFFF0000"/>
      </font>
    </dxf>
    <dxf>
      <font>
        <color rgb="FFFF0000"/>
      </font>
    </dxf>
    <dxf>
      <font>
        <color auto="1"/>
      </font>
    </dxf>
    <dxf>
      <font>
        <strike val="0"/>
        <color auto="1"/>
      </font>
    </dxf>
    <dxf>
      <font>
        <color theme="1"/>
      </font>
    </dxf>
    <dxf>
      <font>
        <condense val="0"/>
        <extend val="0"/>
        <color indexed="54"/>
      </font>
    </dxf>
    <dxf>
      <font>
        <condense val="0"/>
        <extend val="0"/>
        <color indexed="10"/>
      </font>
    </dxf>
    <dxf>
      <font>
        <condense val="0"/>
        <extend val="0"/>
        <color indexed="54"/>
      </font>
    </dxf>
    <dxf>
      <font>
        <condense val="0"/>
        <extend val="0"/>
        <color indexed="10"/>
      </font>
    </dxf>
    <dxf>
      <font>
        <condense val="0"/>
        <extend val="0"/>
        <color indexed="54"/>
      </font>
    </dxf>
    <dxf>
      <font>
        <condense val="0"/>
        <extend val="0"/>
        <color indexed="10"/>
      </font>
    </dxf>
    <dxf>
      <font>
        <condense val="0"/>
        <extend val="0"/>
        <color indexed="54"/>
      </font>
    </dxf>
    <dxf>
      <font>
        <condense val="0"/>
        <extend val="0"/>
        <color indexed="10"/>
      </font>
    </dxf>
    <dxf>
      <font>
        <condense val="0"/>
        <extend val="0"/>
        <color indexed="48"/>
      </font>
      <fill>
        <patternFill>
          <bgColor indexed="26"/>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10"/>
      </font>
      <fill>
        <patternFill>
          <bgColor indexed="34"/>
        </patternFill>
      </fill>
    </dxf>
    <dxf>
      <font>
        <condense val="0"/>
        <extend val="0"/>
        <color indexed="54"/>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U641"/>
  <sheetViews>
    <sheetView tabSelected="1" zoomScaleNormal="100" workbookViewId="0">
      <selection activeCell="E27" sqref="E27"/>
    </sheetView>
  </sheetViews>
  <sheetFormatPr defaultRowHeight="12.75" x14ac:dyDescent="0.2"/>
  <cols>
    <col min="1" max="1" width="5.140625" style="1" customWidth="1"/>
    <col min="2" max="2" width="6.7109375" style="1" customWidth="1"/>
    <col min="3" max="3" width="3.140625" style="1" hidden="1" customWidth="1"/>
    <col min="4" max="4" width="39.7109375" style="182" customWidth="1"/>
    <col min="5" max="5" width="17.42578125" style="182" customWidth="1"/>
    <col min="6" max="6" width="16.140625" style="181" customWidth="1"/>
    <col min="7" max="7" width="13.140625" style="1" customWidth="1"/>
    <col min="8" max="8" width="13.5703125" style="1" customWidth="1"/>
    <col min="9" max="9" width="11.28515625" style="1" hidden="1" customWidth="1"/>
    <col min="10" max="10" width="9.5703125" style="1" hidden="1" customWidth="1"/>
    <col min="11" max="11" width="9.28515625" style="1" customWidth="1"/>
    <col min="12" max="12" width="10.28515625" style="1" customWidth="1"/>
    <col min="13" max="13" width="11.28515625" style="1" customWidth="1"/>
    <col min="14" max="14" width="9.5703125" style="1" customWidth="1"/>
    <col min="15" max="15" width="10.5703125" style="1" customWidth="1"/>
    <col min="16" max="16" width="10.28515625" style="1" customWidth="1"/>
    <col min="17" max="17" width="8.140625" style="1" customWidth="1"/>
    <col min="18" max="18" width="9.140625" style="180" customWidth="1"/>
    <col min="19" max="19" width="11.7109375" style="180" hidden="1" customWidth="1"/>
    <col min="20" max="20" width="0" style="180" hidden="1" customWidth="1"/>
    <col min="21" max="21" width="10.140625" style="1" bestFit="1" customWidth="1"/>
    <col min="22" max="16384" width="9.140625" style="1"/>
  </cols>
  <sheetData>
    <row r="1" spans="1:20" ht="20.25" x14ac:dyDescent="0.3">
      <c r="A1" s="403" t="s">
        <v>347</v>
      </c>
      <c r="B1" s="403"/>
      <c r="C1" s="403"/>
      <c r="D1" s="402"/>
      <c r="L1" s="401"/>
      <c r="O1" s="401"/>
      <c r="P1" s="401"/>
      <c r="Q1" s="401"/>
      <c r="R1" s="401" t="s">
        <v>171</v>
      </c>
    </row>
    <row r="2" spans="1:20" ht="18" x14ac:dyDescent="0.25">
      <c r="A2" s="514" t="s">
        <v>346</v>
      </c>
      <c r="B2" s="514"/>
      <c r="C2" s="512"/>
      <c r="D2" s="402"/>
      <c r="L2" s="401"/>
      <c r="O2" s="401"/>
      <c r="P2" s="401"/>
      <c r="Q2" s="401"/>
      <c r="R2" s="401"/>
    </row>
    <row r="3" spans="1:20" ht="18" x14ac:dyDescent="0.25">
      <c r="A3" s="520" t="s">
        <v>354</v>
      </c>
      <c r="B3" s="521"/>
      <c r="C3" s="521"/>
      <c r="D3" s="521"/>
      <c r="L3" s="401"/>
      <c r="O3" s="401"/>
      <c r="P3" s="401"/>
      <c r="Q3" s="401"/>
      <c r="R3" s="401"/>
    </row>
    <row r="4" spans="1:20" ht="18" x14ac:dyDescent="0.25">
      <c r="A4" s="515"/>
      <c r="B4" s="516"/>
      <c r="C4" s="516"/>
      <c r="D4" s="516"/>
      <c r="L4" s="401"/>
      <c r="O4" s="401"/>
      <c r="P4" s="401"/>
      <c r="Q4" s="401"/>
      <c r="R4" s="401"/>
    </row>
    <row r="5" spans="1:20" ht="15.75" customHeight="1" x14ac:dyDescent="0.2">
      <c r="A5" s="522" t="s">
        <v>172</v>
      </c>
      <c r="B5" s="522"/>
      <c r="C5" s="522"/>
      <c r="D5" s="523"/>
      <c r="E5" s="523"/>
      <c r="F5" s="523"/>
      <c r="G5" s="523"/>
      <c r="H5" s="523"/>
      <c r="I5" s="398"/>
      <c r="J5" s="398"/>
      <c r="K5" s="398"/>
      <c r="L5" s="398"/>
      <c r="Q5" s="526" t="s">
        <v>170</v>
      </c>
      <c r="R5" s="526"/>
    </row>
    <row r="6" spans="1:20" ht="12.75" customHeight="1" x14ac:dyDescent="0.2">
      <c r="A6" s="400"/>
      <c r="B6" s="400"/>
      <c r="C6" s="400"/>
      <c r="D6" s="400"/>
      <c r="E6" s="400"/>
      <c r="F6" s="399"/>
      <c r="G6" s="398"/>
      <c r="H6" s="398"/>
      <c r="I6" s="398"/>
      <c r="J6" s="398"/>
      <c r="K6" s="398"/>
      <c r="L6" s="398"/>
      <c r="O6" s="187"/>
      <c r="P6" s="187"/>
      <c r="Q6" s="187"/>
      <c r="R6" s="193"/>
    </row>
    <row r="7" spans="1:20" ht="12.75" customHeight="1" thickBot="1" x14ac:dyDescent="0.25">
      <c r="N7" s="397"/>
      <c r="O7" s="187"/>
      <c r="P7" s="187"/>
      <c r="Q7" s="187"/>
      <c r="R7" s="396"/>
    </row>
    <row r="8" spans="1:20" ht="16.5" thickTop="1" x14ac:dyDescent="0.25">
      <c r="A8" s="395" t="s">
        <v>42</v>
      </c>
      <c r="B8" s="394" t="s">
        <v>169</v>
      </c>
      <c r="C8" s="527" t="s">
        <v>168</v>
      </c>
      <c r="D8" s="393" t="s">
        <v>167</v>
      </c>
      <c r="E8" s="392" t="s">
        <v>166</v>
      </c>
      <c r="F8" s="391"/>
      <c r="G8" s="390" t="s">
        <v>31</v>
      </c>
      <c r="H8" s="389" t="s">
        <v>30</v>
      </c>
      <c r="I8" s="529" t="s">
        <v>165</v>
      </c>
      <c r="J8" s="530"/>
      <c r="K8" s="530"/>
      <c r="L8" s="531"/>
      <c r="M8" s="532" t="s">
        <v>164</v>
      </c>
      <c r="N8" s="533"/>
      <c r="O8" s="534" t="s">
        <v>163</v>
      </c>
      <c r="P8" s="535"/>
      <c r="Q8" s="388"/>
      <c r="R8" s="387"/>
    </row>
    <row r="9" spans="1:20" ht="39.75" thickBot="1" x14ac:dyDescent="0.3">
      <c r="A9" s="386"/>
      <c r="B9" s="385"/>
      <c r="C9" s="528"/>
      <c r="D9" s="384"/>
      <c r="E9" s="383"/>
      <c r="F9" s="382"/>
      <c r="G9" s="381"/>
      <c r="H9" s="359"/>
      <c r="I9" s="380" t="s">
        <v>162</v>
      </c>
      <c r="J9" s="379" t="s">
        <v>161</v>
      </c>
      <c r="K9" s="378" t="s">
        <v>160</v>
      </c>
      <c r="L9" s="377" t="s">
        <v>159</v>
      </c>
      <c r="M9" s="376" t="s">
        <v>158</v>
      </c>
      <c r="N9" s="375" t="s">
        <v>157</v>
      </c>
      <c r="O9" s="374" t="s">
        <v>4</v>
      </c>
      <c r="P9" s="373" t="s">
        <v>156</v>
      </c>
      <c r="Q9" s="372" t="s">
        <v>155</v>
      </c>
      <c r="R9" s="371" t="s">
        <v>154</v>
      </c>
    </row>
    <row r="10" spans="1:20" ht="15" customHeight="1" thickTop="1" x14ac:dyDescent="0.2">
      <c r="A10" s="295">
        <v>1631</v>
      </c>
      <c r="B10" s="294" t="s">
        <v>62</v>
      </c>
      <c r="C10" s="294">
        <v>1</v>
      </c>
      <c r="D10" s="536" t="s">
        <v>153</v>
      </c>
      <c r="E10" s="355" t="s">
        <v>152</v>
      </c>
      <c r="F10" s="354" t="s">
        <v>151</v>
      </c>
      <c r="G10" s="368">
        <f>'1. DD Javorník'!G16</f>
        <v>15751715.01</v>
      </c>
      <c r="H10" s="367">
        <f>'1. DD Javorník'!G18</f>
        <v>15752557.59</v>
      </c>
      <c r="I10" s="309">
        <f>H10-G10</f>
        <v>842.58000000007451</v>
      </c>
      <c r="J10" s="286">
        <v>0</v>
      </c>
      <c r="K10" s="308">
        <f>'1. DD Javorník'!G22</f>
        <v>0</v>
      </c>
      <c r="L10" s="307">
        <f>I10-K10-J10</f>
        <v>842.58000000007451</v>
      </c>
      <c r="M10" s="332">
        <f>IF((L10&lt;0),0,L10)</f>
        <v>842.58000000007451</v>
      </c>
      <c r="N10" s="331">
        <f>IF((L10&lt;0),L10,0)</f>
        <v>0</v>
      </c>
      <c r="O10" s="306">
        <f>'1. DD Javorník'!G29</f>
        <v>0</v>
      </c>
      <c r="P10" s="305">
        <f>'1. DD Javorník'!G30</f>
        <v>842.58000000007451</v>
      </c>
      <c r="Q10" s="305">
        <v>0</v>
      </c>
      <c r="R10" s="270">
        <f>'1. DD Javorník'!G28</f>
        <v>842.58</v>
      </c>
      <c r="S10" s="197">
        <f>R10-M10</f>
        <v>-7.4464878707658499E-11</v>
      </c>
      <c r="T10" s="197">
        <f>P10+O10+Q10-R10</f>
        <v>7.4464878707658499E-11</v>
      </c>
    </row>
    <row r="11" spans="1:20" x14ac:dyDescent="0.2">
      <c r="A11" s="284"/>
      <c r="B11" s="283"/>
      <c r="C11" s="283"/>
      <c r="D11" s="525"/>
      <c r="E11" s="282"/>
      <c r="F11" s="281"/>
      <c r="G11" s="364"/>
      <c r="H11" s="363"/>
      <c r="I11" s="283"/>
      <c r="J11" s="284"/>
      <c r="K11" s="301"/>
      <c r="L11" s="300"/>
      <c r="M11" s="330"/>
      <c r="N11" s="329"/>
      <c r="O11" s="314">
        <v>0</v>
      </c>
      <c r="P11" s="313">
        <f>P10/$R10</f>
        <v>1.0000000000000884</v>
      </c>
      <c r="Q11" s="313"/>
      <c r="R11" s="312">
        <f>Q11+P11+O11</f>
        <v>1.0000000000000884</v>
      </c>
      <c r="S11" s="197"/>
      <c r="T11" s="197">
        <f t="shared" ref="T11:T73" si="0">P11+O11+Q11-R11</f>
        <v>0</v>
      </c>
    </row>
    <row r="12" spans="1:20" x14ac:dyDescent="0.2">
      <c r="A12" s="328">
        <v>1632</v>
      </c>
      <c r="B12" s="294" t="s">
        <v>62</v>
      </c>
      <c r="C12" s="294">
        <v>1</v>
      </c>
      <c r="D12" s="524" t="s">
        <v>150</v>
      </c>
      <c r="E12" s="351" t="s">
        <v>149</v>
      </c>
      <c r="F12" s="351" t="s">
        <v>148</v>
      </c>
      <c r="G12" s="366">
        <f>'2. DD Kobylá'!G16</f>
        <v>27078859.750000004</v>
      </c>
      <c r="H12" s="365">
        <f>'2. DD Kobylá'!G18</f>
        <v>27108838.280000001</v>
      </c>
      <c r="I12" s="309">
        <f>H12-G12</f>
        <v>29978.529999997467</v>
      </c>
      <c r="J12" s="324">
        <v>0</v>
      </c>
      <c r="K12" s="323">
        <f>'2. DD Kobylá'!G22</f>
        <v>0</v>
      </c>
      <c r="L12" s="322">
        <f>I12-K12-J12</f>
        <v>29978.529999997467</v>
      </c>
      <c r="M12" s="332">
        <f>IF((L12&lt;0),0,L12)</f>
        <v>29978.529999997467</v>
      </c>
      <c r="N12" s="331">
        <f>IF((L12&lt;0),L12,0)</f>
        <v>0</v>
      </c>
      <c r="O12" s="306">
        <f>'2. DD Kobylá'!G29</f>
        <v>0</v>
      </c>
      <c r="P12" s="305">
        <f>'2. DD Kobylá'!G30</f>
        <v>29978.529999997467</v>
      </c>
      <c r="Q12" s="305">
        <v>0</v>
      </c>
      <c r="R12" s="270">
        <f>'2. DD Kobylá'!G28</f>
        <v>29978.53</v>
      </c>
      <c r="S12" s="197">
        <f>R12-M12</f>
        <v>2.5320332497358322E-9</v>
      </c>
      <c r="T12" s="197">
        <f t="shared" si="0"/>
        <v>-2.5320332497358322E-9</v>
      </c>
    </row>
    <row r="13" spans="1:20" x14ac:dyDescent="0.2">
      <c r="A13" s="284"/>
      <c r="B13" s="283"/>
      <c r="C13" s="283"/>
      <c r="D13" s="525"/>
      <c r="E13" s="282"/>
      <c r="F13" s="281"/>
      <c r="G13" s="364"/>
      <c r="H13" s="363"/>
      <c r="I13" s="283"/>
      <c r="J13" s="284"/>
      <c r="K13" s="301"/>
      <c r="L13" s="300"/>
      <c r="M13" s="342"/>
      <c r="N13" s="341"/>
      <c r="O13" s="314">
        <f>O12/$R12</f>
        <v>0</v>
      </c>
      <c r="P13" s="313">
        <f>P12/$R12</f>
        <v>0.99999999999991551</v>
      </c>
      <c r="Q13" s="313"/>
      <c r="R13" s="312">
        <f>Q13+P13+O13</f>
        <v>0.99999999999991551</v>
      </c>
      <c r="S13" s="197"/>
      <c r="T13" s="197">
        <f t="shared" si="0"/>
        <v>0</v>
      </c>
    </row>
    <row r="14" spans="1:20" x14ac:dyDescent="0.2">
      <c r="A14" s="295">
        <v>1633</v>
      </c>
      <c r="B14" s="294" t="s">
        <v>62</v>
      </c>
      <c r="C14" s="294">
        <v>1</v>
      </c>
      <c r="D14" s="536" t="s">
        <v>147</v>
      </c>
      <c r="E14" s="355" t="s">
        <v>146</v>
      </c>
      <c r="F14" s="354" t="s">
        <v>143</v>
      </c>
      <c r="G14" s="368">
        <f>'3. Domov Sněženka'!G16</f>
        <v>29674324.459999997</v>
      </c>
      <c r="H14" s="367">
        <f>'3. Domov Sněženka'!G18</f>
        <v>29710175.68</v>
      </c>
      <c r="I14" s="309">
        <f>H14-G14</f>
        <v>35851.220000002533</v>
      </c>
      <c r="J14" s="286">
        <v>0</v>
      </c>
      <c r="K14" s="308">
        <f>'3. Domov Sněženka'!G22</f>
        <v>0</v>
      </c>
      <c r="L14" s="307">
        <f>I14-K14-J14</f>
        <v>35851.220000002533</v>
      </c>
      <c r="M14" s="332">
        <f>IF((L14&lt;0),0,L14)</f>
        <v>35851.220000002533</v>
      </c>
      <c r="N14" s="331">
        <f>IF((L14&lt;0),L14,0)</f>
        <v>0</v>
      </c>
      <c r="O14" s="306">
        <f>'3. Domov Sněženka'!G29</f>
        <v>0</v>
      </c>
      <c r="P14" s="305">
        <f>'3. Domov Sněženka'!G30</f>
        <v>35851.220000002533</v>
      </c>
      <c r="Q14" s="305">
        <v>0</v>
      </c>
      <c r="R14" s="270">
        <f>'3. Domov Sněženka'!G28</f>
        <v>35851.22</v>
      </c>
      <c r="S14" s="197">
        <f>R14-M14</f>
        <v>-2.5320332497358322E-9</v>
      </c>
      <c r="T14" s="197">
        <f t="shared" si="0"/>
        <v>2.5320332497358322E-9</v>
      </c>
    </row>
    <row r="15" spans="1:20" x14ac:dyDescent="0.2">
      <c r="A15" s="284"/>
      <c r="B15" s="283"/>
      <c r="C15" s="283"/>
      <c r="D15" s="525"/>
      <c r="E15" s="282"/>
      <c r="F15" s="281"/>
      <c r="G15" s="364"/>
      <c r="H15" s="363"/>
      <c r="I15" s="283"/>
      <c r="J15" s="284"/>
      <c r="K15" s="301"/>
      <c r="L15" s="300"/>
      <c r="M15" s="330"/>
      <c r="N15" s="329"/>
      <c r="O15" s="314">
        <f>O14/$R14</f>
        <v>0</v>
      </c>
      <c r="P15" s="313">
        <f>P14/$R14</f>
        <v>1.0000000000000706</v>
      </c>
      <c r="Q15" s="313"/>
      <c r="R15" s="312">
        <f>Q15+P15+O15</f>
        <v>1.0000000000000706</v>
      </c>
      <c r="S15" s="197"/>
      <c r="T15" s="197">
        <f t="shared" si="0"/>
        <v>0</v>
      </c>
    </row>
    <row r="16" spans="1:20" x14ac:dyDescent="0.2">
      <c r="A16" s="295">
        <v>1634</v>
      </c>
      <c r="B16" s="294" t="s">
        <v>86</v>
      </c>
      <c r="C16" s="294">
        <v>1</v>
      </c>
      <c r="D16" s="536" t="s">
        <v>145</v>
      </c>
      <c r="E16" s="355" t="s">
        <v>144</v>
      </c>
      <c r="F16" s="354" t="s">
        <v>143</v>
      </c>
      <c r="G16" s="368">
        <f>'4. Středisko PS Jeseník'!G16</f>
        <v>3905800.77</v>
      </c>
      <c r="H16" s="367">
        <f>'4. Středisko PS Jeseník'!G18</f>
        <v>4062928.6300000008</v>
      </c>
      <c r="I16" s="309">
        <f>H16-G16</f>
        <v>157127.8600000008</v>
      </c>
      <c r="J16" s="286">
        <v>0</v>
      </c>
      <c r="K16" s="308">
        <f>'4. Středisko PS Jeseník'!G22</f>
        <v>0</v>
      </c>
      <c r="L16" s="322">
        <f>I16-K16-J16</f>
        <v>157127.8600000008</v>
      </c>
      <c r="M16" s="321">
        <f>IF((L16&lt;0),0,L16)</f>
        <v>157127.8600000008</v>
      </c>
      <c r="N16" s="320">
        <f>IF((L16&lt;0),L16,0)</f>
        <v>0</v>
      </c>
      <c r="O16" s="306">
        <f>'4. Středisko PS Jeseník'!G29</f>
        <v>0</v>
      </c>
      <c r="P16" s="305">
        <f>'4. Středisko PS Jeseník'!G30</f>
        <v>157127.8600000008</v>
      </c>
      <c r="Q16" s="305">
        <v>0</v>
      </c>
      <c r="R16" s="270">
        <f>'4. Středisko PS Jeseník'!G28</f>
        <v>157127.85999999999</v>
      </c>
      <c r="S16" s="197">
        <f>R16-M16</f>
        <v>-8.149072527885437E-10</v>
      </c>
      <c r="T16" s="197">
        <f t="shared" si="0"/>
        <v>8.149072527885437E-10</v>
      </c>
    </row>
    <row r="17" spans="1:20" x14ac:dyDescent="0.2">
      <c r="A17" s="295"/>
      <c r="B17" s="283"/>
      <c r="C17" s="294"/>
      <c r="D17" s="536"/>
      <c r="E17" s="355"/>
      <c r="F17" s="354"/>
      <c r="G17" s="368"/>
      <c r="H17" s="367"/>
      <c r="I17" s="294"/>
      <c r="J17" s="295"/>
      <c r="K17" s="353"/>
      <c r="L17" s="343"/>
      <c r="M17" s="342"/>
      <c r="N17" s="341"/>
      <c r="O17" s="348">
        <f>O16/$R16</f>
        <v>0</v>
      </c>
      <c r="P17" s="347">
        <f>P16/$R16</f>
        <v>1.0000000000000051</v>
      </c>
      <c r="Q17" s="347"/>
      <c r="R17" s="346">
        <f>Q17+P17+O17</f>
        <v>1.0000000000000051</v>
      </c>
      <c r="S17" s="197"/>
      <c r="T17" s="197">
        <f t="shared" si="0"/>
        <v>0</v>
      </c>
    </row>
    <row r="18" spans="1:20" x14ac:dyDescent="0.2">
      <c r="A18" s="328">
        <v>1635</v>
      </c>
      <c r="B18" s="294" t="s">
        <v>62</v>
      </c>
      <c r="C18" s="294">
        <v>1</v>
      </c>
      <c r="D18" s="524" t="s">
        <v>142</v>
      </c>
      <c r="E18" s="352" t="s">
        <v>141</v>
      </c>
      <c r="F18" s="351" t="s">
        <v>120</v>
      </c>
      <c r="G18" s="366">
        <f>'5. DD Červenka'!G16</f>
        <v>49554518.309999995</v>
      </c>
      <c r="H18" s="365">
        <f>'5. DD Červenka'!G18</f>
        <v>49554518.310000002</v>
      </c>
      <c r="I18" s="309">
        <f>H18-G18</f>
        <v>0</v>
      </c>
      <c r="J18" s="324">
        <v>0</v>
      </c>
      <c r="K18" s="323">
        <f>'5. DD Červenka'!G22</f>
        <v>0</v>
      </c>
      <c r="L18" s="322">
        <f>I18-K18-J18</f>
        <v>0</v>
      </c>
      <c r="M18" s="321">
        <f>IF((L18&lt;0),0,L18)</f>
        <v>0</v>
      </c>
      <c r="N18" s="320">
        <f>IF((L18&lt;0),L18,0)</f>
        <v>0</v>
      </c>
      <c r="O18" s="319">
        <f>'5. DD Červenka'!G29</f>
        <v>0</v>
      </c>
      <c r="P18" s="318">
        <f>'5. DD Červenka'!G30</f>
        <v>0</v>
      </c>
      <c r="Q18" s="318">
        <v>0</v>
      </c>
      <c r="R18" s="317">
        <f>'5. DD Červenka'!G28</f>
        <v>0</v>
      </c>
      <c r="S18" s="197">
        <f>R18-M18</f>
        <v>0</v>
      </c>
      <c r="T18" s="197">
        <f t="shared" si="0"/>
        <v>0</v>
      </c>
    </row>
    <row r="19" spans="1:20" ht="11.25" customHeight="1" x14ac:dyDescent="0.2">
      <c r="A19" s="295"/>
      <c r="B19" s="283"/>
      <c r="C19" s="294"/>
      <c r="D19" s="536"/>
      <c r="E19" s="355"/>
      <c r="F19" s="354"/>
      <c r="G19" s="368"/>
      <c r="H19" s="367"/>
      <c r="I19" s="294"/>
      <c r="J19" s="295"/>
      <c r="K19" s="353"/>
      <c r="L19" s="343"/>
      <c r="M19" s="342"/>
      <c r="N19" s="341"/>
      <c r="O19" s="314"/>
      <c r="P19" s="313"/>
      <c r="Q19" s="313"/>
      <c r="R19" s="370"/>
      <c r="S19" s="197"/>
      <c r="T19" s="197">
        <f t="shared" si="0"/>
        <v>0</v>
      </c>
    </row>
    <row r="20" spans="1:20" x14ac:dyDescent="0.2">
      <c r="A20" s="328">
        <v>1636</v>
      </c>
      <c r="B20" s="294" t="s">
        <v>62</v>
      </c>
      <c r="C20" s="294">
        <v>1</v>
      </c>
      <c r="D20" s="524" t="s">
        <v>140</v>
      </c>
      <c r="E20" s="352" t="s">
        <v>139</v>
      </c>
      <c r="F20" s="351" t="s">
        <v>138</v>
      </c>
      <c r="G20" s="366">
        <f>'6. Námešt na Hané'!G16</f>
        <v>11047119.560000001</v>
      </c>
      <c r="H20" s="365">
        <f>'6. Námešt na Hané'!G18</f>
        <v>11049970.210000001</v>
      </c>
      <c r="I20" s="309">
        <f>H20-G20</f>
        <v>2850.6500000003725</v>
      </c>
      <c r="J20" s="324">
        <v>0</v>
      </c>
      <c r="K20" s="323">
        <f>'6. Námešt na Hané'!G22</f>
        <v>0</v>
      </c>
      <c r="L20" s="322">
        <f>I20-K20-J20</f>
        <v>2850.6500000003725</v>
      </c>
      <c r="M20" s="321">
        <f>IF((L20&lt;0),0,L20)</f>
        <v>2850.6500000003725</v>
      </c>
      <c r="N20" s="320">
        <f>IF((L20&lt;0),L20,0)</f>
        <v>0</v>
      </c>
      <c r="O20" s="319">
        <f>'6. Námešt na Hané'!G29</f>
        <v>0</v>
      </c>
      <c r="P20" s="318">
        <f>'6. Námešt na Hané'!G30</f>
        <v>2850.6500000003725</v>
      </c>
      <c r="Q20" s="318">
        <v>0</v>
      </c>
      <c r="R20" s="317">
        <f>'6. Námešt na Hané'!G28</f>
        <v>2850.65</v>
      </c>
      <c r="S20" s="197">
        <f>R20-M20</f>
        <v>-3.7243808037601411E-10</v>
      </c>
      <c r="T20" s="197">
        <f t="shared" si="0"/>
        <v>3.7243808037601411E-10</v>
      </c>
    </row>
    <row r="21" spans="1:20" x14ac:dyDescent="0.2">
      <c r="A21" s="284"/>
      <c r="B21" s="283"/>
      <c r="C21" s="283"/>
      <c r="D21" s="525"/>
      <c r="E21" s="282"/>
      <c r="F21" s="281"/>
      <c r="G21" s="364"/>
      <c r="H21" s="363"/>
      <c r="I21" s="283"/>
      <c r="J21" s="284"/>
      <c r="K21" s="301"/>
      <c r="L21" s="300"/>
      <c r="M21" s="330"/>
      <c r="N21" s="329"/>
      <c r="O21" s="314">
        <f>O20/$R20</f>
        <v>0</v>
      </c>
      <c r="P21" s="313">
        <f>P20/$R20</f>
        <v>1.0000000000001306</v>
      </c>
      <c r="Q21" s="313"/>
      <c r="R21" s="312">
        <f>Q21+P21+O21</f>
        <v>1.0000000000001306</v>
      </c>
      <c r="S21" s="197"/>
      <c r="T21" s="197">
        <f t="shared" si="0"/>
        <v>0</v>
      </c>
    </row>
    <row r="22" spans="1:20" x14ac:dyDescent="0.2">
      <c r="A22" s="295">
        <v>1637</v>
      </c>
      <c r="B22" s="294" t="s">
        <v>62</v>
      </c>
      <c r="C22" s="294">
        <v>1</v>
      </c>
      <c r="D22" s="536" t="s">
        <v>137</v>
      </c>
      <c r="E22" s="355" t="s">
        <v>136</v>
      </c>
      <c r="F22" s="354" t="s">
        <v>135</v>
      </c>
      <c r="G22" s="368">
        <f>'7.DD Hrubá Voda'!G16</f>
        <v>25912613.779999997</v>
      </c>
      <c r="H22" s="367">
        <f>'7.DD Hrubá Voda'!G18</f>
        <v>25917369.189999998</v>
      </c>
      <c r="I22" s="309">
        <f>H22-G22</f>
        <v>4755.410000000149</v>
      </c>
      <c r="J22" s="286">
        <v>0</v>
      </c>
      <c r="K22" s="308">
        <f>'6. Námešt na Hané'!G22</f>
        <v>0</v>
      </c>
      <c r="L22" s="307">
        <f>I22-K22-J22</f>
        <v>4755.410000000149</v>
      </c>
      <c r="M22" s="332">
        <f>IF((L22&lt;0),0,L22)</f>
        <v>4755.410000000149</v>
      </c>
      <c r="N22" s="331">
        <f>IF((L22&lt;0),L22,0)</f>
        <v>0</v>
      </c>
      <c r="O22" s="306">
        <f>'7.DD Hrubá Voda'!G29</f>
        <v>0</v>
      </c>
      <c r="P22" s="305">
        <f>'7.DD Hrubá Voda'!G30</f>
        <v>4755.410000000149</v>
      </c>
      <c r="Q22" s="305">
        <v>0</v>
      </c>
      <c r="R22" s="270">
        <f>'7.DD Hrubá Voda'!G28</f>
        <v>4755.41</v>
      </c>
      <c r="S22" s="197">
        <f>R22-M22</f>
        <v>-1.4915713109076023E-10</v>
      </c>
      <c r="T22" s="197">
        <f t="shared" si="0"/>
        <v>1.4915713109076023E-10</v>
      </c>
    </row>
    <row r="23" spans="1:20" x14ac:dyDescent="0.2">
      <c r="A23" s="284"/>
      <c r="B23" s="283"/>
      <c r="C23" s="283"/>
      <c r="D23" s="525"/>
      <c r="E23" s="282"/>
      <c r="F23" s="281"/>
      <c r="G23" s="364"/>
      <c r="H23" s="363"/>
      <c r="I23" s="283"/>
      <c r="J23" s="284"/>
      <c r="K23" s="301"/>
      <c r="L23" s="300"/>
      <c r="M23" s="330"/>
      <c r="N23" s="329"/>
      <c r="O23" s="314">
        <f>O22/$R22</f>
        <v>0</v>
      </c>
      <c r="P23" s="313">
        <f>P22/$R22</f>
        <v>1.0000000000000313</v>
      </c>
      <c r="Q23" s="313"/>
      <c r="R23" s="312">
        <f>Q23+P23+O23</f>
        <v>1.0000000000000313</v>
      </c>
      <c r="S23" s="197"/>
      <c r="T23" s="197">
        <f t="shared" si="0"/>
        <v>0</v>
      </c>
    </row>
    <row r="24" spans="1:20" x14ac:dyDescent="0.2">
      <c r="A24" s="295">
        <v>1638</v>
      </c>
      <c r="B24" s="294" t="s">
        <v>62</v>
      </c>
      <c r="C24" s="294">
        <v>1</v>
      </c>
      <c r="D24" s="536" t="s">
        <v>134</v>
      </c>
      <c r="E24" s="355" t="s">
        <v>133</v>
      </c>
      <c r="F24" s="354" t="s">
        <v>132</v>
      </c>
      <c r="G24" s="368">
        <f>'8. DD Chválkovice'!G16</f>
        <v>85050198.729999989</v>
      </c>
      <c r="H24" s="367">
        <f>'8. DD Chválkovice'!G18</f>
        <v>85063287.00999999</v>
      </c>
      <c r="I24" s="309">
        <f>H24-G24</f>
        <v>13088.280000001192</v>
      </c>
      <c r="J24" s="286">
        <v>0</v>
      </c>
      <c r="K24" s="308">
        <f>'8. DD Chválkovice'!G22</f>
        <v>0</v>
      </c>
      <c r="L24" s="322">
        <f>I24-K24-J24</f>
        <v>13088.280000001192</v>
      </c>
      <c r="M24" s="332">
        <f>IF((L24&lt;0),0,L24)</f>
        <v>13088.280000001192</v>
      </c>
      <c r="N24" s="331">
        <f>IF((L24&lt;0),L24,0)</f>
        <v>0</v>
      </c>
      <c r="O24" s="306">
        <f>'8. DD Chválkovice'!G29</f>
        <v>0</v>
      </c>
      <c r="P24" s="305">
        <f>'8. DD Chválkovice'!G30</f>
        <v>13088.280000001192</v>
      </c>
      <c r="Q24" s="305">
        <v>0</v>
      </c>
      <c r="R24" s="270">
        <f>'8. DD Chválkovice'!G28</f>
        <v>13088.28</v>
      </c>
      <c r="S24" s="197">
        <f>R24-M24</f>
        <v>-1.191438059322536E-9</v>
      </c>
      <c r="T24" s="197">
        <f t="shared" si="0"/>
        <v>1.191438059322536E-9</v>
      </c>
    </row>
    <row r="25" spans="1:20" x14ac:dyDescent="0.2">
      <c r="A25" s="295"/>
      <c r="B25" s="283"/>
      <c r="C25" s="294"/>
      <c r="D25" s="536"/>
      <c r="E25" s="355"/>
      <c r="F25" s="354"/>
      <c r="G25" s="368"/>
      <c r="H25" s="367"/>
      <c r="I25" s="294"/>
      <c r="J25" s="295"/>
      <c r="K25" s="353"/>
      <c r="L25" s="343"/>
      <c r="M25" s="342"/>
      <c r="N25" s="341"/>
      <c r="O25" s="314">
        <f>O24/$R24</f>
        <v>0</v>
      </c>
      <c r="P25" s="313">
        <f>P24/$R24</f>
        <v>1.000000000000091</v>
      </c>
      <c r="Q25" s="313"/>
      <c r="R25" s="312">
        <f>Q25+P25+O25</f>
        <v>1.000000000000091</v>
      </c>
      <c r="S25" s="197"/>
      <c r="T25" s="197">
        <f t="shared" si="0"/>
        <v>0</v>
      </c>
    </row>
    <row r="26" spans="1:20" x14ac:dyDescent="0.2">
      <c r="A26" s="328">
        <v>1639</v>
      </c>
      <c r="B26" s="294" t="s">
        <v>86</v>
      </c>
      <c r="C26" s="294">
        <v>1</v>
      </c>
      <c r="D26" s="524" t="s">
        <v>131</v>
      </c>
      <c r="E26" s="352" t="s">
        <v>130</v>
      </c>
      <c r="F26" s="351" t="s">
        <v>129</v>
      </c>
      <c r="G26" s="366">
        <f>'9.Sociál. služby Olomouc'!G16</f>
        <v>55592850.859999999</v>
      </c>
      <c r="H26" s="365">
        <f>'9.Sociál. služby Olomouc'!G18</f>
        <v>55592889.579999998</v>
      </c>
      <c r="I26" s="309">
        <f>H26-G26</f>
        <v>38.719999998807907</v>
      </c>
      <c r="J26" s="324">
        <v>0</v>
      </c>
      <c r="K26" s="323">
        <f>'9.Sociál. služby Olomouc'!G22</f>
        <v>0</v>
      </c>
      <c r="L26" s="322">
        <f>I26-K26-J26</f>
        <v>38.719999998807907</v>
      </c>
      <c r="M26" s="321">
        <f>IF((L26&lt;0),0,L26)</f>
        <v>38.719999998807907</v>
      </c>
      <c r="N26" s="320">
        <f>IF((L26&lt;0),L26,0)</f>
        <v>0</v>
      </c>
      <c r="O26" s="306">
        <f>'9.Sociál. služby Olomouc'!G29</f>
        <v>0</v>
      </c>
      <c r="P26" s="305">
        <f>'9.Sociál. služby Olomouc'!G30</f>
        <v>38.719999998807907</v>
      </c>
      <c r="Q26" s="305">
        <v>0</v>
      </c>
      <c r="R26" s="270">
        <f>'9.Sociál. služby Olomouc'!G28</f>
        <v>38.72</v>
      </c>
      <c r="S26" s="197">
        <f>R26-M26</f>
        <v>1.1920917586394353E-9</v>
      </c>
      <c r="T26" s="197">
        <f t="shared" si="0"/>
        <v>-1.1920917586394353E-9</v>
      </c>
    </row>
    <row r="27" spans="1:20" x14ac:dyDescent="0.2">
      <c r="A27" s="284"/>
      <c r="B27" s="283"/>
      <c r="C27" s="283"/>
      <c r="D27" s="525"/>
      <c r="E27" s="282"/>
      <c r="F27" s="281"/>
      <c r="G27" s="364"/>
      <c r="H27" s="363"/>
      <c r="I27" s="283"/>
      <c r="J27" s="284"/>
      <c r="K27" s="301"/>
      <c r="L27" s="300"/>
      <c r="M27" s="330"/>
      <c r="N27" s="329"/>
      <c r="O27" s="314">
        <f>O26/$R26</f>
        <v>0</v>
      </c>
      <c r="P27" s="313">
        <f>P26/$R26</f>
        <v>0.99999999996921252</v>
      </c>
      <c r="Q27" s="313"/>
      <c r="R27" s="312">
        <f>Q27+P27+O27</f>
        <v>0.99999999996921252</v>
      </c>
      <c r="S27" s="197"/>
      <c r="T27" s="197">
        <f t="shared" si="0"/>
        <v>0</v>
      </c>
    </row>
    <row r="28" spans="1:20" x14ac:dyDescent="0.2">
      <c r="A28" s="295">
        <v>1640</v>
      </c>
      <c r="B28" s="294" t="s">
        <v>62</v>
      </c>
      <c r="C28" s="294">
        <v>1</v>
      </c>
      <c r="D28" s="536" t="s">
        <v>128</v>
      </c>
      <c r="E28" s="355" t="s">
        <v>127</v>
      </c>
      <c r="F28" s="354" t="s">
        <v>126</v>
      </c>
      <c r="G28" s="368">
        <f>'10. Vincentinum'!G16</f>
        <v>80596089.280000016</v>
      </c>
      <c r="H28" s="367">
        <f>'10. Vincentinum'!G18</f>
        <v>80596922.170000002</v>
      </c>
      <c r="I28" s="309">
        <f>H28-G28</f>
        <v>832.88999998569489</v>
      </c>
      <c r="J28" s="286">
        <v>0</v>
      </c>
      <c r="K28" s="308">
        <f>'10. Vincentinum'!G22</f>
        <v>0</v>
      </c>
      <c r="L28" s="322">
        <f>I28-K28-J28</f>
        <v>832.88999998569489</v>
      </c>
      <c r="M28" s="332">
        <f>IF((L28&lt;0),0,L28)</f>
        <v>832.88999998569489</v>
      </c>
      <c r="N28" s="331">
        <f>IF((L28&lt;0),L28,0)</f>
        <v>0</v>
      </c>
      <c r="O28" s="306">
        <f>'10. Vincentinum'!G29</f>
        <v>0</v>
      </c>
      <c r="P28" s="305">
        <f>'10. Vincentinum'!G30</f>
        <v>832.89</v>
      </c>
      <c r="Q28" s="305">
        <v>0</v>
      </c>
      <c r="R28" s="270">
        <f>'10. Vincentinum'!G28</f>
        <v>832.89</v>
      </c>
      <c r="S28" s="197">
        <f>R28-M28</f>
        <v>1.4305101103673223E-8</v>
      </c>
      <c r="T28" s="197">
        <f t="shared" si="0"/>
        <v>0</v>
      </c>
    </row>
    <row r="29" spans="1:20" ht="10.5" customHeight="1" x14ac:dyDescent="0.2">
      <c r="A29" s="295"/>
      <c r="B29" s="294"/>
      <c r="C29" s="294"/>
      <c r="D29" s="536"/>
      <c r="E29" s="355"/>
      <c r="F29" s="354"/>
      <c r="G29" s="368"/>
      <c r="H29" s="367"/>
      <c r="I29" s="294"/>
      <c r="J29" s="295"/>
      <c r="K29" s="353"/>
      <c r="L29" s="343"/>
      <c r="M29" s="342"/>
      <c r="N29" s="341"/>
      <c r="O29" s="314">
        <f>O28/$R28</f>
        <v>0</v>
      </c>
      <c r="P29" s="313">
        <f>P28/$R28</f>
        <v>1</v>
      </c>
      <c r="Q29" s="313"/>
      <c r="R29" s="312">
        <f>Q29+P29+O29</f>
        <v>1</v>
      </c>
      <c r="S29" s="197"/>
      <c r="T29" s="197">
        <f t="shared" si="0"/>
        <v>0</v>
      </c>
    </row>
    <row r="30" spans="1:20" x14ac:dyDescent="0.2">
      <c r="A30" s="328">
        <v>1641</v>
      </c>
      <c r="B30" s="294" t="s">
        <v>97</v>
      </c>
      <c r="C30" s="294">
        <v>1</v>
      </c>
      <c r="D30" s="524" t="s">
        <v>125</v>
      </c>
      <c r="E30" s="327" t="s">
        <v>124</v>
      </c>
      <c r="F30" s="326" t="s">
        <v>123</v>
      </c>
      <c r="G30" s="366">
        <f>'11. Klíč'!G16</f>
        <v>23924516.799999993</v>
      </c>
      <c r="H30" s="365">
        <f>'11. Klíč'!G18</f>
        <v>23992245.66</v>
      </c>
      <c r="I30" s="309">
        <f>H30-G30</f>
        <v>67728.860000006855</v>
      </c>
      <c r="J30" s="324">
        <v>0</v>
      </c>
      <c r="K30" s="323">
        <f>'11. Klíč'!G22</f>
        <v>0</v>
      </c>
      <c r="L30" s="322">
        <f>I30-K30-J30</f>
        <v>67728.860000006855</v>
      </c>
      <c r="M30" s="321">
        <f>IF((L30&lt;0),0,L30)</f>
        <v>67728.860000006855</v>
      </c>
      <c r="N30" s="320">
        <f>IF((L30&lt;0),L30,0)</f>
        <v>0</v>
      </c>
      <c r="O30" s="344">
        <f>'11. Klíč'!G29</f>
        <v>0</v>
      </c>
      <c r="P30" s="318">
        <f>'11. Klíč'!G30</f>
        <v>67728.860000006855</v>
      </c>
      <c r="Q30" s="318">
        <v>0</v>
      </c>
      <c r="R30" s="317">
        <f>'11. Klíč'!G28</f>
        <v>67728.86</v>
      </c>
      <c r="S30" s="197">
        <f>R30-M30</f>
        <v>-6.8539520725607872E-9</v>
      </c>
      <c r="T30" s="197">
        <f t="shared" si="0"/>
        <v>6.8539520725607872E-9</v>
      </c>
    </row>
    <row r="31" spans="1:20" x14ac:dyDescent="0.2">
      <c r="A31" s="284"/>
      <c r="B31" s="283"/>
      <c r="C31" s="283"/>
      <c r="D31" s="525"/>
      <c r="E31" s="282"/>
      <c r="F31" s="281"/>
      <c r="G31" s="364"/>
      <c r="H31" s="363"/>
      <c r="I31" s="283"/>
      <c r="J31" s="284"/>
      <c r="K31" s="301"/>
      <c r="L31" s="300"/>
      <c r="M31" s="330"/>
      <c r="N31" s="329"/>
      <c r="O31" s="314">
        <f>O30/$R30</f>
        <v>0</v>
      </c>
      <c r="P31" s="313">
        <f>P30/$R30</f>
        <v>1.0000000000001013</v>
      </c>
      <c r="Q31" s="313"/>
      <c r="R31" s="312">
        <f>Q31+P31+O31</f>
        <v>1.0000000000001013</v>
      </c>
      <c r="S31" s="197"/>
      <c r="T31" s="197">
        <f t="shared" si="0"/>
        <v>0</v>
      </c>
    </row>
    <row r="32" spans="1:20" s="369" customFormat="1" x14ac:dyDescent="0.2">
      <c r="A32" s="328">
        <v>1642</v>
      </c>
      <c r="B32" s="335" t="s">
        <v>62</v>
      </c>
      <c r="C32" s="335">
        <v>1</v>
      </c>
      <c r="D32" s="524" t="s">
        <v>122</v>
      </c>
      <c r="E32" s="327" t="s">
        <v>121</v>
      </c>
      <c r="F32" s="326" t="s">
        <v>120</v>
      </c>
      <c r="G32" s="366">
        <f>'12. Nové Zámky'!G16</f>
        <v>67543235.100000024</v>
      </c>
      <c r="H32" s="365">
        <f>'12. Nové Zámky'!G18</f>
        <v>67560042.569999993</v>
      </c>
      <c r="I32" s="334">
        <f>H32-G32</f>
        <v>16807.469999969006</v>
      </c>
      <c r="J32" s="324">
        <v>0</v>
      </c>
      <c r="K32" s="323">
        <f>'12. Nové Zámky'!G22</f>
        <v>0</v>
      </c>
      <c r="L32" s="322">
        <f>I32-K32-J32</f>
        <v>16807.469999969006</v>
      </c>
      <c r="M32" s="321">
        <f>IF((L32&lt;0),0,L32)</f>
        <v>16807.469999969006</v>
      </c>
      <c r="N32" s="320">
        <f>IF((L32&lt;0),L32,0)</f>
        <v>0</v>
      </c>
      <c r="O32" s="349">
        <f>'12. Nové Zámky'!G29</f>
        <v>0</v>
      </c>
      <c r="P32" s="305">
        <f>'12. Nové Zámky'!G30</f>
        <v>16807.469999969006</v>
      </c>
      <c r="Q32" s="305">
        <v>0</v>
      </c>
      <c r="R32" s="270">
        <f>'12. Nové Zámky'!G28</f>
        <v>16807.47</v>
      </c>
      <c r="S32" s="197">
        <f>R32-M32</f>
        <v>3.0995579436421394E-8</v>
      </c>
      <c r="T32" s="197">
        <f t="shared" si="0"/>
        <v>-3.0995579436421394E-8</v>
      </c>
    </row>
    <row r="33" spans="1:20" s="369" customFormat="1" x14ac:dyDescent="0.2">
      <c r="A33" s="284"/>
      <c r="B33" s="283"/>
      <c r="C33" s="283"/>
      <c r="D33" s="525"/>
      <c r="E33" s="282"/>
      <c r="F33" s="281"/>
      <c r="G33" s="364"/>
      <c r="H33" s="363"/>
      <c r="I33" s="283"/>
      <c r="J33" s="284"/>
      <c r="K33" s="301"/>
      <c r="L33" s="300"/>
      <c r="M33" s="330"/>
      <c r="N33" s="329"/>
      <c r="O33" s="314">
        <f>O32/$R32</f>
        <v>0</v>
      </c>
      <c r="P33" s="313">
        <f>P32/$R32</f>
        <v>0.99999999999815581</v>
      </c>
      <c r="Q33" s="313"/>
      <c r="R33" s="312">
        <f>Q33+P33+O33</f>
        <v>0.99999999999815581</v>
      </c>
      <c r="S33" s="197"/>
      <c r="T33" s="197">
        <f t="shared" si="0"/>
        <v>0</v>
      </c>
    </row>
    <row r="34" spans="1:20" x14ac:dyDescent="0.2">
      <c r="A34" s="328">
        <v>1644</v>
      </c>
      <c r="B34" s="335" t="s">
        <v>119</v>
      </c>
      <c r="C34" s="335">
        <v>1</v>
      </c>
      <c r="D34" s="524" t="s">
        <v>118</v>
      </c>
      <c r="E34" s="352" t="s">
        <v>117</v>
      </c>
      <c r="F34" s="351" t="s">
        <v>116</v>
      </c>
      <c r="G34" s="366">
        <f>'13. Středisko soc. prevence'!G16</f>
        <v>20472605.369999994</v>
      </c>
      <c r="H34" s="365">
        <f>'13. Středisko soc. prevence'!G18</f>
        <v>20501826.34</v>
      </c>
      <c r="I34" s="334">
        <f>H34-G34</f>
        <v>29220.970000006258</v>
      </c>
      <c r="J34" s="324">
        <v>0</v>
      </c>
      <c r="K34" s="323">
        <f>'13. Středisko soc. prevence'!G22</f>
        <v>0</v>
      </c>
      <c r="L34" s="322">
        <f>I34-K34-J34</f>
        <v>29220.970000006258</v>
      </c>
      <c r="M34" s="321">
        <f>IF((L34&lt;0),0,L34)</f>
        <v>29220.970000006258</v>
      </c>
      <c r="N34" s="320">
        <f>IF((L34&lt;0),L34,0)</f>
        <v>0</v>
      </c>
      <c r="O34" s="319">
        <f>'13. Středisko soc. prevence'!G29</f>
        <v>0</v>
      </c>
      <c r="P34" s="318">
        <f>'13. Středisko soc. prevence'!G30</f>
        <v>29220.970000006258</v>
      </c>
      <c r="Q34" s="318">
        <v>0</v>
      </c>
      <c r="R34" s="317">
        <f>'13. Středisko soc. prevence'!G28</f>
        <v>29220.97</v>
      </c>
      <c r="S34" s="197">
        <f>R34-M34</f>
        <v>-6.2573235481977463E-9</v>
      </c>
      <c r="T34" s="197">
        <f t="shared" si="0"/>
        <v>6.2573235481977463E-9</v>
      </c>
    </row>
    <row r="35" spans="1:20" x14ac:dyDescent="0.2">
      <c r="A35" s="284"/>
      <c r="B35" s="283"/>
      <c r="C35" s="283"/>
      <c r="D35" s="525"/>
      <c r="E35" s="282"/>
      <c r="F35" s="281"/>
      <c r="G35" s="364"/>
      <c r="H35" s="363"/>
      <c r="I35" s="283"/>
      <c r="J35" s="284"/>
      <c r="K35" s="301"/>
      <c r="L35" s="300"/>
      <c r="M35" s="330"/>
      <c r="N35" s="329"/>
      <c r="O35" s="314">
        <f>O34/$R34</f>
        <v>0</v>
      </c>
      <c r="P35" s="313">
        <f>P34/$R34</f>
        <v>1.0000000000002141</v>
      </c>
      <c r="Q35" s="313"/>
      <c r="R35" s="312">
        <f>Q35+P35+O35</f>
        <v>1.0000000000002141</v>
      </c>
      <c r="S35" s="197"/>
      <c r="T35" s="197">
        <f t="shared" si="0"/>
        <v>0</v>
      </c>
    </row>
    <row r="36" spans="1:20" x14ac:dyDescent="0.2">
      <c r="A36" s="295">
        <v>1645</v>
      </c>
      <c r="B36" s="294" t="s">
        <v>62</v>
      </c>
      <c r="C36" s="294">
        <v>1</v>
      </c>
      <c r="D36" s="536" t="s">
        <v>115</v>
      </c>
      <c r="E36" s="355" t="s">
        <v>114</v>
      </c>
      <c r="F36" s="354" t="s">
        <v>105</v>
      </c>
      <c r="G36" s="368">
        <f>'14.DD Šumperk'!G16</f>
        <v>59327029.649999999</v>
      </c>
      <c r="H36" s="367">
        <f>'14.DD Šumperk'!G18</f>
        <v>59575947.610000007</v>
      </c>
      <c r="I36" s="309">
        <f>H36-G36</f>
        <v>248917.96000000834</v>
      </c>
      <c r="J36" s="286">
        <v>0</v>
      </c>
      <c r="K36" s="308">
        <f>'14.DD Šumperk'!G22</f>
        <v>0</v>
      </c>
      <c r="L36" s="307">
        <f>I36-K36-J36</f>
        <v>248917.96000000834</v>
      </c>
      <c r="M36" s="332">
        <f>IF((L36&lt;0),0,L36)</f>
        <v>248917.96000000834</v>
      </c>
      <c r="N36" s="331">
        <f>IF((L36&lt;0),L36,0)</f>
        <v>0</v>
      </c>
      <c r="O36" s="306">
        <f>'14.DD Šumperk'!G29</f>
        <v>0</v>
      </c>
      <c r="P36" s="305">
        <f>'14.DD Šumperk'!G30</f>
        <v>248917.96000000834</v>
      </c>
      <c r="Q36" s="305">
        <v>0</v>
      </c>
      <c r="R36" s="270">
        <f>'14.DD Šumperk'!G28</f>
        <v>248917.96</v>
      </c>
      <c r="S36" s="197">
        <f>R36-M36</f>
        <v>-8.3527993410825729E-9</v>
      </c>
      <c r="T36" s="197">
        <f t="shared" si="0"/>
        <v>8.3527993410825729E-9</v>
      </c>
    </row>
    <row r="37" spans="1:20" x14ac:dyDescent="0.2">
      <c r="A37" s="284"/>
      <c r="B37" s="283"/>
      <c r="C37" s="283"/>
      <c r="D37" s="525"/>
      <c r="E37" s="282"/>
      <c r="F37" s="281"/>
      <c r="G37" s="364"/>
      <c r="H37" s="363"/>
      <c r="I37" s="283"/>
      <c r="J37" s="284"/>
      <c r="K37" s="301"/>
      <c r="L37" s="300"/>
      <c r="M37" s="330"/>
      <c r="N37" s="329"/>
      <c r="O37" s="314">
        <f>O36/$R36</f>
        <v>0</v>
      </c>
      <c r="P37" s="313">
        <f>P36/$R36</f>
        <v>1.0000000000000335</v>
      </c>
      <c r="Q37" s="313"/>
      <c r="R37" s="312">
        <f>Q37+P37+O37</f>
        <v>1.0000000000000335</v>
      </c>
      <c r="S37" s="197"/>
      <c r="T37" s="197">
        <f t="shared" si="0"/>
        <v>0</v>
      </c>
    </row>
    <row r="38" spans="1:20" x14ac:dyDescent="0.2">
      <c r="A38" s="295">
        <v>1646</v>
      </c>
      <c r="B38" s="294" t="s">
        <v>62</v>
      </c>
      <c r="C38" s="335">
        <v>1</v>
      </c>
      <c r="D38" s="536" t="s">
        <v>113</v>
      </c>
      <c r="E38" s="355" t="s">
        <v>112</v>
      </c>
      <c r="F38" s="354" t="s">
        <v>111</v>
      </c>
      <c r="G38" s="368">
        <f>'15. DD Libina'!G16</f>
        <v>22692114.109999996</v>
      </c>
      <c r="H38" s="367">
        <f>'15. DD Libina'!G18</f>
        <v>22721533.59</v>
      </c>
      <c r="I38" s="309">
        <f>H38-G38</f>
        <v>29419.480000004172</v>
      </c>
      <c r="J38" s="286">
        <v>0</v>
      </c>
      <c r="K38" s="308">
        <f>'15. DD Libina'!G22</f>
        <v>0</v>
      </c>
      <c r="L38" s="307">
        <f>I38-K38-J38</f>
        <v>29419.480000004172</v>
      </c>
      <c r="M38" s="332">
        <f>IF((L38&lt;0),0,L38)</f>
        <v>29419.480000004172</v>
      </c>
      <c r="N38" s="331">
        <f>IF((L38&lt;0),L38,0)</f>
        <v>0</v>
      </c>
      <c r="O38" s="306">
        <f>'15. DD Libina'!G29</f>
        <v>0</v>
      </c>
      <c r="P38" s="305">
        <f>'15. DD Libina'!G30</f>
        <v>29419.480000004172</v>
      </c>
      <c r="Q38" s="305">
        <v>0</v>
      </c>
      <c r="R38" s="270">
        <f>'15. DD Libina'!G28</f>
        <v>29419.48</v>
      </c>
      <c r="S38" s="197">
        <f>R38-M38</f>
        <v>-4.1727616917341948E-9</v>
      </c>
      <c r="T38" s="197">
        <f t="shared" si="0"/>
        <v>4.1727616917341948E-9</v>
      </c>
    </row>
    <row r="39" spans="1:20" x14ac:dyDescent="0.2">
      <c r="A39" s="295"/>
      <c r="B39" s="294"/>
      <c r="C39" s="294"/>
      <c r="D39" s="536"/>
      <c r="E39" s="355"/>
      <c r="F39" s="354"/>
      <c r="G39" s="368"/>
      <c r="H39" s="367"/>
      <c r="I39" s="294"/>
      <c r="J39" s="295"/>
      <c r="K39" s="353"/>
      <c r="L39" s="343"/>
      <c r="M39" s="342"/>
      <c r="N39" s="341"/>
      <c r="O39" s="314">
        <f>O38/$R38</f>
        <v>0</v>
      </c>
      <c r="P39" s="313">
        <f>P38/$R38</f>
        <v>1.0000000000001419</v>
      </c>
      <c r="Q39" s="313"/>
      <c r="R39" s="312">
        <f>Q39+P39+O39</f>
        <v>1.0000000000001419</v>
      </c>
      <c r="S39" s="197"/>
      <c r="T39" s="197">
        <f t="shared" si="0"/>
        <v>0</v>
      </c>
    </row>
    <row r="40" spans="1:20" x14ac:dyDescent="0.2">
      <c r="A40" s="328">
        <v>1647</v>
      </c>
      <c r="B40" s="335" t="s">
        <v>62</v>
      </c>
      <c r="C40" s="311">
        <v>1</v>
      </c>
      <c r="D40" s="524" t="s">
        <v>110</v>
      </c>
      <c r="E40" s="352" t="s">
        <v>109</v>
      </c>
      <c r="F40" s="351" t="s">
        <v>108</v>
      </c>
      <c r="G40" s="366">
        <f>'16. DD Štíty'!G16</f>
        <v>41317669.630000003</v>
      </c>
      <c r="H40" s="365">
        <f>'16. DD Štíty'!G18</f>
        <v>41405826.859999999</v>
      </c>
      <c r="I40" s="309">
        <f>H40-G40</f>
        <v>88157.229999996722</v>
      </c>
      <c r="J40" s="324">
        <v>0</v>
      </c>
      <c r="K40" s="323">
        <f>'16. DD Štíty'!G22</f>
        <v>0</v>
      </c>
      <c r="L40" s="322">
        <f>I40-K40-J40</f>
        <v>88157.229999996722</v>
      </c>
      <c r="M40" s="321">
        <f>IF((L40&lt;0),0,L40)</f>
        <v>88157.229999996722</v>
      </c>
      <c r="N40" s="320">
        <f>IF((L40&lt;0),L40,0)</f>
        <v>0</v>
      </c>
      <c r="O40" s="319">
        <f>'16. DD Štíty'!G29</f>
        <v>0</v>
      </c>
      <c r="P40" s="318">
        <f>'16. DD Štíty'!G30</f>
        <v>88157.229999996722</v>
      </c>
      <c r="Q40" s="318">
        <v>0</v>
      </c>
      <c r="R40" s="270">
        <f>'16. DD Štíty'!G28</f>
        <v>88157.23</v>
      </c>
      <c r="S40" s="197">
        <f>R40-M40</f>
        <v>3.2741809263825417E-9</v>
      </c>
      <c r="T40" s="197">
        <f t="shared" si="0"/>
        <v>-3.2741809263825417E-9</v>
      </c>
    </row>
    <row r="41" spans="1:20" x14ac:dyDescent="0.2">
      <c r="A41" s="295"/>
      <c r="B41" s="294"/>
      <c r="C41" s="294"/>
      <c r="D41" s="536"/>
      <c r="E41" s="355"/>
      <c r="F41" s="354"/>
      <c r="G41" s="368"/>
      <c r="H41" s="367"/>
      <c r="I41" s="294"/>
      <c r="J41" s="295"/>
      <c r="K41" s="353"/>
      <c r="L41" s="343"/>
      <c r="M41" s="342"/>
      <c r="N41" s="341"/>
      <c r="O41" s="314">
        <f>O40/$R40</f>
        <v>0</v>
      </c>
      <c r="P41" s="313">
        <f>P40/$R40</f>
        <v>0.99999999999996281</v>
      </c>
      <c r="Q41" s="313"/>
      <c r="R41" s="312">
        <f>Q41+P41+O41</f>
        <v>0.99999999999996281</v>
      </c>
      <c r="S41" s="197"/>
      <c r="T41" s="197">
        <f t="shared" si="0"/>
        <v>0</v>
      </c>
    </row>
    <row r="42" spans="1:20" x14ac:dyDescent="0.2">
      <c r="A42" s="328">
        <v>1648</v>
      </c>
      <c r="B42" s="335" t="s">
        <v>104</v>
      </c>
      <c r="C42" s="311">
        <v>1</v>
      </c>
      <c r="D42" s="524" t="s">
        <v>107</v>
      </c>
      <c r="E42" s="352" t="s">
        <v>106</v>
      </c>
      <c r="F42" s="351" t="s">
        <v>105</v>
      </c>
      <c r="G42" s="366">
        <f>'17. Soc. služby Šumperk'!G16</f>
        <v>13841508.1</v>
      </c>
      <c r="H42" s="365">
        <f>'17. Soc. služby Šumperk'!G18</f>
        <v>13849322.35</v>
      </c>
      <c r="I42" s="309">
        <f>H42-G42</f>
        <v>7814.25</v>
      </c>
      <c r="J42" s="324">
        <v>0</v>
      </c>
      <c r="K42" s="323">
        <f>'17. Soc. služby Šumperk'!G22</f>
        <v>0</v>
      </c>
      <c r="L42" s="322">
        <f>I42-K42-J42</f>
        <v>7814.25</v>
      </c>
      <c r="M42" s="321">
        <f>IF((L42&lt;0),0,L42)</f>
        <v>7814.25</v>
      </c>
      <c r="N42" s="320">
        <f>IF((L42&lt;0),L42,0)</f>
        <v>0</v>
      </c>
      <c r="O42" s="319">
        <f>'17. Soc. služby Šumperk'!G29</f>
        <v>0</v>
      </c>
      <c r="P42" s="318">
        <f>'17. Soc. služby Šumperk'!G30</f>
        <v>7814.25</v>
      </c>
      <c r="Q42" s="318">
        <v>0</v>
      </c>
      <c r="R42" s="317">
        <f>'17. Soc. služby Šumperk'!G28</f>
        <v>7814.25</v>
      </c>
      <c r="S42" s="197">
        <f>R42-M42</f>
        <v>0</v>
      </c>
      <c r="T42" s="197">
        <f t="shared" si="0"/>
        <v>0</v>
      </c>
    </row>
    <row r="43" spans="1:20" x14ac:dyDescent="0.2">
      <c r="A43" s="284"/>
      <c r="B43" s="283"/>
      <c r="C43" s="283"/>
      <c r="D43" s="525"/>
      <c r="E43" s="282"/>
      <c r="F43" s="281"/>
      <c r="G43" s="364"/>
      <c r="H43" s="363"/>
      <c r="I43" s="283"/>
      <c r="J43" s="284"/>
      <c r="K43" s="301"/>
      <c r="L43" s="300"/>
      <c r="M43" s="330"/>
      <c r="N43" s="329"/>
      <c r="O43" s="314">
        <f>O42/$R42</f>
        <v>0</v>
      </c>
      <c r="P43" s="313">
        <f>P42/$R42</f>
        <v>1</v>
      </c>
      <c r="Q43" s="313"/>
      <c r="R43" s="312">
        <f>Q43+P43+O43</f>
        <v>1</v>
      </c>
      <c r="S43" s="197"/>
      <c r="T43" s="197">
        <f t="shared" si="0"/>
        <v>0</v>
      </c>
    </row>
    <row r="44" spans="1:20" s="180" customFormat="1" x14ac:dyDescent="0.2">
      <c r="A44" s="328">
        <v>1649</v>
      </c>
      <c r="B44" s="335" t="s">
        <v>104</v>
      </c>
      <c r="C44" s="311">
        <v>1</v>
      </c>
      <c r="D44" s="524" t="s">
        <v>103</v>
      </c>
      <c r="E44" s="352" t="s">
        <v>102</v>
      </c>
      <c r="F44" s="351" t="s">
        <v>101</v>
      </c>
      <c r="G44" s="325">
        <f>'18. Penzion Loštice'!G16</f>
        <v>4802388.1900000004</v>
      </c>
      <c r="H44" s="322">
        <f>'18. Penzion Loštice'!G18</f>
        <v>4802388.1899999995</v>
      </c>
      <c r="I44" s="334">
        <f>H44-G44</f>
        <v>0</v>
      </c>
      <c r="J44" s="324">
        <v>0</v>
      </c>
      <c r="K44" s="323">
        <f>'18. Penzion Loštice'!G22</f>
        <v>0</v>
      </c>
      <c r="L44" s="322">
        <f>I44-K44-J44</f>
        <v>0</v>
      </c>
      <c r="M44" s="321">
        <f>IF((L44&lt;0),0,L44)</f>
        <v>0</v>
      </c>
      <c r="N44" s="320">
        <f>IF((L44&lt;0),L44,0)</f>
        <v>0</v>
      </c>
      <c r="O44" s="319">
        <f>'18. Penzion Loštice'!G29</f>
        <v>0</v>
      </c>
      <c r="P44" s="318">
        <f>'18. Penzion Loštice'!G30</f>
        <v>0</v>
      </c>
      <c r="Q44" s="318">
        <v>0</v>
      </c>
      <c r="R44" s="317">
        <f>'18. Penzion Loštice'!G28</f>
        <v>0</v>
      </c>
      <c r="S44" s="197">
        <f>R44-M44</f>
        <v>0</v>
      </c>
      <c r="T44" s="197">
        <f t="shared" si="0"/>
        <v>0</v>
      </c>
    </row>
    <row r="45" spans="1:20" s="180" customFormat="1" ht="13.5" thickBot="1" x14ac:dyDescent="0.25">
      <c r="A45" s="269"/>
      <c r="B45" s="268"/>
      <c r="C45" s="268"/>
      <c r="D45" s="537"/>
      <c r="E45" s="230"/>
      <c r="F45" s="229"/>
      <c r="G45" s="362"/>
      <c r="H45" s="361"/>
      <c r="I45" s="268"/>
      <c r="J45" s="269"/>
      <c r="K45" s="360"/>
      <c r="L45" s="359"/>
      <c r="M45" s="358"/>
      <c r="N45" s="357"/>
      <c r="O45" s="221"/>
      <c r="P45" s="220"/>
      <c r="Q45" s="220"/>
      <c r="R45" s="356"/>
      <c r="S45" s="197"/>
      <c r="T45" s="197">
        <f t="shared" si="0"/>
        <v>0</v>
      </c>
    </row>
    <row r="46" spans="1:20" ht="13.5" thickTop="1" x14ac:dyDescent="0.2">
      <c r="A46" s="295">
        <v>1650</v>
      </c>
      <c r="B46" s="294" t="s">
        <v>62</v>
      </c>
      <c r="C46" s="333">
        <v>1</v>
      </c>
      <c r="D46" s="536" t="s">
        <v>100</v>
      </c>
      <c r="E46" s="355" t="s">
        <v>99</v>
      </c>
      <c r="F46" s="354" t="s">
        <v>98</v>
      </c>
      <c r="G46" s="286">
        <f>'19. Domov Paprsek Olšany'!G16</f>
        <v>22219470.890000001</v>
      </c>
      <c r="H46" s="307">
        <f>'19. Domov Paprsek Olšany'!G18</f>
        <v>22225820.270000003</v>
      </c>
      <c r="I46" s="309">
        <f>H46-G46</f>
        <v>6349.3800000026822</v>
      </c>
      <c r="J46" s="286">
        <v>0</v>
      </c>
      <c r="K46" s="308">
        <f>'19. Domov Paprsek Olšany'!G22</f>
        <v>0</v>
      </c>
      <c r="L46" s="307">
        <f>I46-K46-J46</f>
        <v>6349.3800000026822</v>
      </c>
      <c r="M46" s="332">
        <f>IF((L46&lt;0),0,L46)</f>
        <v>6349.3800000026822</v>
      </c>
      <c r="N46" s="331">
        <f>IF((L46&lt;0),L46,0)</f>
        <v>0</v>
      </c>
      <c r="O46" s="306">
        <f>'19. Domov Paprsek Olšany'!G29</f>
        <v>0</v>
      </c>
      <c r="P46" s="305">
        <f>'19. Domov Paprsek Olšany'!G30</f>
        <v>6349.3800000026822</v>
      </c>
      <c r="Q46" s="305">
        <v>0</v>
      </c>
      <c r="R46" s="270">
        <f>'19. Domov Paprsek Olšany'!G28</f>
        <v>6349.38</v>
      </c>
      <c r="S46" s="197">
        <f>R46-M46</f>
        <v>-2.6820998755283654E-9</v>
      </c>
      <c r="T46" s="197">
        <f t="shared" si="0"/>
        <v>2.6820998755283654E-9</v>
      </c>
    </row>
    <row r="47" spans="1:20" x14ac:dyDescent="0.2">
      <c r="A47" s="295"/>
      <c r="B47" s="294"/>
      <c r="C47" s="294"/>
      <c r="D47" s="536"/>
      <c r="E47" s="355"/>
      <c r="F47" s="354"/>
      <c r="G47" s="310"/>
      <c r="H47" s="307"/>
      <c r="I47" s="294"/>
      <c r="J47" s="295"/>
      <c r="K47" s="353"/>
      <c r="L47" s="343"/>
      <c r="M47" s="342"/>
      <c r="N47" s="341"/>
      <c r="O47" s="314">
        <f>O46/$R46</f>
        <v>0</v>
      </c>
      <c r="P47" s="313">
        <f>P46/$R46</f>
        <v>1.0000000000004223</v>
      </c>
      <c r="Q47" s="313"/>
      <c r="R47" s="312">
        <f>Q47+P47+O47</f>
        <v>1.0000000000004223</v>
      </c>
      <c r="S47" s="197"/>
      <c r="T47" s="197">
        <f t="shared" si="0"/>
        <v>0</v>
      </c>
    </row>
    <row r="48" spans="1:20" x14ac:dyDescent="0.2">
      <c r="A48" s="328">
        <v>1651</v>
      </c>
      <c r="B48" s="335" t="s">
        <v>97</v>
      </c>
      <c r="C48" s="311">
        <v>1</v>
      </c>
      <c r="D48" s="524" t="s">
        <v>96</v>
      </c>
      <c r="E48" s="352" t="s">
        <v>95</v>
      </c>
      <c r="F48" s="351" t="s">
        <v>94</v>
      </c>
      <c r="G48" s="325">
        <f>'20. Duha Centrum Vikýřovice'!G16</f>
        <v>5526611.6400000006</v>
      </c>
      <c r="H48" s="322">
        <f>'20. Duha Centrum Vikýřovice'!G18</f>
        <v>5627370.4699999997</v>
      </c>
      <c r="I48" s="309">
        <f>H48-G48</f>
        <v>100758.82999999914</v>
      </c>
      <c r="J48" s="324">
        <v>0</v>
      </c>
      <c r="K48" s="323">
        <f>'20. Duha Centrum Vikýřovice'!G22</f>
        <v>0</v>
      </c>
      <c r="L48" s="322">
        <f>I48-K48-J48</f>
        <v>100758.82999999914</v>
      </c>
      <c r="M48" s="321">
        <f>IF((L48&lt;0),0,L48)</f>
        <v>100758.82999999914</v>
      </c>
      <c r="N48" s="320">
        <f>IF((L48&lt;0),L48,0)</f>
        <v>0</v>
      </c>
      <c r="O48" s="306">
        <f>'20. Duha Centrum Vikýřovice'!G29</f>
        <v>0</v>
      </c>
      <c r="P48" s="305">
        <f>'20. Duha Centrum Vikýřovice'!G30</f>
        <v>100758.82999999914</v>
      </c>
      <c r="Q48" s="305">
        <v>0</v>
      </c>
      <c r="R48" s="270">
        <f>'20. Duha Centrum Vikýřovice'!G28</f>
        <v>100758.83</v>
      </c>
      <c r="S48" s="197">
        <f>R48-M48</f>
        <v>8.5856299847364426E-10</v>
      </c>
      <c r="T48" s="197">
        <f t="shared" si="0"/>
        <v>-8.5856299847364426E-10</v>
      </c>
    </row>
    <row r="49" spans="1:21" x14ac:dyDescent="0.2">
      <c r="A49" s="284"/>
      <c r="B49" s="283"/>
      <c r="C49" s="283"/>
      <c r="D49" s="525"/>
      <c r="E49" s="282"/>
      <c r="F49" s="281"/>
      <c r="G49" s="303"/>
      <c r="H49" s="302"/>
      <c r="I49" s="283"/>
      <c r="J49" s="284"/>
      <c r="K49" s="301"/>
      <c r="L49" s="300"/>
      <c r="M49" s="330"/>
      <c r="N49" s="329"/>
      <c r="O49" s="314">
        <f>O48/$R48</f>
        <v>0</v>
      </c>
      <c r="P49" s="313">
        <f>P48/$R48</f>
        <v>0.99999999999999145</v>
      </c>
      <c r="Q49" s="313"/>
      <c r="R49" s="312">
        <f>Q49+P49+O49</f>
        <v>0.99999999999999145</v>
      </c>
      <c r="S49" s="197"/>
      <c r="T49" s="197">
        <f t="shared" si="0"/>
        <v>0</v>
      </c>
    </row>
    <row r="50" spans="1:21" x14ac:dyDescent="0.2">
      <c r="A50" s="295">
        <v>1652</v>
      </c>
      <c r="B50" s="294" t="s">
        <v>62</v>
      </c>
      <c r="C50" s="311">
        <v>1</v>
      </c>
      <c r="D50" s="536" t="s">
        <v>93</v>
      </c>
      <c r="E50" s="293" t="s">
        <v>92</v>
      </c>
      <c r="F50" s="292" t="s">
        <v>81</v>
      </c>
      <c r="G50" s="310">
        <f>'21. DD Prostějov'!G16</f>
        <v>58092992.850000009</v>
      </c>
      <c r="H50" s="307">
        <f>'21. DD Prostějov'!G18</f>
        <v>58154689.809999995</v>
      </c>
      <c r="I50" s="309">
        <f>H50-G50</f>
        <v>61696.959999985993</v>
      </c>
      <c r="J50" s="286">
        <v>0</v>
      </c>
      <c r="K50" s="436">
        <f>'21. DD Prostějov'!G22</f>
        <v>0</v>
      </c>
      <c r="L50" s="307">
        <f>I50-K50-J50</f>
        <v>61696.959999985993</v>
      </c>
      <c r="M50" s="332">
        <f>IF((L50&lt;0),0,L50)</f>
        <v>61696.959999985993</v>
      </c>
      <c r="N50" s="331">
        <f>IF((L50&lt;0),L50,0)</f>
        <v>0</v>
      </c>
      <c r="O50" s="306">
        <f>'21. DD Prostějov'!G29</f>
        <v>0</v>
      </c>
      <c r="P50" s="305">
        <f>'21. DD Prostějov'!G30</f>
        <v>0</v>
      </c>
      <c r="Q50" s="305">
        <f>'21. DD Prostějov'!G31</f>
        <v>61696.959999999999</v>
      </c>
      <c r="R50" s="270">
        <f>'21. DD Prostějov'!G28</f>
        <v>61696.959999999999</v>
      </c>
      <c r="S50" s="197">
        <f>R50-M50</f>
        <v>1.4006218407303095E-8</v>
      </c>
      <c r="T50" s="197">
        <f t="shared" si="0"/>
        <v>0</v>
      </c>
      <c r="U50" s="184"/>
    </row>
    <row r="51" spans="1:21" x14ac:dyDescent="0.2">
      <c r="A51" s="284"/>
      <c r="B51" s="283"/>
      <c r="C51" s="283"/>
      <c r="D51" s="525"/>
      <c r="E51" s="282"/>
      <c r="F51" s="281"/>
      <c r="G51" s="303"/>
      <c r="H51" s="302"/>
      <c r="I51" s="283"/>
      <c r="J51" s="284"/>
      <c r="K51" s="301"/>
      <c r="L51" s="300"/>
      <c r="M51" s="330"/>
      <c r="N51" s="329"/>
      <c r="O51" s="314">
        <f>O50/$R50</f>
        <v>0</v>
      </c>
      <c r="P51" s="313">
        <f>P50/$R50</f>
        <v>0</v>
      </c>
      <c r="Q51" s="313">
        <f>Q50/$R50</f>
        <v>1</v>
      </c>
      <c r="R51" s="312">
        <f>Q51+P51+O51</f>
        <v>1</v>
      </c>
      <c r="S51" s="197"/>
      <c r="T51" s="197">
        <f t="shared" si="0"/>
        <v>0</v>
      </c>
    </row>
    <row r="52" spans="1:21" x14ac:dyDescent="0.2">
      <c r="A52" s="295">
        <v>1653</v>
      </c>
      <c r="B52" s="294" t="s">
        <v>62</v>
      </c>
      <c r="C52" s="311">
        <v>1</v>
      </c>
      <c r="D52" s="536" t="s">
        <v>91</v>
      </c>
      <c r="E52" s="293" t="s">
        <v>90</v>
      </c>
      <c r="F52" s="292" t="s">
        <v>81</v>
      </c>
      <c r="G52" s="310">
        <f>'22. DD Jesenec'!G16</f>
        <v>19784037.179999996</v>
      </c>
      <c r="H52" s="307">
        <f>'22. DD Jesenec'!G18</f>
        <v>19953981.41</v>
      </c>
      <c r="I52" s="309">
        <f>H52-G52</f>
        <v>169944.23000000417</v>
      </c>
      <c r="J52" s="286">
        <v>0</v>
      </c>
      <c r="K52" s="308">
        <f>'22. DD Jesenec'!G22</f>
        <v>0</v>
      </c>
      <c r="L52" s="307">
        <f>I52-K52-J52</f>
        <v>169944.23000000417</v>
      </c>
      <c r="M52" s="332">
        <f>IF((L52&lt;0),0,L52)</f>
        <v>169944.23000000417</v>
      </c>
      <c r="N52" s="331">
        <f>IF((L52&lt;0),L52,0)</f>
        <v>0</v>
      </c>
      <c r="O52" s="349">
        <f>'22. DD Jesenec'!G29</f>
        <v>0</v>
      </c>
      <c r="P52" s="305">
        <f>'22. DD Jesenec'!G30</f>
        <v>169944.23000000417</v>
      </c>
      <c r="Q52" s="305">
        <f>'22. DD Jesenec'!G31</f>
        <v>0</v>
      </c>
      <c r="R52" s="270">
        <f>'22. DD Jesenec'!G28</f>
        <v>169944.23</v>
      </c>
      <c r="S52" s="197">
        <f>R52-M52</f>
        <v>-4.1618477553129196E-9</v>
      </c>
      <c r="T52" s="197">
        <f t="shared" si="0"/>
        <v>4.1618477553129196E-9</v>
      </c>
    </row>
    <row r="53" spans="1:21" x14ac:dyDescent="0.2">
      <c r="A53" s="284"/>
      <c r="B53" s="283"/>
      <c r="C53" s="283"/>
      <c r="D53" s="525"/>
      <c r="E53" s="282"/>
      <c r="F53" s="281"/>
      <c r="G53" s="303"/>
      <c r="H53" s="302"/>
      <c r="I53" s="283"/>
      <c r="J53" s="284"/>
      <c r="K53" s="301"/>
      <c r="L53" s="300"/>
      <c r="M53" s="330"/>
      <c r="N53" s="329"/>
      <c r="O53" s="314">
        <f>O52/$R52</f>
        <v>0</v>
      </c>
      <c r="P53" s="313">
        <f>P52/$R52</f>
        <v>1.0000000000000244</v>
      </c>
      <c r="Q53" s="313"/>
      <c r="R53" s="312">
        <f>Q53+P53+O53</f>
        <v>1.0000000000000244</v>
      </c>
      <c r="S53" s="197"/>
      <c r="T53" s="197">
        <f t="shared" si="0"/>
        <v>0</v>
      </c>
    </row>
    <row r="54" spans="1:21" x14ac:dyDescent="0.2">
      <c r="A54" s="328">
        <v>1654</v>
      </c>
      <c r="B54" s="294" t="s">
        <v>62</v>
      </c>
      <c r="C54" s="311">
        <v>1</v>
      </c>
      <c r="D54" s="524" t="s">
        <v>89</v>
      </c>
      <c r="E54" s="327" t="s">
        <v>88</v>
      </c>
      <c r="F54" s="326" t="s">
        <v>87</v>
      </c>
      <c r="G54" s="325">
        <f>'23. Domov Nezamyslice'!G16</f>
        <v>39015790.370000005</v>
      </c>
      <c r="H54" s="322">
        <f>'23. Domov Nezamyslice'!G18</f>
        <v>39020593.469999999</v>
      </c>
      <c r="I54" s="309">
        <f>H54-G54</f>
        <v>4803.0999999940395</v>
      </c>
      <c r="J54" s="324">
        <v>0</v>
      </c>
      <c r="K54" s="350">
        <f>'23. Domov Nezamyslice'!G22</f>
        <v>0</v>
      </c>
      <c r="L54" s="320">
        <f>I54-K54-J54</f>
        <v>4803.0999999940395</v>
      </c>
      <c r="M54" s="332">
        <f>IF((L54&lt;0),0,L54)</f>
        <v>4803.0999999940395</v>
      </c>
      <c r="N54" s="331">
        <f>IF((L54&lt;0),L54,0)</f>
        <v>0</v>
      </c>
      <c r="O54" s="349">
        <f>'23. Domov Nezamyslice'!G29</f>
        <v>0</v>
      </c>
      <c r="P54" s="305">
        <f>'23. Domov Nezamyslice'!G30</f>
        <v>4803.0999999940395</v>
      </c>
      <c r="Q54" s="305">
        <v>0</v>
      </c>
      <c r="R54" s="270">
        <f>'23. Domov Nezamyslice'!G28</f>
        <v>4803.1000000000004</v>
      </c>
      <c r="S54" s="197">
        <f>R54-M54</f>
        <v>5.9608282754197717E-9</v>
      </c>
      <c r="T54" s="197">
        <f t="shared" si="0"/>
        <v>-5.9608282754197717E-9</v>
      </c>
    </row>
    <row r="55" spans="1:21" x14ac:dyDescent="0.2">
      <c r="A55" s="284"/>
      <c r="B55" s="283"/>
      <c r="C55" s="283"/>
      <c r="D55" s="525"/>
      <c r="E55" s="282"/>
      <c r="F55" s="281"/>
      <c r="G55" s="303"/>
      <c r="H55" s="302"/>
      <c r="I55" s="283"/>
      <c r="J55" s="284"/>
      <c r="K55" s="301"/>
      <c r="L55" s="300"/>
      <c r="M55" s="330"/>
      <c r="N55" s="329"/>
      <c r="O55" s="314">
        <f>O54/$R54</f>
        <v>0</v>
      </c>
      <c r="P55" s="313">
        <f>P54/$R54</f>
        <v>0.99999999999875899</v>
      </c>
      <c r="Q55" s="313"/>
      <c r="R55" s="312">
        <f>Q55+P55+O55</f>
        <v>0.99999999999875899</v>
      </c>
      <c r="S55" s="197"/>
      <c r="T55" s="197">
        <f t="shared" si="0"/>
        <v>0</v>
      </c>
    </row>
    <row r="56" spans="1:21" x14ac:dyDescent="0.2">
      <c r="A56" s="328">
        <v>1655</v>
      </c>
      <c r="B56" s="294" t="s">
        <v>86</v>
      </c>
      <c r="C56" s="311">
        <v>1</v>
      </c>
      <c r="D56" s="524" t="s">
        <v>85</v>
      </c>
      <c r="E56" s="327" t="s">
        <v>84</v>
      </c>
      <c r="F56" s="326" t="s">
        <v>81</v>
      </c>
      <c r="G56" s="325">
        <f>'24. Soc. služby Prostějov'!G16</f>
        <v>10921910.039999999</v>
      </c>
      <c r="H56" s="322">
        <f>'24. Soc. služby Prostějov'!G18</f>
        <v>11145929.399999999</v>
      </c>
      <c r="I56" s="309">
        <f>H56-G56</f>
        <v>224019.3599999994</v>
      </c>
      <c r="J56" s="324">
        <v>0</v>
      </c>
      <c r="K56" s="350">
        <f>'24. Soc. služby Prostějov'!G22</f>
        <v>0</v>
      </c>
      <c r="L56" s="320">
        <f>I56-K56-J56</f>
        <v>224019.3599999994</v>
      </c>
      <c r="M56" s="321">
        <f>IF((L56&lt;0),0,L56)</f>
        <v>224019.3599999994</v>
      </c>
      <c r="N56" s="320">
        <f>IF((L56&lt;0),L56,0)</f>
        <v>0</v>
      </c>
      <c r="O56" s="349">
        <f>'24. Soc. služby Prostějov'!G29</f>
        <v>0</v>
      </c>
      <c r="P56" s="305">
        <f>'24. Soc. služby Prostějov'!G30</f>
        <v>224019.3599999994</v>
      </c>
      <c r="Q56" s="305">
        <v>0</v>
      </c>
      <c r="R56" s="270">
        <f>'24. Soc. služby Prostějov'!G28</f>
        <v>224019.36</v>
      </c>
      <c r="S56" s="197">
        <f>R56-M56</f>
        <v>5.8207660913467407E-10</v>
      </c>
      <c r="T56" s="197">
        <f t="shared" si="0"/>
        <v>-5.8207660913467407E-10</v>
      </c>
    </row>
    <row r="57" spans="1:21" x14ac:dyDescent="0.2">
      <c r="A57" s="284"/>
      <c r="B57" s="283"/>
      <c r="C57" s="283"/>
      <c r="D57" s="525"/>
      <c r="E57" s="316"/>
      <c r="F57" s="315"/>
      <c r="G57" s="303"/>
      <c r="H57" s="302"/>
      <c r="I57" s="340"/>
      <c r="J57" s="339"/>
      <c r="K57" s="338"/>
      <c r="L57" s="302"/>
      <c r="M57" s="337"/>
      <c r="N57" s="336"/>
      <c r="O57" s="314">
        <f>O56/$R56</f>
        <v>0</v>
      </c>
      <c r="P57" s="313">
        <f>P56/$R56</f>
        <v>0.99999999999999745</v>
      </c>
      <c r="Q57" s="313"/>
      <c r="R57" s="312">
        <f>Q57+P57+O57</f>
        <v>0.99999999999999745</v>
      </c>
      <c r="S57" s="197"/>
      <c r="T57" s="197">
        <f t="shared" si="0"/>
        <v>0</v>
      </c>
    </row>
    <row r="58" spans="1:21" x14ac:dyDescent="0.2">
      <c r="A58" s="328">
        <v>1656</v>
      </c>
      <c r="B58" s="335" t="s">
        <v>62</v>
      </c>
      <c r="C58" s="311">
        <v>1</v>
      </c>
      <c r="D58" s="524" t="s">
        <v>83</v>
      </c>
      <c r="E58" s="327" t="s">
        <v>82</v>
      </c>
      <c r="F58" s="326" t="s">
        <v>81</v>
      </c>
      <c r="G58" s="325">
        <f>'25. Centrum soc. sl.'!G16</f>
        <v>68489173.99000001</v>
      </c>
      <c r="H58" s="322">
        <f>'25. Centrum soc. sl.'!G18</f>
        <v>68566986.890000001</v>
      </c>
      <c r="I58" s="334">
        <f>H58-G58</f>
        <v>77812.899999991059</v>
      </c>
      <c r="J58" s="324">
        <v>0</v>
      </c>
      <c r="K58" s="323">
        <f>'25. Centrum soc. sl.'!G22</f>
        <v>0</v>
      </c>
      <c r="L58" s="322">
        <f>I58-K58-J58</f>
        <v>77812.899999991059</v>
      </c>
      <c r="M58" s="321">
        <f>IF((L58&lt;0),0,L58)</f>
        <v>77812.899999991059</v>
      </c>
      <c r="N58" s="320">
        <f>IF((L58&lt;0),L58,0)</f>
        <v>0</v>
      </c>
      <c r="O58" s="344">
        <f>'25. Centrum soc. sl.'!G29</f>
        <v>0</v>
      </c>
      <c r="P58" s="318">
        <f>'25. Centrum soc. sl.'!G30</f>
        <v>77812.899999991059</v>
      </c>
      <c r="Q58" s="318">
        <v>0</v>
      </c>
      <c r="R58" s="317">
        <f>'25. Centrum soc. sl.'!G28</f>
        <v>77812.899999999994</v>
      </c>
      <c r="S58" s="345">
        <f>R58-M58</f>
        <v>8.934875950217247E-9</v>
      </c>
      <c r="T58" s="197">
        <f t="shared" si="0"/>
        <v>-8.934875950217247E-9</v>
      </c>
    </row>
    <row r="59" spans="1:21" x14ac:dyDescent="0.2">
      <c r="A59" s="284"/>
      <c r="B59" s="283"/>
      <c r="C59" s="283"/>
      <c r="D59" s="525"/>
      <c r="E59" s="282"/>
      <c r="F59" s="281"/>
      <c r="G59" s="303"/>
      <c r="H59" s="302"/>
      <c r="I59" s="283"/>
      <c r="J59" s="284"/>
      <c r="K59" s="301"/>
      <c r="L59" s="300"/>
      <c r="M59" s="330"/>
      <c r="N59" s="329"/>
      <c r="O59" s="348">
        <f>O58/$R58</f>
        <v>0</v>
      </c>
      <c r="P59" s="347">
        <f>P58/$R58</f>
        <v>0.9999999999998852</v>
      </c>
      <c r="Q59" s="347"/>
      <c r="R59" s="346">
        <f>Q59+P59+O59</f>
        <v>0.9999999999998852</v>
      </c>
      <c r="S59" s="345"/>
      <c r="T59" s="197">
        <f t="shared" si="0"/>
        <v>0</v>
      </c>
    </row>
    <row r="60" spans="1:21" x14ac:dyDescent="0.2">
      <c r="A60" s="295">
        <v>1657</v>
      </c>
      <c r="B60" s="294" t="s">
        <v>62</v>
      </c>
      <c r="C60" s="333">
        <v>1</v>
      </c>
      <c r="D60" s="536" t="s">
        <v>80</v>
      </c>
      <c r="E60" s="293" t="s">
        <v>79</v>
      </c>
      <c r="F60" s="292" t="s">
        <v>78</v>
      </c>
      <c r="G60" s="310">
        <f>'26. Domov Radkova Lhota'!G16</f>
        <v>37150869.729999997</v>
      </c>
      <c r="H60" s="307">
        <f>'26. Domov Radkova Lhota'!G18</f>
        <v>37155238.63000001</v>
      </c>
      <c r="I60" s="309">
        <f>H60-G60</f>
        <v>4368.900000013411</v>
      </c>
      <c r="J60" s="286">
        <v>0</v>
      </c>
      <c r="K60" s="308">
        <f>'26. Domov Radkova Lhota'!G22</f>
        <v>0</v>
      </c>
      <c r="L60" s="307">
        <f>I60-K60-J60</f>
        <v>4368.900000013411</v>
      </c>
      <c r="M60" s="332">
        <f>IF((L60&lt;0),0,L60)</f>
        <v>4368.900000013411</v>
      </c>
      <c r="N60" s="331">
        <f>IF((L60&lt;0),L60,0)</f>
        <v>0</v>
      </c>
      <c r="O60" s="344">
        <f>'26. Domov Radkova Lhota'!G29</f>
        <v>0</v>
      </c>
      <c r="P60" s="318">
        <f>'26. Domov Radkova Lhota'!G30</f>
        <v>4368.900000013411</v>
      </c>
      <c r="Q60" s="318">
        <v>0</v>
      </c>
      <c r="R60" s="317">
        <f>'26. Domov Radkova Lhota'!G28</f>
        <v>4368.8999999999996</v>
      </c>
      <c r="S60" s="197">
        <f>R60-M60</f>
        <v>-1.34114088723436E-8</v>
      </c>
      <c r="T60" s="197">
        <f t="shared" si="0"/>
        <v>1.34114088723436E-8</v>
      </c>
    </row>
    <row r="61" spans="1:21" x14ac:dyDescent="0.2">
      <c r="A61" s="284"/>
      <c r="B61" s="283"/>
      <c r="C61" s="283"/>
      <c r="D61" s="525"/>
      <c r="E61" s="316"/>
      <c r="F61" s="315"/>
      <c r="G61" s="310"/>
      <c r="H61" s="307"/>
      <c r="I61" s="294"/>
      <c r="J61" s="295"/>
      <c r="K61" s="301"/>
      <c r="L61" s="343"/>
      <c r="M61" s="342"/>
      <c r="N61" s="341"/>
      <c r="O61" s="314">
        <f>O60/$R60</f>
        <v>0</v>
      </c>
      <c r="P61" s="313">
        <f>P60/$R60</f>
        <v>1.0000000000030698</v>
      </c>
      <c r="Q61" s="313"/>
      <c r="R61" s="312">
        <f>Q61+P61+O61</f>
        <v>1.0000000000030698</v>
      </c>
      <c r="S61" s="197"/>
      <c r="T61" s="197">
        <f t="shared" si="0"/>
        <v>0</v>
      </c>
    </row>
    <row r="62" spans="1:21" x14ac:dyDescent="0.2">
      <c r="A62" s="328">
        <v>1658</v>
      </c>
      <c r="B62" s="294" t="s">
        <v>62</v>
      </c>
      <c r="C62" s="311">
        <v>1</v>
      </c>
      <c r="D62" s="524" t="s">
        <v>77</v>
      </c>
      <c r="E62" s="327" t="s">
        <v>76</v>
      </c>
      <c r="F62" s="538" t="s">
        <v>75</v>
      </c>
      <c r="G62" s="325">
        <f>'27. Domov Alfreda Pavlovice'!G16</f>
        <v>41747466.490000002</v>
      </c>
      <c r="H62" s="322">
        <f>'27. Domov Alfreda Pavlovice'!G18</f>
        <v>41981355.530000001</v>
      </c>
      <c r="I62" s="309">
        <f>H62-G62</f>
        <v>233889.03999999911</v>
      </c>
      <c r="J62" s="324">
        <v>0</v>
      </c>
      <c r="K62" s="323">
        <f>'27. Domov Alfreda Pavlovice'!G22</f>
        <v>0</v>
      </c>
      <c r="L62" s="322">
        <f>I62-K62-J62</f>
        <v>233889.03999999911</v>
      </c>
      <c r="M62" s="321">
        <f>IF((L62&lt;0),0,L62)</f>
        <v>233889.03999999911</v>
      </c>
      <c r="N62" s="320">
        <f>IF((L62&lt;0),L62,0)</f>
        <v>0</v>
      </c>
      <c r="O62" s="306">
        <f>'27. Domov Alfreda Pavlovice'!G29</f>
        <v>0</v>
      </c>
      <c r="P62" s="305">
        <f>'27. Domov Alfreda Pavlovice'!G30</f>
        <v>233889.03999999911</v>
      </c>
      <c r="Q62" s="305">
        <v>0</v>
      </c>
      <c r="R62" s="270">
        <f>'27. Domov Alfreda Pavlovice'!G28</f>
        <v>233889.04</v>
      </c>
      <c r="S62" s="197">
        <f>R62-M62</f>
        <v>9.0221874415874481E-10</v>
      </c>
      <c r="T62" s="197">
        <f t="shared" si="0"/>
        <v>-9.0221874415874481E-10</v>
      </c>
    </row>
    <row r="63" spans="1:21" x14ac:dyDescent="0.2">
      <c r="A63" s="284"/>
      <c r="B63" s="283"/>
      <c r="C63" s="283"/>
      <c r="D63" s="525"/>
      <c r="E63" s="316"/>
      <c r="F63" s="539"/>
      <c r="G63" s="303"/>
      <c r="H63" s="302"/>
      <c r="I63" s="283"/>
      <c r="J63" s="284"/>
      <c r="K63" s="301"/>
      <c r="L63" s="300"/>
      <c r="M63" s="330"/>
      <c r="N63" s="329"/>
      <c r="O63" s="314">
        <f>O62/$R62</f>
        <v>0</v>
      </c>
      <c r="P63" s="313">
        <f>P62/$R62</f>
        <v>0.99999999999999611</v>
      </c>
      <c r="Q63" s="313"/>
      <c r="R63" s="312">
        <f>Q63+P63+O63</f>
        <v>0.99999999999999611</v>
      </c>
      <c r="S63" s="197"/>
      <c r="T63" s="197">
        <f t="shared" si="0"/>
        <v>0</v>
      </c>
    </row>
    <row r="64" spans="1:21" x14ac:dyDescent="0.2">
      <c r="A64" s="328">
        <v>1659</v>
      </c>
      <c r="B64" s="294" t="s">
        <v>62</v>
      </c>
      <c r="C64" s="311">
        <v>1</v>
      </c>
      <c r="D64" s="524" t="s">
        <v>74</v>
      </c>
      <c r="E64" s="327" t="s">
        <v>73</v>
      </c>
      <c r="F64" s="326" t="s">
        <v>72</v>
      </c>
      <c r="G64" s="325">
        <f>'28. Domov Tovačov'!G16</f>
        <v>45351540.370000005</v>
      </c>
      <c r="H64" s="322">
        <f>'28. Domov Tovačov'!G18</f>
        <v>45354404.920000002</v>
      </c>
      <c r="I64" s="309">
        <f>H64-G64</f>
        <v>2864.5499999970198</v>
      </c>
      <c r="J64" s="324">
        <v>0</v>
      </c>
      <c r="K64" s="323">
        <f>'28. Domov Tovačov'!G22</f>
        <v>0</v>
      </c>
      <c r="L64" s="322">
        <f>I64-K64-J64</f>
        <v>2864.5499999970198</v>
      </c>
      <c r="M64" s="321">
        <f>IF((L64&lt;0),0,L64)</f>
        <v>2864.5499999970198</v>
      </c>
      <c r="N64" s="320">
        <f>IF((L64&lt;0),L64,0)</f>
        <v>0</v>
      </c>
      <c r="O64" s="306">
        <f>'28. Domov Tovačov'!G29</f>
        <v>0</v>
      </c>
      <c r="P64" s="305">
        <f>'28. Domov Tovačov'!G30</f>
        <v>2864.5499999970198</v>
      </c>
      <c r="Q64" s="305">
        <v>0</v>
      </c>
      <c r="R64" s="270">
        <f>'28. Domov Tovačov'!G28</f>
        <v>2864.55</v>
      </c>
      <c r="S64" s="197">
        <f>R64-M64</f>
        <v>2.9804141377098858E-9</v>
      </c>
      <c r="T64" s="197">
        <f t="shared" si="0"/>
        <v>-2.9804141377098858E-9</v>
      </c>
    </row>
    <row r="65" spans="1:20" x14ac:dyDescent="0.2">
      <c r="A65" s="284"/>
      <c r="B65" s="283"/>
      <c r="C65" s="283"/>
      <c r="D65" s="525"/>
      <c r="E65" s="316"/>
      <c r="F65" s="315"/>
      <c r="G65" s="303"/>
      <c r="H65" s="302"/>
      <c r="I65" s="340"/>
      <c r="J65" s="339"/>
      <c r="K65" s="338"/>
      <c r="L65" s="302"/>
      <c r="M65" s="337"/>
      <c r="N65" s="336"/>
      <c r="O65" s="314">
        <f>O64/$R64</f>
        <v>0</v>
      </c>
      <c r="P65" s="313">
        <f>P64/$R64</f>
        <v>0.9999999999989595</v>
      </c>
      <c r="Q65" s="313"/>
      <c r="R65" s="312">
        <f>Q65+P65+O65</f>
        <v>0.9999999999989595</v>
      </c>
      <c r="S65" s="197"/>
      <c r="T65" s="197">
        <f t="shared" si="0"/>
        <v>0</v>
      </c>
    </row>
    <row r="66" spans="1:20" x14ac:dyDescent="0.2">
      <c r="A66" s="328">
        <v>1660</v>
      </c>
      <c r="B66" s="335" t="s">
        <v>62</v>
      </c>
      <c r="C66" s="311">
        <v>1</v>
      </c>
      <c r="D66" s="524" t="s">
        <v>71</v>
      </c>
      <c r="E66" s="327" t="s">
        <v>70</v>
      </c>
      <c r="F66" s="326" t="s">
        <v>69</v>
      </c>
      <c r="G66" s="325">
        <f>'29. Domov Skalička'!G16</f>
        <v>25484433.439999994</v>
      </c>
      <c r="H66" s="322">
        <f>'29. Domov Skalička'!G18</f>
        <v>25639921.380000003</v>
      </c>
      <c r="I66" s="334">
        <f>H66-G66</f>
        <v>155487.94000000879</v>
      </c>
      <c r="J66" s="324">
        <v>0</v>
      </c>
      <c r="K66" s="323">
        <f>'29. Domov Skalička'!G22</f>
        <v>0</v>
      </c>
      <c r="L66" s="322">
        <f>I66-K66-J66</f>
        <v>155487.94000000879</v>
      </c>
      <c r="M66" s="321">
        <f>IF((L66&lt;0),0,L66)</f>
        <v>155487.94000000879</v>
      </c>
      <c r="N66" s="320">
        <f>IF((L66&lt;0),L66,0)</f>
        <v>0</v>
      </c>
      <c r="O66" s="319">
        <f>'29. Domov Skalička'!G29</f>
        <v>0</v>
      </c>
      <c r="P66" s="318">
        <f>'29. Domov Skalička'!G30</f>
        <v>155487.94000000879</v>
      </c>
      <c r="Q66" s="318">
        <v>0</v>
      </c>
      <c r="R66" s="317">
        <f>'29. Domov Skalička'!G28</f>
        <v>155487.94</v>
      </c>
      <c r="S66" s="197">
        <f>R66-M66</f>
        <v>-8.7893567979335785E-9</v>
      </c>
      <c r="T66" s="197">
        <f t="shared" si="0"/>
        <v>8.7893567979335785E-9</v>
      </c>
    </row>
    <row r="67" spans="1:20" x14ac:dyDescent="0.2">
      <c r="A67" s="284"/>
      <c r="B67" s="283"/>
      <c r="C67" s="283"/>
      <c r="D67" s="525"/>
      <c r="E67" s="316"/>
      <c r="F67" s="315"/>
      <c r="G67" s="303"/>
      <c r="H67" s="302"/>
      <c r="I67" s="283"/>
      <c r="J67" s="284"/>
      <c r="K67" s="301"/>
      <c r="L67" s="300"/>
      <c r="M67" s="330"/>
      <c r="N67" s="329"/>
      <c r="O67" s="314">
        <f>O66/$R66</f>
        <v>0</v>
      </c>
      <c r="P67" s="313">
        <f>P66/$R66</f>
        <v>1.0000000000000566</v>
      </c>
      <c r="Q67" s="313"/>
      <c r="R67" s="312">
        <f>Q67+P67+O67</f>
        <v>1.0000000000000566</v>
      </c>
      <c r="S67" s="197"/>
      <c r="T67" s="197">
        <f t="shared" si="0"/>
        <v>0</v>
      </c>
    </row>
    <row r="68" spans="1:20" x14ac:dyDescent="0.2">
      <c r="A68" s="295">
        <v>1661</v>
      </c>
      <c r="B68" s="294" t="s">
        <v>62</v>
      </c>
      <c r="C68" s="333">
        <v>1</v>
      </c>
      <c r="D68" s="536" t="s">
        <v>68</v>
      </c>
      <c r="E68" s="293" t="s">
        <v>67</v>
      </c>
      <c r="F68" s="292" t="s">
        <v>66</v>
      </c>
      <c r="G68" s="310">
        <f>'30. Centrum Kokory'!G16</f>
        <v>26230668.309999999</v>
      </c>
      <c r="H68" s="307">
        <f>'30. Centrum Kokory'!G18</f>
        <v>26231016.340000004</v>
      </c>
      <c r="I68" s="309">
        <f>H68-G68</f>
        <v>348.03000000491738</v>
      </c>
      <c r="J68" s="286">
        <v>0</v>
      </c>
      <c r="K68" s="308">
        <f>'30. Centrum Kokory'!G22</f>
        <v>0</v>
      </c>
      <c r="L68" s="307">
        <f>I68-K68-J68</f>
        <v>348.03000000491738</v>
      </c>
      <c r="M68" s="332">
        <f>IF((L68&lt;0),0,L68)</f>
        <v>348.03000000491738</v>
      </c>
      <c r="N68" s="331">
        <f>IF((L68&lt;0),L68,0)</f>
        <v>0</v>
      </c>
      <c r="O68" s="306">
        <f>'30. Centrum Kokory'!G29</f>
        <v>0</v>
      </c>
      <c r="P68" s="305">
        <f>'30. Centrum Kokory'!G30</f>
        <v>348.03000000491738</v>
      </c>
      <c r="Q68" s="305">
        <v>0</v>
      </c>
      <c r="R68" s="270">
        <f>'30. Centrum Kokory'!G28</f>
        <v>348.03</v>
      </c>
      <c r="S68" s="197">
        <f>R68-M68</f>
        <v>-4.9174104788107798E-9</v>
      </c>
      <c r="T68" s="197">
        <f t="shared" si="0"/>
        <v>4.9174104788107798E-9</v>
      </c>
    </row>
    <row r="69" spans="1:20" x14ac:dyDescent="0.2">
      <c r="A69" s="284"/>
      <c r="B69" s="283"/>
      <c r="C69" s="283"/>
      <c r="D69" s="525"/>
      <c r="E69" s="316"/>
      <c r="F69" s="315"/>
      <c r="G69" s="303"/>
      <c r="H69" s="302"/>
      <c r="I69" s="283"/>
      <c r="J69" s="284"/>
      <c r="K69" s="301"/>
      <c r="L69" s="300"/>
      <c r="M69" s="330"/>
      <c r="N69" s="329"/>
      <c r="O69" s="314">
        <f>O68/$R68</f>
        <v>0</v>
      </c>
      <c r="P69" s="313">
        <f>P68/$R68</f>
        <v>1.0000000000141294</v>
      </c>
      <c r="Q69" s="313"/>
      <c r="R69" s="312">
        <f>Q69+P69+O69</f>
        <v>1.0000000000141294</v>
      </c>
      <c r="S69" s="197"/>
      <c r="T69" s="197">
        <f t="shared" si="0"/>
        <v>0</v>
      </c>
    </row>
    <row r="70" spans="1:20" x14ac:dyDescent="0.2">
      <c r="A70" s="328">
        <v>1662</v>
      </c>
      <c r="B70" s="294" t="s">
        <v>62</v>
      </c>
      <c r="C70" s="311">
        <v>1</v>
      </c>
      <c r="D70" s="524" t="s">
        <v>65</v>
      </c>
      <c r="E70" s="327" t="s">
        <v>64</v>
      </c>
      <c r="F70" s="326" t="s">
        <v>63</v>
      </c>
      <c r="G70" s="325">
        <f>'31. Domov Adam Dřev.'!G16</f>
        <v>30060159.380000006</v>
      </c>
      <c r="H70" s="322">
        <f>'31. Domov Adam Dřev.'!G18</f>
        <v>30265072.109999999</v>
      </c>
      <c r="I70" s="309">
        <f>H70-G70</f>
        <v>204912.729999993</v>
      </c>
      <c r="J70" s="324">
        <v>0</v>
      </c>
      <c r="K70" s="323">
        <f>'31. Domov Adam Dřev.'!G22</f>
        <v>0</v>
      </c>
      <c r="L70" s="322">
        <f>I70-K70-J70</f>
        <v>204912.729999993</v>
      </c>
      <c r="M70" s="321">
        <f>IF((L70&lt;0),0,L70)</f>
        <v>204912.729999993</v>
      </c>
      <c r="N70" s="320">
        <f>IF((L70&lt;0),L70,0)</f>
        <v>0</v>
      </c>
      <c r="O70" s="319">
        <f>'31. Domov Adam Dřev.'!G29</f>
        <v>0</v>
      </c>
      <c r="P70" s="318">
        <f>'31. Domov Adam Dřev.'!G30</f>
        <v>204912.729999993</v>
      </c>
      <c r="Q70" s="318">
        <v>0</v>
      </c>
      <c r="R70" s="317">
        <f>'31. Domov Adam Dřev.'!G28</f>
        <v>204912.73</v>
      </c>
      <c r="S70" s="197">
        <f>R70-M70</f>
        <v>7.0140231400728226E-9</v>
      </c>
      <c r="T70" s="197">
        <f t="shared" si="0"/>
        <v>-7.0140231400728226E-9</v>
      </c>
    </row>
    <row r="71" spans="1:20" x14ac:dyDescent="0.2">
      <c r="A71" s="284"/>
      <c r="B71" s="283"/>
      <c r="C71" s="304"/>
      <c r="D71" s="525"/>
      <c r="E71" s="316"/>
      <c r="F71" s="315"/>
      <c r="G71" s="303"/>
      <c r="H71" s="302"/>
      <c r="I71" s="283"/>
      <c r="J71" s="284"/>
      <c r="K71" s="301"/>
      <c r="L71" s="300"/>
      <c r="M71" s="284"/>
      <c r="N71" s="299"/>
      <c r="O71" s="314">
        <f>O70/$R70</f>
        <v>0</v>
      </c>
      <c r="P71" s="313">
        <f>P70/$R70</f>
        <v>0.99999999999996581</v>
      </c>
      <c r="Q71" s="313"/>
      <c r="R71" s="312">
        <f>Q71+P71+O71</f>
        <v>0.99999999999996581</v>
      </c>
      <c r="S71" s="197"/>
      <c r="T71" s="197">
        <f t="shared" si="0"/>
        <v>0</v>
      </c>
    </row>
    <row r="72" spans="1:20" x14ac:dyDescent="0.2">
      <c r="A72" s="295">
        <v>1663</v>
      </c>
      <c r="B72" s="294" t="s">
        <v>62</v>
      </c>
      <c r="C72" s="311">
        <v>1</v>
      </c>
      <c r="D72" s="536" t="s">
        <v>61</v>
      </c>
      <c r="E72" s="293" t="s">
        <v>60</v>
      </c>
      <c r="F72" s="292" t="s">
        <v>59</v>
      </c>
      <c r="G72" s="310">
        <f>'32. Domov Na Zámečku Rokytnice'!G16</f>
        <v>51850198.659999989</v>
      </c>
      <c r="H72" s="307">
        <f>'32. Domov Na Zámečku Rokytnice'!G18</f>
        <v>51889812.819999993</v>
      </c>
      <c r="I72" s="309">
        <f>H72-G72</f>
        <v>39614.160000003874</v>
      </c>
      <c r="J72" s="286">
        <v>0</v>
      </c>
      <c r="K72" s="308">
        <f>'32. Domov Na Zámečku Rokytnice'!G22</f>
        <v>0</v>
      </c>
      <c r="L72" s="307">
        <f>I72-K72-J72</f>
        <v>39614.160000003874</v>
      </c>
      <c r="M72" s="286">
        <f>IF((L72&lt;0),0,L72)</f>
        <v>39614.160000003874</v>
      </c>
      <c r="N72" s="285">
        <f>IF((L72&lt;0),L72,0)</f>
        <v>0</v>
      </c>
      <c r="O72" s="306">
        <f>'32. Domov Na Zámečku Rokytnice'!G29</f>
        <v>0</v>
      </c>
      <c r="P72" s="305">
        <f>'32. Domov Na Zámečku Rokytnice'!G30</f>
        <v>39614.160000003874</v>
      </c>
      <c r="Q72" s="305">
        <v>0</v>
      </c>
      <c r="R72" s="270">
        <f>'32. Domov Na Zámečku Rokytnice'!G28</f>
        <v>39614.160000000003</v>
      </c>
      <c r="S72" s="197">
        <f>R72-M72</f>
        <v>-3.8708094507455826E-9</v>
      </c>
      <c r="T72" s="197">
        <f t="shared" si="0"/>
        <v>3.8708094507455826E-9</v>
      </c>
    </row>
    <row r="73" spans="1:20" ht="13.5" thickBot="1" x14ac:dyDescent="0.25">
      <c r="A73" s="284"/>
      <c r="B73" s="283"/>
      <c r="C73" s="304"/>
      <c r="D73" s="525"/>
      <c r="E73" s="282"/>
      <c r="F73" s="281"/>
      <c r="G73" s="303"/>
      <c r="H73" s="302"/>
      <c r="I73" s="283"/>
      <c r="J73" s="284"/>
      <c r="K73" s="301"/>
      <c r="L73" s="300"/>
      <c r="M73" s="284"/>
      <c r="N73" s="299"/>
      <c r="O73" s="298">
        <f>O72/$R72</f>
        <v>0</v>
      </c>
      <c r="P73" s="297">
        <f>P72/$R72</f>
        <v>1.0000000000000977</v>
      </c>
      <c r="Q73" s="297"/>
      <c r="R73" s="296">
        <f>Q73+P73+O73</f>
        <v>1.0000000000000977</v>
      </c>
      <c r="S73" s="197"/>
      <c r="T73" s="197">
        <f t="shared" si="0"/>
        <v>0</v>
      </c>
    </row>
    <row r="74" spans="1:20" ht="13.5" hidden="1" thickBot="1" x14ac:dyDescent="0.25">
      <c r="A74" s="295"/>
      <c r="B74" s="294"/>
      <c r="C74" s="294"/>
      <c r="D74" s="540"/>
      <c r="E74" s="293"/>
      <c r="F74" s="292"/>
      <c r="G74" s="291"/>
      <c r="H74" s="287"/>
      <c r="I74" s="290"/>
      <c r="J74" s="289"/>
      <c r="K74" s="288"/>
      <c r="L74" s="287"/>
      <c r="M74" s="286"/>
      <c r="N74" s="285"/>
      <c r="O74" s="272"/>
      <c r="P74" s="271"/>
      <c r="Q74" s="271"/>
      <c r="R74" s="270"/>
      <c r="S74" s="197"/>
    </row>
    <row r="75" spans="1:20" ht="13.5" hidden="1" thickBot="1" x14ac:dyDescent="0.25">
      <c r="A75" s="284"/>
      <c r="B75" s="283"/>
      <c r="C75" s="283"/>
      <c r="D75" s="541"/>
      <c r="E75" s="282"/>
      <c r="F75" s="281"/>
      <c r="G75" s="280"/>
      <c r="H75" s="279"/>
      <c r="I75" s="278"/>
      <c r="J75" s="277"/>
      <c r="K75" s="276"/>
      <c r="L75" s="275"/>
      <c r="M75" s="274"/>
      <c r="N75" s="273"/>
      <c r="O75" s="272"/>
      <c r="P75" s="271"/>
      <c r="Q75" s="271"/>
      <c r="R75" s="270"/>
      <c r="S75" s="197"/>
    </row>
    <row r="76" spans="1:20" ht="15.75" hidden="1" thickBot="1" x14ac:dyDescent="0.25">
      <c r="A76" s="269"/>
      <c r="B76" s="268"/>
      <c r="C76" s="268"/>
      <c r="D76" s="267"/>
      <c r="E76" s="230"/>
      <c r="F76" s="229"/>
      <c r="G76" s="266"/>
      <c r="H76" s="265"/>
      <c r="I76" s="264"/>
      <c r="J76" s="261"/>
      <c r="K76" s="263"/>
      <c r="L76" s="262"/>
      <c r="M76" s="261"/>
      <c r="N76" s="260"/>
      <c r="O76" s="259"/>
      <c r="P76" s="258"/>
      <c r="Q76" s="258"/>
      <c r="R76" s="257"/>
      <c r="S76" s="197"/>
    </row>
    <row r="77" spans="1:20" ht="15.75" thickTop="1" x14ac:dyDescent="0.2">
      <c r="A77" s="256"/>
      <c r="B77" s="255"/>
      <c r="C77" s="255"/>
      <c r="D77" s="255"/>
      <c r="E77" s="254"/>
      <c r="F77" s="253"/>
      <c r="G77" s="252"/>
      <c r="H77" s="251"/>
      <c r="I77" s="250"/>
      <c r="J77" s="250"/>
      <c r="K77" s="249"/>
      <c r="L77" s="248"/>
      <c r="M77" s="247"/>
      <c r="N77" s="246"/>
      <c r="O77" s="245"/>
      <c r="P77" s="244"/>
      <c r="Q77" s="244"/>
      <c r="R77" s="243"/>
      <c r="S77" s="197"/>
    </row>
    <row r="78" spans="1:20" ht="15" x14ac:dyDescent="0.25">
      <c r="A78" s="242" t="s">
        <v>58</v>
      </c>
      <c r="B78" s="241"/>
      <c r="C78" s="241"/>
      <c r="D78" s="241"/>
      <c r="E78" s="240"/>
      <c r="F78" s="239"/>
      <c r="G78" s="235">
        <f>SUM(G10:G73)</f>
        <v>1120010480.8</v>
      </c>
      <c r="H78" s="237">
        <f>ROUND(SUM(H10:H73),2)</f>
        <v>1122030783.27</v>
      </c>
      <c r="I78" s="238">
        <f>SUM(I10:I73)</f>
        <v>2020302.4699999751</v>
      </c>
      <c r="J78" s="238">
        <f>SUM(J10:J73)</f>
        <v>0</v>
      </c>
      <c r="K78" s="235">
        <f>SUM(K10:K73)</f>
        <v>0</v>
      </c>
      <c r="L78" s="237">
        <f>SUM(L10:L73)</f>
        <v>2020302.4699999751</v>
      </c>
      <c r="M78" s="235">
        <f>ROUND(SUM(M10:M73),2)</f>
        <v>2020302.47</v>
      </c>
      <c r="N78" s="236">
        <f>SUM(N10:N73)</f>
        <v>0</v>
      </c>
      <c r="O78" s="235">
        <f>O72+O70+O68+O66+O64+O62+O60+O58+O56+O54+O52+O50+O48+O46+O44+O42+O40+O38+O36+O34+O32+O30+O28+O26+O24+O22+O20+O18+O16+O14+O12+O10</f>
        <v>0</v>
      </c>
      <c r="P78" s="234">
        <f>P72+P70+P68+P66+P64+P62+P60+P58+P56+P54+P52+P50+P48+P46+P44+P42+P40+P38+P36+P34+P32+P30+P28+P26+P24+P22+P20+P18+P16+P14+P12+P10</f>
        <v>1958605.5100000033</v>
      </c>
      <c r="Q78" s="234">
        <f>Q72+Q70+Q68+Q66+Q64+Q62+Q60+Q58+Q56+Q54+Q52+Q50+Q48+Q46+Q44+Q42+Q40+Q38+Q36+Q34+Q32+Q30+Q28+Q26+Q24+Q22+Q20+Q18+Q16+Q14+Q12+Q10</f>
        <v>61696.959999999999</v>
      </c>
      <c r="R78" s="233">
        <f>R72+R70+R68+R66+R64+R62+R60+R58+R56+R54+R52+R50+R48+R46+R44+R42+R40+R38+R36+R34+R32+R30+R28+R26+R24+R22+R20+R18+R16+R14+R12+R10</f>
        <v>2020302.4699999997</v>
      </c>
      <c r="S78" s="197"/>
    </row>
    <row r="79" spans="1:20" ht="15.75" thickBot="1" x14ac:dyDescent="0.25">
      <c r="A79" s="232"/>
      <c r="B79" s="231"/>
      <c r="C79" s="231"/>
      <c r="D79" s="231"/>
      <c r="E79" s="230"/>
      <c r="F79" s="229"/>
      <c r="G79" s="228"/>
      <c r="H79" s="227"/>
      <c r="I79" s="226"/>
      <c r="J79" s="226"/>
      <c r="K79" s="225"/>
      <c r="L79" s="224"/>
      <c r="M79" s="223" t="s">
        <v>57</v>
      </c>
      <c r="N79" s="222">
        <f>M78+N78</f>
        <v>2020302.47</v>
      </c>
      <c r="O79" s="221">
        <f>O78/$R78</f>
        <v>0</v>
      </c>
      <c r="P79" s="220">
        <f>P78/$R78</f>
        <v>0.96946152325399249</v>
      </c>
      <c r="Q79" s="220">
        <f>Q78/$R78</f>
        <v>3.0538476746009229E-2</v>
      </c>
      <c r="R79" s="219">
        <f>Q79+P79+O79</f>
        <v>1.0000000000000018</v>
      </c>
      <c r="S79" s="197"/>
    </row>
    <row r="80" spans="1:20" ht="16.5" hidden="1" thickTop="1" x14ac:dyDescent="0.25">
      <c r="A80" s="218" t="s">
        <v>56</v>
      </c>
      <c r="B80" s="218"/>
      <c r="C80" s="218"/>
      <c r="D80" s="217"/>
      <c r="E80" s="216"/>
      <c r="F80" s="215"/>
      <c r="G80" s="214">
        <f t="shared" ref="G80:L80" si="1">G81+G82</f>
        <v>1120010480.8</v>
      </c>
      <c r="H80" s="214">
        <f t="shared" si="1"/>
        <v>1122030783.27</v>
      </c>
      <c r="I80" s="214">
        <f t="shared" si="1"/>
        <v>8334.77</v>
      </c>
      <c r="J80" s="214">
        <f t="shared" si="1"/>
        <v>0</v>
      </c>
      <c r="K80" s="214">
        <f t="shared" si="1"/>
        <v>0</v>
      </c>
      <c r="L80" s="214">
        <f t="shared" si="1"/>
        <v>2020302.47</v>
      </c>
      <c r="M80" s="213"/>
      <c r="N80" s="213"/>
      <c r="O80" s="212"/>
      <c r="P80" s="211"/>
      <c r="Q80" s="211"/>
      <c r="R80" s="211"/>
    </row>
    <row r="81" spans="1:18" ht="15" hidden="1" x14ac:dyDescent="0.2">
      <c r="D81" s="210" t="s">
        <v>55</v>
      </c>
      <c r="E81" s="208"/>
      <c r="F81" s="209"/>
      <c r="G81" s="196">
        <v>1120010480.8</v>
      </c>
      <c r="H81" s="196">
        <v>1122030783.27</v>
      </c>
      <c r="I81" s="196">
        <v>8324.77</v>
      </c>
      <c r="J81" s="196">
        <v>0</v>
      </c>
      <c r="K81" s="206">
        <v>0</v>
      </c>
      <c r="L81" s="196">
        <v>2020302.47</v>
      </c>
      <c r="M81" s="184"/>
      <c r="N81" s="184"/>
      <c r="O81" s="205"/>
      <c r="P81" s="205"/>
      <c r="Q81" s="205"/>
      <c r="R81" s="205"/>
    </row>
    <row r="82" spans="1:18" ht="15" hidden="1" x14ac:dyDescent="0.2">
      <c r="D82" s="183" t="s">
        <v>54</v>
      </c>
      <c r="E82" s="208"/>
      <c r="F82" s="207"/>
      <c r="G82" s="196">
        <v>0</v>
      </c>
      <c r="H82" s="196">
        <v>0</v>
      </c>
      <c r="I82" s="196">
        <v>10</v>
      </c>
      <c r="J82" s="196">
        <v>0</v>
      </c>
      <c r="K82" s="206">
        <v>0</v>
      </c>
      <c r="L82" s="196">
        <v>0</v>
      </c>
      <c r="M82" s="184"/>
      <c r="N82" s="184"/>
      <c r="O82" s="205"/>
      <c r="P82" s="205"/>
      <c r="Q82" s="205"/>
      <c r="R82" s="205"/>
    </row>
    <row r="83" spans="1:18" ht="15" hidden="1" x14ac:dyDescent="0.2">
      <c r="A83" s="204" t="s">
        <v>53</v>
      </c>
      <c r="B83" s="204"/>
      <c r="C83" s="204"/>
      <c r="D83" s="203"/>
      <c r="E83" s="202"/>
      <c r="F83" s="201"/>
      <c r="G83" s="200">
        <f t="shared" ref="G83:L83" si="2">G78-G80</f>
        <v>0</v>
      </c>
      <c r="H83" s="200">
        <f t="shared" si="2"/>
        <v>0</v>
      </c>
      <c r="I83" s="200">
        <f t="shared" si="2"/>
        <v>2011967.699999975</v>
      </c>
      <c r="J83" s="200">
        <f t="shared" si="2"/>
        <v>0</v>
      </c>
      <c r="K83" s="200">
        <f t="shared" si="2"/>
        <v>0</v>
      </c>
      <c r="L83" s="200">
        <f t="shared" si="2"/>
        <v>-2.491287887096405E-8</v>
      </c>
      <c r="M83" s="199"/>
      <c r="N83" s="199"/>
      <c r="O83" s="195"/>
      <c r="P83" s="195"/>
      <c r="Q83" s="195"/>
      <c r="R83" s="194"/>
    </row>
    <row r="84" spans="1:18" hidden="1" x14ac:dyDescent="0.2">
      <c r="A84" s="193"/>
      <c r="B84" s="193"/>
      <c r="C84" s="193"/>
      <c r="D84" s="193"/>
      <c r="E84" s="193"/>
      <c r="F84" s="198"/>
      <c r="G84" s="197"/>
      <c r="H84" s="197" t="s">
        <v>296</v>
      </c>
      <c r="I84" s="180"/>
      <c r="J84" s="180"/>
      <c r="K84" s="180">
        <f>COUNTIF(M10:M73,"=0")</f>
        <v>2</v>
      </c>
      <c r="L84" s="180"/>
      <c r="M84" s="180"/>
      <c r="N84" s="180"/>
      <c r="O84" s="194"/>
      <c r="P84" s="194"/>
      <c r="Q84" s="194"/>
      <c r="R84" s="194"/>
    </row>
    <row r="85" spans="1:18" hidden="1" x14ac:dyDescent="0.2">
      <c r="A85" s="193"/>
      <c r="B85" s="193"/>
      <c r="C85" s="193"/>
      <c r="D85" s="193"/>
      <c r="E85" s="193"/>
      <c r="F85" s="198"/>
      <c r="G85" s="197"/>
      <c r="H85" s="197" t="s">
        <v>296</v>
      </c>
      <c r="I85" s="180"/>
      <c r="J85" s="180"/>
      <c r="K85" s="180">
        <f>COUNTIF(M10:M73,"&gt;0")</f>
        <v>30</v>
      </c>
      <c r="L85" s="180"/>
      <c r="M85" s="180"/>
      <c r="N85" s="180"/>
      <c r="O85" s="194"/>
      <c r="P85" s="194"/>
      <c r="Q85" s="194"/>
      <c r="R85" s="194"/>
    </row>
    <row r="86" spans="1:18" hidden="1" x14ac:dyDescent="0.2">
      <c r="A86" s="193"/>
      <c r="B86" s="193"/>
      <c r="C86" s="193"/>
      <c r="D86" s="193"/>
      <c r="E86" s="193"/>
      <c r="F86" s="198"/>
      <c r="G86" s="197"/>
      <c r="H86" s="197" t="s">
        <v>297</v>
      </c>
      <c r="I86" s="180"/>
      <c r="J86" s="180"/>
      <c r="K86" s="180">
        <f>COUNTIF(M10:M73,"&lt;0")</f>
        <v>0</v>
      </c>
      <c r="L86" s="180"/>
      <c r="M86" s="180"/>
      <c r="N86" s="180"/>
      <c r="O86" s="194"/>
      <c r="P86" s="194"/>
      <c r="Q86" s="194"/>
      <c r="R86" s="194"/>
    </row>
    <row r="87" spans="1:18" ht="13.5" thickTop="1" x14ac:dyDescent="0.2">
      <c r="A87" s="193"/>
      <c r="B87" s="193"/>
      <c r="C87" s="193"/>
      <c r="D87" s="193"/>
      <c r="E87" s="193"/>
      <c r="F87" s="198"/>
      <c r="G87" s="197"/>
      <c r="H87" s="197"/>
      <c r="I87" s="180"/>
      <c r="J87" s="180"/>
      <c r="K87" s="180"/>
      <c r="L87" s="180"/>
      <c r="M87" s="180"/>
      <c r="N87" s="180"/>
      <c r="O87" s="194"/>
      <c r="P87" s="194"/>
      <c r="Q87" s="194"/>
      <c r="R87" s="194"/>
    </row>
    <row r="88" spans="1:18" x14ac:dyDescent="0.2">
      <c r="A88" s="193"/>
      <c r="B88" s="193"/>
      <c r="C88" s="193"/>
      <c r="D88" s="193"/>
      <c r="E88" s="193"/>
      <c r="F88" s="198"/>
      <c r="G88" s="197"/>
      <c r="H88" s="197"/>
      <c r="I88" s="180"/>
      <c r="J88" s="180"/>
      <c r="K88" s="180"/>
      <c r="L88" s="180"/>
      <c r="M88" s="180"/>
      <c r="N88" s="180"/>
      <c r="O88" s="194"/>
      <c r="P88" s="194"/>
      <c r="Q88" s="194"/>
      <c r="R88" s="194"/>
    </row>
    <row r="89" spans="1:18" ht="15" x14ac:dyDescent="0.2">
      <c r="A89" s="183" t="s">
        <v>52</v>
      </c>
      <c r="B89" s="183"/>
      <c r="C89" s="183"/>
      <c r="D89" s="183"/>
      <c r="K89" s="180"/>
      <c r="L89" s="180"/>
      <c r="M89" s="180"/>
      <c r="N89" s="180"/>
      <c r="O89" s="194"/>
      <c r="P89" s="194"/>
      <c r="Q89" s="194"/>
      <c r="R89" s="194"/>
    </row>
    <row r="90" spans="1:18" ht="15" x14ac:dyDescent="0.2">
      <c r="A90" s="183"/>
      <c r="B90" s="189" t="s">
        <v>298</v>
      </c>
      <c r="C90" s="182"/>
      <c r="E90" s="1"/>
      <c r="F90" s="184"/>
      <c r="H90" s="186">
        <f>M78</f>
        <v>2020302.47</v>
      </c>
      <c r="J90" s="183" t="s">
        <v>49</v>
      </c>
      <c r="K90" s="1" t="s">
        <v>48</v>
      </c>
      <c r="M90" s="196"/>
      <c r="N90" s="183"/>
      <c r="O90" s="195"/>
      <c r="P90" s="195"/>
      <c r="Q90" s="195"/>
      <c r="R90" s="194"/>
    </row>
    <row r="91" spans="1:18" ht="15" x14ac:dyDescent="0.2">
      <c r="A91" s="180"/>
      <c r="B91" s="189" t="s">
        <v>299</v>
      </c>
      <c r="C91" s="188">
        <v>0</v>
      </c>
      <c r="D91" s="193"/>
      <c r="E91" s="180"/>
      <c r="F91" s="180"/>
      <c r="G91" s="180"/>
      <c r="H91" s="192">
        <v>0</v>
      </c>
      <c r="I91" s="191"/>
      <c r="J91" s="190" t="s">
        <v>49</v>
      </c>
      <c r="K91" s="1" t="s">
        <v>48</v>
      </c>
    </row>
    <row r="92" spans="1:18" ht="15" x14ac:dyDescent="0.2">
      <c r="A92" s="183" t="s">
        <v>51</v>
      </c>
      <c r="B92" s="189" t="s">
        <v>50</v>
      </c>
      <c r="C92" s="188">
        <v>0</v>
      </c>
      <c r="D92" s="187"/>
      <c r="E92" s="1"/>
      <c r="F92" s="1"/>
      <c r="H92" s="186">
        <f>N78</f>
        <v>0</v>
      </c>
      <c r="I92" s="185"/>
      <c r="J92" s="183" t="s">
        <v>49</v>
      </c>
      <c r="K92" s="1" t="s">
        <v>48</v>
      </c>
      <c r="L92" s="185"/>
      <c r="M92" s="185"/>
      <c r="N92" s="185"/>
      <c r="O92" s="185"/>
      <c r="P92" s="185"/>
      <c r="Q92" s="185"/>
      <c r="R92" s="185"/>
    </row>
    <row r="93" spans="1:18" ht="15" x14ac:dyDescent="0.2">
      <c r="A93" s="183"/>
      <c r="B93" s="183"/>
      <c r="C93" s="183"/>
      <c r="D93" s="183"/>
    </row>
    <row r="94" spans="1:18" ht="15" x14ac:dyDescent="0.2">
      <c r="A94" s="183"/>
      <c r="B94" s="183"/>
      <c r="C94" s="183"/>
      <c r="D94" s="183"/>
      <c r="H94" s="184"/>
    </row>
    <row r="95" spans="1:18" ht="15" x14ac:dyDescent="0.2">
      <c r="A95" s="183"/>
      <c r="B95" s="183"/>
      <c r="C95" s="183"/>
      <c r="D95" s="183"/>
      <c r="H95" s="184"/>
    </row>
    <row r="96" spans="1:18" ht="15" x14ac:dyDescent="0.2">
      <c r="A96" s="183"/>
      <c r="B96" s="183"/>
      <c r="C96" s="183"/>
      <c r="D96" s="183"/>
    </row>
    <row r="97" spans="1:4" ht="15" x14ac:dyDescent="0.2">
      <c r="A97" s="183"/>
      <c r="B97" s="183"/>
      <c r="C97" s="183"/>
      <c r="D97" s="183"/>
    </row>
    <row r="98" spans="1:4" ht="15" x14ac:dyDescent="0.2">
      <c r="A98" s="183"/>
      <c r="B98" s="183"/>
      <c r="C98" s="183"/>
      <c r="D98" s="183"/>
    </row>
    <row r="99" spans="1:4" ht="15" x14ac:dyDescent="0.2">
      <c r="A99" s="183"/>
      <c r="B99" s="183"/>
      <c r="C99" s="183"/>
      <c r="D99" s="183"/>
    </row>
    <row r="100" spans="1:4" ht="15" x14ac:dyDescent="0.2">
      <c r="A100" s="183"/>
      <c r="B100" s="183"/>
      <c r="C100" s="183"/>
      <c r="D100" s="183"/>
    </row>
    <row r="101" spans="1:4" ht="15" x14ac:dyDescent="0.2">
      <c r="A101" s="183"/>
      <c r="B101" s="183"/>
      <c r="C101" s="183"/>
      <c r="D101" s="183"/>
    </row>
    <row r="102" spans="1:4" ht="15" x14ac:dyDescent="0.2">
      <c r="A102" s="183"/>
      <c r="B102" s="183"/>
      <c r="C102" s="183"/>
      <c r="D102" s="183"/>
    </row>
    <row r="103" spans="1:4" ht="15" x14ac:dyDescent="0.2">
      <c r="A103" s="183"/>
      <c r="B103" s="183"/>
      <c r="C103" s="183"/>
      <c r="D103" s="183"/>
    </row>
    <row r="104" spans="1:4" ht="15" x14ac:dyDescent="0.2">
      <c r="A104" s="183"/>
      <c r="B104" s="183"/>
      <c r="C104" s="183"/>
      <c r="D104" s="183"/>
    </row>
    <row r="105" spans="1:4" ht="15" x14ac:dyDescent="0.2">
      <c r="A105" s="183"/>
      <c r="B105" s="183"/>
      <c r="C105" s="183"/>
      <c r="D105" s="183"/>
    </row>
    <row r="106" spans="1:4" ht="15" x14ac:dyDescent="0.2">
      <c r="A106" s="183"/>
      <c r="B106" s="183"/>
      <c r="C106" s="183"/>
      <c r="D106" s="183"/>
    </row>
    <row r="107" spans="1:4" ht="15" x14ac:dyDescent="0.2">
      <c r="A107" s="183"/>
      <c r="B107" s="183"/>
      <c r="C107" s="183"/>
      <c r="D107" s="183"/>
    </row>
    <row r="108" spans="1:4" ht="15" x14ac:dyDescent="0.2">
      <c r="A108" s="183"/>
      <c r="B108" s="183"/>
      <c r="C108" s="183"/>
      <c r="D108" s="183"/>
    </row>
    <row r="109" spans="1:4" ht="15" x14ac:dyDescent="0.2">
      <c r="A109" s="183"/>
      <c r="B109" s="183"/>
      <c r="C109" s="183"/>
      <c r="D109" s="183"/>
    </row>
    <row r="110" spans="1:4" ht="15" x14ac:dyDescent="0.2">
      <c r="A110" s="183"/>
      <c r="B110" s="183"/>
      <c r="C110" s="183"/>
      <c r="D110" s="183"/>
    </row>
    <row r="111" spans="1:4" ht="15" x14ac:dyDescent="0.2">
      <c r="A111" s="183"/>
      <c r="B111" s="183"/>
      <c r="C111" s="183"/>
      <c r="D111" s="183"/>
    </row>
    <row r="112" spans="1:4" ht="15" x14ac:dyDescent="0.2">
      <c r="A112" s="183"/>
      <c r="B112" s="183"/>
      <c r="C112" s="183"/>
      <c r="D112" s="183"/>
    </row>
    <row r="113" spans="1:4" ht="15" x14ac:dyDescent="0.2">
      <c r="A113" s="183"/>
      <c r="B113" s="183"/>
      <c r="C113" s="183"/>
      <c r="D113" s="183"/>
    </row>
    <row r="114" spans="1:4" ht="15" x14ac:dyDescent="0.2">
      <c r="A114" s="183"/>
      <c r="B114" s="183"/>
      <c r="C114" s="183"/>
      <c r="D114" s="183"/>
    </row>
    <row r="115" spans="1:4" ht="15" x14ac:dyDescent="0.2">
      <c r="A115" s="183"/>
      <c r="B115" s="183"/>
      <c r="C115" s="183"/>
      <c r="D115" s="183"/>
    </row>
    <row r="116" spans="1:4" ht="15" x14ac:dyDescent="0.2">
      <c r="A116" s="183"/>
      <c r="B116" s="183"/>
      <c r="C116" s="183"/>
      <c r="D116" s="183"/>
    </row>
    <row r="117" spans="1:4" ht="15" x14ac:dyDescent="0.2">
      <c r="A117" s="183"/>
      <c r="B117" s="183"/>
      <c r="C117" s="183"/>
      <c r="D117" s="183"/>
    </row>
    <row r="118" spans="1:4" ht="15" x14ac:dyDescent="0.2">
      <c r="A118" s="183"/>
      <c r="B118" s="183"/>
      <c r="C118" s="183"/>
      <c r="D118" s="183"/>
    </row>
    <row r="119" spans="1:4" ht="15" x14ac:dyDescent="0.2">
      <c r="A119" s="183"/>
      <c r="B119" s="183"/>
      <c r="C119" s="183"/>
      <c r="D119" s="183"/>
    </row>
    <row r="120" spans="1:4" ht="15" x14ac:dyDescent="0.2">
      <c r="A120" s="183"/>
      <c r="B120" s="183"/>
      <c r="C120" s="183"/>
      <c r="D120" s="183"/>
    </row>
    <row r="121" spans="1:4" ht="15" x14ac:dyDescent="0.2">
      <c r="A121" s="183"/>
      <c r="B121" s="183"/>
      <c r="C121" s="183"/>
      <c r="D121" s="183"/>
    </row>
    <row r="122" spans="1:4" ht="15" x14ac:dyDescent="0.2">
      <c r="A122" s="183"/>
      <c r="B122" s="183"/>
      <c r="C122" s="183"/>
      <c r="D122" s="183"/>
    </row>
    <row r="123" spans="1:4" ht="15" x14ac:dyDescent="0.2">
      <c r="A123" s="183"/>
      <c r="B123" s="183"/>
      <c r="C123" s="183"/>
      <c r="D123" s="183"/>
    </row>
    <row r="124" spans="1:4" ht="15" x14ac:dyDescent="0.2">
      <c r="A124" s="183"/>
      <c r="B124" s="183"/>
      <c r="C124" s="183"/>
      <c r="D124" s="183"/>
    </row>
    <row r="125" spans="1:4" ht="15" x14ac:dyDescent="0.2">
      <c r="A125" s="183"/>
      <c r="B125" s="183"/>
      <c r="C125" s="183"/>
      <c r="D125" s="183"/>
    </row>
    <row r="126" spans="1:4" ht="15" x14ac:dyDescent="0.2">
      <c r="A126" s="183"/>
      <c r="B126" s="183"/>
      <c r="C126" s="183"/>
      <c r="D126" s="183"/>
    </row>
    <row r="127" spans="1:4" ht="15" x14ac:dyDescent="0.2">
      <c r="A127" s="183"/>
      <c r="B127" s="183"/>
      <c r="C127" s="183"/>
      <c r="D127" s="183"/>
    </row>
    <row r="128" spans="1:4" ht="15" x14ac:dyDescent="0.2">
      <c r="A128" s="183"/>
      <c r="B128" s="183"/>
      <c r="C128" s="183"/>
      <c r="D128" s="183"/>
    </row>
    <row r="129" spans="1:4" ht="15" x14ac:dyDescent="0.2">
      <c r="A129" s="183"/>
      <c r="B129" s="183"/>
      <c r="C129" s="183"/>
      <c r="D129" s="183"/>
    </row>
    <row r="130" spans="1:4" ht="15" x14ac:dyDescent="0.2">
      <c r="A130" s="183"/>
      <c r="B130" s="183"/>
      <c r="C130" s="183"/>
      <c r="D130" s="183"/>
    </row>
    <row r="131" spans="1:4" ht="15" x14ac:dyDescent="0.2">
      <c r="A131" s="183"/>
      <c r="B131" s="183"/>
      <c r="C131" s="183"/>
      <c r="D131" s="183"/>
    </row>
    <row r="132" spans="1:4" ht="15" x14ac:dyDescent="0.2">
      <c r="A132" s="183"/>
      <c r="B132" s="183"/>
      <c r="C132" s="183"/>
      <c r="D132" s="183"/>
    </row>
    <row r="133" spans="1:4" ht="15" x14ac:dyDescent="0.2">
      <c r="A133" s="183"/>
      <c r="B133" s="183"/>
      <c r="C133" s="183"/>
      <c r="D133" s="183"/>
    </row>
    <row r="134" spans="1:4" ht="15" x14ac:dyDescent="0.2">
      <c r="A134" s="183"/>
      <c r="B134" s="183"/>
      <c r="C134" s="183"/>
      <c r="D134" s="183"/>
    </row>
    <row r="135" spans="1:4" ht="15" x14ac:dyDescent="0.2">
      <c r="A135" s="183"/>
      <c r="B135" s="183"/>
      <c r="C135" s="183"/>
      <c r="D135" s="183"/>
    </row>
    <row r="136" spans="1:4" ht="15" x14ac:dyDescent="0.2">
      <c r="A136" s="183"/>
      <c r="B136" s="183"/>
      <c r="C136" s="183"/>
      <c r="D136" s="183"/>
    </row>
    <row r="137" spans="1:4" ht="15" x14ac:dyDescent="0.2">
      <c r="A137" s="183"/>
      <c r="B137" s="183"/>
      <c r="C137" s="183"/>
      <c r="D137" s="183"/>
    </row>
    <row r="138" spans="1:4" ht="15" x14ac:dyDescent="0.2">
      <c r="A138" s="183"/>
      <c r="B138" s="183"/>
      <c r="C138" s="183"/>
      <c r="D138" s="183"/>
    </row>
    <row r="139" spans="1:4" ht="15" x14ac:dyDescent="0.2">
      <c r="A139" s="183"/>
      <c r="B139" s="183"/>
      <c r="C139" s="183"/>
      <c r="D139" s="183"/>
    </row>
    <row r="140" spans="1:4" ht="15" x14ac:dyDescent="0.2">
      <c r="A140" s="183"/>
      <c r="B140" s="183"/>
      <c r="C140" s="183"/>
      <c r="D140" s="183"/>
    </row>
    <row r="141" spans="1:4" ht="15" x14ac:dyDescent="0.2">
      <c r="A141" s="183"/>
      <c r="B141" s="183"/>
      <c r="C141" s="183"/>
      <c r="D141" s="183"/>
    </row>
    <row r="142" spans="1:4" ht="15" x14ac:dyDescent="0.2">
      <c r="A142" s="183"/>
      <c r="B142" s="183"/>
      <c r="C142" s="183"/>
      <c r="D142" s="183"/>
    </row>
    <row r="143" spans="1:4" ht="15" x14ac:dyDescent="0.2">
      <c r="A143" s="183"/>
      <c r="B143" s="183"/>
      <c r="C143" s="183"/>
      <c r="D143" s="183"/>
    </row>
    <row r="144" spans="1:4" ht="15" x14ac:dyDescent="0.2">
      <c r="A144" s="183"/>
      <c r="B144" s="183"/>
      <c r="C144" s="183"/>
      <c r="D144" s="183"/>
    </row>
    <row r="145" spans="1:4" ht="15" x14ac:dyDescent="0.2">
      <c r="A145" s="183"/>
      <c r="B145" s="183"/>
      <c r="C145" s="183"/>
      <c r="D145" s="183"/>
    </row>
    <row r="146" spans="1:4" ht="15" x14ac:dyDescent="0.2">
      <c r="A146" s="183"/>
      <c r="B146" s="183"/>
      <c r="C146" s="183"/>
      <c r="D146" s="183"/>
    </row>
    <row r="147" spans="1:4" ht="15" x14ac:dyDescent="0.2">
      <c r="A147" s="183"/>
      <c r="B147" s="183"/>
      <c r="C147" s="183"/>
      <c r="D147" s="183"/>
    </row>
    <row r="148" spans="1:4" ht="15" x14ac:dyDescent="0.2">
      <c r="A148" s="183"/>
      <c r="B148" s="183"/>
      <c r="C148" s="183"/>
      <c r="D148" s="183"/>
    </row>
    <row r="149" spans="1:4" ht="15" x14ac:dyDescent="0.2">
      <c r="A149" s="183"/>
      <c r="B149" s="183"/>
      <c r="C149" s="183"/>
      <c r="D149" s="183"/>
    </row>
    <row r="150" spans="1:4" ht="15" x14ac:dyDescent="0.2">
      <c r="A150" s="183"/>
      <c r="B150" s="183"/>
      <c r="C150" s="183"/>
      <c r="D150" s="183"/>
    </row>
    <row r="151" spans="1:4" ht="15" x14ac:dyDescent="0.2">
      <c r="A151" s="183"/>
      <c r="B151" s="183"/>
      <c r="C151" s="183"/>
      <c r="D151" s="183"/>
    </row>
    <row r="152" spans="1:4" ht="15" x14ac:dyDescent="0.2">
      <c r="A152" s="183"/>
      <c r="B152" s="183"/>
      <c r="C152" s="183"/>
      <c r="D152" s="183"/>
    </row>
    <row r="153" spans="1:4" ht="15" x14ac:dyDescent="0.2">
      <c r="A153" s="183"/>
      <c r="B153" s="183"/>
      <c r="C153" s="183"/>
      <c r="D153" s="183"/>
    </row>
    <row r="154" spans="1:4" ht="15" x14ac:dyDescent="0.2">
      <c r="A154" s="183"/>
      <c r="B154" s="183"/>
      <c r="C154" s="183"/>
      <c r="D154" s="183"/>
    </row>
    <row r="155" spans="1:4" ht="15" x14ac:dyDescent="0.2">
      <c r="A155" s="183"/>
      <c r="B155" s="183"/>
      <c r="C155" s="183"/>
      <c r="D155" s="183"/>
    </row>
    <row r="156" spans="1:4" ht="15" x14ac:dyDescent="0.2">
      <c r="A156" s="183"/>
      <c r="B156" s="183"/>
      <c r="C156" s="183"/>
      <c r="D156" s="183"/>
    </row>
    <row r="157" spans="1:4" ht="15" x14ac:dyDescent="0.2">
      <c r="A157" s="183"/>
      <c r="B157" s="183"/>
      <c r="C157" s="183"/>
      <c r="D157" s="183"/>
    </row>
    <row r="158" spans="1:4" ht="15" x14ac:dyDescent="0.2">
      <c r="A158" s="183"/>
      <c r="B158" s="183"/>
      <c r="C158" s="183"/>
      <c r="D158" s="183"/>
    </row>
    <row r="159" spans="1:4" ht="15" x14ac:dyDescent="0.2">
      <c r="A159" s="183"/>
      <c r="B159" s="183"/>
      <c r="C159" s="183"/>
      <c r="D159" s="183"/>
    </row>
    <row r="160" spans="1:4" ht="15" x14ac:dyDescent="0.2">
      <c r="A160" s="183"/>
      <c r="B160" s="183"/>
      <c r="C160" s="183"/>
      <c r="D160" s="183"/>
    </row>
    <row r="161" spans="1:4" ht="15" x14ac:dyDescent="0.2">
      <c r="A161" s="183"/>
      <c r="B161" s="183"/>
      <c r="C161" s="183"/>
      <c r="D161" s="183"/>
    </row>
    <row r="162" spans="1:4" ht="15" x14ac:dyDescent="0.2">
      <c r="A162" s="183"/>
      <c r="B162" s="183"/>
      <c r="C162" s="183"/>
      <c r="D162" s="183"/>
    </row>
    <row r="163" spans="1:4" ht="15" x14ac:dyDescent="0.2">
      <c r="A163" s="183"/>
      <c r="B163" s="183"/>
      <c r="C163" s="183"/>
      <c r="D163" s="183"/>
    </row>
    <row r="164" spans="1:4" ht="15" x14ac:dyDescent="0.2">
      <c r="A164" s="183"/>
      <c r="B164" s="183"/>
      <c r="C164" s="183"/>
      <c r="D164" s="183"/>
    </row>
    <row r="165" spans="1:4" ht="15" x14ac:dyDescent="0.2">
      <c r="A165" s="183"/>
      <c r="B165" s="183"/>
      <c r="C165" s="183"/>
      <c r="D165" s="183"/>
    </row>
    <row r="166" spans="1:4" ht="15" x14ac:dyDescent="0.2">
      <c r="A166" s="183"/>
      <c r="B166" s="183"/>
      <c r="C166" s="183"/>
      <c r="D166" s="183"/>
    </row>
    <row r="167" spans="1:4" ht="15" x14ac:dyDescent="0.2">
      <c r="A167" s="183"/>
      <c r="B167" s="183"/>
      <c r="C167" s="183"/>
      <c r="D167" s="183"/>
    </row>
    <row r="168" spans="1:4" ht="15" x14ac:dyDescent="0.2">
      <c r="A168" s="183"/>
      <c r="B168" s="183"/>
      <c r="C168" s="183"/>
      <c r="D168" s="183"/>
    </row>
    <row r="169" spans="1:4" ht="15" x14ac:dyDescent="0.2">
      <c r="A169" s="183"/>
      <c r="B169" s="183"/>
      <c r="C169" s="183"/>
      <c r="D169" s="183"/>
    </row>
    <row r="170" spans="1:4" ht="15" x14ac:dyDescent="0.2">
      <c r="A170" s="183"/>
      <c r="B170" s="183"/>
      <c r="C170" s="183"/>
      <c r="D170" s="183"/>
    </row>
    <row r="171" spans="1:4" ht="15" x14ac:dyDescent="0.2">
      <c r="A171" s="183"/>
      <c r="B171" s="183"/>
      <c r="C171" s="183"/>
      <c r="D171" s="183"/>
    </row>
    <row r="172" spans="1:4" ht="15" x14ac:dyDescent="0.2">
      <c r="A172" s="183"/>
      <c r="B172" s="183"/>
      <c r="C172" s="183"/>
      <c r="D172" s="183"/>
    </row>
    <row r="173" spans="1:4" ht="15" x14ac:dyDescent="0.2">
      <c r="A173" s="183"/>
      <c r="B173" s="183"/>
      <c r="C173" s="183"/>
      <c r="D173" s="183"/>
    </row>
    <row r="174" spans="1:4" ht="15" x14ac:dyDescent="0.2">
      <c r="A174" s="183"/>
      <c r="B174" s="183"/>
      <c r="C174" s="183"/>
      <c r="D174" s="183"/>
    </row>
    <row r="175" spans="1:4" ht="15" x14ac:dyDescent="0.2">
      <c r="A175" s="183"/>
      <c r="B175" s="183"/>
      <c r="C175" s="183"/>
      <c r="D175" s="183"/>
    </row>
    <row r="176" spans="1:4" ht="15" x14ac:dyDescent="0.2">
      <c r="A176" s="183"/>
      <c r="B176" s="183"/>
      <c r="C176" s="183"/>
      <c r="D176" s="183"/>
    </row>
    <row r="177" spans="1:4" ht="15" x14ac:dyDescent="0.2">
      <c r="A177" s="183"/>
      <c r="B177" s="183"/>
      <c r="C177" s="183"/>
      <c r="D177" s="183"/>
    </row>
    <row r="178" spans="1:4" ht="15" x14ac:dyDescent="0.2">
      <c r="A178" s="183"/>
      <c r="B178" s="183"/>
      <c r="C178" s="183"/>
      <c r="D178" s="183"/>
    </row>
    <row r="179" spans="1:4" ht="15" x14ac:dyDescent="0.2">
      <c r="A179" s="183"/>
      <c r="B179" s="183"/>
      <c r="C179" s="183"/>
      <c r="D179" s="183"/>
    </row>
    <row r="180" spans="1:4" ht="15" x14ac:dyDescent="0.2">
      <c r="A180" s="183"/>
      <c r="B180" s="183"/>
      <c r="C180" s="183"/>
      <c r="D180" s="183"/>
    </row>
    <row r="181" spans="1:4" ht="15" x14ac:dyDescent="0.2">
      <c r="A181" s="183"/>
      <c r="B181" s="183"/>
      <c r="C181" s="183"/>
      <c r="D181" s="183"/>
    </row>
    <row r="182" spans="1:4" ht="15" x14ac:dyDescent="0.2">
      <c r="A182" s="183"/>
      <c r="B182" s="183"/>
      <c r="C182" s="183"/>
      <c r="D182" s="183"/>
    </row>
    <row r="183" spans="1:4" ht="15" x14ac:dyDescent="0.2">
      <c r="A183" s="183"/>
      <c r="B183" s="183"/>
      <c r="C183" s="183"/>
      <c r="D183" s="183"/>
    </row>
    <row r="184" spans="1:4" ht="15" x14ac:dyDescent="0.2">
      <c r="A184" s="183"/>
      <c r="B184" s="183"/>
      <c r="C184" s="183"/>
      <c r="D184" s="183"/>
    </row>
    <row r="185" spans="1:4" ht="15" x14ac:dyDescent="0.2">
      <c r="A185" s="183"/>
      <c r="B185" s="183"/>
      <c r="C185" s="183"/>
      <c r="D185" s="183"/>
    </row>
    <row r="186" spans="1:4" ht="15" x14ac:dyDescent="0.2">
      <c r="A186" s="183"/>
      <c r="B186" s="183"/>
      <c r="C186" s="183"/>
      <c r="D186" s="183"/>
    </row>
    <row r="187" spans="1:4" ht="15" x14ac:dyDescent="0.2">
      <c r="A187" s="183"/>
      <c r="B187" s="183"/>
      <c r="C187" s="183"/>
      <c r="D187" s="183"/>
    </row>
    <row r="188" spans="1:4" ht="15" x14ac:dyDescent="0.2">
      <c r="A188" s="183"/>
      <c r="B188" s="183"/>
      <c r="C188" s="183"/>
      <c r="D188" s="183"/>
    </row>
    <row r="189" spans="1:4" ht="15" x14ac:dyDescent="0.2">
      <c r="A189" s="183"/>
      <c r="B189" s="183"/>
      <c r="C189" s="183"/>
      <c r="D189" s="183"/>
    </row>
    <row r="190" spans="1:4" ht="15" x14ac:dyDescent="0.2">
      <c r="A190" s="183"/>
      <c r="B190" s="183"/>
      <c r="C190" s="183"/>
      <c r="D190" s="183"/>
    </row>
    <row r="191" spans="1:4" ht="15" x14ac:dyDescent="0.2">
      <c r="A191" s="183"/>
      <c r="B191" s="183"/>
      <c r="C191" s="183"/>
      <c r="D191" s="183"/>
    </row>
    <row r="192" spans="1:4" ht="15" x14ac:dyDescent="0.2">
      <c r="A192" s="183"/>
      <c r="B192" s="183"/>
      <c r="C192" s="183"/>
      <c r="D192" s="183"/>
    </row>
    <row r="193" spans="1:4" ht="15" x14ac:dyDescent="0.2">
      <c r="A193" s="183"/>
      <c r="B193" s="183"/>
      <c r="C193" s="183"/>
      <c r="D193" s="183"/>
    </row>
    <row r="194" spans="1:4" ht="15" x14ac:dyDescent="0.2">
      <c r="A194" s="183"/>
      <c r="B194" s="183"/>
      <c r="C194" s="183"/>
      <c r="D194" s="183"/>
    </row>
    <row r="195" spans="1:4" ht="15" x14ac:dyDescent="0.2">
      <c r="A195" s="183"/>
      <c r="B195" s="183"/>
      <c r="C195" s="183"/>
      <c r="D195" s="183"/>
    </row>
    <row r="196" spans="1:4" ht="15" x14ac:dyDescent="0.2">
      <c r="A196" s="183"/>
      <c r="B196" s="183"/>
      <c r="C196" s="183"/>
      <c r="D196" s="183"/>
    </row>
    <row r="197" spans="1:4" ht="15" x14ac:dyDescent="0.2">
      <c r="A197" s="183"/>
      <c r="B197" s="183"/>
      <c r="C197" s="183"/>
      <c r="D197" s="183"/>
    </row>
    <row r="198" spans="1:4" ht="15" x14ac:dyDescent="0.2">
      <c r="A198" s="183"/>
      <c r="B198" s="183"/>
      <c r="C198" s="183"/>
      <c r="D198" s="183"/>
    </row>
    <row r="199" spans="1:4" ht="15" x14ac:dyDescent="0.2">
      <c r="A199" s="183"/>
      <c r="B199" s="183"/>
      <c r="C199" s="183"/>
      <c r="D199" s="183"/>
    </row>
    <row r="200" spans="1:4" ht="15" x14ac:dyDescent="0.2">
      <c r="A200" s="183"/>
      <c r="B200" s="183"/>
      <c r="C200" s="183"/>
      <c r="D200" s="183"/>
    </row>
    <row r="201" spans="1:4" ht="15" x14ac:dyDescent="0.2">
      <c r="A201" s="183"/>
      <c r="B201" s="183"/>
      <c r="C201" s="183"/>
      <c r="D201" s="183"/>
    </row>
    <row r="202" spans="1:4" ht="15" x14ac:dyDescent="0.2">
      <c r="A202" s="183"/>
      <c r="B202" s="183"/>
      <c r="C202" s="183"/>
      <c r="D202" s="183"/>
    </row>
    <row r="203" spans="1:4" ht="15" x14ac:dyDescent="0.2">
      <c r="A203" s="183"/>
      <c r="B203" s="183"/>
      <c r="C203" s="183"/>
      <c r="D203" s="183"/>
    </row>
    <row r="204" spans="1:4" ht="15" x14ac:dyDescent="0.2">
      <c r="A204" s="183"/>
      <c r="B204" s="183"/>
      <c r="C204" s="183"/>
      <c r="D204" s="183"/>
    </row>
    <row r="205" spans="1:4" ht="15" x14ac:dyDescent="0.2">
      <c r="A205" s="183"/>
      <c r="B205" s="183"/>
      <c r="C205" s="183"/>
      <c r="D205" s="183"/>
    </row>
    <row r="206" spans="1:4" ht="15" x14ac:dyDescent="0.2">
      <c r="A206" s="183"/>
      <c r="B206" s="183"/>
      <c r="C206" s="183"/>
      <c r="D206" s="183"/>
    </row>
    <row r="207" spans="1:4" ht="15" x14ac:dyDescent="0.2">
      <c r="A207" s="183"/>
      <c r="B207" s="183"/>
      <c r="C207" s="183"/>
      <c r="D207" s="183"/>
    </row>
    <row r="208" spans="1:4" ht="15" x14ac:dyDescent="0.2">
      <c r="A208" s="183"/>
      <c r="B208" s="183"/>
      <c r="C208" s="183"/>
      <c r="D208" s="183"/>
    </row>
    <row r="209" spans="1:4" ht="15" x14ac:dyDescent="0.2">
      <c r="A209" s="183"/>
      <c r="B209" s="183"/>
      <c r="C209" s="183"/>
      <c r="D209" s="183"/>
    </row>
    <row r="210" spans="1:4" ht="15" x14ac:dyDescent="0.2">
      <c r="A210" s="183"/>
      <c r="B210" s="183"/>
      <c r="C210" s="183"/>
      <c r="D210" s="183"/>
    </row>
    <row r="211" spans="1:4" ht="15" x14ac:dyDescent="0.2">
      <c r="A211" s="183"/>
      <c r="B211" s="183"/>
      <c r="C211" s="183"/>
      <c r="D211" s="183"/>
    </row>
    <row r="212" spans="1:4" ht="15" x14ac:dyDescent="0.2">
      <c r="A212" s="183"/>
      <c r="B212" s="183"/>
      <c r="C212" s="183"/>
      <c r="D212" s="183"/>
    </row>
    <row r="213" spans="1:4" ht="15" x14ac:dyDescent="0.2">
      <c r="A213" s="183"/>
      <c r="B213" s="183"/>
      <c r="C213" s="183"/>
      <c r="D213" s="183"/>
    </row>
    <row r="214" spans="1:4" ht="15" x14ac:dyDescent="0.2">
      <c r="A214" s="183"/>
      <c r="B214" s="183"/>
      <c r="C214" s="183"/>
      <c r="D214" s="183"/>
    </row>
    <row r="215" spans="1:4" ht="15" x14ac:dyDescent="0.2">
      <c r="A215" s="183"/>
      <c r="B215" s="183"/>
      <c r="C215" s="183"/>
      <c r="D215" s="183"/>
    </row>
    <row r="216" spans="1:4" ht="15" x14ac:dyDescent="0.2">
      <c r="A216" s="183"/>
      <c r="B216" s="183"/>
      <c r="C216" s="183"/>
      <c r="D216" s="183"/>
    </row>
    <row r="217" spans="1:4" ht="15" x14ac:dyDescent="0.2">
      <c r="A217" s="183"/>
      <c r="B217" s="183"/>
      <c r="C217" s="183"/>
      <c r="D217" s="183"/>
    </row>
    <row r="218" spans="1:4" ht="15" x14ac:dyDescent="0.2">
      <c r="A218" s="183"/>
      <c r="B218" s="183"/>
      <c r="C218" s="183"/>
      <c r="D218" s="183"/>
    </row>
    <row r="219" spans="1:4" ht="15" x14ac:dyDescent="0.2">
      <c r="A219" s="183"/>
      <c r="B219" s="183"/>
      <c r="C219" s="183"/>
      <c r="D219" s="183"/>
    </row>
    <row r="220" spans="1:4" ht="15" x14ac:dyDescent="0.2">
      <c r="A220" s="183"/>
      <c r="B220" s="183"/>
      <c r="C220" s="183"/>
      <c r="D220" s="183"/>
    </row>
    <row r="221" spans="1:4" ht="15" x14ac:dyDescent="0.2">
      <c r="A221" s="183"/>
      <c r="B221" s="183"/>
      <c r="C221" s="183"/>
      <c r="D221" s="183"/>
    </row>
    <row r="222" spans="1:4" ht="15" x14ac:dyDescent="0.2">
      <c r="A222" s="183"/>
      <c r="B222" s="183"/>
      <c r="C222" s="183"/>
      <c r="D222" s="183"/>
    </row>
    <row r="223" spans="1:4" ht="15" x14ac:dyDescent="0.2">
      <c r="A223" s="183"/>
      <c r="B223" s="183"/>
      <c r="C223" s="183"/>
      <c r="D223" s="183"/>
    </row>
    <row r="224" spans="1:4" ht="15" x14ac:dyDescent="0.2">
      <c r="A224" s="183"/>
      <c r="B224" s="183"/>
      <c r="C224" s="183"/>
      <c r="D224" s="183"/>
    </row>
    <row r="225" spans="1:4" ht="15" x14ac:dyDescent="0.2">
      <c r="A225" s="183"/>
      <c r="B225" s="183"/>
      <c r="C225" s="183"/>
      <c r="D225" s="183"/>
    </row>
    <row r="226" spans="1:4" ht="15" x14ac:dyDescent="0.2">
      <c r="A226" s="183"/>
      <c r="B226" s="183"/>
      <c r="C226" s="183"/>
      <c r="D226" s="183"/>
    </row>
    <row r="227" spans="1:4" ht="15" x14ac:dyDescent="0.2">
      <c r="A227" s="183"/>
      <c r="B227" s="183"/>
      <c r="C227" s="183"/>
      <c r="D227" s="183"/>
    </row>
    <row r="228" spans="1:4" ht="15" x14ac:dyDescent="0.2">
      <c r="A228" s="183"/>
      <c r="B228" s="183"/>
      <c r="C228" s="183"/>
      <c r="D228" s="183"/>
    </row>
    <row r="229" spans="1:4" ht="15" x14ac:dyDescent="0.2">
      <c r="A229" s="183"/>
      <c r="B229" s="183"/>
      <c r="C229" s="183"/>
      <c r="D229" s="183"/>
    </row>
    <row r="230" spans="1:4" ht="15" x14ac:dyDescent="0.2">
      <c r="A230" s="183"/>
      <c r="B230" s="183"/>
      <c r="C230" s="183"/>
      <c r="D230" s="183"/>
    </row>
    <row r="231" spans="1:4" ht="15" x14ac:dyDescent="0.2">
      <c r="A231" s="183"/>
      <c r="B231" s="183"/>
      <c r="C231" s="183"/>
      <c r="D231" s="183"/>
    </row>
    <row r="232" spans="1:4" ht="15" x14ac:dyDescent="0.2">
      <c r="A232" s="183"/>
      <c r="B232" s="183"/>
      <c r="C232" s="183"/>
      <c r="D232" s="183"/>
    </row>
    <row r="233" spans="1:4" ht="15" x14ac:dyDescent="0.2">
      <c r="A233" s="183"/>
      <c r="B233" s="183"/>
      <c r="C233" s="183"/>
      <c r="D233" s="183"/>
    </row>
    <row r="234" spans="1:4" ht="15" x14ac:dyDescent="0.2">
      <c r="A234" s="183"/>
      <c r="B234" s="183"/>
      <c r="C234" s="183"/>
      <c r="D234" s="183"/>
    </row>
    <row r="235" spans="1:4" ht="15" x14ac:dyDescent="0.2">
      <c r="A235" s="183"/>
      <c r="B235" s="183"/>
      <c r="C235" s="183"/>
      <c r="D235" s="183"/>
    </row>
    <row r="236" spans="1:4" ht="15" x14ac:dyDescent="0.2">
      <c r="A236" s="183"/>
      <c r="B236" s="183"/>
      <c r="C236" s="183"/>
      <c r="D236" s="183"/>
    </row>
    <row r="237" spans="1:4" ht="15" x14ac:dyDescent="0.2">
      <c r="A237" s="183"/>
      <c r="B237" s="183"/>
      <c r="C237" s="183"/>
      <c r="D237" s="183"/>
    </row>
    <row r="238" spans="1:4" ht="15" x14ac:dyDescent="0.2">
      <c r="A238" s="183"/>
      <c r="B238" s="183"/>
      <c r="C238" s="183"/>
      <c r="D238" s="183"/>
    </row>
    <row r="239" spans="1:4" ht="15" x14ac:dyDescent="0.2">
      <c r="A239" s="183"/>
      <c r="B239" s="183"/>
      <c r="C239" s="183"/>
      <c r="D239" s="183"/>
    </row>
    <row r="240" spans="1:4" ht="15" x14ac:dyDescent="0.2">
      <c r="A240" s="183"/>
      <c r="B240" s="183"/>
      <c r="C240" s="183"/>
      <c r="D240" s="183"/>
    </row>
    <row r="241" spans="1:4" ht="15" x14ac:dyDescent="0.2">
      <c r="A241" s="183"/>
      <c r="B241" s="183"/>
      <c r="C241" s="183"/>
      <c r="D241" s="183"/>
    </row>
    <row r="242" spans="1:4" ht="15" x14ac:dyDescent="0.2">
      <c r="A242" s="183"/>
      <c r="B242" s="183"/>
      <c r="C242" s="183"/>
      <c r="D242" s="183"/>
    </row>
    <row r="243" spans="1:4" ht="15" x14ac:dyDescent="0.2">
      <c r="A243" s="183"/>
      <c r="B243" s="183"/>
      <c r="C243" s="183"/>
      <c r="D243" s="183"/>
    </row>
    <row r="244" spans="1:4" ht="15" x14ac:dyDescent="0.2">
      <c r="A244" s="183"/>
      <c r="B244" s="183"/>
      <c r="C244" s="183"/>
      <c r="D244" s="183"/>
    </row>
    <row r="245" spans="1:4" ht="15" x14ac:dyDescent="0.2">
      <c r="A245" s="183"/>
      <c r="B245" s="183"/>
      <c r="C245" s="183"/>
      <c r="D245" s="183"/>
    </row>
    <row r="246" spans="1:4" ht="15" x14ac:dyDescent="0.2">
      <c r="A246" s="183"/>
      <c r="B246" s="183"/>
      <c r="C246" s="183"/>
      <c r="D246" s="183"/>
    </row>
    <row r="247" spans="1:4" ht="15" x14ac:dyDescent="0.2">
      <c r="A247" s="183"/>
      <c r="B247" s="183"/>
      <c r="C247" s="183"/>
      <c r="D247" s="183"/>
    </row>
    <row r="248" spans="1:4" ht="15" x14ac:dyDescent="0.2">
      <c r="A248" s="183"/>
      <c r="B248" s="183"/>
      <c r="C248" s="183"/>
      <c r="D248" s="183"/>
    </row>
    <row r="249" spans="1:4" ht="15" x14ac:dyDescent="0.2">
      <c r="A249" s="183"/>
      <c r="B249" s="183"/>
      <c r="C249" s="183"/>
      <c r="D249" s="183"/>
    </row>
    <row r="250" spans="1:4" ht="15" x14ac:dyDescent="0.2">
      <c r="A250" s="183"/>
      <c r="B250" s="183"/>
      <c r="C250" s="183"/>
      <c r="D250" s="183"/>
    </row>
    <row r="251" spans="1:4" ht="15" x14ac:dyDescent="0.2">
      <c r="A251" s="183"/>
      <c r="B251" s="183"/>
      <c r="C251" s="183"/>
      <c r="D251" s="183"/>
    </row>
    <row r="252" spans="1:4" ht="15" x14ac:dyDescent="0.2">
      <c r="A252" s="183"/>
      <c r="B252" s="183"/>
      <c r="C252" s="183"/>
      <c r="D252" s="183"/>
    </row>
    <row r="253" spans="1:4" ht="15" x14ac:dyDescent="0.2">
      <c r="A253" s="183"/>
      <c r="B253" s="183"/>
      <c r="C253" s="183"/>
      <c r="D253" s="183"/>
    </row>
    <row r="254" spans="1:4" ht="15" x14ac:dyDescent="0.2">
      <c r="A254" s="183"/>
      <c r="B254" s="183"/>
      <c r="C254" s="183"/>
      <c r="D254" s="183"/>
    </row>
    <row r="255" spans="1:4" ht="15" x14ac:dyDescent="0.2">
      <c r="A255" s="183"/>
      <c r="B255" s="183"/>
      <c r="C255" s="183"/>
      <c r="D255" s="183"/>
    </row>
    <row r="256" spans="1:4" ht="15" x14ac:dyDescent="0.2">
      <c r="A256" s="183"/>
      <c r="B256" s="183"/>
      <c r="C256" s="183"/>
      <c r="D256" s="183"/>
    </row>
    <row r="257" spans="1:4" ht="15" x14ac:dyDescent="0.2">
      <c r="A257" s="183"/>
      <c r="B257" s="183"/>
      <c r="C257" s="183"/>
      <c r="D257" s="183"/>
    </row>
    <row r="258" spans="1:4" ht="15" x14ac:dyDescent="0.2">
      <c r="A258" s="183"/>
      <c r="B258" s="183"/>
      <c r="C258" s="183"/>
      <c r="D258" s="183"/>
    </row>
    <row r="259" spans="1:4" ht="15" x14ac:dyDescent="0.2">
      <c r="A259" s="183"/>
      <c r="B259" s="183"/>
      <c r="C259" s="183"/>
      <c r="D259" s="183"/>
    </row>
    <row r="260" spans="1:4" ht="15" x14ac:dyDescent="0.2">
      <c r="A260" s="183"/>
      <c r="B260" s="183"/>
      <c r="C260" s="183"/>
      <c r="D260" s="183"/>
    </row>
    <row r="261" spans="1:4" ht="15" x14ac:dyDescent="0.2">
      <c r="A261" s="183"/>
      <c r="B261" s="183"/>
      <c r="C261" s="183"/>
      <c r="D261" s="183"/>
    </row>
    <row r="262" spans="1:4" ht="15" x14ac:dyDescent="0.2">
      <c r="A262" s="183"/>
      <c r="B262" s="183"/>
      <c r="C262" s="183"/>
      <c r="D262" s="183"/>
    </row>
    <row r="263" spans="1:4" ht="15" x14ac:dyDescent="0.2">
      <c r="A263" s="183"/>
      <c r="B263" s="183"/>
      <c r="C263" s="183"/>
      <c r="D263" s="183"/>
    </row>
    <row r="264" spans="1:4" ht="15" x14ac:dyDescent="0.2">
      <c r="A264" s="183"/>
      <c r="B264" s="183"/>
      <c r="C264" s="183"/>
      <c r="D264" s="183"/>
    </row>
    <row r="265" spans="1:4" ht="15" x14ac:dyDescent="0.2">
      <c r="A265" s="183"/>
      <c r="B265" s="183"/>
      <c r="C265" s="183"/>
      <c r="D265" s="183"/>
    </row>
    <row r="266" spans="1:4" ht="15" x14ac:dyDescent="0.2">
      <c r="A266" s="183"/>
      <c r="B266" s="183"/>
      <c r="C266" s="183"/>
      <c r="D266" s="183"/>
    </row>
    <row r="267" spans="1:4" ht="15" x14ac:dyDescent="0.2">
      <c r="A267" s="183"/>
      <c r="B267" s="183"/>
      <c r="C267" s="183"/>
      <c r="D267" s="183"/>
    </row>
    <row r="268" spans="1:4" ht="15" x14ac:dyDescent="0.2">
      <c r="A268" s="183"/>
      <c r="B268" s="183"/>
      <c r="C268" s="183"/>
      <c r="D268" s="183"/>
    </row>
    <row r="269" spans="1:4" ht="15" x14ac:dyDescent="0.2">
      <c r="A269" s="183"/>
      <c r="B269" s="183"/>
      <c r="C269" s="183"/>
      <c r="D269" s="183"/>
    </row>
    <row r="270" spans="1:4" ht="15" x14ac:dyDescent="0.2">
      <c r="A270" s="183"/>
      <c r="B270" s="183"/>
      <c r="C270" s="183"/>
      <c r="D270" s="183"/>
    </row>
    <row r="271" spans="1:4" ht="15" x14ac:dyDescent="0.2">
      <c r="A271" s="183"/>
      <c r="B271" s="183"/>
      <c r="C271" s="183"/>
      <c r="D271" s="183"/>
    </row>
    <row r="272" spans="1:4" ht="15" x14ac:dyDescent="0.2">
      <c r="A272" s="183"/>
      <c r="B272" s="183"/>
      <c r="C272" s="183"/>
      <c r="D272" s="183"/>
    </row>
    <row r="273" spans="1:4" ht="15" x14ac:dyDescent="0.2">
      <c r="A273" s="183"/>
      <c r="B273" s="183"/>
      <c r="C273" s="183"/>
      <c r="D273" s="183"/>
    </row>
    <row r="274" spans="1:4" ht="15" x14ac:dyDescent="0.2">
      <c r="A274" s="183"/>
      <c r="B274" s="183"/>
      <c r="C274" s="183"/>
      <c r="D274" s="183"/>
    </row>
    <row r="275" spans="1:4" ht="15" x14ac:dyDescent="0.2">
      <c r="A275" s="183"/>
      <c r="B275" s="183"/>
      <c r="C275" s="183"/>
      <c r="D275" s="183"/>
    </row>
    <row r="276" spans="1:4" ht="15" x14ac:dyDescent="0.2">
      <c r="A276" s="183"/>
      <c r="B276" s="183"/>
      <c r="C276" s="183"/>
      <c r="D276" s="183"/>
    </row>
    <row r="277" spans="1:4" ht="15" x14ac:dyDescent="0.2">
      <c r="A277" s="183"/>
      <c r="B277" s="183"/>
      <c r="C277" s="183"/>
      <c r="D277" s="183"/>
    </row>
    <row r="278" spans="1:4" ht="15" x14ac:dyDescent="0.2">
      <c r="A278" s="183"/>
      <c r="B278" s="183"/>
      <c r="C278" s="183"/>
      <c r="D278" s="183"/>
    </row>
    <row r="279" spans="1:4" ht="15" x14ac:dyDescent="0.2">
      <c r="A279" s="183"/>
      <c r="B279" s="183"/>
      <c r="C279" s="183"/>
      <c r="D279" s="183"/>
    </row>
    <row r="280" spans="1:4" ht="15" x14ac:dyDescent="0.2">
      <c r="A280" s="183"/>
      <c r="B280" s="183"/>
      <c r="C280" s="183"/>
      <c r="D280" s="183"/>
    </row>
    <row r="281" spans="1:4" ht="15" x14ac:dyDescent="0.2">
      <c r="A281" s="183"/>
      <c r="B281" s="183"/>
      <c r="C281" s="183"/>
      <c r="D281" s="183"/>
    </row>
    <row r="282" spans="1:4" ht="15" x14ac:dyDescent="0.2">
      <c r="A282" s="183"/>
      <c r="B282" s="183"/>
      <c r="C282" s="183"/>
      <c r="D282" s="183"/>
    </row>
    <row r="283" spans="1:4" ht="15" x14ac:dyDescent="0.2">
      <c r="A283" s="183"/>
      <c r="B283" s="183"/>
      <c r="C283" s="183"/>
      <c r="D283" s="183"/>
    </row>
    <row r="284" spans="1:4" ht="15" x14ac:dyDescent="0.2">
      <c r="A284" s="183"/>
      <c r="B284" s="183"/>
      <c r="C284" s="183"/>
      <c r="D284" s="183"/>
    </row>
    <row r="285" spans="1:4" ht="15" x14ac:dyDescent="0.2">
      <c r="A285" s="183"/>
      <c r="B285" s="183"/>
      <c r="C285" s="183"/>
      <c r="D285" s="183"/>
    </row>
    <row r="286" spans="1:4" ht="15" x14ac:dyDescent="0.2">
      <c r="A286" s="183"/>
      <c r="B286" s="183"/>
      <c r="C286" s="183"/>
      <c r="D286" s="183"/>
    </row>
    <row r="287" spans="1:4" ht="15" x14ac:dyDescent="0.2">
      <c r="A287" s="183"/>
      <c r="B287" s="183"/>
      <c r="C287" s="183"/>
      <c r="D287" s="183"/>
    </row>
    <row r="288" spans="1:4" ht="15" x14ac:dyDescent="0.2">
      <c r="A288" s="183"/>
      <c r="B288" s="183"/>
      <c r="C288" s="183"/>
      <c r="D288" s="183"/>
    </row>
    <row r="289" spans="1:4" ht="15" x14ac:dyDescent="0.2">
      <c r="A289" s="183"/>
      <c r="B289" s="183"/>
      <c r="C289" s="183"/>
      <c r="D289" s="183"/>
    </row>
    <row r="290" spans="1:4" ht="15" x14ac:dyDescent="0.2">
      <c r="A290" s="183"/>
      <c r="B290" s="183"/>
      <c r="C290" s="183"/>
      <c r="D290" s="183"/>
    </row>
    <row r="291" spans="1:4" ht="15" x14ac:dyDescent="0.2">
      <c r="A291" s="183"/>
      <c r="B291" s="183"/>
      <c r="C291" s="183"/>
      <c r="D291" s="183"/>
    </row>
    <row r="292" spans="1:4" ht="15" x14ac:dyDescent="0.2">
      <c r="A292" s="183"/>
      <c r="B292" s="183"/>
      <c r="C292" s="183"/>
      <c r="D292" s="183"/>
    </row>
    <row r="293" spans="1:4" ht="15" x14ac:dyDescent="0.2">
      <c r="A293" s="183"/>
      <c r="B293" s="183"/>
      <c r="C293" s="183"/>
      <c r="D293" s="183"/>
    </row>
    <row r="294" spans="1:4" ht="15" x14ac:dyDescent="0.2">
      <c r="A294" s="183"/>
      <c r="B294" s="183"/>
      <c r="C294" s="183"/>
      <c r="D294" s="183"/>
    </row>
    <row r="295" spans="1:4" ht="15" x14ac:dyDescent="0.2">
      <c r="A295" s="183"/>
      <c r="B295" s="183"/>
      <c r="C295" s="183"/>
      <c r="D295" s="183"/>
    </row>
    <row r="296" spans="1:4" ht="15" x14ac:dyDescent="0.2">
      <c r="A296" s="183"/>
      <c r="B296" s="183"/>
      <c r="C296" s="183"/>
      <c r="D296" s="183"/>
    </row>
    <row r="297" spans="1:4" ht="15" x14ac:dyDescent="0.2">
      <c r="A297" s="183"/>
      <c r="B297" s="183"/>
      <c r="C297" s="183"/>
      <c r="D297" s="183"/>
    </row>
    <row r="298" spans="1:4" ht="15" x14ac:dyDescent="0.2">
      <c r="A298" s="183"/>
      <c r="B298" s="183"/>
      <c r="C298" s="183"/>
      <c r="D298" s="183"/>
    </row>
    <row r="299" spans="1:4" ht="15" x14ac:dyDescent="0.2">
      <c r="A299" s="183"/>
      <c r="B299" s="183"/>
      <c r="C299" s="183"/>
      <c r="D299" s="183"/>
    </row>
    <row r="300" spans="1:4" ht="15" x14ac:dyDescent="0.2">
      <c r="A300" s="183"/>
      <c r="B300" s="183"/>
      <c r="C300" s="183"/>
      <c r="D300" s="183"/>
    </row>
    <row r="301" spans="1:4" ht="15" x14ac:dyDescent="0.2">
      <c r="A301" s="183"/>
      <c r="B301" s="183"/>
      <c r="C301" s="183"/>
      <c r="D301" s="183"/>
    </row>
    <row r="302" spans="1:4" ht="15" x14ac:dyDescent="0.2">
      <c r="A302" s="183"/>
      <c r="B302" s="183"/>
      <c r="C302" s="183"/>
      <c r="D302" s="183"/>
    </row>
    <row r="303" spans="1:4" ht="15" x14ac:dyDescent="0.2">
      <c r="A303" s="183"/>
      <c r="B303" s="183"/>
      <c r="C303" s="183"/>
      <c r="D303" s="183"/>
    </row>
    <row r="304" spans="1:4" ht="15" x14ac:dyDescent="0.2">
      <c r="A304" s="183"/>
      <c r="B304" s="183"/>
      <c r="C304" s="183"/>
      <c r="D304" s="183"/>
    </row>
    <row r="305" spans="1:4" ht="15" x14ac:dyDescent="0.2">
      <c r="A305" s="183"/>
      <c r="B305" s="183"/>
      <c r="C305" s="183"/>
      <c r="D305" s="183"/>
    </row>
    <row r="306" spans="1:4" ht="15" x14ac:dyDescent="0.2">
      <c r="A306" s="183"/>
      <c r="B306" s="183"/>
      <c r="C306" s="183"/>
      <c r="D306" s="183"/>
    </row>
    <row r="307" spans="1:4" ht="15" x14ac:dyDescent="0.2">
      <c r="A307" s="183"/>
      <c r="B307" s="183"/>
      <c r="C307" s="183"/>
      <c r="D307" s="183"/>
    </row>
    <row r="308" spans="1:4" ht="15" x14ac:dyDescent="0.2">
      <c r="A308" s="183"/>
      <c r="B308" s="183"/>
      <c r="C308" s="183"/>
      <c r="D308" s="183"/>
    </row>
    <row r="309" spans="1:4" ht="15" x14ac:dyDescent="0.2">
      <c r="A309" s="183"/>
      <c r="B309" s="183"/>
      <c r="C309" s="183"/>
      <c r="D309" s="183"/>
    </row>
    <row r="310" spans="1:4" ht="15" x14ac:dyDescent="0.2">
      <c r="A310" s="183"/>
      <c r="B310" s="183"/>
      <c r="C310" s="183"/>
      <c r="D310" s="183"/>
    </row>
    <row r="311" spans="1:4" ht="15" x14ac:dyDescent="0.2">
      <c r="A311" s="183"/>
      <c r="B311" s="183"/>
      <c r="C311" s="183"/>
      <c r="D311" s="183"/>
    </row>
    <row r="312" spans="1:4" ht="15" x14ac:dyDescent="0.2">
      <c r="A312" s="183"/>
      <c r="B312" s="183"/>
      <c r="C312" s="183"/>
      <c r="D312" s="183"/>
    </row>
    <row r="313" spans="1:4" ht="15" x14ac:dyDescent="0.2">
      <c r="A313" s="183"/>
      <c r="B313" s="183"/>
      <c r="C313" s="183"/>
      <c r="D313" s="183"/>
    </row>
    <row r="314" spans="1:4" ht="15" x14ac:dyDescent="0.2">
      <c r="A314" s="183"/>
      <c r="B314" s="183"/>
      <c r="C314" s="183"/>
      <c r="D314" s="183"/>
    </row>
    <row r="315" spans="1:4" ht="15" x14ac:dyDescent="0.2">
      <c r="A315" s="183"/>
      <c r="B315" s="183"/>
      <c r="C315" s="183"/>
      <c r="D315" s="183"/>
    </row>
    <row r="316" spans="1:4" ht="15" x14ac:dyDescent="0.2">
      <c r="A316" s="183"/>
      <c r="B316" s="183"/>
      <c r="C316" s="183"/>
      <c r="D316" s="183"/>
    </row>
    <row r="317" spans="1:4" ht="15" x14ac:dyDescent="0.2">
      <c r="A317" s="183"/>
      <c r="B317" s="183"/>
      <c r="C317" s="183"/>
      <c r="D317" s="183"/>
    </row>
    <row r="318" spans="1:4" ht="15" x14ac:dyDescent="0.2">
      <c r="A318" s="183"/>
      <c r="B318" s="183"/>
      <c r="C318" s="183"/>
      <c r="D318" s="183"/>
    </row>
    <row r="319" spans="1:4" ht="15" x14ac:dyDescent="0.2">
      <c r="A319" s="183"/>
      <c r="B319" s="183"/>
      <c r="C319" s="183"/>
      <c r="D319" s="183"/>
    </row>
    <row r="320" spans="1:4" ht="15" x14ac:dyDescent="0.2">
      <c r="A320" s="183"/>
      <c r="B320" s="183"/>
      <c r="C320" s="183"/>
      <c r="D320" s="183"/>
    </row>
    <row r="321" spans="1:4" ht="15" x14ac:dyDescent="0.2">
      <c r="A321" s="183"/>
      <c r="B321" s="183"/>
      <c r="C321" s="183"/>
      <c r="D321" s="183"/>
    </row>
    <row r="322" spans="1:4" ht="15" x14ac:dyDescent="0.2">
      <c r="A322" s="183"/>
      <c r="B322" s="183"/>
      <c r="C322" s="183"/>
      <c r="D322" s="183"/>
    </row>
    <row r="323" spans="1:4" ht="15" x14ac:dyDescent="0.2">
      <c r="A323" s="183"/>
      <c r="B323" s="183"/>
      <c r="C323" s="183"/>
      <c r="D323" s="183"/>
    </row>
    <row r="324" spans="1:4" ht="15" x14ac:dyDescent="0.2">
      <c r="A324" s="183"/>
      <c r="B324" s="183"/>
      <c r="C324" s="183"/>
      <c r="D324" s="183"/>
    </row>
    <row r="325" spans="1:4" ht="15" x14ac:dyDescent="0.2">
      <c r="A325" s="183"/>
      <c r="B325" s="183"/>
      <c r="C325" s="183"/>
      <c r="D325" s="183"/>
    </row>
    <row r="326" spans="1:4" ht="15" x14ac:dyDescent="0.2">
      <c r="A326" s="183"/>
      <c r="B326" s="183"/>
      <c r="C326" s="183"/>
      <c r="D326" s="183"/>
    </row>
    <row r="327" spans="1:4" ht="15" x14ac:dyDescent="0.2">
      <c r="A327" s="183"/>
      <c r="B327" s="183"/>
      <c r="C327" s="183"/>
      <c r="D327" s="183"/>
    </row>
    <row r="328" spans="1:4" ht="15" x14ac:dyDescent="0.2">
      <c r="A328" s="183"/>
      <c r="B328" s="183"/>
      <c r="C328" s="183"/>
      <c r="D328" s="183"/>
    </row>
    <row r="329" spans="1:4" ht="15" x14ac:dyDescent="0.2">
      <c r="A329" s="183"/>
      <c r="B329" s="183"/>
      <c r="C329" s="183"/>
      <c r="D329" s="183"/>
    </row>
    <row r="330" spans="1:4" ht="15" x14ac:dyDescent="0.2">
      <c r="A330" s="183"/>
      <c r="B330" s="183"/>
      <c r="C330" s="183"/>
      <c r="D330" s="183"/>
    </row>
    <row r="331" spans="1:4" ht="15" x14ac:dyDescent="0.2">
      <c r="A331" s="183"/>
      <c r="B331" s="183"/>
      <c r="C331" s="183"/>
      <c r="D331" s="183"/>
    </row>
    <row r="332" spans="1:4" ht="15" x14ac:dyDescent="0.2">
      <c r="A332" s="183"/>
      <c r="B332" s="183"/>
      <c r="C332" s="183"/>
      <c r="D332" s="183"/>
    </row>
    <row r="333" spans="1:4" ht="15" x14ac:dyDescent="0.2">
      <c r="A333" s="183"/>
      <c r="B333" s="183"/>
      <c r="C333" s="183"/>
      <c r="D333" s="183"/>
    </row>
    <row r="334" spans="1:4" ht="15" x14ac:dyDescent="0.2">
      <c r="A334" s="183"/>
      <c r="B334" s="183"/>
      <c r="C334" s="183"/>
      <c r="D334" s="183"/>
    </row>
    <row r="335" spans="1:4" ht="15" x14ac:dyDescent="0.2">
      <c r="A335" s="183"/>
      <c r="B335" s="183"/>
      <c r="C335" s="183"/>
      <c r="D335" s="183"/>
    </row>
    <row r="336" spans="1:4" ht="15" x14ac:dyDescent="0.2">
      <c r="A336" s="183"/>
      <c r="B336" s="183"/>
      <c r="C336" s="183"/>
      <c r="D336" s="183"/>
    </row>
    <row r="337" spans="1:4" ht="15" x14ac:dyDescent="0.2">
      <c r="A337" s="183"/>
      <c r="B337" s="183"/>
      <c r="C337" s="183"/>
      <c r="D337" s="183"/>
    </row>
    <row r="338" spans="1:4" ht="15" x14ac:dyDescent="0.2">
      <c r="A338" s="183"/>
      <c r="B338" s="183"/>
      <c r="C338" s="183"/>
      <c r="D338" s="183"/>
    </row>
    <row r="339" spans="1:4" ht="15" x14ac:dyDescent="0.2">
      <c r="A339" s="183"/>
      <c r="B339" s="183"/>
      <c r="C339" s="183"/>
      <c r="D339" s="183"/>
    </row>
    <row r="340" spans="1:4" ht="15" x14ac:dyDescent="0.2">
      <c r="A340" s="183"/>
      <c r="B340" s="183"/>
      <c r="C340" s="183"/>
      <c r="D340" s="183"/>
    </row>
    <row r="341" spans="1:4" ht="15" x14ac:dyDescent="0.2">
      <c r="A341" s="183"/>
      <c r="B341" s="183"/>
      <c r="C341" s="183"/>
      <c r="D341" s="183"/>
    </row>
    <row r="342" spans="1:4" ht="15" x14ac:dyDescent="0.2">
      <c r="A342" s="183"/>
      <c r="B342" s="183"/>
      <c r="C342" s="183"/>
      <c r="D342" s="183"/>
    </row>
    <row r="343" spans="1:4" ht="15" x14ac:dyDescent="0.2">
      <c r="A343" s="183"/>
      <c r="B343" s="183"/>
      <c r="C343" s="183"/>
      <c r="D343" s="183"/>
    </row>
    <row r="344" spans="1:4" ht="15" x14ac:dyDescent="0.2">
      <c r="A344" s="183"/>
      <c r="B344" s="183"/>
      <c r="C344" s="183"/>
      <c r="D344" s="183"/>
    </row>
    <row r="345" spans="1:4" ht="15" x14ac:dyDescent="0.2">
      <c r="A345" s="183"/>
      <c r="B345" s="183"/>
      <c r="C345" s="183"/>
      <c r="D345" s="183"/>
    </row>
    <row r="346" spans="1:4" ht="15" x14ac:dyDescent="0.2">
      <c r="A346" s="183"/>
      <c r="B346" s="183"/>
      <c r="C346" s="183"/>
      <c r="D346" s="183"/>
    </row>
    <row r="347" spans="1:4" ht="15" x14ac:dyDescent="0.2">
      <c r="A347" s="183"/>
      <c r="B347" s="183"/>
      <c r="C347" s="183"/>
      <c r="D347" s="183"/>
    </row>
    <row r="348" spans="1:4" ht="15" x14ac:dyDescent="0.2">
      <c r="A348" s="183"/>
      <c r="B348" s="183"/>
      <c r="C348" s="183"/>
      <c r="D348" s="183"/>
    </row>
    <row r="349" spans="1:4" ht="15" x14ac:dyDescent="0.2">
      <c r="A349" s="183"/>
      <c r="B349" s="183"/>
      <c r="C349" s="183"/>
      <c r="D349" s="183"/>
    </row>
    <row r="350" spans="1:4" ht="15" x14ac:dyDescent="0.2">
      <c r="A350" s="183"/>
      <c r="B350" s="183"/>
      <c r="C350" s="183"/>
      <c r="D350" s="183"/>
    </row>
    <row r="351" spans="1:4" ht="15" x14ac:dyDescent="0.2">
      <c r="A351" s="183"/>
      <c r="B351" s="183"/>
      <c r="C351" s="183"/>
      <c r="D351" s="183"/>
    </row>
    <row r="352" spans="1:4" ht="15" x14ac:dyDescent="0.2">
      <c r="A352" s="183"/>
      <c r="B352" s="183"/>
      <c r="C352" s="183"/>
      <c r="D352" s="183"/>
    </row>
    <row r="353" spans="1:4" ht="15" x14ac:dyDescent="0.2">
      <c r="A353" s="183"/>
      <c r="B353" s="183"/>
      <c r="C353" s="183"/>
      <c r="D353" s="183"/>
    </row>
    <row r="354" spans="1:4" ht="15" x14ac:dyDescent="0.2">
      <c r="A354" s="183"/>
      <c r="B354" s="183"/>
      <c r="C354" s="183"/>
      <c r="D354" s="183"/>
    </row>
    <row r="355" spans="1:4" ht="15" x14ac:dyDescent="0.2">
      <c r="A355" s="183"/>
      <c r="B355" s="183"/>
      <c r="C355" s="183"/>
      <c r="D355" s="183"/>
    </row>
    <row r="356" spans="1:4" ht="15" x14ac:dyDescent="0.2">
      <c r="A356" s="183"/>
      <c r="B356" s="183"/>
      <c r="C356" s="183"/>
      <c r="D356" s="183"/>
    </row>
    <row r="357" spans="1:4" ht="15" x14ac:dyDescent="0.2">
      <c r="A357" s="183"/>
      <c r="B357" s="183"/>
      <c r="C357" s="183"/>
      <c r="D357" s="183"/>
    </row>
    <row r="358" spans="1:4" ht="15" x14ac:dyDescent="0.2">
      <c r="A358" s="183"/>
      <c r="B358" s="183"/>
      <c r="C358" s="183"/>
      <c r="D358" s="183"/>
    </row>
    <row r="359" spans="1:4" ht="15" x14ac:dyDescent="0.2">
      <c r="A359" s="183"/>
      <c r="B359" s="183"/>
      <c r="C359" s="183"/>
      <c r="D359" s="183"/>
    </row>
    <row r="360" spans="1:4" ht="15" x14ac:dyDescent="0.2">
      <c r="A360" s="183"/>
      <c r="B360" s="183"/>
      <c r="C360" s="183"/>
      <c r="D360" s="183"/>
    </row>
    <row r="361" spans="1:4" ht="15" x14ac:dyDescent="0.2">
      <c r="A361" s="183"/>
      <c r="B361" s="183"/>
      <c r="C361" s="183"/>
      <c r="D361" s="183"/>
    </row>
    <row r="362" spans="1:4" ht="15" x14ac:dyDescent="0.2">
      <c r="A362" s="183"/>
      <c r="B362" s="183"/>
      <c r="C362" s="183"/>
      <c r="D362" s="183"/>
    </row>
    <row r="363" spans="1:4" ht="15" x14ac:dyDescent="0.2">
      <c r="A363" s="183"/>
      <c r="B363" s="183"/>
      <c r="C363" s="183"/>
      <c r="D363" s="183"/>
    </row>
    <row r="364" spans="1:4" ht="15" x14ac:dyDescent="0.2">
      <c r="A364" s="183"/>
      <c r="B364" s="183"/>
      <c r="C364" s="183"/>
      <c r="D364" s="183"/>
    </row>
    <row r="365" spans="1:4" ht="15" x14ac:dyDescent="0.2">
      <c r="A365" s="183"/>
      <c r="B365" s="183"/>
      <c r="C365" s="183"/>
      <c r="D365" s="183"/>
    </row>
    <row r="366" spans="1:4" ht="15" x14ac:dyDescent="0.2">
      <c r="A366" s="183"/>
      <c r="B366" s="183"/>
      <c r="C366" s="183"/>
      <c r="D366" s="183"/>
    </row>
    <row r="367" spans="1:4" ht="15" x14ac:dyDescent="0.2">
      <c r="A367" s="183"/>
      <c r="B367" s="183"/>
      <c r="C367" s="183"/>
      <c r="D367" s="183"/>
    </row>
    <row r="368" spans="1:4" ht="15" x14ac:dyDescent="0.2">
      <c r="A368" s="183"/>
      <c r="B368" s="183"/>
      <c r="C368" s="183"/>
      <c r="D368" s="183"/>
    </row>
    <row r="369" spans="1:4" ht="15" x14ac:dyDescent="0.2">
      <c r="A369" s="183"/>
      <c r="B369" s="183"/>
      <c r="C369" s="183"/>
      <c r="D369" s="183"/>
    </row>
    <row r="370" spans="1:4" ht="15" x14ac:dyDescent="0.2">
      <c r="A370" s="183"/>
      <c r="B370" s="183"/>
      <c r="C370" s="183"/>
      <c r="D370" s="183"/>
    </row>
    <row r="371" spans="1:4" ht="15" x14ac:dyDescent="0.2">
      <c r="A371" s="183"/>
      <c r="B371" s="183"/>
      <c r="C371" s="183"/>
      <c r="D371" s="183"/>
    </row>
    <row r="372" spans="1:4" ht="15" x14ac:dyDescent="0.2">
      <c r="A372" s="183"/>
      <c r="B372" s="183"/>
      <c r="C372" s="183"/>
      <c r="D372" s="183"/>
    </row>
    <row r="373" spans="1:4" ht="15" x14ac:dyDescent="0.2">
      <c r="A373" s="183"/>
      <c r="B373" s="183"/>
      <c r="C373" s="183"/>
      <c r="D373" s="183"/>
    </row>
    <row r="374" spans="1:4" ht="15" x14ac:dyDescent="0.2">
      <c r="A374" s="183"/>
      <c r="B374" s="183"/>
      <c r="C374" s="183"/>
      <c r="D374" s="183"/>
    </row>
    <row r="375" spans="1:4" ht="15" x14ac:dyDescent="0.2">
      <c r="A375" s="183"/>
      <c r="B375" s="183"/>
      <c r="C375" s="183"/>
      <c r="D375" s="183"/>
    </row>
    <row r="376" spans="1:4" ht="15" x14ac:dyDescent="0.2">
      <c r="A376" s="183"/>
      <c r="B376" s="183"/>
      <c r="C376" s="183"/>
      <c r="D376" s="183"/>
    </row>
    <row r="377" spans="1:4" ht="15" x14ac:dyDescent="0.2">
      <c r="A377" s="183"/>
      <c r="B377" s="183"/>
      <c r="C377" s="183"/>
      <c r="D377" s="183"/>
    </row>
    <row r="378" spans="1:4" ht="15" x14ac:dyDescent="0.2">
      <c r="A378" s="183"/>
      <c r="B378" s="183"/>
      <c r="C378" s="183"/>
      <c r="D378" s="183"/>
    </row>
    <row r="379" spans="1:4" ht="15" x14ac:dyDescent="0.2">
      <c r="A379" s="183"/>
      <c r="B379" s="183"/>
      <c r="C379" s="183"/>
      <c r="D379" s="183"/>
    </row>
    <row r="380" spans="1:4" ht="15" x14ac:dyDescent="0.2">
      <c r="A380" s="183"/>
      <c r="B380" s="183"/>
      <c r="C380" s="183"/>
      <c r="D380" s="183"/>
    </row>
    <row r="381" spans="1:4" ht="15" x14ac:dyDescent="0.2">
      <c r="A381" s="183"/>
      <c r="B381" s="183"/>
      <c r="C381" s="183"/>
      <c r="D381" s="183"/>
    </row>
    <row r="382" spans="1:4" ht="15" x14ac:dyDescent="0.2">
      <c r="A382" s="183"/>
      <c r="B382" s="183"/>
      <c r="C382" s="183"/>
      <c r="D382" s="183"/>
    </row>
    <row r="383" spans="1:4" ht="15" x14ac:dyDescent="0.2">
      <c r="A383" s="183"/>
      <c r="B383" s="183"/>
      <c r="C383" s="183"/>
      <c r="D383" s="183"/>
    </row>
    <row r="384" spans="1:4" ht="15" x14ac:dyDescent="0.2">
      <c r="A384" s="183"/>
      <c r="B384" s="183"/>
      <c r="C384" s="183"/>
      <c r="D384" s="183"/>
    </row>
    <row r="385" spans="1:4" ht="15" x14ac:dyDescent="0.2">
      <c r="A385" s="183"/>
      <c r="B385" s="183"/>
      <c r="C385" s="183"/>
      <c r="D385" s="183"/>
    </row>
    <row r="386" spans="1:4" ht="15" x14ac:dyDescent="0.2">
      <c r="A386" s="183"/>
      <c r="B386" s="183"/>
      <c r="C386" s="183"/>
      <c r="D386" s="183"/>
    </row>
    <row r="387" spans="1:4" ht="15" x14ac:dyDescent="0.2">
      <c r="A387" s="183"/>
      <c r="B387" s="183"/>
      <c r="C387" s="183"/>
      <c r="D387" s="183"/>
    </row>
    <row r="388" spans="1:4" ht="15" x14ac:dyDescent="0.2">
      <c r="A388" s="183"/>
      <c r="B388" s="183"/>
      <c r="C388" s="183"/>
      <c r="D388" s="183"/>
    </row>
    <row r="389" spans="1:4" ht="15" x14ac:dyDescent="0.2">
      <c r="A389" s="183"/>
      <c r="B389" s="183"/>
      <c r="C389" s="183"/>
      <c r="D389" s="183"/>
    </row>
    <row r="390" spans="1:4" ht="15" x14ac:dyDescent="0.2">
      <c r="A390" s="183"/>
      <c r="B390" s="183"/>
      <c r="C390" s="183"/>
      <c r="D390" s="183"/>
    </row>
    <row r="391" spans="1:4" ht="15" x14ac:dyDescent="0.2">
      <c r="A391" s="183"/>
      <c r="B391" s="183"/>
      <c r="C391" s="183"/>
      <c r="D391" s="183"/>
    </row>
    <row r="392" spans="1:4" ht="15" x14ac:dyDescent="0.2">
      <c r="A392" s="183"/>
      <c r="B392" s="183"/>
      <c r="C392" s="183"/>
      <c r="D392" s="183"/>
    </row>
    <row r="393" spans="1:4" ht="15" x14ac:dyDescent="0.2">
      <c r="A393" s="183"/>
      <c r="B393" s="183"/>
      <c r="C393" s="183"/>
      <c r="D393" s="183"/>
    </row>
    <row r="394" spans="1:4" ht="15" x14ac:dyDescent="0.2">
      <c r="A394" s="183"/>
      <c r="B394" s="183"/>
      <c r="C394" s="183"/>
      <c r="D394" s="183"/>
    </row>
    <row r="395" spans="1:4" ht="15" x14ac:dyDescent="0.2">
      <c r="A395" s="183"/>
      <c r="B395" s="183"/>
      <c r="C395" s="183"/>
      <c r="D395" s="183"/>
    </row>
    <row r="396" spans="1:4" ht="15" x14ac:dyDescent="0.2">
      <c r="A396" s="183"/>
      <c r="B396" s="183"/>
      <c r="C396" s="183"/>
      <c r="D396" s="183"/>
    </row>
    <row r="397" spans="1:4" ht="15" x14ac:dyDescent="0.2">
      <c r="A397" s="183"/>
      <c r="B397" s="183"/>
      <c r="C397" s="183"/>
      <c r="D397" s="183"/>
    </row>
    <row r="398" spans="1:4" ht="15" x14ac:dyDescent="0.2">
      <c r="A398" s="183"/>
      <c r="B398" s="183"/>
      <c r="C398" s="183"/>
      <c r="D398" s="183"/>
    </row>
    <row r="399" spans="1:4" ht="15" x14ac:dyDescent="0.2">
      <c r="A399" s="183"/>
      <c r="B399" s="183"/>
      <c r="C399" s="183"/>
      <c r="D399" s="183"/>
    </row>
    <row r="400" spans="1:4" ht="15" x14ac:dyDescent="0.2">
      <c r="A400" s="183"/>
      <c r="B400" s="183"/>
      <c r="C400" s="183"/>
      <c r="D400" s="183"/>
    </row>
    <row r="401" spans="1:4" ht="15" x14ac:dyDescent="0.2">
      <c r="A401" s="183"/>
      <c r="B401" s="183"/>
      <c r="C401" s="183"/>
      <c r="D401" s="183"/>
    </row>
    <row r="402" spans="1:4" ht="15" x14ac:dyDescent="0.2">
      <c r="A402" s="183"/>
      <c r="B402" s="183"/>
      <c r="C402" s="183"/>
      <c r="D402" s="183"/>
    </row>
    <row r="403" spans="1:4" ht="15" x14ac:dyDescent="0.2">
      <c r="A403" s="183"/>
      <c r="B403" s="183"/>
      <c r="C403" s="183"/>
      <c r="D403" s="183"/>
    </row>
    <row r="404" spans="1:4" ht="15" x14ac:dyDescent="0.2">
      <c r="A404" s="183"/>
      <c r="B404" s="183"/>
      <c r="C404" s="183"/>
      <c r="D404" s="183"/>
    </row>
    <row r="405" spans="1:4" ht="15" x14ac:dyDescent="0.2">
      <c r="A405" s="183"/>
      <c r="B405" s="183"/>
      <c r="C405" s="183"/>
      <c r="D405" s="183"/>
    </row>
    <row r="406" spans="1:4" ht="15" x14ac:dyDescent="0.2">
      <c r="A406" s="183"/>
      <c r="B406" s="183"/>
      <c r="C406" s="183"/>
      <c r="D406" s="183"/>
    </row>
    <row r="407" spans="1:4" ht="15" x14ac:dyDescent="0.2">
      <c r="A407" s="183"/>
      <c r="B407" s="183"/>
      <c r="C407" s="183"/>
      <c r="D407" s="183"/>
    </row>
    <row r="408" spans="1:4" ht="15" x14ac:dyDescent="0.2">
      <c r="A408" s="183"/>
      <c r="B408" s="183"/>
      <c r="C408" s="183"/>
      <c r="D408" s="183"/>
    </row>
    <row r="409" spans="1:4" ht="15" x14ac:dyDescent="0.2">
      <c r="A409" s="183"/>
      <c r="B409" s="183"/>
      <c r="C409" s="183"/>
      <c r="D409" s="183"/>
    </row>
    <row r="410" spans="1:4" ht="15" x14ac:dyDescent="0.2">
      <c r="A410" s="183"/>
      <c r="B410" s="183"/>
      <c r="C410" s="183"/>
      <c r="D410" s="183"/>
    </row>
    <row r="411" spans="1:4" ht="15" x14ac:dyDescent="0.2">
      <c r="A411" s="183"/>
      <c r="B411" s="183"/>
      <c r="C411" s="183"/>
      <c r="D411" s="183"/>
    </row>
    <row r="412" spans="1:4" ht="15" x14ac:dyDescent="0.2">
      <c r="A412" s="183"/>
      <c r="B412" s="183"/>
      <c r="C412" s="183"/>
      <c r="D412" s="183"/>
    </row>
    <row r="413" spans="1:4" ht="15" x14ac:dyDescent="0.2">
      <c r="A413" s="183"/>
      <c r="B413" s="183"/>
      <c r="C413" s="183"/>
      <c r="D413" s="183"/>
    </row>
    <row r="414" spans="1:4" ht="15" x14ac:dyDescent="0.2">
      <c r="A414" s="183"/>
      <c r="B414" s="183"/>
      <c r="C414" s="183"/>
      <c r="D414" s="183"/>
    </row>
    <row r="415" spans="1:4" ht="15" x14ac:dyDescent="0.2">
      <c r="A415" s="183"/>
      <c r="B415" s="183"/>
      <c r="C415" s="183"/>
      <c r="D415" s="183"/>
    </row>
    <row r="416" spans="1:4" ht="15" x14ac:dyDescent="0.2">
      <c r="A416" s="183"/>
      <c r="B416" s="183"/>
      <c r="C416" s="183"/>
      <c r="D416" s="183"/>
    </row>
    <row r="417" spans="1:4" ht="15" x14ac:dyDescent="0.2">
      <c r="A417" s="183"/>
      <c r="B417" s="183"/>
      <c r="C417" s="183"/>
      <c r="D417" s="183"/>
    </row>
    <row r="418" spans="1:4" ht="15" x14ac:dyDescent="0.2">
      <c r="A418" s="183"/>
      <c r="B418" s="183"/>
      <c r="C418" s="183"/>
      <c r="D418" s="183"/>
    </row>
    <row r="419" spans="1:4" ht="15" x14ac:dyDescent="0.2">
      <c r="A419" s="183"/>
      <c r="B419" s="183"/>
      <c r="C419" s="183"/>
      <c r="D419" s="183"/>
    </row>
    <row r="420" spans="1:4" ht="15" x14ac:dyDescent="0.2">
      <c r="A420" s="183"/>
      <c r="B420" s="183"/>
      <c r="C420" s="183"/>
      <c r="D420" s="183"/>
    </row>
    <row r="421" spans="1:4" ht="15" x14ac:dyDescent="0.2">
      <c r="A421" s="183"/>
      <c r="B421" s="183"/>
      <c r="C421" s="183"/>
      <c r="D421" s="183"/>
    </row>
    <row r="422" spans="1:4" ht="15" x14ac:dyDescent="0.2">
      <c r="A422" s="183"/>
      <c r="B422" s="183"/>
      <c r="C422" s="183"/>
      <c r="D422" s="183"/>
    </row>
    <row r="423" spans="1:4" ht="15" x14ac:dyDescent="0.2">
      <c r="A423" s="183"/>
      <c r="B423" s="183"/>
      <c r="C423" s="183"/>
      <c r="D423" s="183"/>
    </row>
    <row r="424" spans="1:4" ht="15" x14ac:dyDescent="0.2">
      <c r="A424" s="183"/>
      <c r="B424" s="183"/>
      <c r="C424" s="183"/>
      <c r="D424" s="183"/>
    </row>
    <row r="425" spans="1:4" ht="15" x14ac:dyDescent="0.2">
      <c r="A425" s="183"/>
      <c r="B425" s="183"/>
      <c r="C425" s="183"/>
      <c r="D425" s="183"/>
    </row>
    <row r="426" spans="1:4" ht="15" x14ac:dyDescent="0.2">
      <c r="A426" s="183"/>
      <c r="B426" s="183"/>
      <c r="C426" s="183"/>
      <c r="D426" s="183"/>
    </row>
    <row r="427" spans="1:4" ht="15" x14ac:dyDescent="0.2">
      <c r="A427" s="183"/>
      <c r="B427" s="183"/>
      <c r="C427" s="183"/>
      <c r="D427" s="183"/>
    </row>
    <row r="428" spans="1:4" ht="15" x14ac:dyDescent="0.2">
      <c r="A428" s="183"/>
      <c r="B428" s="183"/>
      <c r="C428" s="183"/>
      <c r="D428" s="183"/>
    </row>
    <row r="429" spans="1:4" ht="15" x14ac:dyDescent="0.2">
      <c r="A429" s="183"/>
      <c r="B429" s="183"/>
      <c r="C429" s="183"/>
      <c r="D429" s="183"/>
    </row>
    <row r="430" spans="1:4" ht="15" x14ac:dyDescent="0.2">
      <c r="A430" s="183"/>
      <c r="B430" s="183"/>
      <c r="C430" s="183"/>
      <c r="D430" s="183"/>
    </row>
    <row r="431" spans="1:4" ht="15" x14ac:dyDescent="0.2">
      <c r="A431" s="183"/>
      <c r="B431" s="183"/>
      <c r="C431" s="183"/>
      <c r="D431" s="183"/>
    </row>
    <row r="432" spans="1:4" ht="15" x14ac:dyDescent="0.2">
      <c r="A432" s="183"/>
      <c r="B432" s="183"/>
      <c r="C432" s="183"/>
      <c r="D432" s="183"/>
    </row>
    <row r="433" spans="1:4" ht="15" x14ac:dyDescent="0.2">
      <c r="A433" s="183"/>
      <c r="B433" s="183"/>
      <c r="C433" s="183"/>
      <c r="D433" s="183"/>
    </row>
    <row r="434" spans="1:4" ht="15" x14ac:dyDescent="0.2">
      <c r="A434" s="183"/>
      <c r="B434" s="183"/>
      <c r="C434" s="183"/>
      <c r="D434" s="183"/>
    </row>
    <row r="435" spans="1:4" ht="15" x14ac:dyDescent="0.2">
      <c r="A435" s="183"/>
      <c r="B435" s="183"/>
      <c r="C435" s="183"/>
      <c r="D435" s="183"/>
    </row>
    <row r="436" spans="1:4" ht="15" x14ac:dyDescent="0.2">
      <c r="A436" s="183"/>
      <c r="B436" s="183"/>
      <c r="C436" s="183"/>
      <c r="D436" s="183"/>
    </row>
    <row r="437" spans="1:4" ht="15" x14ac:dyDescent="0.2">
      <c r="A437" s="183"/>
      <c r="B437" s="183"/>
      <c r="C437" s="183"/>
      <c r="D437" s="183"/>
    </row>
    <row r="438" spans="1:4" ht="15" x14ac:dyDescent="0.2">
      <c r="A438" s="183"/>
      <c r="B438" s="183"/>
      <c r="C438" s="183"/>
      <c r="D438" s="183"/>
    </row>
    <row r="439" spans="1:4" ht="15" x14ac:dyDescent="0.2">
      <c r="A439" s="183"/>
      <c r="B439" s="183"/>
      <c r="C439" s="183"/>
      <c r="D439" s="183"/>
    </row>
    <row r="440" spans="1:4" ht="15" x14ac:dyDescent="0.2">
      <c r="A440" s="183"/>
      <c r="B440" s="183"/>
      <c r="C440" s="183"/>
      <c r="D440" s="183"/>
    </row>
    <row r="441" spans="1:4" ht="15" x14ac:dyDescent="0.2">
      <c r="A441" s="183"/>
      <c r="B441" s="183"/>
      <c r="C441" s="183"/>
      <c r="D441" s="183"/>
    </row>
    <row r="442" spans="1:4" ht="15" x14ac:dyDescent="0.2">
      <c r="A442" s="183"/>
      <c r="B442" s="183"/>
      <c r="C442" s="183"/>
      <c r="D442" s="183"/>
    </row>
    <row r="443" spans="1:4" ht="15" x14ac:dyDescent="0.2">
      <c r="A443" s="183"/>
      <c r="B443" s="183"/>
      <c r="C443" s="183"/>
      <c r="D443" s="183"/>
    </row>
    <row r="444" spans="1:4" ht="15" x14ac:dyDescent="0.2">
      <c r="A444" s="183"/>
      <c r="B444" s="183"/>
      <c r="C444" s="183"/>
      <c r="D444" s="183"/>
    </row>
    <row r="445" spans="1:4" ht="15" x14ac:dyDescent="0.2">
      <c r="A445" s="183"/>
      <c r="B445" s="183"/>
      <c r="C445" s="183"/>
      <c r="D445" s="183"/>
    </row>
    <row r="446" spans="1:4" ht="15" x14ac:dyDescent="0.2">
      <c r="A446" s="183"/>
      <c r="B446" s="183"/>
      <c r="C446" s="183"/>
      <c r="D446" s="183"/>
    </row>
    <row r="447" spans="1:4" ht="15" x14ac:dyDescent="0.2">
      <c r="A447" s="183"/>
      <c r="B447" s="183"/>
      <c r="C447" s="183"/>
      <c r="D447" s="183"/>
    </row>
    <row r="448" spans="1:4" ht="15" x14ac:dyDescent="0.2">
      <c r="A448" s="183"/>
      <c r="B448" s="183"/>
      <c r="C448" s="183"/>
      <c r="D448" s="183"/>
    </row>
    <row r="449" spans="1:4" ht="15" x14ac:dyDescent="0.2">
      <c r="A449" s="183"/>
      <c r="B449" s="183"/>
      <c r="C449" s="183"/>
      <c r="D449" s="183"/>
    </row>
    <row r="450" spans="1:4" ht="15" x14ac:dyDescent="0.2">
      <c r="A450" s="183"/>
      <c r="B450" s="183"/>
      <c r="C450" s="183"/>
      <c r="D450" s="183"/>
    </row>
    <row r="451" spans="1:4" ht="15" x14ac:dyDescent="0.2">
      <c r="A451" s="183"/>
      <c r="B451" s="183"/>
      <c r="C451" s="183"/>
      <c r="D451" s="183"/>
    </row>
    <row r="452" spans="1:4" ht="15" x14ac:dyDescent="0.2">
      <c r="A452" s="183"/>
      <c r="B452" s="183"/>
      <c r="C452" s="183"/>
      <c r="D452" s="183"/>
    </row>
    <row r="453" spans="1:4" ht="15" x14ac:dyDescent="0.2">
      <c r="A453" s="183"/>
      <c r="B453" s="183"/>
      <c r="C453" s="183"/>
      <c r="D453" s="183"/>
    </row>
    <row r="454" spans="1:4" ht="15" x14ac:dyDescent="0.2">
      <c r="A454" s="183"/>
      <c r="B454" s="183"/>
      <c r="C454" s="183"/>
      <c r="D454" s="183"/>
    </row>
    <row r="455" spans="1:4" ht="15" x14ac:dyDescent="0.2">
      <c r="A455" s="183"/>
      <c r="B455" s="183"/>
      <c r="C455" s="183"/>
      <c r="D455" s="183"/>
    </row>
    <row r="456" spans="1:4" ht="15" x14ac:dyDescent="0.2">
      <c r="A456" s="183"/>
      <c r="B456" s="183"/>
      <c r="C456" s="183"/>
      <c r="D456" s="183"/>
    </row>
    <row r="457" spans="1:4" ht="15" x14ac:dyDescent="0.2">
      <c r="A457" s="183"/>
      <c r="B457" s="183"/>
      <c r="C457" s="183"/>
      <c r="D457" s="183"/>
    </row>
    <row r="458" spans="1:4" ht="15" x14ac:dyDescent="0.2">
      <c r="A458" s="183"/>
      <c r="B458" s="183"/>
      <c r="C458" s="183"/>
      <c r="D458" s="183"/>
    </row>
    <row r="459" spans="1:4" ht="15" x14ac:dyDescent="0.2">
      <c r="A459" s="183"/>
      <c r="B459" s="183"/>
      <c r="C459" s="183"/>
      <c r="D459" s="183"/>
    </row>
    <row r="460" spans="1:4" ht="15" x14ac:dyDescent="0.2">
      <c r="A460" s="183"/>
      <c r="B460" s="183"/>
      <c r="C460" s="183"/>
      <c r="D460" s="183"/>
    </row>
    <row r="461" spans="1:4" ht="15" x14ac:dyDescent="0.2">
      <c r="A461" s="183"/>
      <c r="B461" s="183"/>
      <c r="C461" s="183"/>
      <c r="D461" s="183"/>
    </row>
    <row r="462" spans="1:4" ht="15" x14ac:dyDescent="0.2">
      <c r="A462" s="183"/>
      <c r="B462" s="183"/>
      <c r="C462" s="183"/>
      <c r="D462" s="183"/>
    </row>
    <row r="463" spans="1:4" ht="15" x14ac:dyDescent="0.2">
      <c r="A463" s="183"/>
      <c r="B463" s="183"/>
      <c r="C463" s="183"/>
      <c r="D463" s="183"/>
    </row>
    <row r="464" spans="1:4" ht="15" x14ac:dyDescent="0.2">
      <c r="A464" s="183"/>
      <c r="B464" s="183"/>
      <c r="C464" s="183"/>
      <c r="D464" s="183"/>
    </row>
    <row r="465" spans="1:4" ht="15" x14ac:dyDescent="0.2">
      <c r="A465" s="183"/>
      <c r="B465" s="183"/>
      <c r="C465" s="183"/>
      <c r="D465" s="183"/>
    </row>
    <row r="466" spans="1:4" ht="15" x14ac:dyDescent="0.2">
      <c r="A466" s="183"/>
      <c r="B466" s="183"/>
      <c r="C466" s="183"/>
      <c r="D466" s="183"/>
    </row>
    <row r="467" spans="1:4" ht="15" x14ac:dyDescent="0.2">
      <c r="A467" s="183"/>
      <c r="B467" s="183"/>
      <c r="C467" s="183"/>
      <c r="D467" s="183"/>
    </row>
    <row r="468" spans="1:4" ht="15" x14ac:dyDescent="0.2">
      <c r="A468" s="183"/>
      <c r="B468" s="183"/>
      <c r="C468" s="183"/>
      <c r="D468" s="183"/>
    </row>
    <row r="469" spans="1:4" ht="15" x14ac:dyDescent="0.2">
      <c r="A469" s="183"/>
      <c r="B469" s="183"/>
      <c r="C469" s="183"/>
      <c r="D469" s="183"/>
    </row>
    <row r="470" spans="1:4" ht="15" x14ac:dyDescent="0.2">
      <c r="A470" s="183"/>
      <c r="B470" s="183"/>
      <c r="C470" s="183"/>
      <c r="D470" s="183"/>
    </row>
    <row r="471" spans="1:4" ht="15" x14ac:dyDescent="0.2">
      <c r="A471" s="183"/>
      <c r="B471" s="183"/>
      <c r="C471" s="183"/>
      <c r="D471" s="183"/>
    </row>
    <row r="472" spans="1:4" ht="15" x14ac:dyDescent="0.2">
      <c r="A472" s="183"/>
      <c r="B472" s="183"/>
      <c r="C472" s="183"/>
      <c r="D472" s="183"/>
    </row>
    <row r="473" spans="1:4" ht="15" x14ac:dyDescent="0.2">
      <c r="A473" s="183"/>
      <c r="B473" s="183"/>
      <c r="C473" s="183"/>
      <c r="D473" s="183"/>
    </row>
    <row r="474" spans="1:4" ht="15" x14ac:dyDescent="0.2">
      <c r="A474" s="183"/>
      <c r="B474" s="183"/>
      <c r="C474" s="183"/>
      <c r="D474" s="183"/>
    </row>
    <row r="475" spans="1:4" ht="15" x14ac:dyDescent="0.2">
      <c r="A475" s="183"/>
      <c r="B475" s="183"/>
      <c r="C475" s="183"/>
      <c r="D475" s="183"/>
    </row>
    <row r="476" spans="1:4" ht="15" x14ac:dyDescent="0.2">
      <c r="A476" s="183"/>
      <c r="B476" s="183"/>
      <c r="C476" s="183"/>
      <c r="D476" s="183"/>
    </row>
    <row r="477" spans="1:4" ht="15" x14ac:dyDescent="0.2">
      <c r="A477" s="183"/>
      <c r="B477" s="183"/>
      <c r="C477" s="183"/>
      <c r="D477" s="183"/>
    </row>
    <row r="478" spans="1:4" ht="15" x14ac:dyDescent="0.2">
      <c r="A478" s="183"/>
      <c r="B478" s="183"/>
      <c r="C478" s="183"/>
      <c r="D478" s="183"/>
    </row>
    <row r="479" spans="1:4" ht="15" x14ac:dyDescent="0.2">
      <c r="A479" s="183"/>
      <c r="B479" s="183"/>
      <c r="C479" s="183"/>
      <c r="D479" s="183"/>
    </row>
    <row r="480" spans="1:4" ht="15" x14ac:dyDescent="0.2">
      <c r="A480" s="183"/>
      <c r="B480" s="183"/>
      <c r="C480" s="183"/>
      <c r="D480" s="183"/>
    </row>
    <row r="481" spans="1:4" ht="15" x14ac:dyDescent="0.2">
      <c r="A481" s="183"/>
      <c r="B481" s="183"/>
      <c r="C481" s="183"/>
      <c r="D481" s="183"/>
    </row>
    <row r="482" spans="1:4" ht="15" x14ac:dyDescent="0.2">
      <c r="A482" s="183"/>
      <c r="B482" s="183"/>
      <c r="C482" s="183"/>
      <c r="D482" s="183"/>
    </row>
    <row r="483" spans="1:4" ht="15" x14ac:dyDescent="0.2">
      <c r="A483" s="183"/>
      <c r="B483" s="183"/>
      <c r="C483" s="183"/>
      <c r="D483" s="183"/>
    </row>
    <row r="484" spans="1:4" ht="15" x14ac:dyDescent="0.2">
      <c r="A484" s="183"/>
      <c r="B484" s="183"/>
      <c r="C484" s="183"/>
      <c r="D484" s="183"/>
    </row>
    <row r="485" spans="1:4" ht="15" x14ac:dyDescent="0.2">
      <c r="A485" s="183"/>
      <c r="B485" s="183"/>
      <c r="C485" s="183"/>
      <c r="D485" s="183"/>
    </row>
    <row r="486" spans="1:4" ht="15" x14ac:dyDescent="0.2">
      <c r="A486" s="183"/>
      <c r="B486" s="183"/>
      <c r="C486" s="183"/>
      <c r="D486" s="183"/>
    </row>
    <row r="487" spans="1:4" ht="15" x14ac:dyDescent="0.2">
      <c r="A487" s="183"/>
      <c r="B487" s="183"/>
      <c r="C487" s="183"/>
      <c r="D487" s="183"/>
    </row>
    <row r="488" spans="1:4" ht="15" x14ac:dyDescent="0.2">
      <c r="A488" s="183"/>
      <c r="B488" s="183"/>
      <c r="C488" s="183"/>
      <c r="D488" s="183"/>
    </row>
    <row r="489" spans="1:4" ht="15" x14ac:dyDescent="0.2">
      <c r="A489" s="183"/>
      <c r="B489" s="183"/>
      <c r="C489" s="183"/>
      <c r="D489" s="183"/>
    </row>
    <row r="490" spans="1:4" ht="15" x14ac:dyDescent="0.2">
      <c r="A490" s="183"/>
      <c r="B490" s="183"/>
      <c r="C490" s="183"/>
      <c r="D490" s="183"/>
    </row>
    <row r="491" spans="1:4" ht="15" x14ac:dyDescent="0.2">
      <c r="A491" s="183"/>
      <c r="B491" s="183"/>
      <c r="C491" s="183"/>
      <c r="D491" s="183"/>
    </row>
    <row r="492" spans="1:4" ht="15" x14ac:dyDescent="0.2">
      <c r="A492" s="183"/>
      <c r="B492" s="183"/>
      <c r="C492" s="183"/>
      <c r="D492" s="183"/>
    </row>
    <row r="493" spans="1:4" ht="15" x14ac:dyDescent="0.2">
      <c r="A493" s="183"/>
      <c r="B493" s="183"/>
      <c r="C493" s="183"/>
      <c r="D493" s="183"/>
    </row>
    <row r="494" spans="1:4" ht="15" x14ac:dyDescent="0.2">
      <c r="A494" s="183"/>
      <c r="B494" s="183"/>
      <c r="C494" s="183"/>
      <c r="D494" s="183"/>
    </row>
    <row r="495" spans="1:4" ht="15" x14ac:dyDescent="0.2">
      <c r="A495" s="183"/>
      <c r="B495" s="183"/>
      <c r="C495" s="183"/>
      <c r="D495" s="183"/>
    </row>
    <row r="496" spans="1:4" ht="15" x14ac:dyDescent="0.2">
      <c r="A496" s="183"/>
      <c r="B496" s="183"/>
      <c r="C496" s="183"/>
      <c r="D496" s="183"/>
    </row>
    <row r="497" spans="1:4" ht="15" x14ac:dyDescent="0.2">
      <c r="A497" s="183"/>
      <c r="B497" s="183"/>
      <c r="C497" s="183"/>
      <c r="D497" s="183"/>
    </row>
    <row r="498" spans="1:4" ht="15" x14ac:dyDescent="0.2">
      <c r="A498" s="183"/>
      <c r="B498" s="183"/>
      <c r="C498" s="183"/>
      <c r="D498" s="183"/>
    </row>
    <row r="499" spans="1:4" ht="15" x14ac:dyDescent="0.2">
      <c r="A499" s="183"/>
      <c r="B499" s="183"/>
      <c r="C499" s="183"/>
      <c r="D499" s="183"/>
    </row>
    <row r="500" spans="1:4" ht="15" x14ac:dyDescent="0.2">
      <c r="A500" s="183"/>
      <c r="B500" s="183"/>
      <c r="C500" s="183"/>
      <c r="D500" s="183"/>
    </row>
    <row r="501" spans="1:4" ht="15" x14ac:dyDescent="0.2">
      <c r="A501" s="183"/>
      <c r="B501" s="183"/>
      <c r="C501" s="183"/>
      <c r="D501" s="183"/>
    </row>
    <row r="502" spans="1:4" ht="15" x14ac:dyDescent="0.2">
      <c r="A502" s="183"/>
      <c r="B502" s="183"/>
      <c r="C502" s="183"/>
      <c r="D502" s="183"/>
    </row>
    <row r="503" spans="1:4" ht="15" x14ac:dyDescent="0.2">
      <c r="A503" s="183"/>
      <c r="B503" s="183"/>
      <c r="C503" s="183"/>
      <c r="D503" s="183"/>
    </row>
    <row r="504" spans="1:4" ht="15" x14ac:dyDescent="0.2">
      <c r="A504" s="183"/>
      <c r="B504" s="183"/>
      <c r="C504" s="183"/>
      <c r="D504" s="183"/>
    </row>
    <row r="505" spans="1:4" ht="15" x14ac:dyDescent="0.2">
      <c r="A505" s="183"/>
      <c r="B505" s="183"/>
      <c r="C505" s="183"/>
      <c r="D505" s="183"/>
    </row>
    <row r="506" spans="1:4" ht="15" x14ac:dyDescent="0.2">
      <c r="A506" s="183"/>
      <c r="B506" s="183"/>
      <c r="C506" s="183"/>
      <c r="D506" s="183"/>
    </row>
    <row r="507" spans="1:4" ht="15" x14ac:dyDescent="0.2">
      <c r="A507" s="183"/>
      <c r="B507" s="183"/>
      <c r="C507" s="183"/>
      <c r="D507" s="183"/>
    </row>
    <row r="508" spans="1:4" ht="15" x14ac:dyDescent="0.2">
      <c r="A508" s="183"/>
      <c r="B508" s="183"/>
      <c r="C508" s="183"/>
      <c r="D508" s="183"/>
    </row>
    <row r="509" spans="1:4" ht="15" x14ac:dyDescent="0.2">
      <c r="A509" s="183"/>
      <c r="B509" s="183"/>
      <c r="C509" s="183"/>
      <c r="D509" s="183"/>
    </row>
    <row r="510" spans="1:4" ht="15" x14ac:dyDescent="0.2">
      <c r="A510" s="183"/>
      <c r="B510" s="183"/>
      <c r="C510" s="183"/>
      <c r="D510" s="183"/>
    </row>
    <row r="511" spans="1:4" ht="15" x14ac:dyDescent="0.2">
      <c r="A511" s="183"/>
      <c r="B511" s="183"/>
      <c r="C511" s="183"/>
      <c r="D511" s="183"/>
    </row>
    <row r="512" spans="1:4" ht="15" x14ac:dyDescent="0.2">
      <c r="A512" s="183"/>
      <c r="B512" s="183"/>
      <c r="C512" s="183"/>
      <c r="D512" s="183"/>
    </row>
    <row r="513" spans="1:4" ht="15" x14ac:dyDescent="0.2">
      <c r="A513" s="183"/>
      <c r="B513" s="183"/>
      <c r="C513" s="183"/>
      <c r="D513" s="183"/>
    </row>
    <row r="514" spans="1:4" ht="15" x14ac:dyDescent="0.2">
      <c r="A514" s="183"/>
      <c r="B514" s="183"/>
      <c r="C514" s="183"/>
      <c r="D514" s="183"/>
    </row>
    <row r="515" spans="1:4" ht="15" x14ac:dyDescent="0.2">
      <c r="A515" s="183"/>
      <c r="B515" s="183"/>
      <c r="C515" s="183"/>
      <c r="D515" s="183"/>
    </row>
    <row r="516" spans="1:4" ht="15" x14ac:dyDescent="0.2">
      <c r="A516" s="183"/>
      <c r="B516" s="183"/>
      <c r="C516" s="183"/>
      <c r="D516" s="183"/>
    </row>
    <row r="517" spans="1:4" ht="15" x14ac:dyDescent="0.2">
      <c r="A517" s="183"/>
      <c r="B517" s="183"/>
      <c r="C517" s="183"/>
      <c r="D517" s="183"/>
    </row>
    <row r="518" spans="1:4" ht="15" x14ac:dyDescent="0.2">
      <c r="A518" s="183"/>
      <c r="B518" s="183"/>
      <c r="C518" s="183"/>
      <c r="D518" s="183"/>
    </row>
    <row r="519" spans="1:4" ht="15" x14ac:dyDescent="0.2">
      <c r="A519" s="183"/>
      <c r="B519" s="183"/>
      <c r="C519" s="183"/>
      <c r="D519" s="183"/>
    </row>
    <row r="520" spans="1:4" ht="15" x14ac:dyDescent="0.2">
      <c r="A520" s="183"/>
      <c r="B520" s="183"/>
      <c r="C520" s="183"/>
      <c r="D520" s="183"/>
    </row>
    <row r="521" spans="1:4" ht="15" x14ac:dyDescent="0.2">
      <c r="A521" s="183"/>
      <c r="B521" s="183"/>
      <c r="C521" s="183"/>
      <c r="D521" s="183"/>
    </row>
    <row r="522" spans="1:4" ht="15" x14ac:dyDescent="0.2">
      <c r="A522" s="183"/>
      <c r="B522" s="183"/>
      <c r="C522" s="183"/>
      <c r="D522" s="183"/>
    </row>
    <row r="523" spans="1:4" ht="15" x14ac:dyDescent="0.2">
      <c r="A523" s="183"/>
      <c r="B523" s="183"/>
      <c r="C523" s="183"/>
      <c r="D523" s="183"/>
    </row>
    <row r="524" spans="1:4" ht="15" x14ac:dyDescent="0.2">
      <c r="A524" s="183"/>
      <c r="B524" s="183"/>
      <c r="C524" s="183"/>
      <c r="D524" s="183"/>
    </row>
    <row r="525" spans="1:4" ht="15" x14ac:dyDescent="0.2">
      <c r="A525" s="183"/>
      <c r="B525" s="183"/>
      <c r="C525" s="183"/>
      <c r="D525" s="183"/>
    </row>
    <row r="526" spans="1:4" ht="15" x14ac:dyDescent="0.2">
      <c r="A526" s="183"/>
      <c r="B526" s="183"/>
      <c r="C526" s="183"/>
      <c r="D526" s="183"/>
    </row>
    <row r="527" spans="1:4" ht="15" x14ac:dyDescent="0.2">
      <c r="A527" s="183"/>
      <c r="B527" s="183"/>
      <c r="C527" s="183"/>
      <c r="D527" s="183"/>
    </row>
    <row r="528" spans="1:4" ht="15" x14ac:dyDescent="0.2">
      <c r="A528" s="183"/>
      <c r="B528" s="183"/>
      <c r="C528" s="183"/>
      <c r="D528" s="183"/>
    </row>
    <row r="529" spans="1:4" ht="15" x14ac:dyDescent="0.2">
      <c r="A529" s="183"/>
      <c r="B529" s="183"/>
      <c r="C529" s="183"/>
      <c r="D529" s="183"/>
    </row>
    <row r="530" spans="1:4" ht="15" x14ac:dyDescent="0.2">
      <c r="A530" s="183"/>
      <c r="B530" s="183"/>
      <c r="C530" s="183"/>
      <c r="D530" s="183"/>
    </row>
    <row r="531" spans="1:4" ht="15" x14ac:dyDescent="0.2">
      <c r="A531" s="183"/>
      <c r="B531" s="183"/>
      <c r="C531" s="183"/>
      <c r="D531" s="183"/>
    </row>
    <row r="532" spans="1:4" ht="15" x14ac:dyDescent="0.2">
      <c r="A532" s="183"/>
      <c r="B532" s="183"/>
      <c r="C532" s="183"/>
      <c r="D532" s="183"/>
    </row>
    <row r="533" spans="1:4" ht="15" x14ac:dyDescent="0.2">
      <c r="A533" s="183"/>
      <c r="B533" s="183"/>
      <c r="C533" s="183"/>
      <c r="D533" s="183"/>
    </row>
    <row r="534" spans="1:4" ht="15" x14ac:dyDescent="0.2">
      <c r="A534" s="183"/>
      <c r="B534" s="183"/>
      <c r="C534" s="183"/>
      <c r="D534" s="183"/>
    </row>
    <row r="535" spans="1:4" ht="15" x14ac:dyDescent="0.2">
      <c r="A535" s="183"/>
      <c r="B535" s="183"/>
      <c r="C535" s="183"/>
      <c r="D535" s="183"/>
    </row>
    <row r="536" spans="1:4" ht="15" x14ac:dyDescent="0.2">
      <c r="A536" s="183"/>
      <c r="B536" s="183"/>
      <c r="C536" s="183"/>
      <c r="D536" s="183"/>
    </row>
    <row r="537" spans="1:4" ht="15" x14ac:dyDescent="0.2">
      <c r="A537" s="183"/>
      <c r="B537" s="183"/>
      <c r="C537" s="183"/>
      <c r="D537" s="183"/>
    </row>
    <row r="538" spans="1:4" ht="15" x14ac:dyDescent="0.2">
      <c r="A538" s="183"/>
      <c r="B538" s="183"/>
      <c r="C538" s="183"/>
      <c r="D538" s="183"/>
    </row>
    <row r="539" spans="1:4" ht="15" x14ac:dyDescent="0.2">
      <c r="A539" s="183"/>
      <c r="B539" s="183"/>
      <c r="C539" s="183"/>
      <c r="D539" s="183"/>
    </row>
    <row r="540" spans="1:4" ht="15" x14ac:dyDescent="0.2">
      <c r="A540" s="183"/>
      <c r="B540" s="183"/>
      <c r="C540" s="183"/>
      <c r="D540" s="183"/>
    </row>
    <row r="541" spans="1:4" ht="15" x14ac:dyDescent="0.2">
      <c r="A541" s="183"/>
      <c r="B541" s="183"/>
      <c r="C541" s="183"/>
      <c r="D541" s="183"/>
    </row>
    <row r="542" spans="1:4" ht="15" x14ac:dyDescent="0.2">
      <c r="A542" s="183"/>
      <c r="B542" s="183"/>
      <c r="C542" s="183"/>
      <c r="D542" s="183"/>
    </row>
    <row r="543" spans="1:4" ht="15" x14ac:dyDescent="0.2">
      <c r="A543" s="183"/>
      <c r="B543" s="183"/>
      <c r="C543" s="183"/>
      <c r="D543" s="183"/>
    </row>
    <row r="544" spans="1:4" ht="15" x14ac:dyDescent="0.2">
      <c r="A544" s="183"/>
      <c r="B544" s="183"/>
      <c r="C544" s="183"/>
      <c r="D544" s="183"/>
    </row>
    <row r="545" spans="1:4" ht="15" x14ac:dyDescent="0.2">
      <c r="A545" s="183"/>
      <c r="B545" s="183"/>
      <c r="C545" s="183"/>
      <c r="D545" s="183"/>
    </row>
    <row r="546" spans="1:4" ht="15" x14ac:dyDescent="0.2">
      <c r="A546" s="183"/>
      <c r="B546" s="183"/>
      <c r="C546" s="183"/>
      <c r="D546" s="183"/>
    </row>
    <row r="547" spans="1:4" ht="15" x14ac:dyDescent="0.2">
      <c r="A547" s="183"/>
      <c r="B547" s="183"/>
      <c r="C547" s="183"/>
      <c r="D547" s="183"/>
    </row>
    <row r="548" spans="1:4" ht="15" x14ac:dyDescent="0.2">
      <c r="A548" s="183"/>
      <c r="B548" s="183"/>
      <c r="C548" s="183"/>
      <c r="D548" s="183"/>
    </row>
    <row r="549" spans="1:4" ht="15" x14ac:dyDescent="0.2">
      <c r="A549" s="183"/>
      <c r="B549" s="183"/>
      <c r="C549" s="183"/>
      <c r="D549" s="183"/>
    </row>
    <row r="550" spans="1:4" ht="15" x14ac:dyDescent="0.2">
      <c r="A550" s="183"/>
      <c r="B550" s="183"/>
      <c r="C550" s="183"/>
      <c r="D550" s="183"/>
    </row>
    <row r="551" spans="1:4" ht="15" x14ac:dyDescent="0.2">
      <c r="A551" s="183"/>
      <c r="B551" s="183"/>
      <c r="C551" s="183"/>
      <c r="D551" s="183"/>
    </row>
    <row r="552" spans="1:4" ht="15" x14ac:dyDescent="0.2">
      <c r="A552" s="183"/>
      <c r="B552" s="183"/>
      <c r="C552" s="183"/>
      <c r="D552" s="183"/>
    </row>
    <row r="553" spans="1:4" ht="15" x14ac:dyDescent="0.2">
      <c r="A553" s="183"/>
      <c r="B553" s="183"/>
      <c r="C553" s="183"/>
      <c r="D553" s="183"/>
    </row>
    <row r="554" spans="1:4" ht="15" x14ac:dyDescent="0.2">
      <c r="A554" s="183"/>
      <c r="B554" s="183"/>
      <c r="C554" s="183"/>
      <c r="D554" s="183"/>
    </row>
    <row r="555" spans="1:4" ht="15" x14ac:dyDescent="0.2">
      <c r="A555" s="183"/>
      <c r="B555" s="183"/>
      <c r="C555" s="183"/>
      <c r="D555" s="183"/>
    </row>
    <row r="556" spans="1:4" ht="15" x14ac:dyDescent="0.2">
      <c r="A556" s="183"/>
      <c r="B556" s="183"/>
      <c r="C556" s="183"/>
      <c r="D556" s="183"/>
    </row>
    <row r="557" spans="1:4" ht="15" x14ac:dyDescent="0.2">
      <c r="A557" s="183"/>
      <c r="B557" s="183"/>
      <c r="C557" s="183"/>
      <c r="D557" s="183"/>
    </row>
    <row r="558" spans="1:4" ht="15" x14ac:dyDescent="0.2">
      <c r="A558" s="183"/>
      <c r="B558" s="183"/>
      <c r="C558" s="183"/>
      <c r="D558" s="183"/>
    </row>
    <row r="559" spans="1:4" ht="15" x14ac:dyDescent="0.2">
      <c r="A559" s="183"/>
      <c r="B559" s="183"/>
      <c r="C559" s="183"/>
      <c r="D559" s="183"/>
    </row>
    <row r="560" spans="1:4" ht="15" x14ac:dyDescent="0.2">
      <c r="A560" s="183"/>
      <c r="B560" s="183"/>
      <c r="C560" s="183"/>
      <c r="D560" s="183"/>
    </row>
    <row r="561" spans="1:4" ht="15" x14ac:dyDescent="0.2">
      <c r="A561" s="183"/>
      <c r="B561" s="183"/>
      <c r="C561" s="183"/>
      <c r="D561" s="183"/>
    </row>
    <row r="562" spans="1:4" ht="15" x14ac:dyDescent="0.2">
      <c r="A562" s="183"/>
      <c r="B562" s="183"/>
      <c r="C562" s="183"/>
      <c r="D562" s="183"/>
    </row>
    <row r="563" spans="1:4" ht="15" x14ac:dyDescent="0.2">
      <c r="A563" s="183"/>
      <c r="B563" s="183"/>
      <c r="C563" s="183"/>
      <c r="D563" s="183"/>
    </row>
    <row r="564" spans="1:4" ht="15" x14ac:dyDescent="0.2">
      <c r="A564" s="183"/>
      <c r="B564" s="183"/>
      <c r="C564" s="183"/>
      <c r="D564" s="183"/>
    </row>
    <row r="565" spans="1:4" ht="15" x14ac:dyDescent="0.2">
      <c r="A565" s="183"/>
      <c r="B565" s="183"/>
      <c r="C565" s="183"/>
      <c r="D565" s="183"/>
    </row>
    <row r="566" spans="1:4" ht="15" x14ac:dyDescent="0.2">
      <c r="A566" s="183"/>
      <c r="B566" s="183"/>
      <c r="C566" s="183"/>
      <c r="D566" s="183"/>
    </row>
    <row r="567" spans="1:4" ht="15" x14ac:dyDescent="0.2">
      <c r="A567" s="183"/>
      <c r="B567" s="183"/>
      <c r="C567" s="183"/>
      <c r="D567" s="183"/>
    </row>
    <row r="568" spans="1:4" ht="15" x14ac:dyDescent="0.2">
      <c r="A568" s="183"/>
      <c r="B568" s="183"/>
      <c r="C568" s="183"/>
      <c r="D568" s="183"/>
    </row>
    <row r="569" spans="1:4" ht="15" x14ac:dyDescent="0.2">
      <c r="A569" s="183"/>
      <c r="B569" s="183"/>
      <c r="C569" s="183"/>
      <c r="D569" s="183"/>
    </row>
    <row r="570" spans="1:4" ht="15" x14ac:dyDescent="0.2">
      <c r="A570" s="183"/>
      <c r="B570" s="183"/>
      <c r="C570" s="183"/>
      <c r="D570" s="183"/>
    </row>
    <row r="571" spans="1:4" ht="15" x14ac:dyDescent="0.2">
      <c r="A571" s="183"/>
      <c r="B571" s="183"/>
      <c r="C571" s="183"/>
      <c r="D571" s="183"/>
    </row>
    <row r="572" spans="1:4" ht="15" x14ac:dyDescent="0.2">
      <c r="A572" s="183"/>
      <c r="B572" s="183"/>
      <c r="C572" s="183"/>
      <c r="D572" s="183"/>
    </row>
    <row r="573" spans="1:4" ht="15" x14ac:dyDescent="0.2">
      <c r="A573" s="183"/>
      <c r="B573" s="183"/>
      <c r="C573" s="183"/>
      <c r="D573" s="183"/>
    </row>
    <row r="574" spans="1:4" ht="15" x14ac:dyDescent="0.2">
      <c r="A574" s="183"/>
      <c r="B574" s="183"/>
      <c r="C574" s="183"/>
      <c r="D574" s="183"/>
    </row>
    <row r="575" spans="1:4" ht="15" x14ac:dyDescent="0.2">
      <c r="A575" s="183"/>
      <c r="B575" s="183"/>
      <c r="C575" s="183"/>
      <c r="D575" s="183"/>
    </row>
    <row r="576" spans="1:4" ht="15" x14ac:dyDescent="0.2">
      <c r="A576" s="183"/>
      <c r="B576" s="183"/>
      <c r="C576" s="183"/>
      <c r="D576" s="183"/>
    </row>
    <row r="577" spans="1:4" ht="15" x14ac:dyDescent="0.2">
      <c r="A577" s="183"/>
      <c r="B577" s="183"/>
      <c r="C577" s="183"/>
      <c r="D577" s="183"/>
    </row>
    <row r="578" spans="1:4" ht="15" x14ac:dyDescent="0.2">
      <c r="A578" s="183"/>
      <c r="B578" s="183"/>
      <c r="C578" s="183"/>
      <c r="D578" s="183"/>
    </row>
    <row r="579" spans="1:4" ht="15" x14ac:dyDescent="0.2">
      <c r="A579" s="183"/>
      <c r="B579" s="183"/>
      <c r="C579" s="183"/>
      <c r="D579" s="183"/>
    </row>
    <row r="580" spans="1:4" ht="15" x14ac:dyDescent="0.2">
      <c r="A580" s="183"/>
      <c r="B580" s="183"/>
      <c r="C580" s="183"/>
      <c r="D580" s="183"/>
    </row>
    <row r="581" spans="1:4" ht="15" x14ac:dyDescent="0.2">
      <c r="A581" s="183"/>
      <c r="B581" s="183"/>
      <c r="C581" s="183"/>
      <c r="D581" s="183"/>
    </row>
    <row r="582" spans="1:4" ht="15" x14ac:dyDescent="0.2">
      <c r="A582" s="183"/>
      <c r="B582" s="183"/>
      <c r="C582" s="183"/>
      <c r="D582" s="183"/>
    </row>
    <row r="583" spans="1:4" ht="15" x14ac:dyDescent="0.2">
      <c r="A583" s="183"/>
      <c r="B583" s="183"/>
      <c r="C583" s="183"/>
      <c r="D583" s="183"/>
    </row>
    <row r="584" spans="1:4" ht="15" x14ac:dyDescent="0.2">
      <c r="A584" s="183"/>
      <c r="B584" s="183"/>
      <c r="C584" s="183"/>
      <c r="D584" s="183"/>
    </row>
    <row r="585" spans="1:4" ht="15" x14ac:dyDescent="0.2">
      <c r="A585" s="183"/>
      <c r="B585" s="183"/>
      <c r="C585" s="183"/>
      <c r="D585" s="183"/>
    </row>
    <row r="586" spans="1:4" ht="15" x14ac:dyDescent="0.2">
      <c r="A586" s="183"/>
      <c r="B586" s="183"/>
      <c r="C586" s="183"/>
      <c r="D586" s="183"/>
    </row>
    <row r="587" spans="1:4" ht="15" x14ac:dyDescent="0.2">
      <c r="A587" s="183"/>
      <c r="B587" s="183"/>
      <c r="C587" s="183"/>
      <c r="D587" s="183"/>
    </row>
    <row r="588" spans="1:4" ht="15" x14ac:dyDescent="0.2">
      <c r="A588" s="183"/>
      <c r="B588" s="183"/>
      <c r="C588" s="183"/>
      <c r="D588" s="183"/>
    </row>
    <row r="589" spans="1:4" ht="15" x14ac:dyDescent="0.2">
      <c r="A589" s="183"/>
      <c r="B589" s="183"/>
      <c r="C589" s="183"/>
      <c r="D589" s="183"/>
    </row>
    <row r="590" spans="1:4" ht="15" x14ac:dyDescent="0.2">
      <c r="A590" s="183"/>
      <c r="B590" s="183"/>
      <c r="C590" s="183"/>
      <c r="D590" s="183"/>
    </row>
    <row r="591" spans="1:4" ht="15" x14ac:dyDescent="0.2">
      <c r="A591" s="183"/>
      <c r="B591" s="183"/>
      <c r="C591" s="183"/>
      <c r="D591" s="183"/>
    </row>
    <row r="592" spans="1:4" ht="15" x14ac:dyDescent="0.2">
      <c r="A592" s="183"/>
      <c r="B592" s="183"/>
      <c r="C592" s="183"/>
      <c r="D592" s="183"/>
    </row>
    <row r="593" spans="1:4" ht="15" x14ac:dyDescent="0.2">
      <c r="A593" s="183"/>
      <c r="B593" s="183"/>
      <c r="C593" s="183"/>
      <c r="D593" s="183"/>
    </row>
    <row r="594" spans="1:4" ht="15" x14ac:dyDescent="0.2">
      <c r="A594" s="183"/>
      <c r="B594" s="183"/>
      <c r="C594" s="183"/>
      <c r="D594" s="183"/>
    </row>
    <row r="595" spans="1:4" ht="15" x14ac:dyDescent="0.2">
      <c r="A595" s="183"/>
      <c r="B595" s="183"/>
      <c r="C595" s="183"/>
      <c r="D595" s="183"/>
    </row>
    <row r="596" spans="1:4" ht="15" x14ac:dyDescent="0.2">
      <c r="A596" s="183"/>
      <c r="B596" s="183"/>
      <c r="C596" s="183"/>
      <c r="D596" s="183"/>
    </row>
    <row r="597" spans="1:4" ht="15" x14ac:dyDescent="0.2">
      <c r="A597" s="183"/>
      <c r="B597" s="183"/>
      <c r="C597" s="183"/>
      <c r="D597" s="183"/>
    </row>
    <row r="598" spans="1:4" ht="15" x14ac:dyDescent="0.2">
      <c r="A598" s="183"/>
      <c r="B598" s="183"/>
      <c r="C598" s="183"/>
      <c r="D598" s="183"/>
    </row>
    <row r="599" spans="1:4" ht="15" x14ac:dyDescent="0.2">
      <c r="A599" s="183"/>
      <c r="B599" s="183"/>
      <c r="C599" s="183"/>
      <c r="D599" s="183"/>
    </row>
    <row r="600" spans="1:4" ht="15" x14ac:dyDescent="0.2">
      <c r="A600" s="183"/>
      <c r="B600" s="183"/>
      <c r="C600" s="183"/>
      <c r="D600" s="183"/>
    </row>
    <row r="601" spans="1:4" ht="15" x14ac:dyDescent="0.2">
      <c r="A601" s="183"/>
      <c r="B601" s="183"/>
      <c r="C601" s="183"/>
      <c r="D601" s="183"/>
    </row>
    <row r="602" spans="1:4" ht="15" x14ac:dyDescent="0.2">
      <c r="A602" s="183"/>
      <c r="B602" s="183"/>
      <c r="C602" s="183"/>
      <c r="D602" s="183"/>
    </row>
    <row r="603" spans="1:4" ht="15" x14ac:dyDescent="0.2">
      <c r="A603" s="183"/>
      <c r="B603" s="183"/>
      <c r="C603" s="183"/>
      <c r="D603" s="183"/>
    </row>
    <row r="604" spans="1:4" ht="15" x14ac:dyDescent="0.2">
      <c r="A604" s="183"/>
      <c r="B604" s="183"/>
      <c r="C604" s="183"/>
      <c r="D604" s="183"/>
    </row>
    <row r="605" spans="1:4" ht="15" x14ac:dyDescent="0.2">
      <c r="A605" s="183"/>
      <c r="B605" s="183"/>
      <c r="C605" s="183"/>
      <c r="D605" s="183"/>
    </row>
    <row r="606" spans="1:4" ht="15" x14ac:dyDescent="0.2">
      <c r="A606" s="183"/>
      <c r="B606" s="183"/>
      <c r="C606" s="183"/>
      <c r="D606" s="183"/>
    </row>
    <row r="607" spans="1:4" ht="15" x14ac:dyDescent="0.2">
      <c r="A607" s="183"/>
      <c r="B607" s="183"/>
      <c r="C607" s="183"/>
      <c r="D607" s="183"/>
    </row>
    <row r="608" spans="1:4" ht="15" x14ac:dyDescent="0.2">
      <c r="A608" s="183"/>
      <c r="B608" s="183"/>
      <c r="C608" s="183"/>
      <c r="D608" s="183"/>
    </row>
    <row r="609" spans="1:4" ht="15" x14ac:dyDescent="0.2">
      <c r="A609" s="183"/>
      <c r="B609" s="183"/>
      <c r="C609" s="183"/>
      <c r="D609" s="183"/>
    </row>
    <row r="610" spans="1:4" ht="15" x14ac:dyDescent="0.2">
      <c r="A610" s="183"/>
      <c r="B610" s="183"/>
      <c r="C610" s="183"/>
      <c r="D610" s="183"/>
    </row>
    <row r="611" spans="1:4" ht="15" x14ac:dyDescent="0.2">
      <c r="A611" s="183"/>
      <c r="B611" s="183"/>
      <c r="C611" s="183"/>
      <c r="D611" s="183"/>
    </row>
    <row r="612" spans="1:4" ht="15" x14ac:dyDescent="0.2">
      <c r="A612" s="183"/>
      <c r="B612" s="183"/>
      <c r="C612" s="183"/>
      <c r="D612" s="183"/>
    </row>
    <row r="613" spans="1:4" ht="15" x14ac:dyDescent="0.2">
      <c r="A613" s="183"/>
      <c r="B613" s="183"/>
      <c r="C613" s="183"/>
      <c r="D613" s="183"/>
    </row>
    <row r="614" spans="1:4" ht="15" x14ac:dyDescent="0.2">
      <c r="A614" s="183"/>
      <c r="B614" s="183"/>
      <c r="C614" s="183"/>
      <c r="D614" s="183"/>
    </row>
    <row r="615" spans="1:4" ht="15" x14ac:dyDescent="0.2">
      <c r="A615" s="183"/>
      <c r="B615" s="183"/>
      <c r="C615" s="183"/>
      <c r="D615" s="183"/>
    </row>
    <row r="616" spans="1:4" ht="15" x14ac:dyDescent="0.2">
      <c r="A616" s="183"/>
      <c r="B616" s="183"/>
      <c r="C616" s="183"/>
      <c r="D616" s="183"/>
    </row>
    <row r="617" spans="1:4" ht="15" x14ac:dyDescent="0.2">
      <c r="A617" s="183"/>
      <c r="B617" s="183"/>
      <c r="C617" s="183"/>
      <c r="D617" s="183"/>
    </row>
    <row r="618" spans="1:4" ht="15" x14ac:dyDescent="0.2">
      <c r="A618" s="183"/>
      <c r="B618" s="183"/>
      <c r="C618" s="183"/>
      <c r="D618" s="183"/>
    </row>
    <row r="619" spans="1:4" ht="15" x14ac:dyDescent="0.2">
      <c r="A619" s="183"/>
      <c r="B619" s="183"/>
      <c r="C619" s="183"/>
      <c r="D619" s="183"/>
    </row>
    <row r="620" spans="1:4" ht="15" x14ac:dyDescent="0.2">
      <c r="A620" s="183"/>
      <c r="B620" s="183"/>
      <c r="C620" s="183"/>
      <c r="D620" s="183"/>
    </row>
    <row r="621" spans="1:4" ht="15" x14ac:dyDescent="0.2">
      <c r="A621" s="183"/>
      <c r="B621" s="183"/>
      <c r="C621" s="183"/>
      <c r="D621" s="183"/>
    </row>
    <row r="622" spans="1:4" ht="15" x14ac:dyDescent="0.2">
      <c r="A622" s="183"/>
      <c r="B622" s="183"/>
      <c r="C622" s="183"/>
      <c r="D622" s="183"/>
    </row>
    <row r="623" spans="1:4" ht="15" x14ac:dyDescent="0.2">
      <c r="A623" s="183"/>
      <c r="B623" s="183"/>
      <c r="C623" s="183"/>
      <c r="D623" s="183"/>
    </row>
    <row r="624" spans="1:4" ht="15" x14ac:dyDescent="0.2">
      <c r="A624" s="183"/>
      <c r="B624" s="183"/>
      <c r="C624" s="183"/>
      <c r="D624" s="183"/>
    </row>
    <row r="625" spans="1:4" ht="15" x14ac:dyDescent="0.2">
      <c r="A625" s="183"/>
      <c r="B625" s="183"/>
      <c r="C625" s="183"/>
      <c r="D625" s="183"/>
    </row>
    <row r="626" spans="1:4" ht="15" x14ac:dyDescent="0.2">
      <c r="A626" s="183"/>
      <c r="B626" s="183"/>
      <c r="C626" s="183"/>
      <c r="D626" s="183"/>
    </row>
    <row r="627" spans="1:4" ht="15" x14ac:dyDescent="0.2">
      <c r="A627" s="183"/>
      <c r="B627" s="183"/>
      <c r="C627" s="183"/>
      <c r="D627" s="183"/>
    </row>
    <row r="628" spans="1:4" ht="15" x14ac:dyDescent="0.2">
      <c r="A628" s="183"/>
      <c r="B628" s="183"/>
      <c r="C628" s="183"/>
      <c r="D628" s="183"/>
    </row>
    <row r="629" spans="1:4" ht="15" x14ac:dyDescent="0.2">
      <c r="A629" s="183"/>
      <c r="B629" s="183"/>
      <c r="C629" s="183"/>
      <c r="D629" s="183"/>
    </row>
    <row r="630" spans="1:4" ht="15" x14ac:dyDescent="0.2">
      <c r="A630" s="183"/>
      <c r="B630" s="183"/>
      <c r="C630" s="183"/>
      <c r="D630" s="183"/>
    </row>
    <row r="631" spans="1:4" ht="15" x14ac:dyDescent="0.2">
      <c r="A631" s="183"/>
      <c r="B631" s="183"/>
      <c r="C631" s="183"/>
      <c r="D631" s="183"/>
    </row>
    <row r="632" spans="1:4" ht="15" x14ac:dyDescent="0.2">
      <c r="A632" s="183"/>
      <c r="B632" s="183"/>
      <c r="C632" s="183"/>
      <c r="D632" s="183"/>
    </row>
    <row r="633" spans="1:4" ht="15" x14ac:dyDescent="0.2">
      <c r="A633" s="183"/>
      <c r="B633" s="183"/>
      <c r="C633" s="183"/>
      <c r="D633" s="183"/>
    </row>
    <row r="634" spans="1:4" ht="15" x14ac:dyDescent="0.2">
      <c r="A634" s="183"/>
      <c r="B634" s="183"/>
      <c r="C634" s="183"/>
      <c r="D634" s="183"/>
    </row>
    <row r="635" spans="1:4" ht="15" x14ac:dyDescent="0.2">
      <c r="A635" s="183"/>
      <c r="B635" s="183"/>
      <c r="C635" s="183"/>
      <c r="D635" s="183"/>
    </row>
    <row r="636" spans="1:4" ht="15" x14ac:dyDescent="0.2">
      <c r="A636" s="183"/>
      <c r="B636" s="183"/>
      <c r="C636" s="183"/>
      <c r="D636" s="183"/>
    </row>
    <row r="637" spans="1:4" ht="15" x14ac:dyDescent="0.2">
      <c r="A637" s="183"/>
      <c r="B637" s="183"/>
      <c r="C637" s="183"/>
      <c r="D637" s="183"/>
    </row>
    <row r="638" spans="1:4" ht="15" x14ac:dyDescent="0.2">
      <c r="A638" s="183"/>
      <c r="B638" s="183"/>
      <c r="C638" s="183"/>
      <c r="D638" s="183"/>
    </row>
    <row r="639" spans="1:4" ht="15" x14ac:dyDescent="0.2">
      <c r="A639" s="183"/>
      <c r="B639" s="183"/>
      <c r="C639" s="183"/>
      <c r="D639" s="183"/>
    </row>
    <row r="640" spans="1:4" ht="15" x14ac:dyDescent="0.2">
      <c r="A640" s="183"/>
      <c r="B640" s="183"/>
      <c r="C640" s="183"/>
      <c r="D640" s="183"/>
    </row>
    <row r="641" spans="1:4" ht="15" x14ac:dyDescent="0.2">
      <c r="A641" s="183"/>
      <c r="B641" s="183"/>
      <c r="C641" s="183"/>
      <c r="D641" s="183"/>
    </row>
  </sheetData>
  <mergeCells count="41">
    <mergeCell ref="D62:D63"/>
    <mergeCell ref="F62:F63"/>
    <mergeCell ref="D72:D73"/>
    <mergeCell ref="D74:D75"/>
    <mergeCell ref="D64:D65"/>
    <mergeCell ref="D66:D67"/>
    <mergeCell ref="D68:D69"/>
    <mergeCell ref="D70:D71"/>
    <mergeCell ref="D56:D57"/>
    <mergeCell ref="D58:D59"/>
    <mergeCell ref="D60:D61"/>
    <mergeCell ref="D44:D45"/>
    <mergeCell ref="D46:D47"/>
    <mergeCell ref="D48:D49"/>
    <mergeCell ref="D54:D55"/>
    <mergeCell ref="D18:D19"/>
    <mergeCell ref="D20:D21"/>
    <mergeCell ref="D22:D23"/>
    <mergeCell ref="D28:D29"/>
    <mergeCell ref="D52:D53"/>
    <mergeCell ref="D42:D43"/>
    <mergeCell ref="D50:D51"/>
    <mergeCell ref="D36:D37"/>
    <mergeCell ref="D38:D39"/>
    <mergeCell ref="D40:D41"/>
    <mergeCell ref="A3:D3"/>
    <mergeCell ref="A5:H5"/>
    <mergeCell ref="D34:D35"/>
    <mergeCell ref="Q5:R5"/>
    <mergeCell ref="C8:C9"/>
    <mergeCell ref="I8:L8"/>
    <mergeCell ref="M8:N8"/>
    <mergeCell ref="O8:P8"/>
    <mergeCell ref="D30:D31"/>
    <mergeCell ref="D32:D33"/>
    <mergeCell ref="D24:D25"/>
    <mergeCell ref="D26:D27"/>
    <mergeCell ref="D10:D11"/>
    <mergeCell ref="D12:D13"/>
    <mergeCell ref="D14:D15"/>
    <mergeCell ref="D16:D17"/>
  </mergeCells>
  <conditionalFormatting sqref="O42:P42 L42 L60 L62 L64:L66 L68 L70 L72 L74 O74:R77 L56:L58 O48:P48 L48 L46 O44:P44 L44 L40 L38 L36 L34 L52 L54 L50 L28 L26 L24 L22 L20 L18 L16 L14 L12 L10 L32 L30 O80 O83:R90 O12:Q12 O10:Q10 O14:Q14 O16:Q16 O18:Q18 O20:Q20 O22:Q22 O24:Q24 O26:Q26 O28:Q28 P32:Q32 P30:Q30 O34:Q34 O36:Q36 O38:Q38 O40:Q40 O46:Q46 P52:Q52 P54:Q54 P56:Q56 P58:Q58 P60:Q60 O62:Q62 O64:Q64 O66:Q66 O68:Q68 O70:Q70 O72:Q72">
    <cfRule type="cellIs" dxfId="472" priority="25" stopIfTrue="1" operator="lessThan">
      <formula>0</formula>
    </cfRule>
    <cfRule type="cellIs" dxfId="471" priority="26" stopIfTrue="1" operator="equal">
      <formula>0</formula>
    </cfRule>
  </conditionalFormatting>
  <conditionalFormatting sqref="M78">
    <cfRule type="cellIs" dxfId="470" priority="41" stopIfTrue="1" operator="notEqual">
      <formula>$N$79-$N$78</formula>
    </cfRule>
  </conditionalFormatting>
  <conditionalFormatting sqref="G78">
    <cfRule type="cellIs" dxfId="469" priority="42" stopIfTrue="1" operator="notEqual">
      <formula>1120010480.8</formula>
    </cfRule>
  </conditionalFormatting>
  <conditionalFormatting sqref="H78">
    <cfRule type="cellIs" dxfId="468" priority="43" stopIfTrue="1" operator="notEqual">
      <formula>1122030783.27</formula>
    </cfRule>
  </conditionalFormatting>
  <conditionalFormatting sqref="N79">
    <cfRule type="cellIs" dxfId="467" priority="44" stopIfTrue="1" operator="notEqual">
      <formula>2020302.47</formula>
    </cfRule>
  </conditionalFormatting>
  <conditionalFormatting sqref="R78">
    <cfRule type="cellIs" dxfId="466" priority="45" stopIfTrue="1" operator="notEqual">
      <formula>$O$78+$P$78+$Q$78</formula>
    </cfRule>
  </conditionalFormatting>
  <conditionalFormatting sqref="O50:P50">
    <cfRule type="cellIs" dxfId="465" priority="22" stopIfTrue="1" operator="lessThan">
      <formula>0</formula>
    </cfRule>
    <cfRule type="cellIs" dxfId="464" priority="23" stopIfTrue="1" operator="equal">
      <formula>0</formula>
    </cfRule>
  </conditionalFormatting>
  <conditionalFormatting sqref="Q42 Q44">
    <cfRule type="cellIs" dxfId="463" priority="19" stopIfTrue="1" operator="lessThan">
      <formula>0</formula>
    </cfRule>
    <cfRule type="cellIs" dxfId="462" priority="20" stopIfTrue="1" operator="equal">
      <formula>0</formula>
    </cfRule>
  </conditionalFormatting>
  <conditionalFormatting sqref="Q48">
    <cfRule type="cellIs" dxfId="461" priority="17" stopIfTrue="1" operator="lessThan">
      <formula>0</formula>
    </cfRule>
    <cfRule type="cellIs" dxfId="460" priority="18" stopIfTrue="1" operator="equal">
      <formula>0</formula>
    </cfRule>
  </conditionalFormatting>
  <conditionalFormatting sqref="Q50">
    <cfRule type="cellIs" dxfId="459" priority="15" stopIfTrue="1" operator="lessThan">
      <formula>0</formula>
    </cfRule>
    <cfRule type="cellIs" dxfId="458" priority="16" stopIfTrue="1" operator="equal">
      <formula>0</formula>
    </cfRule>
  </conditionalFormatting>
  <conditionalFormatting sqref="S11 S74:S79">
    <cfRule type="cellIs" dxfId="457" priority="12" operator="equal">
      <formula>0</formula>
    </cfRule>
    <cfRule type="cellIs" dxfId="456" priority="13" operator="equal">
      <formula>0</formula>
    </cfRule>
    <cfRule type="cellIs" dxfId="455" priority="14" operator="equal">
      <formula>0</formula>
    </cfRule>
  </conditionalFormatting>
  <conditionalFormatting sqref="S10">
    <cfRule type="cellIs" dxfId="454" priority="10" operator="lessThan">
      <formula>0</formula>
    </cfRule>
    <cfRule type="cellIs" dxfId="453" priority="11" operator="greaterThan">
      <formula>0</formula>
    </cfRule>
  </conditionalFormatting>
  <conditionalFormatting sqref="S13 S15 S17 S19 S21 S23 S25 S27 S29 S31 S33 S35 S37 S39 S41 S43 S45 S47 S49 S51 S53 S55 S57 S59 S61 S63 S65 S67 S69 S71 S73">
    <cfRule type="cellIs" dxfId="452" priority="7" operator="equal">
      <formula>0</formula>
    </cfRule>
    <cfRule type="cellIs" dxfId="451" priority="8" operator="equal">
      <formula>0</formula>
    </cfRule>
    <cfRule type="cellIs" dxfId="450" priority="9" operator="equal">
      <formula>0</formula>
    </cfRule>
  </conditionalFormatting>
  <conditionalFormatting sqref="S12 S14 S16 S18 S20 S22 S24 S26 S28 S30 S32 S34 S36 S38 S40 S42 S44 S46 S48 S50 S52 S54 S56 S58 S60 S62 S64 S66 S68 S70 S72">
    <cfRule type="cellIs" dxfId="449" priority="5" operator="lessThan">
      <formula>0</formula>
    </cfRule>
    <cfRule type="cellIs" dxfId="448" priority="6" operator="greaterThan">
      <formula>0</formula>
    </cfRule>
  </conditionalFormatting>
  <conditionalFormatting sqref="H90">
    <cfRule type="cellIs" dxfId="447" priority="3" operator="notEqual">
      <formula>2020302.47</formula>
    </cfRule>
    <cfRule type="cellIs" dxfId="446" priority="4" operator="notEqual">
      <formula>$R$78</formula>
    </cfRule>
  </conditionalFormatting>
  <printOptions horizontalCentered="1"/>
  <pageMargins left="0.39370078740157483" right="0.39370078740157483" top="0.59055118110236227" bottom="0.59055118110236227" header="0.51181102362204722" footer="0.51181102362204722"/>
  <pageSetup paperSize="9" scale="70" firstPageNumber="419" orientation="landscape" useFirstPageNumber="1" r:id="rId1"/>
  <headerFooter alignWithMargins="0">
    <oddFooter>&amp;L&amp;"Arial,Kurzíva"&amp;10Zastupitelstvo Olomouckého kraje 28.6.2013
6.- Závěrečný účet Olomouckého kraje za rok 2012
Příloha č.14: Financování hospodaření příspěvkových organizací Olomouckého kraje&amp;R&amp;"Arial,Kurzíva"&amp;10Strana &amp;P (celkem 484)</oddFooter>
  </headerFooter>
  <rowBreaks count="1" manualBreakCount="1">
    <brk id="45" max="1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11" ht="19.5" x14ac:dyDescent="0.4">
      <c r="A1" s="119" t="s">
        <v>47</v>
      </c>
      <c r="B1" s="118"/>
      <c r="C1" s="118"/>
      <c r="D1" s="118"/>
    </row>
    <row r="2" spans="1:11" ht="19.5" x14ac:dyDescent="0.4">
      <c r="A2" s="553" t="s">
        <v>46</v>
      </c>
      <c r="B2" s="553"/>
      <c r="C2" s="553"/>
      <c r="D2" s="553"/>
      <c r="E2" s="554" t="s">
        <v>204</v>
      </c>
      <c r="F2" s="543"/>
      <c r="G2" s="543"/>
      <c r="H2" s="543"/>
      <c r="I2" s="543"/>
      <c r="J2" s="458"/>
      <c r="K2" s="458"/>
    </row>
    <row r="3" spans="1:11" ht="12" customHeight="1" x14ac:dyDescent="0.4">
      <c r="A3" s="455"/>
      <c r="B3" s="455"/>
      <c r="C3" s="455"/>
      <c r="D3" s="455"/>
      <c r="E3" s="546" t="s">
        <v>44</v>
      </c>
      <c r="F3" s="546"/>
      <c r="G3" s="546"/>
      <c r="H3" s="546"/>
      <c r="I3" s="546"/>
    </row>
    <row r="4" spans="1:11" ht="15.75" x14ac:dyDescent="0.25">
      <c r="A4" s="115" t="s">
        <v>45</v>
      </c>
      <c r="E4" s="555" t="s">
        <v>205</v>
      </c>
      <c r="F4" s="555"/>
      <c r="G4" s="555"/>
      <c r="H4" s="555"/>
      <c r="I4" s="555"/>
    </row>
    <row r="5" spans="1:11" ht="9" customHeight="1" x14ac:dyDescent="0.25">
      <c r="A5" s="115"/>
      <c r="E5" s="546" t="s">
        <v>44</v>
      </c>
      <c r="F5" s="546"/>
      <c r="G5" s="546"/>
      <c r="H5" s="546"/>
      <c r="I5" s="546"/>
    </row>
    <row r="6" spans="1:11" ht="19.5" x14ac:dyDescent="0.4">
      <c r="A6" s="113" t="s">
        <v>43</v>
      </c>
      <c r="E6" s="543" t="s">
        <v>206</v>
      </c>
      <c r="F6" s="543"/>
      <c r="G6" s="543"/>
      <c r="H6" s="113" t="s">
        <v>42</v>
      </c>
      <c r="I6" s="111" t="s">
        <v>207</v>
      </c>
    </row>
    <row r="7" spans="1:11" ht="9.75" customHeight="1" x14ac:dyDescent="0.4">
      <c r="A7" s="113"/>
      <c r="E7" s="546" t="s">
        <v>41</v>
      </c>
      <c r="F7" s="546"/>
      <c r="G7" s="546"/>
      <c r="H7" s="546"/>
      <c r="I7" s="546"/>
    </row>
    <row r="8" spans="1:11" ht="19.5" x14ac:dyDescent="0.4">
      <c r="A8" s="113"/>
      <c r="E8" s="111"/>
      <c r="F8" s="111"/>
      <c r="G8" s="111"/>
      <c r="H8" s="112"/>
      <c r="I8" s="111"/>
    </row>
    <row r="9" spans="1:11" ht="19.5"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456"/>
      <c r="I14" s="457"/>
    </row>
    <row r="15" spans="1:11" ht="18.75" x14ac:dyDescent="0.4">
      <c r="A15" s="71" t="s">
        <v>32</v>
      </c>
      <c r="B15" s="71"/>
      <c r="C15" s="99"/>
      <c r="D15" s="98"/>
      <c r="E15" s="100"/>
      <c r="F15" s="100"/>
      <c r="G15" s="82"/>
      <c r="H15" s="66"/>
      <c r="I15" s="66"/>
    </row>
    <row r="16" spans="1:11" ht="19.5" x14ac:dyDescent="0.4">
      <c r="A16" s="85" t="s">
        <v>31</v>
      </c>
      <c r="B16" s="71"/>
      <c r="C16" s="99"/>
      <c r="D16" s="98"/>
      <c r="E16" s="78">
        <v>55699000</v>
      </c>
      <c r="F16" s="93">
        <v>55649710</v>
      </c>
      <c r="G16" s="90">
        <f>H16+I16</f>
        <v>55592850.859999999</v>
      </c>
      <c r="H16" s="78">
        <v>55592850.859999999</v>
      </c>
      <c r="I16" s="78">
        <v>0</v>
      </c>
    </row>
    <row r="17" spans="1:9" ht="14.25" x14ac:dyDescent="0.3">
      <c r="A17" s="97"/>
      <c r="B17" s="96"/>
      <c r="C17" s="96"/>
      <c r="D17" s="96"/>
      <c r="E17" s="95"/>
      <c r="F17" s="94"/>
    </row>
    <row r="18" spans="1:9" ht="19.5" x14ac:dyDescent="0.4">
      <c r="A18" s="85" t="s">
        <v>30</v>
      </c>
      <c r="B18" s="83"/>
      <c r="C18" s="83"/>
      <c r="D18" s="83"/>
      <c r="E18" s="78">
        <v>53182000</v>
      </c>
      <c r="F18" s="93">
        <v>55649710</v>
      </c>
      <c r="G18" s="90">
        <f>H18+I18</f>
        <v>55592889.579999998</v>
      </c>
      <c r="H18" s="78">
        <v>55592889.579999998</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38.72</v>
      </c>
      <c r="H24" s="75">
        <f>H18-H16</f>
        <v>38.719999998807907</v>
      </c>
      <c r="I24" s="75">
        <f>I18-I164</f>
        <v>0</v>
      </c>
    </row>
    <row r="26" spans="1:9" x14ac:dyDescent="0.2">
      <c r="H26" s="66"/>
    </row>
    <row r="28" spans="1:9" ht="19.5" x14ac:dyDescent="0.4">
      <c r="A28" s="43" t="s">
        <v>28</v>
      </c>
      <c r="B28" s="43" t="s">
        <v>27</v>
      </c>
      <c r="C28" s="43"/>
      <c r="D28" s="65"/>
      <c r="E28" s="65"/>
      <c r="F28" s="4"/>
      <c r="G28" s="460">
        <f>ROUND(G29+G30+G31,2)</f>
        <v>38.72</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38.719999998807907</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11" x14ac:dyDescent="0.2">
      <c r="A33" s="545"/>
      <c r="B33" s="545"/>
      <c r="C33" s="545"/>
      <c r="D33" s="545"/>
      <c r="E33" s="545"/>
      <c r="F33" s="545"/>
      <c r="G33" s="545"/>
      <c r="H33" s="545"/>
      <c r="I33" s="545"/>
    </row>
    <row r="34" spans="1:11" x14ac:dyDescent="0.2">
      <c r="A34" s="545"/>
      <c r="B34" s="545"/>
      <c r="C34" s="545"/>
      <c r="D34" s="545"/>
      <c r="E34" s="545"/>
      <c r="F34" s="545"/>
      <c r="G34" s="545"/>
      <c r="H34" s="545"/>
      <c r="I34" s="545"/>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56">
        <f>27307000-200000</f>
        <v>27107000</v>
      </c>
      <c r="G37" s="56">
        <f>27254348-147348</f>
        <v>27107000</v>
      </c>
      <c r="H37" s="55"/>
      <c r="I37" s="54">
        <f>IF(F37=0,"nerozp.",G37/F37)</f>
        <v>1</v>
      </c>
      <c r="J37" s="446"/>
      <c r="K37" s="461"/>
    </row>
    <row r="38" spans="1:11" ht="16.5" x14ac:dyDescent="0.35">
      <c r="A38" s="59" t="s">
        <v>17</v>
      </c>
      <c r="B38" s="58"/>
      <c r="C38" s="57"/>
      <c r="D38" s="60"/>
      <c r="E38" s="60"/>
      <c r="F38" s="56">
        <v>1424000</v>
      </c>
      <c r="G38" s="56">
        <v>1426455</v>
      </c>
      <c r="H38" s="55"/>
      <c r="I38" s="54">
        <f>IF(F38=0,"nerozp.",G38/F38)</f>
        <v>1.0017240168539325</v>
      </c>
      <c r="J38" s="447"/>
      <c r="K38" s="461"/>
    </row>
    <row r="39" spans="1:11" ht="16.5" x14ac:dyDescent="0.35">
      <c r="A39" s="59" t="s">
        <v>16</v>
      </c>
      <c r="B39" s="58"/>
      <c r="C39" s="57"/>
      <c r="D39" s="60"/>
      <c r="E39" s="60"/>
      <c r="F39" s="56">
        <v>0</v>
      </c>
      <c r="G39" s="56">
        <v>0</v>
      </c>
      <c r="H39" s="55"/>
      <c r="I39" s="54" t="str">
        <f>IF(F39=0,"nerozp.",G39/F39)</f>
        <v>nerozp.</v>
      </c>
    </row>
    <row r="40" spans="1:11" ht="16.5" x14ac:dyDescent="0.35">
      <c r="A40" s="59" t="s">
        <v>15</v>
      </c>
      <c r="B40" s="58"/>
      <c r="C40" s="57"/>
      <c r="D40" s="5"/>
      <c r="E40" s="5"/>
      <c r="F40" s="56">
        <v>1071000</v>
      </c>
      <c r="G40" s="56">
        <v>1071000</v>
      </c>
      <c r="H40" s="55"/>
      <c r="I40" s="54">
        <f>IF(F40=0,"nerozp.",G40/F40)</f>
        <v>1</v>
      </c>
    </row>
    <row r="41" spans="1:11" ht="16.5" x14ac:dyDescent="0.35">
      <c r="A41" s="59" t="s">
        <v>14</v>
      </c>
      <c r="B41" s="58"/>
      <c r="C41" s="57"/>
      <c r="D41" s="5"/>
      <c r="E41" s="5"/>
      <c r="F41" s="56">
        <v>0</v>
      </c>
      <c r="G41" s="56">
        <v>0</v>
      </c>
      <c r="H41" s="55"/>
      <c r="I41" s="54" t="str">
        <f>IF(F41=0,"nerozp.",G41/F41)</f>
        <v>nerozp.</v>
      </c>
    </row>
    <row r="42" spans="1:11" ht="14.25" x14ac:dyDescent="0.2">
      <c r="A42" s="53" t="s">
        <v>13</v>
      </c>
      <c r="B42" s="52" t="s">
        <v>311</v>
      </c>
      <c r="C42" s="51"/>
      <c r="D42" s="47"/>
      <c r="E42" s="47"/>
      <c r="F42" s="46"/>
      <c r="G42" s="46"/>
      <c r="H42" s="45"/>
      <c r="I42" s="44"/>
    </row>
    <row r="43" spans="1:11" ht="16.5" x14ac:dyDescent="0.35">
      <c r="A43" s="50"/>
      <c r="B43" s="49"/>
      <c r="C43" s="48"/>
      <c r="D43" s="47"/>
      <c r="E43" s="47"/>
      <c r="F43" s="46"/>
      <c r="G43" s="46"/>
      <c r="H43" s="45"/>
      <c r="I43" s="44"/>
    </row>
    <row r="44" spans="1:11" ht="16.5"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2565</v>
      </c>
      <c r="F50" s="22">
        <v>0</v>
      </c>
      <c r="G50" s="21">
        <v>0</v>
      </c>
      <c r="H50" s="21">
        <f>E50+F50-G50</f>
        <v>2565</v>
      </c>
      <c r="I50" s="20">
        <v>2565</v>
      </c>
    </row>
    <row r="51" spans="1:9" x14ac:dyDescent="0.2">
      <c r="A51" s="19"/>
      <c r="B51" s="18"/>
      <c r="C51" s="18" t="s">
        <v>3</v>
      </c>
      <c r="D51" s="18"/>
      <c r="E51" s="464">
        <v>74619.17</v>
      </c>
      <c r="F51" s="17">
        <v>269727</v>
      </c>
      <c r="G51" s="16">
        <v>290085</v>
      </c>
      <c r="H51" s="16">
        <f>E51+F51-G51</f>
        <v>54261.169999999984</v>
      </c>
      <c r="I51" s="15">
        <v>59502.66</v>
      </c>
    </row>
    <row r="52" spans="1:9" x14ac:dyDescent="0.2">
      <c r="A52" s="19"/>
      <c r="B52" s="18"/>
      <c r="C52" s="18" t="s">
        <v>2</v>
      </c>
      <c r="D52" s="18"/>
      <c r="E52" s="464">
        <v>7369.44</v>
      </c>
      <c r="F52" s="17">
        <v>28742.799999999996</v>
      </c>
      <c r="G52" s="16">
        <v>27150</v>
      </c>
      <c r="H52" s="16">
        <f>E52+F52-G52</f>
        <v>8962.239999999998</v>
      </c>
      <c r="I52" s="15">
        <v>8962.24</v>
      </c>
    </row>
    <row r="53" spans="1:9" x14ac:dyDescent="0.2">
      <c r="A53" s="19"/>
      <c r="B53" s="18"/>
      <c r="C53" s="18" t="s">
        <v>1</v>
      </c>
      <c r="D53" s="18"/>
      <c r="E53" s="464">
        <v>156308.6</v>
      </c>
      <c r="F53" s="17">
        <v>3583997.9999999995</v>
      </c>
      <c r="G53" s="16">
        <v>3737410</v>
      </c>
      <c r="H53" s="16">
        <f>E53+F53-G53</f>
        <v>2896.5999999996275</v>
      </c>
      <c r="I53" s="15">
        <v>2896.6</v>
      </c>
    </row>
    <row r="54" spans="1:9" ht="18.75" thickBot="1" x14ac:dyDescent="0.4">
      <c r="A54" s="14" t="s">
        <v>0</v>
      </c>
      <c r="B54" s="13"/>
      <c r="C54" s="13"/>
      <c r="D54" s="13"/>
      <c r="E54" s="465">
        <f>SUM(E50:E53)</f>
        <v>240862.21000000002</v>
      </c>
      <c r="F54" s="12">
        <f>SUM(F50:F53)</f>
        <v>3882467.7999999993</v>
      </c>
      <c r="G54" s="12">
        <f>SUM(G50:G53)</f>
        <v>4054645</v>
      </c>
      <c r="H54" s="12">
        <f>ROUND(SUM(H50:H53),2)</f>
        <v>68685.009999999995</v>
      </c>
      <c r="I54" s="11">
        <f>SUM(I50:I53)</f>
        <v>73926.500000000015</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1">
    <mergeCell ref="A2:D2"/>
    <mergeCell ref="E3:I3"/>
    <mergeCell ref="E2:I2"/>
    <mergeCell ref="E5:I5"/>
    <mergeCell ref="E4:I4"/>
    <mergeCell ref="F47:F48"/>
    <mergeCell ref="E6:G6"/>
    <mergeCell ref="A32:I34"/>
    <mergeCell ref="E7:I7"/>
    <mergeCell ref="H13:I13"/>
    <mergeCell ref="H45:I45"/>
  </mergeCells>
  <conditionalFormatting sqref="I42:I44">
    <cfRule type="cellIs" dxfId="324" priority="9" stopIfTrue="1" operator="greaterThan">
      <formula>1</formula>
    </cfRule>
  </conditionalFormatting>
  <conditionalFormatting sqref="H50:H53">
    <cfRule type="cellIs" dxfId="323" priority="13" stopIfTrue="1" operator="notEqual">
      <formula>E50+F50-G50</formula>
    </cfRule>
  </conditionalFormatting>
  <conditionalFormatting sqref="I54">
    <cfRule type="cellIs" dxfId="322" priority="14" stopIfTrue="1" operator="notEqual">
      <formula>$I$50+$I$51+$I$52+$I$53</formula>
    </cfRule>
  </conditionalFormatting>
  <conditionalFormatting sqref="H54">
    <cfRule type="cellIs" dxfId="321" priority="15" stopIfTrue="1" operator="notEqual">
      <formula>ROUND(E54+F54-G54,2)</formula>
    </cfRule>
    <cfRule type="cellIs" dxfId="320" priority="16" stopIfTrue="1" operator="notEqual">
      <formula>ROUND(SUM($H$50:$H$53),2)</formula>
    </cfRule>
  </conditionalFormatting>
  <conditionalFormatting sqref="G18 G16">
    <cfRule type="cellIs" dxfId="319" priority="17" stopIfTrue="1" operator="notEqual">
      <formula>H16+I16</formula>
    </cfRule>
  </conditionalFormatting>
  <conditionalFormatting sqref="G24">
    <cfRule type="cellIs" dxfId="318" priority="18" stopIfTrue="1" operator="notEqual">
      <formula>ROUND(H24+I24,2)</formula>
    </cfRule>
  </conditionalFormatting>
  <conditionalFormatting sqref="H24">
    <cfRule type="cellIs" dxfId="317" priority="19" stopIfTrue="1" operator="notEqual">
      <formula>$H$18-$H$16</formula>
    </cfRule>
  </conditionalFormatting>
  <conditionalFormatting sqref="I24">
    <cfRule type="cellIs" dxfId="316" priority="20" stopIfTrue="1" operator="notEqual">
      <formula>I18-I16</formula>
    </cfRule>
  </conditionalFormatting>
  <conditionalFormatting sqref="G23">
    <cfRule type="cellIs" dxfId="315" priority="7" stopIfTrue="1" operator="notEqual">
      <formula>ROUND(H23+I23,2)</formula>
    </cfRule>
  </conditionalFormatting>
  <conditionalFormatting sqref="G28">
    <cfRule type="cellIs" dxfId="314" priority="5" operator="notEqual">
      <formula>ROUND($G$24,2)</formula>
    </cfRule>
  </conditionalFormatting>
  <conditionalFormatting sqref="J37">
    <cfRule type="cellIs" dxfId="313" priority="3" operator="greaterThan">
      <formula>0</formula>
    </cfRule>
    <cfRule type="cellIs" dxfId="312" priority="4" operator="lessThan">
      <formula>0</formula>
    </cfRule>
  </conditionalFormatting>
  <conditionalFormatting sqref="J38">
    <cfRule type="cellIs" dxfId="311" priority="1" operator="greaterThan">
      <formula>0</formula>
    </cfRule>
    <cfRule type="cellIs" dxfId="310" priority="2" operator="lessThan">
      <formula>0</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0" width="9.85546875" style="180" customWidth="1"/>
    <col min="11" max="16384" width="9.140625" style="180"/>
  </cols>
  <sheetData>
    <row r="1" spans="1:11" ht="19.5" x14ac:dyDescent="0.4">
      <c r="A1" s="119" t="s">
        <v>47</v>
      </c>
      <c r="B1" s="118"/>
      <c r="C1" s="118"/>
      <c r="D1" s="118"/>
    </row>
    <row r="2" spans="1:11" ht="19.5" x14ac:dyDescent="0.4">
      <c r="A2" s="553" t="s">
        <v>46</v>
      </c>
      <c r="B2" s="553"/>
      <c r="C2" s="553"/>
      <c r="D2" s="553"/>
      <c r="E2" s="554" t="s">
        <v>208</v>
      </c>
      <c r="F2" s="543"/>
      <c r="G2" s="543"/>
      <c r="H2" s="543"/>
      <c r="I2" s="543"/>
      <c r="J2" s="458"/>
      <c r="K2" s="458"/>
    </row>
    <row r="3" spans="1:11" ht="12" customHeight="1" x14ac:dyDescent="0.4">
      <c r="A3" s="455"/>
      <c r="B3" s="455"/>
      <c r="C3" s="455"/>
      <c r="D3" s="455"/>
      <c r="E3" s="546" t="s">
        <v>44</v>
      </c>
      <c r="F3" s="546"/>
      <c r="G3" s="546"/>
      <c r="H3" s="546"/>
      <c r="I3" s="546"/>
    </row>
    <row r="4" spans="1:11" ht="15.75" x14ac:dyDescent="0.25">
      <c r="A4" s="115" t="s">
        <v>45</v>
      </c>
      <c r="E4" s="555" t="s">
        <v>209</v>
      </c>
      <c r="F4" s="555"/>
      <c r="G4" s="555"/>
      <c r="H4" s="555"/>
      <c r="I4" s="555"/>
    </row>
    <row r="5" spans="1:11" ht="9" customHeight="1" x14ac:dyDescent="0.25">
      <c r="A5" s="115"/>
      <c r="E5" s="546" t="s">
        <v>44</v>
      </c>
      <c r="F5" s="546"/>
      <c r="G5" s="546"/>
      <c r="H5" s="546"/>
      <c r="I5" s="546"/>
    </row>
    <row r="6" spans="1:11" ht="19.5" x14ac:dyDescent="0.4">
      <c r="A6" s="113" t="s">
        <v>43</v>
      </c>
      <c r="E6" s="543" t="s">
        <v>210</v>
      </c>
      <c r="F6" s="543"/>
      <c r="G6" s="543"/>
      <c r="H6" s="113" t="s">
        <v>42</v>
      </c>
      <c r="I6" s="111" t="s">
        <v>211</v>
      </c>
    </row>
    <row r="7" spans="1:11" ht="9.75" customHeight="1" x14ac:dyDescent="0.4">
      <c r="A7" s="113"/>
      <c r="E7" s="546" t="s">
        <v>41</v>
      </c>
      <c r="F7" s="546"/>
      <c r="G7" s="546"/>
      <c r="H7" s="546"/>
      <c r="I7" s="546"/>
    </row>
    <row r="8" spans="1:11" ht="19.5" x14ac:dyDescent="0.4">
      <c r="A8" s="113"/>
      <c r="E8" s="111"/>
      <c r="F8" s="111"/>
      <c r="G8" s="111"/>
      <c r="H8" s="112"/>
      <c r="I8" s="111"/>
    </row>
    <row r="9" spans="1:11" ht="19.5"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456"/>
      <c r="I14" s="457"/>
    </row>
    <row r="15" spans="1:11" ht="18.75" x14ac:dyDescent="0.4">
      <c r="A15" s="71" t="s">
        <v>32</v>
      </c>
      <c r="B15" s="71"/>
      <c r="C15" s="99"/>
      <c r="D15" s="98"/>
      <c r="E15" s="100"/>
      <c r="F15" s="100"/>
      <c r="G15" s="82"/>
      <c r="H15" s="66"/>
      <c r="I15" s="66"/>
    </row>
    <row r="16" spans="1:11" ht="19.5" x14ac:dyDescent="0.4">
      <c r="A16" s="85" t="s">
        <v>31</v>
      </c>
      <c r="B16" s="71"/>
      <c r="C16" s="99"/>
      <c r="D16" s="98"/>
      <c r="E16" s="78">
        <v>81813000</v>
      </c>
      <c r="F16" s="93">
        <v>80728000</v>
      </c>
      <c r="G16" s="90">
        <f>H16+I16</f>
        <v>80596089.280000016</v>
      </c>
      <c r="H16" s="78">
        <v>80596089.280000016</v>
      </c>
      <c r="I16" s="78">
        <v>0</v>
      </c>
    </row>
    <row r="17" spans="1:9" ht="14.25" x14ac:dyDescent="0.3">
      <c r="A17" s="97"/>
      <c r="B17" s="96"/>
      <c r="C17" s="96"/>
      <c r="D17" s="96"/>
      <c r="E17" s="95"/>
      <c r="F17" s="94"/>
    </row>
    <row r="18" spans="1:9" ht="19.5" x14ac:dyDescent="0.4">
      <c r="A18" s="85" t="s">
        <v>30</v>
      </c>
      <c r="B18" s="83"/>
      <c r="C18" s="83"/>
      <c r="D18" s="83"/>
      <c r="E18" s="78">
        <v>72787000</v>
      </c>
      <c r="F18" s="93">
        <v>80728000</v>
      </c>
      <c r="G18" s="90">
        <f>H18+I18</f>
        <v>80596922.170000002</v>
      </c>
      <c r="H18" s="78">
        <v>80596922.170000002</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832.89</v>
      </c>
      <c r="H24" s="75">
        <f>H18-H16</f>
        <v>832.88999998569489</v>
      </c>
      <c r="I24" s="75">
        <f>I18-I164</f>
        <v>0</v>
      </c>
    </row>
    <row r="26" spans="1:9" x14ac:dyDescent="0.2">
      <c r="H26" s="66"/>
    </row>
    <row r="28" spans="1:9" ht="19.5" x14ac:dyDescent="0.4">
      <c r="A28" s="43" t="s">
        <v>28</v>
      </c>
      <c r="B28" s="43" t="s">
        <v>27</v>
      </c>
      <c r="C28" s="43"/>
      <c r="D28" s="65"/>
      <c r="E28" s="65"/>
      <c r="F28" s="4"/>
      <c r="G28" s="75">
        <f>ROUND(G29+G30+G31,2)</f>
        <v>832.89</v>
      </c>
      <c r="H28" s="55"/>
      <c r="I28" s="4"/>
    </row>
    <row r="29" spans="1:9" ht="18.75" x14ac:dyDescent="0.4">
      <c r="A29" s="71"/>
      <c r="B29" s="71"/>
      <c r="C29" s="70" t="s">
        <v>26</v>
      </c>
      <c r="D29" s="69"/>
      <c r="E29" s="68"/>
      <c r="F29" s="66" t="s">
        <v>4</v>
      </c>
      <c r="G29" s="72">
        <v>0</v>
      </c>
      <c r="H29" s="55"/>
      <c r="I29" s="66"/>
    </row>
    <row r="30" spans="1:9" ht="18.75" x14ac:dyDescent="0.4">
      <c r="A30" s="71"/>
      <c r="B30" s="71"/>
      <c r="C30" s="70"/>
      <c r="D30" s="69"/>
      <c r="E30" s="68"/>
      <c r="F30" s="73" t="s">
        <v>2</v>
      </c>
      <c r="G30" s="72">
        <v>832.89</v>
      </c>
      <c r="H30" s="55"/>
      <c r="I30" s="66"/>
    </row>
    <row r="31" spans="1:9" ht="18.75" x14ac:dyDescent="0.4">
      <c r="A31" s="71"/>
      <c r="B31" s="71"/>
      <c r="C31" s="70" t="s">
        <v>25</v>
      </c>
      <c r="D31" s="69"/>
      <c r="E31" s="68"/>
      <c r="F31" s="66" t="s">
        <v>24</v>
      </c>
      <c r="G31" s="454">
        <v>0</v>
      </c>
      <c r="H31" s="55"/>
      <c r="I31" s="66"/>
    </row>
    <row r="32" spans="1:9" x14ac:dyDescent="0.2">
      <c r="A32" s="544"/>
      <c r="B32" s="545"/>
      <c r="C32" s="545"/>
      <c r="D32" s="545"/>
      <c r="E32" s="545"/>
      <c r="F32" s="545"/>
      <c r="G32" s="545"/>
      <c r="H32" s="545"/>
      <c r="I32" s="545"/>
    </row>
    <row r="33" spans="1:11" x14ac:dyDescent="0.2">
      <c r="A33" s="545"/>
      <c r="B33" s="545"/>
      <c r="C33" s="545"/>
      <c r="D33" s="545"/>
      <c r="E33" s="545"/>
      <c r="F33" s="545"/>
      <c r="G33" s="545"/>
      <c r="H33" s="545"/>
      <c r="I33" s="545"/>
    </row>
    <row r="34" spans="1:11" x14ac:dyDescent="0.2">
      <c r="A34" s="545"/>
      <c r="B34" s="545"/>
      <c r="C34" s="545"/>
      <c r="D34" s="545"/>
      <c r="E34" s="545"/>
      <c r="F34" s="545"/>
      <c r="G34" s="545"/>
      <c r="H34" s="545"/>
      <c r="I34" s="545"/>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56">
        <f>43348000-170000</f>
        <v>43178000</v>
      </c>
      <c r="G37" s="56">
        <f>44307078-170288</f>
        <v>44136790</v>
      </c>
      <c r="H37" s="55"/>
      <c r="I37" s="54">
        <f>IF(F37=0,"nerozp.",G37/F37)</f>
        <v>1.0222055213303072</v>
      </c>
      <c r="J37" s="446"/>
      <c r="K37" s="461"/>
    </row>
    <row r="38" spans="1:11" ht="16.5" x14ac:dyDescent="0.35">
      <c r="A38" s="59" t="s">
        <v>17</v>
      </c>
      <c r="B38" s="58"/>
      <c r="C38" s="57"/>
      <c r="D38" s="60"/>
      <c r="E38" s="60"/>
      <c r="F38" s="56">
        <v>1101000</v>
      </c>
      <c r="G38" s="56">
        <v>1102467</v>
      </c>
      <c r="H38" s="55"/>
      <c r="I38" s="54">
        <f>IF(F38=0,"nerozp.",G38/F38)</f>
        <v>1.0013324250681199</v>
      </c>
      <c r="J38" s="447"/>
      <c r="K38" s="461"/>
    </row>
    <row r="39" spans="1:11" ht="16.5" x14ac:dyDescent="0.35">
      <c r="A39" s="59" t="s">
        <v>16</v>
      </c>
      <c r="B39" s="58"/>
      <c r="C39" s="57"/>
      <c r="D39" s="60"/>
      <c r="E39" s="60"/>
      <c r="F39" s="56">
        <v>0</v>
      </c>
      <c r="G39" s="56">
        <v>0</v>
      </c>
      <c r="H39" s="55"/>
      <c r="I39" s="54" t="str">
        <f>IF(F39=0,"nerozp.",G39/F39)</f>
        <v>nerozp.</v>
      </c>
    </row>
    <row r="40" spans="1:11" ht="16.5" x14ac:dyDescent="0.35">
      <c r="A40" s="59" t="s">
        <v>15</v>
      </c>
      <c r="B40" s="58"/>
      <c r="C40" s="57"/>
      <c r="D40" s="5"/>
      <c r="E40" s="5"/>
      <c r="F40" s="56">
        <v>850000</v>
      </c>
      <c r="G40" s="56">
        <v>850000</v>
      </c>
      <c r="H40" s="55"/>
      <c r="I40" s="54">
        <f>IF(F40=0,"nerozp.",G40/F40)</f>
        <v>1</v>
      </c>
    </row>
    <row r="41" spans="1:11" ht="16.5" x14ac:dyDescent="0.35">
      <c r="A41" s="59" t="s">
        <v>14</v>
      </c>
      <c r="B41" s="58"/>
      <c r="C41" s="57"/>
      <c r="D41" s="5"/>
      <c r="E41" s="5"/>
      <c r="F41" s="56">
        <v>0</v>
      </c>
      <c r="G41" s="56">
        <v>0</v>
      </c>
      <c r="H41" s="55"/>
      <c r="I41" s="54" t="str">
        <f>IF(F41=0,"nerozp.",G41/F41)</f>
        <v>nerozp.</v>
      </c>
    </row>
    <row r="42" spans="1:11" ht="14.25" x14ac:dyDescent="0.2">
      <c r="A42" s="53" t="s">
        <v>13</v>
      </c>
      <c r="B42" s="52" t="s">
        <v>341</v>
      </c>
      <c r="C42" s="51"/>
      <c r="D42" s="47"/>
      <c r="E42" s="47"/>
      <c r="F42" s="46"/>
      <c r="G42" s="46"/>
      <c r="H42" s="45"/>
      <c r="I42" s="44"/>
    </row>
    <row r="43" spans="1:11" ht="35.25" customHeight="1" x14ac:dyDescent="0.2">
      <c r="A43" s="50"/>
      <c r="B43" s="560" t="s">
        <v>312</v>
      </c>
      <c r="C43" s="561"/>
      <c r="D43" s="561"/>
      <c r="E43" s="561"/>
      <c r="F43" s="561"/>
      <c r="G43" s="561"/>
      <c r="H43" s="561"/>
      <c r="I43" s="561"/>
    </row>
    <row r="44" spans="1:11" ht="16.5"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19284</v>
      </c>
      <c r="F50" s="22">
        <v>0</v>
      </c>
      <c r="G50" s="21">
        <v>2153</v>
      </c>
      <c r="H50" s="21">
        <f>E50+F50-G50</f>
        <v>17131</v>
      </c>
      <c r="I50" s="20">
        <v>17131</v>
      </c>
    </row>
    <row r="51" spans="1:9" x14ac:dyDescent="0.2">
      <c r="A51" s="19"/>
      <c r="B51" s="18"/>
      <c r="C51" s="18" t="s">
        <v>3</v>
      </c>
      <c r="D51" s="18"/>
      <c r="E51" s="464">
        <v>102360.53</v>
      </c>
      <c r="F51" s="17">
        <v>442080.91999999993</v>
      </c>
      <c r="G51" s="16">
        <v>513045</v>
      </c>
      <c r="H51" s="16">
        <f>E51+F51-G51</f>
        <v>31396.449999999953</v>
      </c>
      <c r="I51" s="15">
        <v>44328.06</v>
      </c>
    </row>
    <row r="52" spans="1:9" x14ac:dyDescent="0.2">
      <c r="A52" s="19"/>
      <c r="B52" s="18"/>
      <c r="C52" s="18" t="s">
        <v>2</v>
      </c>
      <c r="D52" s="18"/>
      <c r="E52" s="464">
        <v>145593.87</v>
      </c>
      <c r="F52" s="17">
        <v>20218.840000000004</v>
      </c>
      <c r="G52" s="16">
        <v>21460</v>
      </c>
      <c r="H52" s="16">
        <f>E52+F52-G52</f>
        <v>144352.71</v>
      </c>
      <c r="I52" s="15">
        <v>144352.71000000002</v>
      </c>
    </row>
    <row r="53" spans="1:9" x14ac:dyDescent="0.2">
      <c r="A53" s="19"/>
      <c r="B53" s="18"/>
      <c r="C53" s="18" t="s">
        <v>1</v>
      </c>
      <c r="D53" s="18"/>
      <c r="E53" s="464">
        <v>467333.4</v>
      </c>
      <c r="F53" s="17">
        <v>1312467</v>
      </c>
      <c r="G53" s="16">
        <v>1479585</v>
      </c>
      <c r="H53" s="16">
        <f>E53+F53-G53</f>
        <v>300215.39999999991</v>
      </c>
      <c r="I53" s="15">
        <v>300215.40000000002</v>
      </c>
    </row>
    <row r="54" spans="1:9" ht="18.75" thickBot="1" x14ac:dyDescent="0.4">
      <c r="A54" s="14" t="s">
        <v>0</v>
      </c>
      <c r="B54" s="13"/>
      <c r="C54" s="13"/>
      <c r="D54" s="13"/>
      <c r="E54" s="465">
        <f>SUM(E50:E53)</f>
        <v>734571.8</v>
      </c>
      <c r="F54" s="12">
        <f>SUM(F50:F53)</f>
        <v>1774766.76</v>
      </c>
      <c r="G54" s="12">
        <f>SUM(G50:G53)</f>
        <v>2016243</v>
      </c>
      <c r="H54" s="12">
        <f>SUM(H50:H53)</f>
        <v>493095.55999999982</v>
      </c>
      <c r="I54" s="11">
        <f>SUM(I50:I53)</f>
        <v>506027.17000000004</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A2:D2"/>
    <mergeCell ref="E3:I3"/>
    <mergeCell ref="E2:I2"/>
    <mergeCell ref="E5:I5"/>
    <mergeCell ref="E4:I4"/>
    <mergeCell ref="F47:F48"/>
    <mergeCell ref="E6:G6"/>
    <mergeCell ref="A32:I34"/>
    <mergeCell ref="E7:I7"/>
    <mergeCell ref="H13:I13"/>
    <mergeCell ref="H45:I45"/>
    <mergeCell ref="B43:I43"/>
  </mergeCells>
  <conditionalFormatting sqref="I42 I44">
    <cfRule type="cellIs" dxfId="309" priority="9" stopIfTrue="1" operator="greaterThan">
      <formula>1</formula>
    </cfRule>
  </conditionalFormatting>
  <conditionalFormatting sqref="H50:H53">
    <cfRule type="cellIs" dxfId="308" priority="13" stopIfTrue="1" operator="notEqual">
      <formula>E50+F50-G50</formula>
    </cfRule>
  </conditionalFormatting>
  <conditionalFormatting sqref="I54">
    <cfRule type="cellIs" dxfId="307" priority="14" stopIfTrue="1" operator="notEqual">
      <formula>$I$50+$I$51+$I$52+$I$53</formula>
    </cfRule>
  </conditionalFormatting>
  <conditionalFormatting sqref="H54">
    <cfRule type="cellIs" dxfId="306" priority="15" stopIfTrue="1" operator="notEqual">
      <formula>E54+F54-G54</formula>
    </cfRule>
    <cfRule type="cellIs" dxfId="305" priority="16" stopIfTrue="1" operator="notEqual">
      <formula>SUM($H$50:$H$53)</formula>
    </cfRule>
  </conditionalFormatting>
  <conditionalFormatting sqref="G18 G16">
    <cfRule type="cellIs" dxfId="304" priority="17" stopIfTrue="1" operator="notEqual">
      <formula>H16+I16</formula>
    </cfRule>
  </conditionalFormatting>
  <conditionalFormatting sqref="G24">
    <cfRule type="cellIs" dxfId="303" priority="18" stopIfTrue="1" operator="notEqual">
      <formula>ROUND(H24+I24,2)</formula>
    </cfRule>
  </conditionalFormatting>
  <conditionalFormatting sqref="H24">
    <cfRule type="cellIs" dxfId="302" priority="19" stopIfTrue="1" operator="notEqual">
      <formula>$H$18-$H$16</formula>
    </cfRule>
  </conditionalFormatting>
  <conditionalFormatting sqref="I24">
    <cfRule type="cellIs" dxfId="301" priority="20" stopIfTrue="1" operator="notEqual">
      <formula>I18-I16</formula>
    </cfRule>
  </conditionalFormatting>
  <conditionalFormatting sqref="G23">
    <cfRule type="cellIs" dxfId="300" priority="7" stopIfTrue="1" operator="notEqual">
      <formula>ROUND(H23+I23,2)</formula>
    </cfRule>
  </conditionalFormatting>
  <conditionalFormatting sqref="G28">
    <cfRule type="cellIs" dxfId="299" priority="5" operator="notEqual">
      <formula>ROUND($G$24,2)</formula>
    </cfRule>
  </conditionalFormatting>
  <conditionalFormatting sqref="J37">
    <cfRule type="cellIs" dxfId="298" priority="3" operator="greaterThan">
      <formula>0</formula>
    </cfRule>
    <cfRule type="cellIs" dxfId="297" priority="4" operator="lessThan">
      <formula>0</formula>
    </cfRule>
  </conditionalFormatting>
  <conditionalFormatting sqref="J38">
    <cfRule type="cellIs" dxfId="296" priority="1" operator="greaterThan">
      <formula>0</formula>
    </cfRule>
    <cfRule type="cellIs" dxfId="295" priority="2" operator="lessThan">
      <formula>0</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9" ht="19.5" x14ac:dyDescent="0.4">
      <c r="A1" s="119" t="s">
        <v>47</v>
      </c>
      <c r="B1" s="118"/>
      <c r="C1" s="118"/>
      <c r="D1" s="118"/>
    </row>
    <row r="2" spans="1:9" ht="19.5" x14ac:dyDescent="0.4">
      <c r="A2" s="553" t="s">
        <v>46</v>
      </c>
      <c r="B2" s="553"/>
      <c r="C2" s="553"/>
      <c r="D2" s="553"/>
      <c r="E2" s="554" t="s">
        <v>212</v>
      </c>
      <c r="F2" s="543"/>
      <c r="G2" s="543"/>
      <c r="H2" s="543"/>
      <c r="I2" s="543"/>
    </row>
    <row r="3" spans="1:9" ht="12" customHeight="1" x14ac:dyDescent="0.4">
      <c r="A3" s="455"/>
      <c r="B3" s="455"/>
      <c r="C3" s="455"/>
      <c r="D3" s="455"/>
      <c r="E3" s="546" t="s">
        <v>44</v>
      </c>
      <c r="F3" s="546"/>
      <c r="G3" s="546"/>
      <c r="H3" s="546"/>
      <c r="I3" s="546"/>
    </row>
    <row r="4" spans="1:9" ht="15.75" x14ac:dyDescent="0.25">
      <c r="A4" s="115" t="s">
        <v>45</v>
      </c>
      <c r="E4" s="555" t="s">
        <v>213</v>
      </c>
      <c r="F4" s="555"/>
      <c r="G4" s="555"/>
      <c r="H4" s="555"/>
      <c r="I4" s="555"/>
    </row>
    <row r="5" spans="1:9" ht="9" customHeight="1" x14ac:dyDescent="0.25">
      <c r="A5" s="115"/>
      <c r="E5" s="546" t="s">
        <v>44</v>
      </c>
      <c r="F5" s="546"/>
      <c r="G5" s="546"/>
      <c r="H5" s="546"/>
      <c r="I5" s="546"/>
    </row>
    <row r="6" spans="1:9" ht="19.5" x14ac:dyDescent="0.4">
      <c r="A6" s="113" t="s">
        <v>43</v>
      </c>
      <c r="E6" s="543" t="s">
        <v>214</v>
      </c>
      <c r="F6" s="543"/>
      <c r="G6" s="543"/>
      <c r="H6" s="113" t="s">
        <v>42</v>
      </c>
      <c r="I6" s="111" t="s">
        <v>215</v>
      </c>
    </row>
    <row r="7" spans="1:9" ht="9.75" customHeight="1" x14ac:dyDescent="0.4">
      <c r="A7" s="113"/>
      <c r="E7" s="546" t="s">
        <v>41</v>
      </c>
      <c r="F7" s="546"/>
      <c r="G7" s="546"/>
      <c r="H7" s="546"/>
      <c r="I7" s="546"/>
    </row>
    <row r="8" spans="1:9" ht="19.5" x14ac:dyDescent="0.4">
      <c r="A8" s="113"/>
      <c r="E8" s="111"/>
      <c r="F8" s="111"/>
      <c r="G8" s="111"/>
      <c r="H8" s="112"/>
      <c r="I8" s="111"/>
    </row>
    <row r="9" spans="1:9" ht="19.5" x14ac:dyDescent="0.4">
      <c r="A9" s="113"/>
      <c r="E9" s="111"/>
      <c r="F9" s="111"/>
      <c r="G9" s="111"/>
      <c r="H9" s="112"/>
      <c r="I9" s="111"/>
    </row>
    <row r="11" spans="1:9" ht="18.75" x14ac:dyDescent="0.4">
      <c r="A11" s="110"/>
      <c r="B11" s="94"/>
      <c r="C11" s="94"/>
      <c r="D11" s="94"/>
      <c r="E11" s="104" t="s">
        <v>40</v>
      </c>
      <c r="F11" s="104" t="s">
        <v>39</v>
      </c>
      <c r="G11" s="107" t="s">
        <v>20</v>
      </c>
      <c r="H11" s="109" t="s">
        <v>38</v>
      </c>
      <c r="I11" s="108"/>
    </row>
    <row r="12" spans="1:9" ht="18.75" x14ac:dyDescent="0.4">
      <c r="A12" s="66"/>
      <c r="B12" s="66"/>
      <c r="C12" s="66"/>
      <c r="D12" s="66"/>
      <c r="E12" s="104" t="s">
        <v>37</v>
      </c>
      <c r="F12" s="104" t="s">
        <v>37</v>
      </c>
      <c r="G12" s="107" t="s">
        <v>36</v>
      </c>
      <c r="H12" s="106" t="s">
        <v>35</v>
      </c>
      <c r="I12" s="105" t="s">
        <v>34</v>
      </c>
    </row>
    <row r="13" spans="1:9" ht="15" x14ac:dyDescent="0.2">
      <c r="A13" s="66"/>
      <c r="B13" s="66"/>
      <c r="C13" s="66"/>
      <c r="D13" s="66"/>
      <c r="E13" s="104" t="s">
        <v>0</v>
      </c>
      <c r="F13" s="104" t="s">
        <v>0</v>
      </c>
      <c r="G13" s="103"/>
      <c r="H13" s="547" t="s">
        <v>33</v>
      </c>
      <c r="I13" s="548"/>
    </row>
    <row r="14" spans="1:9" ht="15" x14ac:dyDescent="0.2">
      <c r="A14" s="66"/>
      <c r="B14" s="66"/>
      <c r="C14" s="66"/>
      <c r="D14" s="66"/>
      <c r="E14" s="104"/>
      <c r="F14" s="104"/>
      <c r="G14" s="103"/>
      <c r="H14" s="456"/>
      <c r="I14" s="457"/>
    </row>
    <row r="15" spans="1:9" ht="18.75" x14ac:dyDescent="0.4">
      <c r="A15" s="71" t="s">
        <v>32</v>
      </c>
      <c r="B15" s="71"/>
      <c r="C15" s="99"/>
      <c r="D15" s="98"/>
      <c r="E15" s="100"/>
      <c r="F15" s="100"/>
      <c r="G15" s="82"/>
      <c r="H15" s="66"/>
      <c r="I15" s="66"/>
    </row>
    <row r="16" spans="1:9" ht="19.5" x14ac:dyDescent="0.4">
      <c r="A16" s="85" t="s">
        <v>31</v>
      </c>
      <c r="B16" s="71"/>
      <c r="C16" s="99"/>
      <c r="D16" s="98"/>
      <c r="E16" s="78">
        <v>23326000</v>
      </c>
      <c r="F16" s="93">
        <v>23480000</v>
      </c>
      <c r="G16" s="90">
        <f>H16+I16</f>
        <v>23924516.799999993</v>
      </c>
      <c r="H16" s="78">
        <v>23924516.799999993</v>
      </c>
      <c r="I16" s="78">
        <v>0</v>
      </c>
    </row>
    <row r="17" spans="1:9" ht="14.25" x14ac:dyDescent="0.3">
      <c r="A17" s="97"/>
      <c r="B17" s="96"/>
      <c r="C17" s="96"/>
      <c r="D17" s="96"/>
      <c r="E17" s="95"/>
      <c r="F17" s="94"/>
    </row>
    <row r="18" spans="1:9" ht="19.5" x14ac:dyDescent="0.4">
      <c r="A18" s="85" t="s">
        <v>30</v>
      </c>
      <c r="B18" s="83"/>
      <c r="C18" s="83"/>
      <c r="D18" s="83"/>
      <c r="E18" s="78">
        <v>21710000</v>
      </c>
      <c r="F18" s="93">
        <v>23551745</v>
      </c>
      <c r="G18" s="90">
        <f>H18+I18</f>
        <v>23992245.66</v>
      </c>
      <c r="H18" s="78">
        <v>23992245.66</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67728.86</v>
      </c>
      <c r="H24" s="75">
        <f>H18-H16</f>
        <v>67728.860000006855</v>
      </c>
      <c r="I24" s="75">
        <f>I18-I164</f>
        <v>0</v>
      </c>
    </row>
    <row r="26" spans="1:9" x14ac:dyDescent="0.2">
      <c r="H26" s="66"/>
    </row>
    <row r="28" spans="1:9" ht="19.5" x14ac:dyDescent="0.4">
      <c r="A28" s="43" t="s">
        <v>28</v>
      </c>
      <c r="B28" s="43" t="s">
        <v>27</v>
      </c>
      <c r="C28" s="43"/>
      <c r="D28" s="65"/>
      <c r="E28" s="65"/>
      <c r="F28" s="4"/>
      <c r="G28" s="460">
        <f>ROUND(G29+G30+G31,2)</f>
        <v>67728.86</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67728.860000006855</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9" x14ac:dyDescent="0.2">
      <c r="A33" s="545"/>
      <c r="B33" s="545"/>
      <c r="C33" s="545"/>
      <c r="D33" s="545"/>
      <c r="E33" s="545"/>
      <c r="F33" s="545"/>
      <c r="G33" s="545"/>
      <c r="H33" s="545"/>
      <c r="I33" s="545"/>
    </row>
    <row r="34" spans="1:9" x14ac:dyDescent="0.2">
      <c r="A34" s="545"/>
      <c r="B34" s="545"/>
      <c r="C34" s="545"/>
      <c r="D34" s="545"/>
      <c r="E34" s="545"/>
      <c r="F34" s="545"/>
      <c r="G34" s="545"/>
      <c r="H34" s="545"/>
      <c r="I34" s="545"/>
    </row>
    <row r="35" spans="1:9" ht="19.5" x14ac:dyDescent="0.4">
      <c r="A35" s="43" t="s">
        <v>23</v>
      </c>
      <c r="B35" s="43" t="s">
        <v>22</v>
      </c>
      <c r="C35" s="43"/>
      <c r="D35" s="63"/>
      <c r="E35" s="5"/>
      <c r="F35" s="65"/>
      <c r="G35" s="64"/>
      <c r="H35" s="4"/>
      <c r="I35" s="4"/>
    </row>
    <row r="36" spans="1:9" ht="18.75" x14ac:dyDescent="0.4">
      <c r="A36" s="43"/>
      <c r="B36" s="43"/>
      <c r="C36" s="43"/>
      <c r="D36" s="63"/>
      <c r="F36" s="9" t="s">
        <v>21</v>
      </c>
      <c r="G36" s="62" t="s">
        <v>20</v>
      </c>
      <c r="H36" s="4"/>
      <c r="I36" s="61" t="s">
        <v>19</v>
      </c>
    </row>
    <row r="37" spans="1:9" ht="16.5" x14ac:dyDescent="0.35">
      <c r="A37" s="59" t="s">
        <v>18</v>
      </c>
      <c r="B37" s="58"/>
      <c r="C37" s="57"/>
      <c r="D37" s="58"/>
      <c r="E37" s="5"/>
      <c r="F37" s="56">
        <f>13202000-70000</f>
        <v>13132000</v>
      </c>
      <c r="G37" s="56">
        <f>13327067-42601</f>
        <v>13284466</v>
      </c>
      <c r="H37" s="55"/>
      <c r="I37" s="54">
        <f>IF(F37=0,"nerozp.",G37/F37)</f>
        <v>1.0116102650015231</v>
      </c>
    </row>
    <row r="38" spans="1:9" ht="16.5" x14ac:dyDescent="0.35">
      <c r="A38" s="59" t="s">
        <v>17</v>
      </c>
      <c r="B38" s="58"/>
      <c r="C38" s="57"/>
      <c r="D38" s="60"/>
      <c r="E38" s="60"/>
      <c r="F38" s="56">
        <v>780000</v>
      </c>
      <c r="G38" s="56">
        <v>782778</v>
      </c>
      <c r="H38" s="55"/>
      <c r="I38" s="54">
        <f>IF(F38=0,"nerozp.",G38/F38)</f>
        <v>1.0035615384615384</v>
      </c>
    </row>
    <row r="39" spans="1:9" ht="16.5" x14ac:dyDescent="0.35">
      <c r="A39" s="59" t="s">
        <v>16</v>
      </c>
      <c r="B39" s="58"/>
      <c r="C39" s="57"/>
      <c r="D39" s="60"/>
      <c r="E39" s="60"/>
      <c r="F39" s="56">
        <v>0</v>
      </c>
      <c r="G39" s="56">
        <v>0</v>
      </c>
      <c r="H39" s="55"/>
      <c r="I39" s="54" t="str">
        <f>IF(F39=0,"nerozp.",G39/F39)</f>
        <v>nerozp.</v>
      </c>
    </row>
    <row r="40" spans="1:9" ht="16.5" x14ac:dyDescent="0.35">
      <c r="A40" s="59" t="s">
        <v>15</v>
      </c>
      <c r="B40" s="58"/>
      <c r="C40" s="57"/>
      <c r="D40" s="5"/>
      <c r="E40" s="5"/>
      <c r="F40" s="56">
        <v>584500</v>
      </c>
      <c r="G40" s="56">
        <v>584500</v>
      </c>
      <c r="H40" s="55"/>
      <c r="I40" s="54">
        <f>IF(F40=0,"nerozp.",G40/F40)</f>
        <v>1</v>
      </c>
    </row>
    <row r="41" spans="1:9" ht="16.5" x14ac:dyDescent="0.35">
      <c r="A41" s="59" t="s">
        <v>14</v>
      </c>
      <c r="B41" s="58"/>
      <c r="C41" s="57"/>
      <c r="D41" s="5"/>
      <c r="E41" s="5"/>
      <c r="F41" s="56">
        <v>0</v>
      </c>
      <c r="G41" s="56">
        <v>0</v>
      </c>
      <c r="H41" s="55"/>
      <c r="I41" s="54" t="str">
        <f>IF(F41=0,"nerozp.",G41/F41)</f>
        <v>nerozp.</v>
      </c>
    </row>
    <row r="42" spans="1:9" ht="14.25" x14ac:dyDescent="0.2">
      <c r="A42" s="53" t="s">
        <v>13</v>
      </c>
      <c r="B42" s="52" t="s">
        <v>313</v>
      </c>
      <c r="C42" s="51"/>
      <c r="D42" s="47"/>
      <c r="E42" s="47"/>
      <c r="F42" s="46"/>
      <c r="G42" s="46"/>
      <c r="H42" s="45"/>
      <c r="I42" s="44"/>
    </row>
    <row r="43" spans="1:9" ht="39" customHeight="1" x14ac:dyDescent="0.2">
      <c r="A43" s="50"/>
      <c r="B43" s="562" t="s">
        <v>345</v>
      </c>
      <c r="C43" s="563"/>
      <c r="D43" s="563"/>
      <c r="E43" s="563"/>
      <c r="F43" s="563"/>
      <c r="G43" s="563"/>
      <c r="H43" s="563"/>
      <c r="I43" s="563"/>
    </row>
    <row r="44" spans="1:9" ht="16.5" x14ac:dyDescent="0.35">
      <c r="A44" s="50"/>
      <c r="B44" s="49"/>
      <c r="C44" s="48"/>
      <c r="D44" s="47"/>
      <c r="E44" s="47"/>
      <c r="F44" s="46"/>
      <c r="G44" s="46"/>
      <c r="H44" s="45"/>
      <c r="I44" s="44"/>
    </row>
    <row r="45" spans="1:9" ht="19.5" thickBot="1" x14ac:dyDescent="0.45">
      <c r="A45" s="43" t="s">
        <v>12</v>
      </c>
      <c r="B45" s="43" t="s">
        <v>11</v>
      </c>
      <c r="C45" s="42"/>
      <c r="D45" s="5"/>
      <c r="E45" s="5"/>
      <c r="F45" s="4"/>
      <c r="G45" s="10"/>
      <c r="H45" s="549" t="s">
        <v>10</v>
      </c>
      <c r="I45" s="550"/>
    </row>
    <row r="46" spans="1:9" ht="18.75" thickTop="1" x14ac:dyDescent="0.35">
      <c r="A46" s="41"/>
      <c r="B46" s="39"/>
      <c r="C46" s="40"/>
      <c r="D46" s="39"/>
      <c r="E46" s="38" t="s">
        <v>9</v>
      </c>
      <c r="F46" s="37" t="s">
        <v>8</v>
      </c>
      <c r="G46" s="37" t="s">
        <v>7</v>
      </c>
      <c r="H46" s="36" t="s">
        <v>6</v>
      </c>
      <c r="I46" s="35" t="s">
        <v>5</v>
      </c>
    </row>
    <row r="47" spans="1:9" x14ac:dyDescent="0.2">
      <c r="A47" s="31"/>
      <c r="B47" s="4"/>
      <c r="C47" s="4"/>
      <c r="D47" s="4"/>
      <c r="E47" s="31"/>
      <c r="F47" s="542"/>
      <c r="G47" s="34"/>
      <c r="H47" s="33">
        <v>41274</v>
      </c>
      <c r="I47" s="32">
        <v>41274</v>
      </c>
    </row>
    <row r="48" spans="1:9"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14270</v>
      </c>
      <c r="F50" s="22">
        <v>0</v>
      </c>
      <c r="G50" s="21">
        <v>0</v>
      </c>
      <c r="H50" s="21">
        <f>E50+F50-G50</f>
        <v>14270</v>
      </c>
      <c r="I50" s="20">
        <v>14270</v>
      </c>
    </row>
    <row r="51" spans="1:9" x14ac:dyDescent="0.2">
      <c r="A51" s="19"/>
      <c r="B51" s="18"/>
      <c r="C51" s="18" t="s">
        <v>3</v>
      </c>
      <c r="D51" s="18"/>
      <c r="E51" s="464">
        <v>176627.89</v>
      </c>
      <c r="F51" s="17">
        <v>132060</v>
      </c>
      <c r="G51" s="16">
        <v>196117</v>
      </c>
      <c r="H51" s="16">
        <f>E51+F51-G51</f>
        <v>112570.89000000001</v>
      </c>
      <c r="I51" s="15">
        <v>106480.28</v>
      </c>
    </row>
    <row r="52" spans="1:9" x14ac:dyDescent="0.2">
      <c r="A52" s="19"/>
      <c r="B52" s="18"/>
      <c r="C52" s="18" t="s">
        <v>2</v>
      </c>
      <c r="D52" s="18"/>
      <c r="E52" s="464">
        <v>585512.75</v>
      </c>
      <c r="F52" s="17">
        <v>116186.89</v>
      </c>
      <c r="G52" s="16">
        <v>69488</v>
      </c>
      <c r="H52" s="16">
        <f>E52+F52-G52</f>
        <v>632211.64</v>
      </c>
      <c r="I52" s="15">
        <v>632211.64</v>
      </c>
    </row>
    <row r="53" spans="1:9" x14ac:dyDescent="0.2">
      <c r="A53" s="19"/>
      <c r="B53" s="18"/>
      <c r="C53" s="18" t="s">
        <v>1</v>
      </c>
      <c r="D53" s="18"/>
      <c r="E53" s="464">
        <v>340578.8</v>
      </c>
      <c r="F53" s="17">
        <v>782778</v>
      </c>
      <c r="G53" s="16">
        <v>1003179</v>
      </c>
      <c r="H53" s="16">
        <f>E53+F53-G53</f>
        <v>120177.80000000005</v>
      </c>
      <c r="I53" s="15">
        <v>120177.8</v>
      </c>
    </row>
    <row r="54" spans="1:9" ht="18.75" thickBot="1" x14ac:dyDescent="0.4">
      <c r="A54" s="14" t="s">
        <v>0</v>
      </c>
      <c r="B54" s="13"/>
      <c r="C54" s="13"/>
      <c r="D54" s="13"/>
      <c r="E54" s="465">
        <f>SUM(E50:E53)</f>
        <v>1116989.4399999999</v>
      </c>
      <c r="F54" s="12">
        <f>SUM(F50:F53)</f>
        <v>1031024.89</v>
      </c>
      <c r="G54" s="12">
        <f>SUM(G50:G53)</f>
        <v>1268784</v>
      </c>
      <c r="H54" s="12">
        <f>SUM(H50:H53)</f>
        <v>879230.33000000007</v>
      </c>
      <c r="I54" s="11">
        <f>SUM(I50:I53)</f>
        <v>873139.72000000009</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A2:D2"/>
    <mergeCell ref="E3:I3"/>
    <mergeCell ref="E2:I2"/>
    <mergeCell ref="E5:I5"/>
    <mergeCell ref="E4:I4"/>
    <mergeCell ref="F47:F48"/>
    <mergeCell ref="E6:G6"/>
    <mergeCell ref="A32:I34"/>
    <mergeCell ref="E7:I7"/>
    <mergeCell ref="H13:I13"/>
    <mergeCell ref="H45:I45"/>
    <mergeCell ref="B43:I43"/>
  </mergeCells>
  <conditionalFormatting sqref="I42 I44">
    <cfRule type="cellIs" dxfId="294" priority="9" stopIfTrue="1" operator="greaterThan">
      <formula>1</formula>
    </cfRule>
  </conditionalFormatting>
  <conditionalFormatting sqref="H50:H53">
    <cfRule type="cellIs" dxfId="293" priority="13" stopIfTrue="1" operator="notEqual">
      <formula>E50+F50-G50</formula>
    </cfRule>
  </conditionalFormatting>
  <conditionalFormatting sqref="I54">
    <cfRule type="cellIs" dxfId="292" priority="14" stopIfTrue="1" operator="notEqual">
      <formula>$I$50+$I$51+$I$52+$I$53</formula>
    </cfRule>
  </conditionalFormatting>
  <conditionalFormatting sqref="H54">
    <cfRule type="cellIs" dxfId="291" priority="15" stopIfTrue="1" operator="notEqual">
      <formula>E54+F54-G54</formula>
    </cfRule>
    <cfRule type="cellIs" dxfId="290" priority="16" stopIfTrue="1" operator="notEqual">
      <formula>SUM($H$50:$H$53)</formula>
    </cfRule>
  </conditionalFormatting>
  <conditionalFormatting sqref="G18 G16">
    <cfRule type="cellIs" dxfId="289" priority="17" stopIfTrue="1" operator="notEqual">
      <formula>H16+I16</formula>
    </cfRule>
  </conditionalFormatting>
  <conditionalFormatting sqref="G24">
    <cfRule type="cellIs" dxfId="288" priority="18" stopIfTrue="1" operator="notEqual">
      <formula>ROUND(H24+I24,2)</formula>
    </cfRule>
  </conditionalFormatting>
  <conditionalFormatting sqref="H24">
    <cfRule type="cellIs" dxfId="287" priority="19" stopIfTrue="1" operator="notEqual">
      <formula>$H$18-$H$16</formula>
    </cfRule>
  </conditionalFormatting>
  <conditionalFormatting sqref="I24">
    <cfRule type="cellIs" dxfId="286" priority="20" stopIfTrue="1" operator="notEqual">
      <formula>I18-I16</formula>
    </cfRule>
  </conditionalFormatting>
  <conditionalFormatting sqref="G23">
    <cfRule type="cellIs" dxfId="285" priority="7" stopIfTrue="1" operator="notEqual">
      <formula>ROUND(H23+I23,2)</formula>
    </cfRule>
  </conditionalFormatting>
  <conditionalFormatting sqref="G28">
    <cfRule type="cellIs" dxfId="284" priority="5" operator="notEqual">
      <formula>ROUND($G$24,2)</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9" ht="19.5" x14ac:dyDescent="0.4">
      <c r="A1" s="119" t="s">
        <v>47</v>
      </c>
      <c r="B1" s="118"/>
      <c r="C1" s="118"/>
      <c r="D1" s="118"/>
    </row>
    <row r="2" spans="1:9" ht="19.5" x14ac:dyDescent="0.4">
      <c r="A2" s="553" t="s">
        <v>46</v>
      </c>
      <c r="B2" s="553"/>
      <c r="C2" s="553"/>
      <c r="D2" s="553"/>
      <c r="E2" s="554" t="s">
        <v>216</v>
      </c>
      <c r="F2" s="543"/>
      <c r="G2" s="543"/>
      <c r="H2" s="543"/>
      <c r="I2" s="543"/>
    </row>
    <row r="3" spans="1:9" ht="12" customHeight="1" x14ac:dyDescent="0.4">
      <c r="A3" s="455"/>
      <c r="B3" s="455"/>
      <c r="C3" s="455"/>
      <c r="D3" s="455"/>
      <c r="E3" s="546" t="s">
        <v>44</v>
      </c>
      <c r="F3" s="546"/>
      <c r="G3" s="546"/>
      <c r="H3" s="546"/>
      <c r="I3" s="546"/>
    </row>
    <row r="4" spans="1:9" ht="15.75" x14ac:dyDescent="0.25">
      <c r="A4" s="115" t="s">
        <v>45</v>
      </c>
      <c r="E4" s="555" t="s">
        <v>217</v>
      </c>
      <c r="F4" s="555"/>
      <c r="G4" s="555"/>
      <c r="H4" s="555"/>
      <c r="I4" s="555"/>
    </row>
    <row r="5" spans="1:9" ht="9" customHeight="1" x14ac:dyDescent="0.25">
      <c r="A5" s="115"/>
      <c r="E5" s="546" t="s">
        <v>44</v>
      </c>
      <c r="F5" s="546"/>
      <c r="G5" s="546"/>
      <c r="H5" s="546"/>
      <c r="I5" s="546"/>
    </row>
    <row r="6" spans="1:9" ht="19.5" x14ac:dyDescent="0.4">
      <c r="A6" s="113" t="s">
        <v>43</v>
      </c>
      <c r="E6" s="543" t="s">
        <v>218</v>
      </c>
      <c r="F6" s="543"/>
      <c r="G6" s="543"/>
      <c r="H6" s="113" t="s">
        <v>42</v>
      </c>
      <c r="I6" s="111" t="s">
        <v>219</v>
      </c>
    </row>
    <row r="7" spans="1:9" ht="9.75" customHeight="1" x14ac:dyDescent="0.4">
      <c r="A7" s="113"/>
      <c r="E7" s="546" t="s">
        <v>41</v>
      </c>
      <c r="F7" s="546"/>
      <c r="G7" s="546"/>
      <c r="H7" s="546"/>
      <c r="I7" s="546"/>
    </row>
    <row r="8" spans="1:9" ht="19.5" x14ac:dyDescent="0.4">
      <c r="A8" s="113"/>
      <c r="E8" s="111"/>
      <c r="F8" s="111"/>
      <c r="G8" s="111"/>
      <c r="H8" s="112"/>
      <c r="I8" s="111"/>
    </row>
    <row r="9" spans="1:9" ht="19.5" x14ac:dyDescent="0.4">
      <c r="A9" s="113"/>
      <c r="E9" s="111"/>
      <c r="F9" s="111"/>
      <c r="G9" s="111"/>
      <c r="H9" s="112"/>
      <c r="I9" s="111"/>
    </row>
    <row r="11" spans="1:9" ht="18.75" x14ac:dyDescent="0.4">
      <c r="A11" s="110"/>
      <c r="B11" s="94"/>
      <c r="C11" s="94"/>
      <c r="D11" s="94"/>
      <c r="E11" s="104" t="s">
        <v>40</v>
      </c>
      <c r="F11" s="104" t="s">
        <v>39</v>
      </c>
      <c r="G11" s="107" t="s">
        <v>20</v>
      </c>
      <c r="H11" s="109" t="s">
        <v>38</v>
      </c>
      <c r="I11" s="108"/>
    </row>
    <row r="12" spans="1:9" ht="18.75" x14ac:dyDescent="0.4">
      <c r="A12" s="66"/>
      <c r="B12" s="66"/>
      <c r="C12" s="66"/>
      <c r="D12" s="66"/>
      <c r="E12" s="104" t="s">
        <v>37</v>
      </c>
      <c r="F12" s="104" t="s">
        <v>37</v>
      </c>
      <c r="G12" s="107" t="s">
        <v>36</v>
      </c>
      <c r="H12" s="106" t="s">
        <v>35</v>
      </c>
      <c r="I12" s="105" t="s">
        <v>34</v>
      </c>
    </row>
    <row r="13" spans="1:9" ht="15" x14ac:dyDescent="0.2">
      <c r="A13" s="66"/>
      <c r="B13" s="66"/>
      <c r="C13" s="66"/>
      <c r="D13" s="66"/>
      <c r="E13" s="104" t="s">
        <v>0</v>
      </c>
      <c r="F13" s="104" t="s">
        <v>0</v>
      </c>
      <c r="G13" s="103"/>
      <c r="H13" s="547" t="s">
        <v>33</v>
      </c>
      <c r="I13" s="548"/>
    </row>
    <row r="14" spans="1:9" ht="15" x14ac:dyDescent="0.2">
      <c r="A14" s="66"/>
      <c r="B14" s="66"/>
      <c r="C14" s="66"/>
      <c r="D14" s="66"/>
      <c r="E14" s="104"/>
      <c r="F14" s="104"/>
      <c r="G14" s="103"/>
      <c r="H14" s="456"/>
      <c r="I14" s="457"/>
    </row>
    <row r="15" spans="1:9" ht="18.75" x14ac:dyDescent="0.4">
      <c r="A15" s="71" t="s">
        <v>32</v>
      </c>
      <c r="B15" s="71"/>
      <c r="C15" s="99"/>
      <c r="D15" s="98"/>
      <c r="E15" s="100"/>
      <c r="F15" s="100"/>
      <c r="G15" s="82"/>
      <c r="H15" s="66"/>
      <c r="I15" s="66"/>
    </row>
    <row r="16" spans="1:9" ht="19.5" x14ac:dyDescent="0.4">
      <c r="A16" s="85" t="s">
        <v>31</v>
      </c>
      <c r="B16" s="71"/>
      <c r="C16" s="99"/>
      <c r="D16" s="98"/>
      <c r="E16" s="78">
        <v>68077000</v>
      </c>
      <c r="F16" s="93">
        <v>67567150</v>
      </c>
      <c r="G16" s="90">
        <f>H16+I16</f>
        <v>67543235.100000024</v>
      </c>
      <c r="H16" s="78">
        <v>67543235.100000024</v>
      </c>
      <c r="I16" s="78">
        <v>0</v>
      </c>
    </row>
    <row r="17" spans="1:9" ht="14.25" x14ac:dyDescent="0.3">
      <c r="A17" s="97"/>
      <c r="B17" s="96"/>
      <c r="C17" s="96"/>
      <c r="D17" s="96"/>
      <c r="E17" s="95"/>
      <c r="F17" s="94"/>
    </row>
    <row r="18" spans="1:9" ht="19.5" x14ac:dyDescent="0.4">
      <c r="A18" s="85" t="s">
        <v>30</v>
      </c>
      <c r="B18" s="83"/>
      <c r="C18" s="83"/>
      <c r="D18" s="83"/>
      <c r="E18" s="78">
        <v>59246000</v>
      </c>
      <c r="F18" s="93">
        <v>67567150</v>
      </c>
      <c r="G18" s="90">
        <f>H18+I18</f>
        <v>67560042.569999993</v>
      </c>
      <c r="H18" s="78">
        <v>67560042.569999993</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16807.47</v>
      </c>
      <c r="H24" s="75">
        <f>H18-H16</f>
        <v>16807.469999969006</v>
      </c>
      <c r="I24" s="75">
        <f>I18-I164</f>
        <v>0</v>
      </c>
    </row>
    <row r="26" spans="1:9" x14ac:dyDescent="0.2">
      <c r="H26" s="66"/>
    </row>
    <row r="28" spans="1:9" ht="19.5" x14ac:dyDescent="0.4">
      <c r="A28" s="43" t="s">
        <v>28</v>
      </c>
      <c r="B28" s="43" t="s">
        <v>27</v>
      </c>
      <c r="C28" s="43"/>
      <c r="D28" s="65"/>
      <c r="E28" s="65"/>
      <c r="F28" s="4"/>
      <c r="G28" s="460">
        <f>ROUND(G29+G30+G31,2)</f>
        <v>16807.47</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16807.469999969006</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9" x14ac:dyDescent="0.2">
      <c r="A33" s="545"/>
      <c r="B33" s="545"/>
      <c r="C33" s="545"/>
      <c r="D33" s="545"/>
      <c r="E33" s="545"/>
      <c r="F33" s="545"/>
      <c r="G33" s="545"/>
      <c r="H33" s="545"/>
      <c r="I33" s="545"/>
    </row>
    <row r="34" spans="1:9" x14ac:dyDescent="0.2">
      <c r="A34" s="545"/>
      <c r="B34" s="545"/>
      <c r="C34" s="545"/>
      <c r="D34" s="545"/>
      <c r="E34" s="545"/>
      <c r="F34" s="545"/>
      <c r="G34" s="545"/>
      <c r="H34" s="545"/>
      <c r="I34" s="545"/>
    </row>
    <row r="35" spans="1:9" ht="19.5" x14ac:dyDescent="0.4">
      <c r="A35" s="43" t="s">
        <v>23</v>
      </c>
      <c r="B35" s="43" t="s">
        <v>22</v>
      </c>
      <c r="C35" s="43"/>
      <c r="D35" s="63"/>
      <c r="E35" s="5"/>
      <c r="F35" s="65"/>
      <c r="G35" s="64"/>
      <c r="H35" s="4"/>
      <c r="I35" s="4"/>
    </row>
    <row r="36" spans="1:9" ht="18.75" x14ac:dyDescent="0.4">
      <c r="A36" s="43"/>
      <c r="B36" s="43"/>
      <c r="C36" s="43"/>
      <c r="D36" s="63"/>
      <c r="F36" s="9" t="s">
        <v>21</v>
      </c>
      <c r="G36" s="62" t="s">
        <v>20</v>
      </c>
      <c r="H36" s="4"/>
      <c r="I36" s="61" t="s">
        <v>19</v>
      </c>
    </row>
    <row r="37" spans="1:9" ht="16.5" x14ac:dyDescent="0.35">
      <c r="A37" s="59" t="s">
        <v>18</v>
      </c>
      <c r="B37" s="58"/>
      <c r="C37" s="57"/>
      <c r="D37" s="58"/>
      <c r="E37" s="5"/>
      <c r="F37" s="56">
        <f>35338000-185000</f>
        <v>35153000</v>
      </c>
      <c r="G37" s="56">
        <f>35327030-174030</f>
        <v>35153000</v>
      </c>
      <c r="H37" s="55"/>
      <c r="I37" s="54">
        <f>IF(F37=0,"nerozp.",G37/F37)</f>
        <v>1</v>
      </c>
    </row>
    <row r="38" spans="1:9" ht="16.5" x14ac:dyDescent="0.35">
      <c r="A38" s="59" t="s">
        <v>17</v>
      </c>
      <c r="B38" s="58"/>
      <c r="C38" s="57"/>
      <c r="D38" s="60"/>
      <c r="E38" s="60"/>
      <c r="F38" s="56">
        <v>2088000</v>
      </c>
      <c r="G38" s="56">
        <v>2080892</v>
      </c>
      <c r="H38" s="55"/>
      <c r="I38" s="54">
        <f>IF(F38=0,"nerozp.",G38/F38)</f>
        <v>0.996595785440613</v>
      </c>
    </row>
    <row r="39" spans="1:9" ht="16.5" x14ac:dyDescent="0.35">
      <c r="A39" s="59" t="s">
        <v>16</v>
      </c>
      <c r="B39" s="58"/>
      <c r="C39" s="57"/>
      <c r="D39" s="60"/>
      <c r="E39" s="60"/>
      <c r="F39" s="56">
        <v>0</v>
      </c>
      <c r="G39" s="56">
        <v>0</v>
      </c>
      <c r="H39" s="55"/>
      <c r="I39" s="54" t="str">
        <f>IF(F39=0,"nerozp.",G39/F39)</f>
        <v>nerozp.</v>
      </c>
    </row>
    <row r="40" spans="1:9" ht="16.5" x14ac:dyDescent="0.35">
      <c r="A40" s="59" t="s">
        <v>15</v>
      </c>
      <c r="B40" s="58"/>
      <c r="C40" s="57"/>
      <c r="D40" s="5"/>
      <c r="E40" s="5"/>
      <c r="F40" s="56">
        <v>1570000</v>
      </c>
      <c r="G40" s="56">
        <v>1570000</v>
      </c>
      <c r="H40" s="55"/>
      <c r="I40" s="54">
        <f>IF(F40=0,"nerozp.",G40/F40)</f>
        <v>1</v>
      </c>
    </row>
    <row r="41" spans="1:9" ht="16.5" x14ac:dyDescent="0.35">
      <c r="A41" s="59" t="s">
        <v>14</v>
      </c>
      <c r="B41" s="58"/>
      <c r="C41" s="57"/>
      <c r="D41" s="5"/>
      <c r="E41" s="5"/>
      <c r="F41" s="56">
        <v>0</v>
      </c>
      <c r="G41" s="56">
        <v>0</v>
      </c>
      <c r="H41" s="55"/>
      <c r="I41" s="54" t="str">
        <f>IF(F41=0,"nerozp.",G41/F41)</f>
        <v>nerozp.</v>
      </c>
    </row>
    <row r="42" spans="1:9" ht="14.25" x14ac:dyDescent="0.2">
      <c r="A42" s="53" t="s">
        <v>13</v>
      </c>
      <c r="B42" s="52" t="s">
        <v>314</v>
      </c>
      <c r="C42" s="51"/>
      <c r="D42" s="47"/>
      <c r="E42" s="46"/>
      <c r="F42" s="46"/>
      <c r="G42" s="45"/>
      <c r="H42" s="44"/>
      <c r="I42" s="44"/>
    </row>
    <row r="43" spans="1:9" ht="16.5" x14ac:dyDescent="0.35">
      <c r="A43" s="50"/>
      <c r="B43" s="49"/>
      <c r="C43" s="48"/>
      <c r="D43" s="47"/>
      <c r="E43" s="47"/>
      <c r="F43" s="46"/>
      <c r="G43" s="46"/>
      <c r="H43" s="45"/>
      <c r="I43" s="44"/>
    </row>
    <row r="44" spans="1:9" ht="16.5" x14ac:dyDescent="0.35">
      <c r="A44" s="50"/>
      <c r="B44" s="49"/>
      <c r="C44" s="48"/>
      <c r="D44" s="47"/>
      <c r="E44" s="47"/>
      <c r="F44" s="46"/>
      <c r="G44" s="46"/>
      <c r="H44" s="45"/>
      <c r="I44" s="44"/>
    </row>
    <row r="45" spans="1:9" ht="19.5" thickBot="1" x14ac:dyDescent="0.45">
      <c r="A45" s="43" t="s">
        <v>12</v>
      </c>
      <c r="B45" s="43" t="s">
        <v>11</v>
      </c>
      <c r="C45" s="42"/>
      <c r="D45" s="5"/>
      <c r="E45" s="5"/>
      <c r="F45" s="4"/>
      <c r="G45" s="10"/>
      <c r="H45" s="549" t="s">
        <v>10</v>
      </c>
      <c r="I45" s="550"/>
    </row>
    <row r="46" spans="1:9" ht="18.75" thickTop="1" x14ac:dyDescent="0.35">
      <c r="A46" s="41"/>
      <c r="B46" s="39"/>
      <c r="C46" s="40"/>
      <c r="D46" s="39"/>
      <c r="E46" s="38" t="s">
        <v>9</v>
      </c>
      <c r="F46" s="37" t="s">
        <v>8</v>
      </c>
      <c r="G46" s="37" t="s">
        <v>7</v>
      </c>
      <c r="H46" s="36" t="s">
        <v>6</v>
      </c>
      <c r="I46" s="35" t="s">
        <v>5</v>
      </c>
    </row>
    <row r="47" spans="1:9" x14ac:dyDescent="0.2">
      <c r="A47" s="31"/>
      <c r="B47" s="4"/>
      <c r="C47" s="4"/>
      <c r="D47" s="4"/>
      <c r="E47" s="31"/>
      <c r="F47" s="542"/>
      <c r="G47" s="34"/>
      <c r="H47" s="33">
        <v>41274</v>
      </c>
      <c r="I47" s="32">
        <v>41274</v>
      </c>
    </row>
    <row r="48" spans="1:9"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52000</v>
      </c>
      <c r="F50" s="22">
        <v>0</v>
      </c>
      <c r="G50" s="21">
        <v>0</v>
      </c>
      <c r="H50" s="21">
        <f>E50+F50-G50</f>
        <v>52000</v>
      </c>
      <c r="I50" s="20">
        <v>52000</v>
      </c>
    </row>
    <row r="51" spans="1:9" x14ac:dyDescent="0.2">
      <c r="A51" s="19"/>
      <c r="B51" s="18"/>
      <c r="C51" s="18" t="s">
        <v>3</v>
      </c>
      <c r="D51" s="18"/>
      <c r="E51" s="464">
        <v>1031165.29</v>
      </c>
      <c r="F51" s="17">
        <v>351530</v>
      </c>
      <c r="G51" s="16">
        <v>489624</v>
      </c>
      <c r="H51" s="16">
        <f>E51+F51-G51</f>
        <v>893071.29</v>
      </c>
      <c r="I51" s="15">
        <v>731499.78</v>
      </c>
    </row>
    <row r="52" spans="1:9" x14ac:dyDescent="0.2">
      <c r="A52" s="19"/>
      <c r="B52" s="18"/>
      <c r="C52" s="18" t="s">
        <v>2</v>
      </c>
      <c r="D52" s="18"/>
      <c r="E52" s="464">
        <v>138704.91</v>
      </c>
      <c r="F52" s="17">
        <v>53500</v>
      </c>
      <c r="G52" s="16">
        <v>108500</v>
      </c>
      <c r="H52" s="16">
        <f>E52+F52-G52</f>
        <v>83704.91</v>
      </c>
      <c r="I52" s="15">
        <v>83704.91</v>
      </c>
    </row>
    <row r="53" spans="1:9" x14ac:dyDescent="0.2">
      <c r="A53" s="19"/>
      <c r="B53" s="18"/>
      <c r="C53" s="18" t="s">
        <v>1</v>
      </c>
      <c r="D53" s="18"/>
      <c r="E53" s="464">
        <v>29112.38</v>
      </c>
      <c r="F53" s="17">
        <v>3057177</v>
      </c>
      <c r="G53" s="16">
        <v>2934403.31</v>
      </c>
      <c r="H53" s="16">
        <f>E53+F53-G53</f>
        <v>151886.06999999983</v>
      </c>
      <c r="I53" s="15">
        <v>151886.07</v>
      </c>
    </row>
    <row r="54" spans="1:9" ht="18.75" thickBot="1" x14ac:dyDescent="0.4">
      <c r="A54" s="14" t="s">
        <v>0</v>
      </c>
      <c r="B54" s="13"/>
      <c r="C54" s="13"/>
      <c r="D54" s="13"/>
      <c r="E54" s="465">
        <f>SUM(E50:E53)</f>
        <v>1250982.5799999998</v>
      </c>
      <c r="F54" s="12">
        <f>SUM(F50:F53)</f>
        <v>3462207</v>
      </c>
      <c r="G54" s="12">
        <f>SUM(G50:G53)</f>
        <v>3532527.31</v>
      </c>
      <c r="H54" s="12">
        <f>SUM(H50:H53)</f>
        <v>1180662.27</v>
      </c>
      <c r="I54" s="11">
        <f>SUM(I50:I53)</f>
        <v>1019090.76</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1">
    <mergeCell ref="A2:D2"/>
    <mergeCell ref="E3:I3"/>
    <mergeCell ref="E2:I2"/>
    <mergeCell ref="E5:I5"/>
    <mergeCell ref="E4:I4"/>
    <mergeCell ref="F47:F48"/>
    <mergeCell ref="E6:G6"/>
    <mergeCell ref="A32:I34"/>
    <mergeCell ref="E7:I7"/>
    <mergeCell ref="H13:I13"/>
    <mergeCell ref="H45:I45"/>
  </mergeCells>
  <conditionalFormatting sqref="I42:I44">
    <cfRule type="cellIs" dxfId="283" priority="10" stopIfTrue="1" operator="greaterThan">
      <formula>1</formula>
    </cfRule>
  </conditionalFormatting>
  <conditionalFormatting sqref="H50:H53">
    <cfRule type="cellIs" dxfId="282" priority="14" stopIfTrue="1" operator="notEqual">
      <formula>E50+F50-G50</formula>
    </cfRule>
  </conditionalFormatting>
  <conditionalFormatting sqref="I54">
    <cfRule type="cellIs" dxfId="281" priority="15" stopIfTrue="1" operator="notEqual">
      <formula>$I$50+$I$51+$I$52+$I$53</formula>
    </cfRule>
  </conditionalFormatting>
  <conditionalFormatting sqref="H54">
    <cfRule type="cellIs" dxfId="280" priority="16" stopIfTrue="1" operator="notEqual">
      <formula>E54+F54-G54</formula>
    </cfRule>
    <cfRule type="cellIs" dxfId="279" priority="17" stopIfTrue="1" operator="notEqual">
      <formula>SUM($H$50:$H$53)</formula>
    </cfRule>
  </conditionalFormatting>
  <conditionalFormatting sqref="G18 G16">
    <cfRule type="cellIs" dxfId="278" priority="18" stopIfTrue="1" operator="notEqual">
      <formula>H16+I16</formula>
    </cfRule>
  </conditionalFormatting>
  <conditionalFormatting sqref="G24">
    <cfRule type="cellIs" dxfId="277" priority="19" stopIfTrue="1" operator="notEqual">
      <formula>ROUND(H24+I24,2)</formula>
    </cfRule>
  </conditionalFormatting>
  <conditionalFormatting sqref="H24">
    <cfRule type="cellIs" dxfId="276" priority="20" stopIfTrue="1" operator="notEqual">
      <formula>$H$18-$H$16</formula>
    </cfRule>
  </conditionalFormatting>
  <conditionalFormatting sqref="I24">
    <cfRule type="cellIs" dxfId="275" priority="21" stopIfTrue="1" operator="notEqual">
      <formula>I18-I16</formula>
    </cfRule>
  </conditionalFormatting>
  <conditionalFormatting sqref="G23">
    <cfRule type="cellIs" dxfId="274" priority="8" stopIfTrue="1" operator="notEqual">
      <formula>ROUND(H23+I23,2)</formula>
    </cfRule>
  </conditionalFormatting>
  <conditionalFormatting sqref="G28">
    <cfRule type="cellIs" dxfId="273" priority="6" operator="notEqual">
      <formula>ROUND($G$24,2)</formula>
    </cfRule>
  </conditionalFormatting>
  <conditionalFormatting sqref="H42">
    <cfRule type="cellIs" dxfId="272" priority="1" stopIfTrue="1" operator="greaterThan">
      <formula>1</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0" width="12.28515625" style="180" customWidth="1"/>
    <col min="11" max="16384" width="9.140625" style="180"/>
  </cols>
  <sheetData>
    <row r="1" spans="1:11" ht="19.5" x14ac:dyDescent="0.4">
      <c r="A1" s="119" t="s">
        <v>47</v>
      </c>
      <c r="B1" s="118"/>
      <c r="C1" s="118"/>
      <c r="D1" s="118"/>
    </row>
    <row r="2" spans="1:11" ht="19.5" x14ac:dyDescent="0.4">
      <c r="A2" s="553" t="s">
        <v>46</v>
      </c>
      <c r="B2" s="553"/>
      <c r="C2" s="553"/>
      <c r="D2" s="553"/>
      <c r="E2" s="554" t="s">
        <v>220</v>
      </c>
      <c r="F2" s="543"/>
      <c r="G2" s="543"/>
      <c r="H2" s="543"/>
      <c r="I2" s="543"/>
      <c r="J2" s="458"/>
      <c r="K2" s="458"/>
    </row>
    <row r="3" spans="1:11" ht="12" customHeight="1" x14ac:dyDescent="0.4">
      <c r="A3" s="455"/>
      <c r="B3" s="455"/>
      <c r="C3" s="455"/>
      <c r="D3" s="455"/>
      <c r="E3" s="546" t="s">
        <v>44</v>
      </c>
      <c r="F3" s="546"/>
      <c r="G3" s="546"/>
      <c r="H3" s="546"/>
      <c r="I3" s="546"/>
    </row>
    <row r="4" spans="1:11" ht="15.75" x14ac:dyDescent="0.25">
      <c r="A4" s="115" t="s">
        <v>45</v>
      </c>
      <c r="E4" s="555" t="s">
        <v>221</v>
      </c>
      <c r="F4" s="555"/>
      <c r="G4" s="555"/>
      <c r="H4" s="555"/>
      <c r="I4" s="555"/>
    </row>
    <row r="5" spans="1:11" ht="9" customHeight="1" x14ac:dyDescent="0.25">
      <c r="A5" s="115"/>
      <c r="E5" s="546" t="s">
        <v>44</v>
      </c>
      <c r="F5" s="546"/>
      <c r="G5" s="546"/>
      <c r="H5" s="546"/>
      <c r="I5" s="546"/>
    </row>
    <row r="6" spans="1:11" ht="19.5" x14ac:dyDescent="0.4">
      <c r="A6" s="113" t="s">
        <v>43</v>
      </c>
      <c r="E6" s="543" t="s">
        <v>222</v>
      </c>
      <c r="F6" s="543"/>
      <c r="G6" s="543"/>
      <c r="H6" s="113" t="s">
        <v>42</v>
      </c>
      <c r="I6" s="111" t="s">
        <v>223</v>
      </c>
    </row>
    <row r="7" spans="1:11" ht="9.75" customHeight="1" x14ac:dyDescent="0.4">
      <c r="A7" s="113"/>
      <c r="E7" s="546" t="s">
        <v>41</v>
      </c>
      <c r="F7" s="546"/>
      <c r="G7" s="546"/>
      <c r="H7" s="546"/>
      <c r="I7" s="546"/>
    </row>
    <row r="8" spans="1:11" ht="19.5" x14ac:dyDescent="0.4">
      <c r="A8" s="113"/>
      <c r="E8" s="111"/>
      <c r="F8" s="111"/>
      <c r="G8" s="111"/>
      <c r="H8" s="112"/>
      <c r="I8" s="111"/>
    </row>
    <row r="9" spans="1:11" ht="19.5"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456"/>
      <c r="I14" s="457"/>
    </row>
    <row r="15" spans="1:11" ht="18.75" x14ac:dyDescent="0.4">
      <c r="A15" s="71" t="s">
        <v>32</v>
      </c>
      <c r="B15" s="71"/>
      <c r="C15" s="99"/>
      <c r="D15" s="98"/>
      <c r="E15" s="100"/>
      <c r="F15" s="100"/>
      <c r="G15" s="82"/>
      <c r="H15" s="66"/>
      <c r="I15" s="66"/>
    </row>
    <row r="16" spans="1:11" ht="19.5" x14ac:dyDescent="0.4">
      <c r="A16" s="85" t="s">
        <v>31</v>
      </c>
      <c r="B16" s="71"/>
      <c r="C16" s="99"/>
      <c r="D16" s="98"/>
      <c r="E16" s="78">
        <v>21003000</v>
      </c>
      <c r="F16" s="93">
        <v>21344000</v>
      </c>
      <c r="G16" s="90">
        <f>H16+I16</f>
        <v>20472605.369999994</v>
      </c>
      <c r="H16" s="78">
        <v>20472605.369999994</v>
      </c>
      <c r="I16" s="78">
        <v>0</v>
      </c>
    </row>
    <row r="17" spans="1:9" ht="14.25" x14ac:dyDescent="0.3">
      <c r="A17" s="97"/>
      <c r="B17" s="96"/>
      <c r="C17" s="96"/>
      <c r="D17" s="96"/>
      <c r="E17" s="95"/>
      <c r="F17" s="94"/>
    </row>
    <row r="18" spans="1:9" ht="19.5" x14ac:dyDescent="0.4">
      <c r="A18" s="85" t="s">
        <v>30</v>
      </c>
      <c r="B18" s="83"/>
      <c r="C18" s="83"/>
      <c r="D18" s="83"/>
      <c r="E18" s="78">
        <v>18987000</v>
      </c>
      <c r="F18" s="93">
        <v>20115000</v>
      </c>
      <c r="G18" s="90">
        <f>H18+I18</f>
        <v>20501826.34</v>
      </c>
      <c r="H18" s="78">
        <v>20501826.34</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7.5" customHeight="1" x14ac:dyDescent="0.25">
      <c r="A23" s="82"/>
      <c r="B23" s="80"/>
      <c r="C23" s="81"/>
      <c r="D23" s="80"/>
      <c r="E23" s="80"/>
      <c r="F23" s="80"/>
      <c r="G23" s="79"/>
      <c r="H23" s="78"/>
      <c r="I23" s="78"/>
    </row>
    <row r="24" spans="1:9" ht="22.5" x14ac:dyDescent="0.45">
      <c r="A24" s="76" t="s">
        <v>29</v>
      </c>
      <c r="B24" s="76"/>
      <c r="C24" s="77"/>
      <c r="D24" s="76"/>
      <c r="E24" s="76"/>
      <c r="F24" s="76"/>
      <c r="G24" s="459">
        <f>ROUND(G18-G16-G22,2)</f>
        <v>29220.97</v>
      </c>
      <c r="H24" s="75">
        <f>H18-H16</f>
        <v>29220.970000006258</v>
      </c>
      <c r="I24" s="75">
        <f>I18-I164</f>
        <v>0</v>
      </c>
    </row>
    <row r="26" spans="1:9" x14ac:dyDescent="0.2">
      <c r="H26" s="66"/>
    </row>
    <row r="28" spans="1:9" ht="19.5" x14ac:dyDescent="0.4">
      <c r="A28" s="43" t="s">
        <v>28</v>
      </c>
      <c r="B28" s="43" t="s">
        <v>27</v>
      </c>
      <c r="C28" s="43"/>
      <c r="D28" s="65"/>
      <c r="E28" s="65"/>
      <c r="F28" s="4"/>
      <c r="G28" s="460">
        <f>ROUND(G29+G30+G31,2)</f>
        <v>29220.97</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29220.970000006258</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11" x14ac:dyDescent="0.2">
      <c r="A33" s="545"/>
      <c r="B33" s="545"/>
      <c r="C33" s="545"/>
      <c r="D33" s="545"/>
      <c r="E33" s="545"/>
      <c r="F33" s="545"/>
      <c r="G33" s="545"/>
      <c r="H33" s="545"/>
      <c r="I33" s="545"/>
    </row>
    <row r="34" spans="1:11" x14ac:dyDescent="0.2">
      <c r="A34" s="545"/>
      <c r="B34" s="545"/>
      <c r="C34" s="545"/>
      <c r="D34" s="545"/>
      <c r="E34" s="545"/>
      <c r="F34" s="545"/>
      <c r="G34" s="545"/>
      <c r="H34" s="545"/>
      <c r="I34" s="545"/>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56">
        <f>12718000-40000</f>
        <v>12678000</v>
      </c>
      <c r="G37" s="56">
        <f>11426641-31542</f>
        <v>11395099</v>
      </c>
      <c r="H37" s="55"/>
      <c r="I37" s="54">
        <f>IF(F37=0,"nerozp.",G37/F37)</f>
        <v>0.89880888152705474</v>
      </c>
      <c r="J37" s="446"/>
      <c r="K37" s="461"/>
    </row>
    <row r="38" spans="1:11" ht="16.5" x14ac:dyDescent="0.35">
      <c r="A38" s="59" t="s">
        <v>17</v>
      </c>
      <c r="B38" s="58"/>
      <c r="C38" s="57"/>
      <c r="D38" s="60"/>
      <c r="E38" s="60"/>
      <c r="F38" s="56">
        <v>280000</v>
      </c>
      <c r="G38" s="56">
        <v>280203</v>
      </c>
      <c r="H38" s="55"/>
      <c r="I38" s="54">
        <f>IF(F38=0,"nerozp.",G38/F38)</f>
        <v>1.0007250000000001</v>
      </c>
      <c r="J38" s="447"/>
      <c r="K38" s="461"/>
    </row>
    <row r="39" spans="1:11" ht="16.5" x14ac:dyDescent="0.35">
      <c r="A39" s="59" t="s">
        <v>16</v>
      </c>
      <c r="B39" s="58"/>
      <c r="C39" s="57"/>
      <c r="D39" s="60"/>
      <c r="E39" s="60"/>
      <c r="F39" s="56">
        <v>0</v>
      </c>
      <c r="G39" s="56">
        <v>0</v>
      </c>
      <c r="H39" s="55"/>
      <c r="I39" s="54" t="str">
        <f>IF(F39=0,"nerozp.",G39/F39)</f>
        <v>nerozp.</v>
      </c>
    </row>
    <row r="40" spans="1:11" ht="16.5" x14ac:dyDescent="0.35">
      <c r="A40" s="59" t="s">
        <v>15</v>
      </c>
      <c r="B40" s="58"/>
      <c r="C40" s="57"/>
      <c r="D40" s="5"/>
      <c r="E40" s="5"/>
      <c r="F40" s="56">
        <v>245000</v>
      </c>
      <c r="G40" s="56">
        <v>245000</v>
      </c>
      <c r="H40" s="55"/>
      <c r="I40" s="54">
        <f>IF(F40=0,"nerozp.",G40/F40)</f>
        <v>1</v>
      </c>
    </row>
    <row r="41" spans="1:11" ht="16.5" x14ac:dyDescent="0.35">
      <c r="A41" s="59" t="s">
        <v>14</v>
      </c>
      <c r="B41" s="58"/>
      <c r="C41" s="57"/>
      <c r="D41" s="5"/>
      <c r="E41" s="5"/>
      <c r="F41" s="56">
        <v>0</v>
      </c>
      <c r="G41" s="56">
        <v>0</v>
      </c>
      <c r="H41" s="55"/>
      <c r="I41" s="54" t="str">
        <f>IF(F41=0,"nerozp.",G41/F41)</f>
        <v>nerozp.</v>
      </c>
    </row>
    <row r="42" spans="1:11" ht="14.25" x14ac:dyDescent="0.2">
      <c r="A42" s="53" t="s">
        <v>13</v>
      </c>
      <c r="B42" s="52" t="s">
        <v>315</v>
      </c>
      <c r="C42" s="51"/>
      <c r="D42" s="47"/>
      <c r="E42" s="47"/>
      <c r="F42" s="46"/>
      <c r="G42" s="46"/>
      <c r="H42" s="45"/>
      <c r="I42" s="44"/>
    </row>
    <row r="43" spans="1:11" ht="47.25" customHeight="1" x14ac:dyDescent="0.2">
      <c r="A43" s="50"/>
      <c r="B43" s="564" t="s">
        <v>317</v>
      </c>
      <c r="C43" s="565"/>
      <c r="D43" s="565"/>
      <c r="E43" s="565"/>
      <c r="F43" s="565"/>
      <c r="G43" s="565"/>
      <c r="H43" s="565"/>
      <c r="I43" s="565"/>
    </row>
    <row r="44" spans="1:11" ht="16.5"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7200</v>
      </c>
      <c r="F50" s="22">
        <v>0</v>
      </c>
      <c r="G50" s="21">
        <v>0</v>
      </c>
      <c r="H50" s="21">
        <f>E50+F50-G50</f>
        <v>7200</v>
      </c>
      <c r="I50" s="20">
        <v>7200</v>
      </c>
    </row>
    <row r="51" spans="1:9" x14ac:dyDescent="0.2">
      <c r="A51" s="19"/>
      <c r="B51" s="18"/>
      <c r="C51" s="18" t="s">
        <v>3</v>
      </c>
      <c r="D51" s="18"/>
      <c r="E51" s="464">
        <v>80033.2</v>
      </c>
      <c r="F51" s="17">
        <v>95494.000000000015</v>
      </c>
      <c r="G51" s="16">
        <v>131670</v>
      </c>
      <c r="H51" s="16">
        <f>E51+F51-G51</f>
        <v>43857.200000000012</v>
      </c>
      <c r="I51" s="15">
        <v>36283.5</v>
      </c>
    </row>
    <row r="52" spans="1:9" x14ac:dyDescent="0.2">
      <c r="A52" s="19"/>
      <c r="B52" s="18"/>
      <c r="C52" s="18" t="s">
        <v>2</v>
      </c>
      <c r="D52" s="18"/>
      <c r="E52" s="464">
        <v>732658.06</v>
      </c>
      <c r="F52" s="17">
        <v>289211.74</v>
      </c>
      <c r="G52" s="16">
        <v>0</v>
      </c>
      <c r="H52" s="16">
        <f>E52+F52-G52</f>
        <v>1021869.8</v>
      </c>
      <c r="I52" s="15">
        <v>1021869.8</v>
      </c>
    </row>
    <row r="53" spans="1:9" x14ac:dyDescent="0.2">
      <c r="A53" s="19"/>
      <c r="B53" s="18"/>
      <c r="C53" s="18" t="s">
        <v>1</v>
      </c>
      <c r="D53" s="18"/>
      <c r="E53" s="464">
        <v>79938.73</v>
      </c>
      <c r="F53" s="17">
        <v>289203</v>
      </c>
      <c r="G53" s="16">
        <v>357724</v>
      </c>
      <c r="H53" s="16">
        <f>E53+F53-G53</f>
        <v>11417.729999999981</v>
      </c>
      <c r="I53" s="15">
        <v>11417.73</v>
      </c>
    </row>
    <row r="54" spans="1:9" ht="18.75" thickBot="1" x14ac:dyDescent="0.4">
      <c r="A54" s="14" t="s">
        <v>0</v>
      </c>
      <c r="B54" s="13"/>
      <c r="C54" s="13"/>
      <c r="D54" s="13"/>
      <c r="E54" s="465">
        <f>SUM(E50:E53)</f>
        <v>899829.99</v>
      </c>
      <c r="F54" s="12">
        <f>SUM(F50:F53)</f>
        <v>673908.74</v>
      </c>
      <c r="G54" s="12">
        <f>SUM(G50:G53)</f>
        <v>489394</v>
      </c>
      <c r="H54" s="12">
        <f>SUM(H50:H53)</f>
        <v>1084344.73</v>
      </c>
      <c r="I54" s="11">
        <f>SUM(I50:I53)</f>
        <v>1076771.03</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A2:D2"/>
    <mergeCell ref="E3:I3"/>
    <mergeCell ref="E2:I2"/>
    <mergeCell ref="E5:I5"/>
    <mergeCell ref="E4:I4"/>
    <mergeCell ref="F47:F48"/>
    <mergeCell ref="E6:G6"/>
    <mergeCell ref="A32:I34"/>
    <mergeCell ref="E7:I7"/>
    <mergeCell ref="H13:I13"/>
    <mergeCell ref="H45:I45"/>
    <mergeCell ref="B43:I43"/>
  </mergeCells>
  <conditionalFormatting sqref="I44">
    <cfRule type="cellIs" dxfId="271" priority="9" stopIfTrue="1" operator="greaterThan">
      <formula>1</formula>
    </cfRule>
  </conditionalFormatting>
  <conditionalFormatting sqref="H50:H53">
    <cfRule type="cellIs" dxfId="270" priority="13" stopIfTrue="1" operator="notEqual">
      <formula>E50+F50-G50</formula>
    </cfRule>
  </conditionalFormatting>
  <conditionalFormatting sqref="I54">
    <cfRule type="cellIs" dxfId="269" priority="14" stopIfTrue="1" operator="notEqual">
      <formula>$I$50+$I$51+$I$52+$I$53</formula>
    </cfRule>
  </conditionalFormatting>
  <conditionalFormatting sqref="H54">
    <cfRule type="cellIs" dxfId="268" priority="15" stopIfTrue="1" operator="notEqual">
      <formula>E54+F54-G54</formula>
    </cfRule>
    <cfRule type="cellIs" dxfId="267" priority="16" stopIfTrue="1" operator="notEqual">
      <formula>SUM($H$50:$H$53)</formula>
    </cfRule>
  </conditionalFormatting>
  <conditionalFormatting sqref="G18 G16">
    <cfRule type="cellIs" dxfId="266" priority="17" stopIfTrue="1" operator="notEqual">
      <formula>H16+I16</formula>
    </cfRule>
  </conditionalFormatting>
  <conditionalFormatting sqref="G24">
    <cfRule type="cellIs" dxfId="265" priority="18" stopIfTrue="1" operator="notEqual">
      <formula>ROUND(H24+I24,2)</formula>
    </cfRule>
  </conditionalFormatting>
  <conditionalFormatting sqref="H24">
    <cfRule type="cellIs" dxfId="264" priority="19" stopIfTrue="1" operator="notEqual">
      <formula>$H$18-$H$16</formula>
    </cfRule>
  </conditionalFormatting>
  <conditionalFormatting sqref="I24">
    <cfRule type="cellIs" dxfId="263" priority="20" stopIfTrue="1" operator="notEqual">
      <formula>I18-I16</formula>
    </cfRule>
  </conditionalFormatting>
  <conditionalFormatting sqref="G23">
    <cfRule type="cellIs" dxfId="262" priority="7" stopIfTrue="1" operator="notEqual">
      <formula>ROUND(H23+I23,2)</formula>
    </cfRule>
  </conditionalFormatting>
  <conditionalFormatting sqref="G28">
    <cfRule type="cellIs" dxfId="261" priority="5" operator="notEqual">
      <formula>ROUND($G$24,2)</formula>
    </cfRule>
  </conditionalFormatting>
  <conditionalFormatting sqref="J37">
    <cfRule type="cellIs" dxfId="260" priority="3" operator="greaterThan">
      <formula>0</formula>
    </cfRule>
    <cfRule type="cellIs" dxfId="259" priority="4" operator="lessThan">
      <formula>0</formula>
    </cfRule>
  </conditionalFormatting>
  <conditionalFormatting sqref="J38">
    <cfRule type="cellIs" dxfId="258" priority="1" operator="greaterThan">
      <formula>0</formula>
    </cfRule>
    <cfRule type="cellIs" dxfId="257" priority="2" operator="lessThan">
      <formula>0</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9" ht="19.5" x14ac:dyDescent="0.4">
      <c r="A1" s="119" t="s">
        <v>47</v>
      </c>
      <c r="B1" s="118"/>
      <c r="C1" s="118"/>
      <c r="D1" s="118"/>
    </row>
    <row r="2" spans="1:9" ht="19.5" x14ac:dyDescent="0.4">
      <c r="A2" s="553" t="s">
        <v>46</v>
      </c>
      <c r="B2" s="553"/>
      <c r="C2" s="553"/>
      <c r="D2" s="553"/>
      <c r="E2" s="554" t="s">
        <v>224</v>
      </c>
      <c r="F2" s="543"/>
      <c r="G2" s="543"/>
      <c r="H2" s="543"/>
      <c r="I2" s="543"/>
    </row>
    <row r="3" spans="1:9" ht="12" customHeight="1" x14ac:dyDescent="0.4">
      <c r="A3" s="455"/>
      <c r="B3" s="455"/>
      <c r="C3" s="455"/>
      <c r="D3" s="455"/>
      <c r="E3" s="546" t="s">
        <v>44</v>
      </c>
      <c r="F3" s="546"/>
      <c r="G3" s="546"/>
      <c r="H3" s="546"/>
      <c r="I3" s="546"/>
    </row>
    <row r="4" spans="1:9" ht="15.75" x14ac:dyDescent="0.25">
      <c r="A4" s="115" t="s">
        <v>45</v>
      </c>
      <c r="E4" s="555" t="s">
        <v>225</v>
      </c>
      <c r="F4" s="555"/>
      <c r="G4" s="555"/>
      <c r="H4" s="555"/>
      <c r="I4" s="555"/>
    </row>
    <row r="5" spans="1:9" ht="9" customHeight="1" x14ac:dyDescent="0.25">
      <c r="A5" s="115"/>
      <c r="E5" s="546" t="s">
        <v>44</v>
      </c>
      <c r="F5" s="546"/>
      <c r="G5" s="546"/>
      <c r="H5" s="546"/>
      <c r="I5" s="546"/>
    </row>
    <row r="6" spans="1:9" ht="19.5" x14ac:dyDescent="0.4">
      <c r="A6" s="113" t="s">
        <v>43</v>
      </c>
      <c r="E6" s="543" t="s">
        <v>226</v>
      </c>
      <c r="F6" s="543"/>
      <c r="G6" s="543"/>
      <c r="H6" s="113" t="s">
        <v>42</v>
      </c>
      <c r="I6" s="111" t="s">
        <v>227</v>
      </c>
    </row>
    <row r="7" spans="1:9" ht="9.75" customHeight="1" x14ac:dyDescent="0.4">
      <c r="A7" s="113"/>
      <c r="E7" s="546" t="s">
        <v>41</v>
      </c>
      <c r="F7" s="546"/>
      <c r="G7" s="546"/>
      <c r="H7" s="546"/>
      <c r="I7" s="546"/>
    </row>
    <row r="8" spans="1:9" ht="19.5" x14ac:dyDescent="0.4">
      <c r="A8" s="113"/>
      <c r="E8" s="111"/>
      <c r="F8" s="111"/>
      <c r="G8" s="111"/>
      <c r="H8" s="112"/>
      <c r="I8" s="111"/>
    </row>
    <row r="9" spans="1:9" ht="19.5" x14ac:dyDescent="0.4">
      <c r="A9" s="113"/>
      <c r="E9" s="111"/>
      <c r="F9" s="111"/>
      <c r="G9" s="111"/>
      <c r="H9" s="112"/>
      <c r="I9" s="111"/>
    </row>
    <row r="11" spans="1:9" ht="18.75" x14ac:dyDescent="0.4">
      <c r="A11" s="110"/>
      <c r="B11" s="94"/>
      <c r="C11" s="94"/>
      <c r="D11" s="94"/>
      <c r="E11" s="104" t="s">
        <v>40</v>
      </c>
      <c r="F11" s="104" t="s">
        <v>39</v>
      </c>
      <c r="G11" s="107" t="s">
        <v>20</v>
      </c>
      <c r="H11" s="109" t="s">
        <v>38</v>
      </c>
      <c r="I11" s="108"/>
    </row>
    <row r="12" spans="1:9" ht="18.75" x14ac:dyDescent="0.4">
      <c r="A12" s="66"/>
      <c r="B12" s="66"/>
      <c r="C12" s="66"/>
      <c r="D12" s="66"/>
      <c r="E12" s="104" t="s">
        <v>37</v>
      </c>
      <c r="F12" s="104" t="s">
        <v>37</v>
      </c>
      <c r="G12" s="107" t="s">
        <v>36</v>
      </c>
      <c r="H12" s="106" t="s">
        <v>35</v>
      </c>
      <c r="I12" s="105" t="s">
        <v>34</v>
      </c>
    </row>
    <row r="13" spans="1:9" ht="15" x14ac:dyDescent="0.2">
      <c r="A13" s="66"/>
      <c r="B13" s="66"/>
      <c r="C13" s="66"/>
      <c r="D13" s="66"/>
      <c r="E13" s="104" t="s">
        <v>0</v>
      </c>
      <c r="F13" s="104" t="s">
        <v>0</v>
      </c>
      <c r="G13" s="103"/>
      <c r="H13" s="547" t="s">
        <v>33</v>
      </c>
      <c r="I13" s="548"/>
    </row>
    <row r="14" spans="1:9" ht="15" x14ac:dyDescent="0.2">
      <c r="A14" s="66"/>
      <c r="B14" s="66"/>
      <c r="C14" s="66"/>
      <c r="D14" s="66"/>
      <c r="E14" s="104"/>
      <c r="F14" s="104"/>
      <c r="G14" s="103"/>
      <c r="H14" s="456"/>
      <c r="I14" s="457"/>
    </row>
    <row r="15" spans="1:9" ht="18.75" x14ac:dyDescent="0.4">
      <c r="A15" s="71" t="s">
        <v>32</v>
      </c>
      <c r="B15" s="71"/>
      <c r="C15" s="99"/>
      <c r="D15" s="98"/>
      <c r="E15" s="100"/>
      <c r="F15" s="100"/>
      <c r="G15" s="82"/>
      <c r="H15" s="66"/>
      <c r="I15" s="66"/>
    </row>
    <row r="16" spans="1:9" ht="19.5" x14ac:dyDescent="0.4">
      <c r="A16" s="85" t="s">
        <v>31</v>
      </c>
      <c r="B16" s="71"/>
      <c r="C16" s="99"/>
      <c r="D16" s="98"/>
      <c r="E16" s="78">
        <v>59460000</v>
      </c>
      <c r="F16" s="93">
        <v>58890000</v>
      </c>
      <c r="G16" s="90">
        <f>H16+I16</f>
        <v>59327029.649999999</v>
      </c>
      <c r="H16" s="78">
        <v>59327029.649999999</v>
      </c>
      <c r="I16" s="78">
        <v>0</v>
      </c>
    </row>
    <row r="17" spans="1:9" ht="14.25" x14ac:dyDescent="0.3">
      <c r="A17" s="97"/>
      <c r="B17" s="96"/>
      <c r="C17" s="96"/>
      <c r="D17" s="96"/>
      <c r="E17" s="95"/>
      <c r="F17" s="94"/>
    </row>
    <row r="18" spans="1:9" ht="19.5" x14ac:dyDescent="0.4">
      <c r="A18" s="85" t="s">
        <v>30</v>
      </c>
      <c r="B18" s="83"/>
      <c r="C18" s="83"/>
      <c r="D18" s="83"/>
      <c r="E18" s="78">
        <v>55410000</v>
      </c>
      <c r="F18" s="93">
        <v>58885005</v>
      </c>
      <c r="G18" s="90">
        <f>H18+I18</f>
        <v>59575947.610000007</v>
      </c>
      <c r="H18" s="78">
        <v>59575947.610000007</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248917.96</v>
      </c>
      <c r="H24" s="75">
        <f>H18-H16</f>
        <v>248917.96000000834</v>
      </c>
      <c r="I24" s="75">
        <f>I18-I164</f>
        <v>0</v>
      </c>
    </row>
    <row r="26" spans="1:9" x14ac:dyDescent="0.2">
      <c r="H26" s="66"/>
    </row>
    <row r="28" spans="1:9" ht="19.5" x14ac:dyDescent="0.4">
      <c r="A28" s="43" t="s">
        <v>28</v>
      </c>
      <c r="B28" s="43" t="s">
        <v>27</v>
      </c>
      <c r="C28" s="43"/>
      <c r="D28" s="65"/>
      <c r="E28" s="65"/>
      <c r="F28" s="4"/>
      <c r="G28" s="460">
        <f>ROUND(G29+G30+G31,2)</f>
        <v>248917.96</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248917.96000000834</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9" x14ac:dyDescent="0.2">
      <c r="A33" s="545"/>
      <c r="B33" s="545"/>
      <c r="C33" s="545"/>
      <c r="D33" s="545"/>
      <c r="E33" s="545"/>
      <c r="F33" s="545"/>
      <c r="G33" s="545"/>
      <c r="H33" s="545"/>
      <c r="I33" s="545"/>
    </row>
    <row r="34" spans="1:9" x14ac:dyDescent="0.2">
      <c r="A34" s="545"/>
      <c r="B34" s="545"/>
      <c r="C34" s="545"/>
      <c r="D34" s="545"/>
      <c r="E34" s="545"/>
      <c r="F34" s="545"/>
      <c r="G34" s="545"/>
      <c r="H34" s="545"/>
      <c r="I34" s="545"/>
    </row>
    <row r="35" spans="1:9" ht="19.5" x14ac:dyDescent="0.4">
      <c r="A35" s="43" t="s">
        <v>23</v>
      </c>
      <c r="B35" s="43" t="s">
        <v>22</v>
      </c>
      <c r="C35" s="43"/>
      <c r="D35" s="63"/>
      <c r="E35" s="5"/>
      <c r="F35" s="65"/>
      <c r="G35" s="64"/>
      <c r="H35" s="4"/>
      <c r="I35" s="4"/>
    </row>
    <row r="36" spans="1:9" ht="18.75" x14ac:dyDescent="0.4">
      <c r="A36" s="43"/>
      <c r="B36" s="43"/>
      <c r="C36" s="43"/>
      <c r="D36" s="63"/>
      <c r="F36" s="9" t="s">
        <v>21</v>
      </c>
      <c r="G36" s="62" t="s">
        <v>20</v>
      </c>
      <c r="H36" s="4"/>
      <c r="I36" s="61" t="s">
        <v>19</v>
      </c>
    </row>
    <row r="37" spans="1:9" ht="16.5" x14ac:dyDescent="0.35">
      <c r="A37" s="59" t="s">
        <v>18</v>
      </c>
      <c r="B37" s="58"/>
      <c r="C37" s="57"/>
      <c r="D37" s="58"/>
      <c r="E37" s="5"/>
      <c r="F37" s="56">
        <f>30187000-277000</f>
        <v>29910000</v>
      </c>
      <c r="G37" s="56">
        <f>29449773-239060</f>
        <v>29210713</v>
      </c>
      <c r="H37" s="55"/>
      <c r="I37" s="54">
        <f>IF(F37=0,"nerozp.",G37/F37)</f>
        <v>0.97662029421598129</v>
      </c>
    </row>
    <row r="38" spans="1:9" ht="16.5" x14ac:dyDescent="0.35">
      <c r="A38" s="59" t="s">
        <v>17</v>
      </c>
      <c r="B38" s="58"/>
      <c r="C38" s="57"/>
      <c r="D38" s="60"/>
      <c r="E38" s="60"/>
      <c r="F38" s="56">
        <v>1754000</v>
      </c>
      <c r="G38" s="56">
        <v>1754976.32</v>
      </c>
      <c r="H38" s="55"/>
      <c r="I38" s="54">
        <f>IF(F38=0,"nerozp.",G38/F38)</f>
        <v>1.0005566248574687</v>
      </c>
    </row>
    <row r="39" spans="1:9" ht="16.5" x14ac:dyDescent="0.35">
      <c r="A39" s="59" t="s">
        <v>16</v>
      </c>
      <c r="B39" s="58"/>
      <c r="C39" s="57"/>
      <c r="D39" s="60"/>
      <c r="E39" s="60"/>
      <c r="F39" s="56">
        <v>0</v>
      </c>
      <c r="G39" s="56">
        <v>0</v>
      </c>
      <c r="H39" s="55"/>
      <c r="I39" s="54" t="str">
        <f>IF(F39=0,"nerozp.",G39/F39)</f>
        <v>nerozp.</v>
      </c>
    </row>
    <row r="40" spans="1:9" ht="16.5" x14ac:dyDescent="0.35">
      <c r="A40" s="59" t="s">
        <v>15</v>
      </c>
      <c r="B40" s="58"/>
      <c r="C40" s="57"/>
      <c r="D40" s="5"/>
      <c r="E40" s="5"/>
      <c r="F40" s="56">
        <v>1320000</v>
      </c>
      <c r="G40" s="56">
        <v>1320000</v>
      </c>
      <c r="H40" s="55"/>
      <c r="I40" s="54">
        <f>IF(F40=0,"nerozp.",G40/F40)</f>
        <v>1</v>
      </c>
    </row>
    <row r="41" spans="1:9" ht="16.5" x14ac:dyDescent="0.35">
      <c r="A41" s="59" t="s">
        <v>14</v>
      </c>
      <c r="B41" s="58"/>
      <c r="C41" s="57"/>
      <c r="D41" s="5"/>
      <c r="E41" s="5"/>
      <c r="F41" s="56">
        <v>0</v>
      </c>
      <c r="G41" s="56">
        <v>0</v>
      </c>
      <c r="H41" s="55"/>
      <c r="I41" s="54" t="str">
        <f>IF(F41=0,"nerozp.",G41/F41)</f>
        <v>nerozp.</v>
      </c>
    </row>
    <row r="42" spans="1:9" ht="14.25" x14ac:dyDescent="0.2">
      <c r="A42" s="53" t="s">
        <v>13</v>
      </c>
      <c r="B42" s="52" t="s">
        <v>316</v>
      </c>
      <c r="C42" s="51"/>
      <c r="D42" s="47"/>
      <c r="E42" s="47"/>
      <c r="F42" s="46"/>
      <c r="G42" s="46"/>
      <c r="H42" s="45"/>
      <c r="I42" s="44"/>
    </row>
    <row r="43" spans="1:9" ht="27" customHeight="1" x14ac:dyDescent="0.2">
      <c r="A43" s="50"/>
      <c r="B43" s="566" t="s">
        <v>318</v>
      </c>
      <c r="C43" s="567"/>
      <c r="D43" s="567"/>
      <c r="E43" s="567"/>
      <c r="F43" s="567"/>
      <c r="G43" s="567"/>
      <c r="H43" s="567"/>
      <c r="I43" s="567"/>
    </row>
    <row r="44" spans="1:9" ht="16.5" x14ac:dyDescent="0.35">
      <c r="A44" s="50"/>
      <c r="B44" s="49"/>
      <c r="C44" s="48"/>
      <c r="D44" s="47"/>
      <c r="E44" s="47"/>
      <c r="F44" s="46"/>
      <c r="G44" s="46"/>
      <c r="H44" s="45"/>
      <c r="I44" s="44"/>
    </row>
    <row r="45" spans="1:9" ht="19.5" thickBot="1" x14ac:dyDescent="0.45">
      <c r="A45" s="43" t="s">
        <v>12</v>
      </c>
      <c r="B45" s="43" t="s">
        <v>11</v>
      </c>
      <c r="C45" s="42"/>
      <c r="D45" s="5"/>
      <c r="E45" s="5"/>
      <c r="F45" s="4"/>
      <c r="G45" s="10"/>
      <c r="H45" s="549" t="s">
        <v>10</v>
      </c>
      <c r="I45" s="550"/>
    </row>
    <row r="46" spans="1:9" ht="18.75" thickTop="1" x14ac:dyDescent="0.35">
      <c r="A46" s="41"/>
      <c r="B46" s="39"/>
      <c r="C46" s="40"/>
      <c r="D46" s="39"/>
      <c r="E46" s="38" t="s">
        <v>9</v>
      </c>
      <c r="F46" s="37" t="s">
        <v>8</v>
      </c>
      <c r="G46" s="37" t="s">
        <v>7</v>
      </c>
      <c r="H46" s="36" t="s">
        <v>6</v>
      </c>
      <c r="I46" s="35" t="s">
        <v>5</v>
      </c>
    </row>
    <row r="47" spans="1:9" x14ac:dyDescent="0.2">
      <c r="A47" s="31"/>
      <c r="B47" s="4"/>
      <c r="C47" s="4"/>
      <c r="D47" s="4"/>
      <c r="E47" s="31"/>
      <c r="F47" s="542"/>
      <c r="G47" s="34"/>
      <c r="H47" s="33">
        <v>41274</v>
      </c>
      <c r="I47" s="32">
        <v>41274</v>
      </c>
    </row>
    <row r="48" spans="1:9"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116200</v>
      </c>
      <c r="F50" s="22">
        <v>0</v>
      </c>
      <c r="G50" s="21">
        <v>0</v>
      </c>
      <c r="H50" s="21">
        <f>E50+F50-G50</f>
        <v>116200</v>
      </c>
      <c r="I50" s="20">
        <v>116200</v>
      </c>
    </row>
    <row r="51" spans="1:9" x14ac:dyDescent="0.2">
      <c r="A51" s="19"/>
      <c r="B51" s="18"/>
      <c r="C51" s="18" t="s">
        <v>3</v>
      </c>
      <c r="D51" s="18"/>
      <c r="E51" s="464">
        <v>860003.33</v>
      </c>
      <c r="F51" s="17">
        <v>293958.00000000012</v>
      </c>
      <c r="G51" s="16">
        <v>397611.6</v>
      </c>
      <c r="H51" s="16">
        <f>E51+F51-G51</f>
        <v>756349.7300000001</v>
      </c>
      <c r="I51" s="15">
        <v>619495.93000000005</v>
      </c>
    </row>
    <row r="52" spans="1:9" x14ac:dyDescent="0.2">
      <c r="A52" s="19"/>
      <c r="B52" s="18"/>
      <c r="C52" s="18" t="s">
        <v>2</v>
      </c>
      <c r="D52" s="18"/>
      <c r="E52" s="464">
        <v>184487.51</v>
      </c>
      <c r="F52" s="17">
        <v>52694.68</v>
      </c>
      <c r="G52" s="16">
        <v>14480</v>
      </c>
      <c r="H52" s="16">
        <f>E52+F52-G52</f>
        <v>222702.19</v>
      </c>
      <c r="I52" s="15">
        <v>222702.19</v>
      </c>
    </row>
    <row r="53" spans="1:9" x14ac:dyDescent="0.2">
      <c r="A53" s="19"/>
      <c r="B53" s="18"/>
      <c r="C53" s="18" t="s">
        <v>1</v>
      </c>
      <c r="D53" s="18"/>
      <c r="E53" s="464">
        <v>103102.3</v>
      </c>
      <c r="F53" s="17">
        <v>3671736.3200000003</v>
      </c>
      <c r="G53" s="16">
        <v>3536760</v>
      </c>
      <c r="H53" s="16">
        <f>E53+F53-G53</f>
        <v>238078.62000000011</v>
      </c>
      <c r="I53" s="15">
        <v>238078.62</v>
      </c>
    </row>
    <row r="54" spans="1:9" ht="18.75" thickBot="1" x14ac:dyDescent="0.4">
      <c r="A54" s="14" t="s">
        <v>0</v>
      </c>
      <c r="B54" s="13"/>
      <c r="C54" s="13"/>
      <c r="D54" s="13"/>
      <c r="E54" s="465">
        <f>SUM(E50:E53)</f>
        <v>1263793.1399999999</v>
      </c>
      <c r="F54" s="12">
        <f>SUM(F50:F53)</f>
        <v>4018389.0000000005</v>
      </c>
      <c r="G54" s="12">
        <f>SUM(G50:G53)</f>
        <v>3948851.6</v>
      </c>
      <c r="H54" s="12">
        <f>SUM(H50:H53)</f>
        <v>1333330.5400000003</v>
      </c>
      <c r="I54" s="11">
        <f>SUM(I50:I53)</f>
        <v>1196476.7400000002</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A2:D2"/>
    <mergeCell ref="E3:I3"/>
    <mergeCell ref="E2:I2"/>
    <mergeCell ref="E5:I5"/>
    <mergeCell ref="E4:I4"/>
    <mergeCell ref="F47:F48"/>
    <mergeCell ref="E6:G6"/>
    <mergeCell ref="A32:I34"/>
    <mergeCell ref="E7:I7"/>
    <mergeCell ref="H13:I13"/>
    <mergeCell ref="H45:I45"/>
    <mergeCell ref="B43:I43"/>
  </mergeCells>
  <conditionalFormatting sqref="I42 I44">
    <cfRule type="cellIs" dxfId="256" priority="9" stopIfTrue="1" operator="greaterThan">
      <formula>1</formula>
    </cfRule>
  </conditionalFormatting>
  <conditionalFormatting sqref="H50:H53">
    <cfRule type="cellIs" dxfId="255" priority="13" stopIfTrue="1" operator="notEqual">
      <formula>E50+F50-G50</formula>
    </cfRule>
  </conditionalFormatting>
  <conditionalFormatting sqref="I54">
    <cfRule type="cellIs" dxfId="254" priority="14" stopIfTrue="1" operator="notEqual">
      <formula>$I$50+$I$51+$I$52+$I$53</formula>
    </cfRule>
  </conditionalFormatting>
  <conditionalFormatting sqref="H54">
    <cfRule type="cellIs" dxfId="253" priority="15" stopIfTrue="1" operator="notEqual">
      <formula>E54+F54-G54</formula>
    </cfRule>
    <cfRule type="cellIs" dxfId="252" priority="16" stopIfTrue="1" operator="notEqual">
      <formula>SUM($H$50:$H$53)</formula>
    </cfRule>
  </conditionalFormatting>
  <conditionalFormatting sqref="G18 G16">
    <cfRule type="cellIs" dxfId="251" priority="17" stopIfTrue="1" operator="notEqual">
      <formula>H16+I16</formula>
    </cfRule>
  </conditionalFormatting>
  <conditionalFormatting sqref="G24">
    <cfRule type="cellIs" dxfId="250" priority="18" stopIfTrue="1" operator="notEqual">
      <formula>ROUND(H24+I24,2)</formula>
    </cfRule>
  </conditionalFormatting>
  <conditionalFormatting sqref="H24">
    <cfRule type="cellIs" dxfId="249" priority="19" stopIfTrue="1" operator="notEqual">
      <formula>$H$18-$H$16</formula>
    </cfRule>
  </conditionalFormatting>
  <conditionalFormatting sqref="I24">
    <cfRule type="cellIs" dxfId="248" priority="20" stopIfTrue="1" operator="notEqual">
      <formula>I18-I16</formula>
    </cfRule>
  </conditionalFormatting>
  <conditionalFormatting sqref="G23">
    <cfRule type="cellIs" dxfId="247" priority="7" stopIfTrue="1" operator="notEqual">
      <formula>ROUND(H23+I23,2)</formula>
    </cfRule>
  </conditionalFormatting>
  <conditionalFormatting sqref="G28">
    <cfRule type="cellIs" dxfId="246" priority="5" operator="notEqual">
      <formula>ROUND($G$24,2)</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9" ht="19.5" x14ac:dyDescent="0.4">
      <c r="A1" s="119" t="s">
        <v>47</v>
      </c>
      <c r="B1" s="118"/>
      <c r="C1" s="118"/>
      <c r="D1" s="118"/>
    </row>
    <row r="2" spans="1:9" ht="19.5" x14ac:dyDescent="0.4">
      <c r="A2" s="553" t="s">
        <v>46</v>
      </c>
      <c r="B2" s="553"/>
      <c r="C2" s="553"/>
      <c r="D2" s="553"/>
      <c r="E2" s="554" t="s">
        <v>113</v>
      </c>
      <c r="F2" s="543"/>
      <c r="G2" s="543"/>
      <c r="H2" s="543"/>
      <c r="I2" s="543"/>
    </row>
    <row r="3" spans="1:9" ht="12" customHeight="1" x14ac:dyDescent="0.4">
      <c r="A3" s="455"/>
      <c r="B3" s="455"/>
      <c r="C3" s="455"/>
      <c r="D3" s="455"/>
      <c r="E3" s="546" t="s">
        <v>44</v>
      </c>
      <c r="F3" s="546"/>
      <c r="G3" s="546"/>
      <c r="H3" s="546"/>
      <c r="I3" s="546"/>
    </row>
    <row r="4" spans="1:9" ht="15.75" x14ac:dyDescent="0.25">
      <c r="A4" s="115" t="s">
        <v>45</v>
      </c>
      <c r="E4" s="555" t="s">
        <v>228</v>
      </c>
      <c r="F4" s="555"/>
      <c r="G4" s="555"/>
      <c r="H4" s="555"/>
      <c r="I4" s="555"/>
    </row>
    <row r="5" spans="1:9" ht="9" customHeight="1" x14ac:dyDescent="0.25">
      <c r="A5" s="115"/>
      <c r="E5" s="546" t="s">
        <v>44</v>
      </c>
      <c r="F5" s="546"/>
      <c r="G5" s="546"/>
      <c r="H5" s="546"/>
      <c r="I5" s="546"/>
    </row>
    <row r="6" spans="1:9" ht="19.5" x14ac:dyDescent="0.4">
      <c r="A6" s="113" t="s">
        <v>43</v>
      </c>
      <c r="E6" s="543" t="s">
        <v>229</v>
      </c>
      <c r="F6" s="543"/>
      <c r="G6" s="543"/>
      <c r="H6" s="113" t="s">
        <v>42</v>
      </c>
      <c r="I6" s="111" t="s">
        <v>230</v>
      </c>
    </row>
    <row r="7" spans="1:9" ht="9.75" customHeight="1" x14ac:dyDescent="0.4">
      <c r="A7" s="113"/>
      <c r="E7" s="546" t="s">
        <v>41</v>
      </c>
      <c r="F7" s="546"/>
      <c r="G7" s="546"/>
      <c r="H7" s="546"/>
      <c r="I7" s="546"/>
    </row>
    <row r="8" spans="1:9" ht="19.5" x14ac:dyDescent="0.4">
      <c r="A8" s="113"/>
      <c r="E8" s="111"/>
      <c r="F8" s="111"/>
      <c r="G8" s="111"/>
      <c r="H8" s="112"/>
      <c r="I8" s="111"/>
    </row>
    <row r="9" spans="1:9" ht="19.5" x14ac:dyDescent="0.4">
      <c r="A9" s="113"/>
      <c r="E9" s="111"/>
      <c r="F9" s="111"/>
      <c r="G9" s="111"/>
      <c r="H9" s="112"/>
      <c r="I9" s="111"/>
    </row>
    <row r="11" spans="1:9" ht="18.75" x14ac:dyDescent="0.4">
      <c r="A11" s="110"/>
      <c r="B11" s="94"/>
      <c r="C11" s="94"/>
      <c r="D11" s="94"/>
      <c r="E11" s="104" t="s">
        <v>40</v>
      </c>
      <c r="F11" s="104" t="s">
        <v>39</v>
      </c>
      <c r="G11" s="107" t="s">
        <v>20</v>
      </c>
      <c r="H11" s="109" t="s">
        <v>38</v>
      </c>
      <c r="I11" s="108"/>
    </row>
    <row r="12" spans="1:9" ht="18.75" x14ac:dyDescent="0.4">
      <c r="A12" s="66"/>
      <c r="B12" s="66"/>
      <c r="C12" s="66"/>
      <c r="D12" s="66"/>
      <c r="E12" s="104" t="s">
        <v>37</v>
      </c>
      <c r="F12" s="104" t="s">
        <v>37</v>
      </c>
      <c r="G12" s="107" t="s">
        <v>36</v>
      </c>
      <c r="H12" s="106" t="s">
        <v>35</v>
      </c>
      <c r="I12" s="105" t="s">
        <v>34</v>
      </c>
    </row>
    <row r="13" spans="1:9" ht="15" x14ac:dyDescent="0.2">
      <c r="A13" s="66"/>
      <c r="B13" s="66"/>
      <c r="C13" s="66"/>
      <c r="D13" s="66"/>
      <c r="E13" s="104" t="s">
        <v>0</v>
      </c>
      <c r="F13" s="104" t="s">
        <v>0</v>
      </c>
      <c r="G13" s="103"/>
      <c r="H13" s="547" t="s">
        <v>33</v>
      </c>
      <c r="I13" s="548"/>
    </row>
    <row r="14" spans="1:9" ht="15" x14ac:dyDescent="0.2">
      <c r="A14" s="66"/>
      <c r="B14" s="66"/>
      <c r="C14" s="66"/>
      <c r="D14" s="66"/>
      <c r="E14" s="104"/>
      <c r="F14" s="104"/>
      <c r="G14" s="103"/>
      <c r="H14" s="456"/>
      <c r="I14" s="457"/>
    </row>
    <row r="15" spans="1:9" ht="18.75" x14ac:dyDescent="0.4">
      <c r="A15" s="71" t="s">
        <v>32</v>
      </c>
      <c r="B15" s="71"/>
      <c r="C15" s="99"/>
      <c r="D15" s="98"/>
      <c r="E15" s="100"/>
      <c r="F15" s="100"/>
      <c r="G15" s="82"/>
      <c r="H15" s="66"/>
      <c r="I15" s="66"/>
    </row>
    <row r="16" spans="1:9" ht="19.5" x14ac:dyDescent="0.4">
      <c r="A16" s="85" t="s">
        <v>31</v>
      </c>
      <c r="B16" s="71"/>
      <c r="C16" s="99"/>
      <c r="D16" s="98"/>
      <c r="E16" s="78">
        <v>22460000</v>
      </c>
      <c r="F16" s="93">
        <v>22518000</v>
      </c>
      <c r="G16" s="90">
        <f>H16+I16</f>
        <v>22692114.109999996</v>
      </c>
      <c r="H16" s="78">
        <v>22692114.109999996</v>
      </c>
      <c r="I16" s="78">
        <v>0</v>
      </c>
    </row>
    <row r="17" spans="1:9" ht="14.25" x14ac:dyDescent="0.3">
      <c r="A17" s="97"/>
      <c r="B17" s="96"/>
      <c r="C17" s="96"/>
      <c r="D17" s="96"/>
      <c r="E17" s="95"/>
      <c r="F17" s="94"/>
    </row>
    <row r="18" spans="1:9" ht="19.5" x14ac:dyDescent="0.4">
      <c r="A18" s="85" t="s">
        <v>30</v>
      </c>
      <c r="B18" s="83"/>
      <c r="C18" s="83"/>
      <c r="D18" s="83"/>
      <c r="E18" s="78">
        <v>19078000</v>
      </c>
      <c r="F18" s="93">
        <v>22454000</v>
      </c>
      <c r="G18" s="90">
        <f>H18+I18</f>
        <v>22721533.59</v>
      </c>
      <c r="H18" s="78">
        <v>22721533.59</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29419.48</v>
      </c>
      <c r="H24" s="75">
        <f>H18-H16</f>
        <v>29419.480000004172</v>
      </c>
      <c r="I24" s="75">
        <f>I18-I164</f>
        <v>0</v>
      </c>
    </row>
    <row r="26" spans="1:9" x14ac:dyDescent="0.2">
      <c r="H26" s="66"/>
    </row>
    <row r="28" spans="1:9" ht="19.5" x14ac:dyDescent="0.4">
      <c r="A28" s="43" t="s">
        <v>28</v>
      </c>
      <c r="B28" s="43" t="s">
        <v>27</v>
      </c>
      <c r="C28" s="43"/>
      <c r="D28" s="65"/>
      <c r="E28" s="65"/>
      <c r="F28" s="4"/>
      <c r="G28" s="460">
        <f>ROUND(G29+G30+G31,2)</f>
        <v>29419.48</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29419.480000004172</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9" x14ac:dyDescent="0.2">
      <c r="A33" s="545"/>
      <c r="B33" s="545"/>
      <c r="C33" s="545"/>
      <c r="D33" s="545"/>
      <c r="E33" s="545"/>
      <c r="F33" s="545"/>
      <c r="G33" s="545"/>
      <c r="H33" s="545"/>
      <c r="I33" s="545"/>
    </row>
    <row r="34" spans="1:9" x14ac:dyDescent="0.2">
      <c r="A34" s="545"/>
      <c r="B34" s="545"/>
      <c r="C34" s="545"/>
      <c r="D34" s="545"/>
      <c r="E34" s="545"/>
      <c r="F34" s="545"/>
      <c r="G34" s="545"/>
      <c r="H34" s="545"/>
      <c r="I34" s="545"/>
    </row>
    <row r="35" spans="1:9" ht="19.5" x14ac:dyDescent="0.4">
      <c r="A35" s="43" t="s">
        <v>23</v>
      </c>
      <c r="B35" s="43" t="s">
        <v>22</v>
      </c>
      <c r="C35" s="43"/>
      <c r="D35" s="63"/>
      <c r="E35" s="5"/>
      <c r="F35" s="65"/>
      <c r="G35" s="64"/>
      <c r="H35" s="4"/>
      <c r="I35" s="4"/>
    </row>
    <row r="36" spans="1:9" ht="18.75" x14ac:dyDescent="0.4">
      <c r="A36" s="43"/>
      <c r="B36" s="43"/>
      <c r="C36" s="43"/>
      <c r="D36" s="63"/>
      <c r="F36" s="9" t="s">
        <v>21</v>
      </c>
      <c r="G36" s="62" t="s">
        <v>20</v>
      </c>
      <c r="H36" s="4"/>
      <c r="I36" s="61" t="s">
        <v>19</v>
      </c>
    </row>
    <row r="37" spans="1:9" ht="16.5" x14ac:dyDescent="0.35">
      <c r="A37" s="59" t="s">
        <v>18</v>
      </c>
      <c r="B37" s="58"/>
      <c r="C37" s="57"/>
      <c r="D37" s="58"/>
      <c r="E37" s="5"/>
      <c r="F37" s="56">
        <f>10527000-50000</f>
        <v>10477000</v>
      </c>
      <c r="G37" s="56">
        <f>10555344-78344</f>
        <v>10477000</v>
      </c>
      <c r="H37" s="55"/>
      <c r="I37" s="54">
        <f>IF(F37=0,"nerozp.",G37/F37)</f>
        <v>1</v>
      </c>
    </row>
    <row r="38" spans="1:9" ht="16.5" x14ac:dyDescent="0.35">
      <c r="A38" s="59" t="s">
        <v>17</v>
      </c>
      <c r="B38" s="58"/>
      <c r="C38" s="57"/>
      <c r="D38" s="60"/>
      <c r="E38" s="60"/>
      <c r="F38" s="56">
        <v>203000</v>
      </c>
      <c r="G38" s="56">
        <v>203635.62</v>
      </c>
      <c r="H38" s="55"/>
      <c r="I38" s="54">
        <f>IF(F38=0,"nerozp.",G38/F38)</f>
        <v>1.0031311330049262</v>
      </c>
    </row>
    <row r="39" spans="1:9" ht="16.5" x14ac:dyDescent="0.35">
      <c r="A39" s="59" t="s">
        <v>16</v>
      </c>
      <c r="B39" s="58"/>
      <c r="C39" s="57"/>
      <c r="D39" s="60"/>
      <c r="E39" s="60"/>
      <c r="F39" s="56">
        <v>0</v>
      </c>
      <c r="G39" s="56">
        <v>0</v>
      </c>
      <c r="H39" s="55"/>
      <c r="I39" s="54" t="str">
        <f>IF(F39=0,"nerozp.",G39/F39)</f>
        <v>nerozp.</v>
      </c>
    </row>
    <row r="40" spans="1:9" ht="16.5" x14ac:dyDescent="0.35">
      <c r="A40" s="59" t="s">
        <v>15</v>
      </c>
      <c r="B40" s="58"/>
      <c r="C40" s="57"/>
      <c r="D40" s="5"/>
      <c r="E40" s="5"/>
      <c r="F40" s="56">
        <v>167000</v>
      </c>
      <c r="G40" s="56">
        <v>167000</v>
      </c>
      <c r="H40" s="55"/>
      <c r="I40" s="54">
        <f>IF(F40=0,"nerozp.",G40/F40)</f>
        <v>1</v>
      </c>
    </row>
    <row r="41" spans="1:9" ht="16.5" x14ac:dyDescent="0.35">
      <c r="A41" s="59" t="s">
        <v>14</v>
      </c>
      <c r="B41" s="58"/>
      <c r="C41" s="57"/>
      <c r="D41" s="5"/>
      <c r="E41" s="5"/>
      <c r="F41" s="56">
        <v>0</v>
      </c>
      <c r="G41" s="56">
        <v>0</v>
      </c>
      <c r="H41" s="55"/>
      <c r="I41" s="54" t="str">
        <f>IF(F41=0,"nerozp.",G41/F41)</f>
        <v>nerozp.</v>
      </c>
    </row>
    <row r="42" spans="1:9" ht="14.25" x14ac:dyDescent="0.2">
      <c r="A42" s="53" t="s">
        <v>13</v>
      </c>
      <c r="B42" s="52" t="s">
        <v>350</v>
      </c>
      <c r="C42" s="51"/>
      <c r="D42" s="47"/>
      <c r="E42" s="47"/>
      <c r="F42" s="46"/>
      <c r="G42" s="46"/>
      <c r="H42" s="45"/>
      <c r="I42" s="44"/>
    </row>
    <row r="43" spans="1:9" ht="16.5" x14ac:dyDescent="0.35">
      <c r="A43" s="50"/>
      <c r="B43" s="49"/>
      <c r="C43" s="48"/>
      <c r="D43" s="47"/>
      <c r="E43" s="47"/>
      <c r="F43" s="46"/>
      <c r="G43" s="46"/>
      <c r="H43" s="45"/>
      <c r="I43" s="44"/>
    </row>
    <row r="44" spans="1:9" ht="16.5" x14ac:dyDescent="0.35">
      <c r="A44" s="50"/>
      <c r="B44" s="49"/>
      <c r="C44" s="48"/>
      <c r="D44" s="47"/>
      <c r="E44" s="47"/>
      <c r="F44" s="46"/>
      <c r="G44" s="46"/>
      <c r="H44" s="45"/>
      <c r="I44" s="44"/>
    </row>
    <row r="45" spans="1:9" ht="19.5" thickBot="1" x14ac:dyDescent="0.45">
      <c r="A45" s="43" t="s">
        <v>12</v>
      </c>
      <c r="B45" s="43" t="s">
        <v>11</v>
      </c>
      <c r="C45" s="42"/>
      <c r="D45" s="5"/>
      <c r="E45" s="5"/>
      <c r="F45" s="4"/>
      <c r="G45" s="10"/>
      <c r="H45" s="549" t="s">
        <v>10</v>
      </c>
      <c r="I45" s="550"/>
    </row>
    <row r="46" spans="1:9" ht="18.75" thickTop="1" x14ac:dyDescent="0.35">
      <c r="A46" s="41"/>
      <c r="B46" s="39"/>
      <c r="C46" s="40"/>
      <c r="D46" s="39"/>
      <c r="E46" s="38" t="s">
        <v>9</v>
      </c>
      <c r="F46" s="37" t="s">
        <v>8</v>
      </c>
      <c r="G46" s="37" t="s">
        <v>7</v>
      </c>
      <c r="H46" s="36" t="s">
        <v>6</v>
      </c>
      <c r="I46" s="35" t="s">
        <v>5</v>
      </c>
    </row>
    <row r="47" spans="1:9" x14ac:dyDescent="0.2">
      <c r="A47" s="31"/>
      <c r="B47" s="4"/>
      <c r="C47" s="4"/>
      <c r="D47" s="4"/>
      <c r="E47" s="31"/>
      <c r="F47" s="542"/>
      <c r="G47" s="34"/>
      <c r="H47" s="33">
        <v>41274</v>
      </c>
      <c r="I47" s="32">
        <v>41274</v>
      </c>
    </row>
    <row r="48" spans="1:9"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25000</v>
      </c>
      <c r="F50" s="22">
        <v>0</v>
      </c>
      <c r="G50" s="21">
        <v>0</v>
      </c>
      <c r="H50" s="21">
        <f>E50+F50-G50</f>
        <v>25000</v>
      </c>
      <c r="I50" s="20">
        <v>25000</v>
      </c>
    </row>
    <row r="51" spans="1:9" x14ac:dyDescent="0.2">
      <c r="A51" s="19"/>
      <c r="B51" s="18"/>
      <c r="C51" s="18" t="s">
        <v>3</v>
      </c>
      <c r="D51" s="18"/>
      <c r="E51" s="464">
        <v>162473.01</v>
      </c>
      <c r="F51" s="17">
        <v>105253.44</v>
      </c>
      <c r="G51" s="16">
        <v>162438</v>
      </c>
      <c r="H51" s="16">
        <f>E51+F51-G51</f>
        <v>105288.45000000001</v>
      </c>
      <c r="I51" s="15">
        <v>101120.86</v>
      </c>
    </row>
    <row r="52" spans="1:9" x14ac:dyDescent="0.2">
      <c r="A52" s="19"/>
      <c r="B52" s="18"/>
      <c r="C52" s="18" t="s">
        <v>2</v>
      </c>
      <c r="D52" s="18"/>
      <c r="E52" s="464">
        <v>166554.73000000001</v>
      </c>
      <c r="F52" s="17">
        <v>29037.670000000027</v>
      </c>
      <c r="G52" s="16">
        <v>59023</v>
      </c>
      <c r="H52" s="16">
        <f>E52+F52-G52</f>
        <v>136569.40000000002</v>
      </c>
      <c r="I52" s="15">
        <v>136569.4</v>
      </c>
    </row>
    <row r="53" spans="1:9" x14ac:dyDescent="0.2">
      <c r="A53" s="19"/>
      <c r="B53" s="18"/>
      <c r="C53" s="18" t="s">
        <v>1</v>
      </c>
      <c r="D53" s="18"/>
      <c r="E53" s="464">
        <v>71763.08</v>
      </c>
      <c r="F53" s="17">
        <v>353635.61999999994</v>
      </c>
      <c r="G53" s="16">
        <v>416660</v>
      </c>
      <c r="H53" s="16">
        <f>E53+F53-G53</f>
        <v>8738.6999999999534</v>
      </c>
      <c r="I53" s="15">
        <v>8738.7000000000007</v>
      </c>
    </row>
    <row r="54" spans="1:9" ht="18.75" thickBot="1" x14ac:dyDescent="0.4">
      <c r="A54" s="14" t="s">
        <v>0</v>
      </c>
      <c r="B54" s="13"/>
      <c r="C54" s="13"/>
      <c r="D54" s="13"/>
      <c r="E54" s="465">
        <f>SUM(E50:E53)</f>
        <v>425790.82</v>
      </c>
      <c r="F54" s="12">
        <f>SUM(F50:F53)</f>
        <v>487926.73</v>
      </c>
      <c r="G54" s="12">
        <f>SUM(G50:G53)</f>
        <v>638121</v>
      </c>
      <c r="H54" s="12">
        <f>SUM(H50:H53)</f>
        <v>275596.55</v>
      </c>
      <c r="I54" s="11">
        <f>SUM(I50:I53)</f>
        <v>271428.96000000002</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1">
    <mergeCell ref="A2:D2"/>
    <mergeCell ref="E3:I3"/>
    <mergeCell ref="E2:I2"/>
    <mergeCell ref="E5:I5"/>
    <mergeCell ref="E4:I4"/>
    <mergeCell ref="F47:F48"/>
    <mergeCell ref="E6:G6"/>
    <mergeCell ref="A32:I34"/>
    <mergeCell ref="E7:I7"/>
    <mergeCell ref="H13:I13"/>
    <mergeCell ref="H45:I45"/>
  </mergeCells>
  <conditionalFormatting sqref="I43:I44">
    <cfRule type="cellIs" dxfId="245" priority="9" stopIfTrue="1" operator="greaterThan">
      <formula>1</formula>
    </cfRule>
  </conditionalFormatting>
  <conditionalFormatting sqref="H50:H53">
    <cfRule type="cellIs" dxfId="244" priority="13" stopIfTrue="1" operator="notEqual">
      <formula>E50+F50-G50</formula>
    </cfRule>
  </conditionalFormatting>
  <conditionalFormatting sqref="I54">
    <cfRule type="cellIs" dxfId="243" priority="14" stopIfTrue="1" operator="notEqual">
      <formula>$I$50+$I$51+$I$52+$I$53</formula>
    </cfRule>
  </conditionalFormatting>
  <conditionalFormatting sqref="H54">
    <cfRule type="cellIs" dxfId="242" priority="15" stopIfTrue="1" operator="notEqual">
      <formula>E54+F54-G54</formula>
    </cfRule>
    <cfRule type="cellIs" dxfId="241" priority="16" stopIfTrue="1" operator="notEqual">
      <formula>SUM($H$50:$H$53)</formula>
    </cfRule>
  </conditionalFormatting>
  <conditionalFormatting sqref="G18 G16">
    <cfRule type="cellIs" dxfId="240" priority="17" stopIfTrue="1" operator="notEqual">
      <formula>H16+I16</formula>
    </cfRule>
  </conditionalFormatting>
  <conditionalFormatting sqref="G24">
    <cfRule type="cellIs" dxfId="239" priority="18" stopIfTrue="1" operator="notEqual">
      <formula>ROUND(H24+I24,2)</formula>
    </cfRule>
  </conditionalFormatting>
  <conditionalFormatting sqref="H24">
    <cfRule type="cellIs" dxfId="238" priority="19" stopIfTrue="1" operator="notEqual">
      <formula>$H$18-$H$16</formula>
    </cfRule>
  </conditionalFormatting>
  <conditionalFormatting sqref="I24">
    <cfRule type="cellIs" dxfId="237" priority="20" stopIfTrue="1" operator="notEqual">
      <formula>I18-I16</formula>
    </cfRule>
  </conditionalFormatting>
  <conditionalFormatting sqref="G23">
    <cfRule type="cellIs" dxfId="236" priority="7" stopIfTrue="1" operator="notEqual">
      <formula>ROUND(H23+I23,2)</formula>
    </cfRule>
  </conditionalFormatting>
  <conditionalFormatting sqref="G28">
    <cfRule type="cellIs" dxfId="235" priority="5" operator="notEqual">
      <formula>ROUND($G$24,2)</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9" ht="19.5" x14ac:dyDescent="0.4">
      <c r="A1" s="119" t="s">
        <v>47</v>
      </c>
      <c r="B1" s="118"/>
      <c r="C1" s="118"/>
      <c r="D1" s="118"/>
    </row>
    <row r="2" spans="1:9" ht="19.5" x14ac:dyDescent="0.4">
      <c r="A2" s="553" t="s">
        <v>46</v>
      </c>
      <c r="B2" s="553"/>
      <c r="C2" s="553"/>
      <c r="D2" s="553"/>
      <c r="E2" s="554" t="s">
        <v>231</v>
      </c>
      <c r="F2" s="543"/>
      <c r="G2" s="543"/>
      <c r="H2" s="543"/>
      <c r="I2" s="543"/>
    </row>
    <row r="3" spans="1:9" ht="12" customHeight="1" x14ac:dyDescent="0.4">
      <c r="A3" s="455"/>
      <c r="B3" s="455"/>
      <c r="C3" s="455"/>
      <c r="D3" s="455"/>
      <c r="E3" s="546" t="s">
        <v>44</v>
      </c>
      <c r="F3" s="546"/>
      <c r="G3" s="546"/>
      <c r="H3" s="546"/>
      <c r="I3" s="546"/>
    </row>
    <row r="4" spans="1:9" ht="15.75" x14ac:dyDescent="0.25">
      <c r="A4" s="115" t="s">
        <v>45</v>
      </c>
      <c r="E4" s="555" t="s">
        <v>232</v>
      </c>
      <c r="F4" s="555"/>
      <c r="G4" s="555"/>
      <c r="H4" s="555"/>
      <c r="I4" s="555"/>
    </row>
    <row r="5" spans="1:9" ht="9" customHeight="1" x14ac:dyDescent="0.25">
      <c r="A5" s="115"/>
      <c r="E5" s="546" t="s">
        <v>44</v>
      </c>
      <c r="F5" s="546"/>
      <c r="G5" s="546"/>
      <c r="H5" s="546"/>
      <c r="I5" s="546"/>
    </row>
    <row r="6" spans="1:9" ht="19.5" x14ac:dyDescent="0.4">
      <c r="A6" s="113" t="s">
        <v>43</v>
      </c>
      <c r="E6" s="543" t="s">
        <v>233</v>
      </c>
      <c r="F6" s="543"/>
      <c r="G6" s="543"/>
      <c r="H6" s="113" t="s">
        <v>42</v>
      </c>
      <c r="I6" s="111" t="s">
        <v>234</v>
      </c>
    </row>
    <row r="7" spans="1:9" ht="9.75" customHeight="1" x14ac:dyDescent="0.4">
      <c r="A7" s="113"/>
      <c r="E7" s="546" t="s">
        <v>41</v>
      </c>
      <c r="F7" s="546"/>
      <c r="G7" s="546"/>
      <c r="H7" s="546"/>
      <c r="I7" s="546"/>
    </row>
    <row r="8" spans="1:9" ht="19.5" x14ac:dyDescent="0.4">
      <c r="A8" s="113"/>
      <c r="E8" s="111"/>
      <c r="F8" s="111"/>
      <c r="G8" s="111"/>
      <c r="H8" s="112"/>
      <c r="I8" s="111"/>
    </row>
    <row r="9" spans="1:9" ht="19.5" x14ac:dyDescent="0.4">
      <c r="A9" s="113"/>
      <c r="E9" s="111"/>
      <c r="F9" s="111"/>
      <c r="G9" s="111"/>
      <c r="H9" s="112"/>
      <c r="I9" s="111"/>
    </row>
    <row r="11" spans="1:9" ht="18.75" x14ac:dyDescent="0.4">
      <c r="A11" s="110"/>
      <c r="B11" s="94"/>
      <c r="C11" s="94"/>
      <c r="D11" s="94"/>
      <c r="E11" s="104" t="s">
        <v>40</v>
      </c>
      <c r="F11" s="104" t="s">
        <v>39</v>
      </c>
      <c r="G11" s="107" t="s">
        <v>20</v>
      </c>
      <c r="H11" s="109" t="s">
        <v>38</v>
      </c>
      <c r="I11" s="108"/>
    </row>
    <row r="12" spans="1:9" ht="18.75" x14ac:dyDescent="0.4">
      <c r="A12" s="66"/>
      <c r="B12" s="66"/>
      <c r="C12" s="66"/>
      <c r="D12" s="66"/>
      <c r="E12" s="104" t="s">
        <v>37</v>
      </c>
      <c r="F12" s="104" t="s">
        <v>37</v>
      </c>
      <c r="G12" s="107" t="s">
        <v>36</v>
      </c>
      <c r="H12" s="106" t="s">
        <v>35</v>
      </c>
      <c r="I12" s="105" t="s">
        <v>34</v>
      </c>
    </row>
    <row r="13" spans="1:9" ht="15" x14ac:dyDescent="0.2">
      <c r="A13" s="66"/>
      <c r="B13" s="66"/>
      <c r="C13" s="66"/>
      <c r="D13" s="66"/>
      <c r="E13" s="104" t="s">
        <v>0</v>
      </c>
      <c r="F13" s="104" t="s">
        <v>0</v>
      </c>
      <c r="G13" s="103"/>
      <c r="H13" s="547" t="s">
        <v>33</v>
      </c>
      <c r="I13" s="548"/>
    </row>
    <row r="14" spans="1:9" ht="15" x14ac:dyDescent="0.2">
      <c r="A14" s="66"/>
      <c r="B14" s="66"/>
      <c r="C14" s="66"/>
      <c r="D14" s="66"/>
      <c r="E14" s="104"/>
      <c r="F14" s="104"/>
      <c r="G14" s="103"/>
      <c r="H14" s="456"/>
      <c r="I14" s="457"/>
    </row>
    <row r="15" spans="1:9" ht="18.75" x14ac:dyDescent="0.4">
      <c r="A15" s="71" t="s">
        <v>32</v>
      </c>
      <c r="B15" s="71"/>
      <c r="C15" s="99"/>
      <c r="D15" s="98"/>
      <c r="E15" s="100"/>
      <c r="F15" s="100"/>
      <c r="G15" s="82"/>
      <c r="H15" s="66"/>
      <c r="I15" s="66"/>
    </row>
    <row r="16" spans="1:9" ht="19.5" x14ac:dyDescent="0.4">
      <c r="A16" s="85" t="s">
        <v>31</v>
      </c>
      <c r="B16" s="71"/>
      <c r="C16" s="99"/>
      <c r="D16" s="98"/>
      <c r="E16" s="78">
        <v>40414000</v>
      </c>
      <c r="F16" s="93">
        <v>40403000</v>
      </c>
      <c r="G16" s="90">
        <f>H16+I16</f>
        <v>41317669.630000003</v>
      </c>
      <c r="H16" s="78">
        <v>41317669.630000003</v>
      </c>
      <c r="I16" s="78">
        <v>0</v>
      </c>
    </row>
    <row r="17" spans="1:9" ht="14.25" x14ac:dyDescent="0.3">
      <c r="A17" s="97"/>
      <c r="B17" s="96"/>
      <c r="C17" s="96"/>
      <c r="D17" s="96"/>
      <c r="E17" s="95"/>
      <c r="F17" s="94"/>
    </row>
    <row r="18" spans="1:9" ht="19.5" x14ac:dyDescent="0.4">
      <c r="A18" s="85" t="s">
        <v>30</v>
      </c>
      <c r="B18" s="83"/>
      <c r="C18" s="83"/>
      <c r="D18" s="83"/>
      <c r="E18" s="78">
        <v>35452000</v>
      </c>
      <c r="F18" s="93">
        <v>40270000</v>
      </c>
      <c r="G18" s="90">
        <f>H18+I18</f>
        <v>41405826.859999999</v>
      </c>
      <c r="H18" s="78">
        <v>41405826.859999999</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88157.23</v>
      </c>
      <c r="H24" s="75">
        <f>H18-H16</f>
        <v>88157.229999996722</v>
      </c>
      <c r="I24" s="75">
        <f>I18-I164</f>
        <v>0</v>
      </c>
    </row>
    <row r="26" spans="1:9" x14ac:dyDescent="0.2">
      <c r="H26" s="66"/>
    </row>
    <row r="28" spans="1:9" ht="19.5" x14ac:dyDescent="0.4">
      <c r="A28" s="43" t="s">
        <v>28</v>
      </c>
      <c r="B28" s="43" t="s">
        <v>27</v>
      </c>
      <c r="C28" s="43"/>
      <c r="D28" s="65"/>
      <c r="E28" s="65"/>
      <c r="F28" s="4"/>
      <c r="G28" s="460">
        <f>ROUND(G29+G30+G31,2)</f>
        <v>88157.23</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88157.229999996722</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9" x14ac:dyDescent="0.2">
      <c r="A33" s="545"/>
      <c r="B33" s="545"/>
      <c r="C33" s="545"/>
      <c r="D33" s="545"/>
      <c r="E33" s="545"/>
      <c r="F33" s="545"/>
      <c r="G33" s="545"/>
      <c r="H33" s="545"/>
      <c r="I33" s="545"/>
    </row>
    <row r="34" spans="1:9" x14ac:dyDescent="0.2">
      <c r="A34" s="545"/>
      <c r="B34" s="545"/>
      <c r="C34" s="545"/>
      <c r="D34" s="545"/>
      <c r="E34" s="545"/>
      <c r="F34" s="545"/>
      <c r="G34" s="545"/>
      <c r="H34" s="545"/>
      <c r="I34" s="545"/>
    </row>
    <row r="35" spans="1:9" ht="19.5" x14ac:dyDescent="0.4">
      <c r="A35" s="43" t="s">
        <v>23</v>
      </c>
      <c r="B35" s="43" t="s">
        <v>22</v>
      </c>
      <c r="C35" s="43"/>
      <c r="D35" s="63"/>
      <c r="E35" s="5"/>
      <c r="F35" s="65"/>
      <c r="G35" s="64"/>
      <c r="H35" s="4"/>
      <c r="I35" s="4"/>
    </row>
    <row r="36" spans="1:9" ht="18.75" x14ac:dyDescent="0.4">
      <c r="A36" s="43"/>
      <c r="B36" s="43"/>
      <c r="C36" s="43"/>
      <c r="D36" s="63"/>
      <c r="F36" s="9" t="s">
        <v>21</v>
      </c>
      <c r="G36" s="62" t="s">
        <v>20</v>
      </c>
      <c r="H36" s="4"/>
      <c r="I36" s="61" t="s">
        <v>19</v>
      </c>
    </row>
    <row r="37" spans="1:9" ht="16.5" x14ac:dyDescent="0.35">
      <c r="A37" s="59" t="s">
        <v>18</v>
      </c>
      <c r="B37" s="58"/>
      <c r="C37" s="57"/>
      <c r="D37" s="58"/>
      <c r="E37" s="5"/>
      <c r="F37" s="56">
        <f>21850000-150000</f>
        <v>21700000</v>
      </c>
      <c r="G37" s="56">
        <f>21823829-123829</f>
        <v>21700000</v>
      </c>
      <c r="H37" s="55"/>
      <c r="I37" s="54">
        <f>IF(F37=0,"nerozp.",G37/F37)</f>
        <v>1</v>
      </c>
    </row>
    <row r="38" spans="1:9" ht="16.5" x14ac:dyDescent="0.35">
      <c r="A38" s="59" t="s">
        <v>17</v>
      </c>
      <c r="B38" s="58"/>
      <c r="C38" s="57"/>
      <c r="D38" s="60"/>
      <c r="E38" s="60"/>
      <c r="F38" s="56">
        <v>1001000</v>
      </c>
      <c r="G38" s="56">
        <v>1000130</v>
      </c>
      <c r="H38" s="55"/>
      <c r="I38" s="54">
        <f>IF(F38=0,"nerozp.",G38/F38)</f>
        <v>0.99913086913086913</v>
      </c>
    </row>
    <row r="39" spans="1:9" ht="16.5" x14ac:dyDescent="0.35">
      <c r="A39" s="59" t="s">
        <v>16</v>
      </c>
      <c r="B39" s="58"/>
      <c r="C39" s="57"/>
      <c r="D39" s="60"/>
      <c r="E39" s="60"/>
      <c r="F39" s="56">
        <v>0</v>
      </c>
      <c r="G39" s="56">
        <v>0</v>
      </c>
      <c r="H39" s="55"/>
      <c r="I39" s="54" t="str">
        <f>IF(F39=0,"nerozp.",G39/F39)</f>
        <v>nerozp.</v>
      </c>
    </row>
    <row r="40" spans="1:9" ht="16.5" x14ac:dyDescent="0.35">
      <c r="A40" s="59" t="s">
        <v>15</v>
      </c>
      <c r="B40" s="58"/>
      <c r="C40" s="57"/>
      <c r="D40" s="5"/>
      <c r="E40" s="5"/>
      <c r="F40" s="56">
        <v>750750</v>
      </c>
      <c r="G40" s="56">
        <v>750750</v>
      </c>
      <c r="H40" s="55"/>
      <c r="I40" s="54">
        <f>IF(F40=0,"nerozp.",G40/F40)</f>
        <v>1</v>
      </c>
    </row>
    <row r="41" spans="1:9" ht="16.5" x14ac:dyDescent="0.35">
      <c r="A41" s="59" t="s">
        <v>14</v>
      </c>
      <c r="B41" s="58"/>
      <c r="C41" s="57"/>
      <c r="D41" s="5"/>
      <c r="E41" s="5"/>
      <c r="F41" s="56">
        <v>0</v>
      </c>
      <c r="G41" s="56">
        <v>0</v>
      </c>
      <c r="H41" s="55"/>
      <c r="I41" s="54" t="str">
        <f>IF(F41=0,"nerozp.",G41/F41)</f>
        <v>nerozp.</v>
      </c>
    </row>
    <row r="42" spans="1:9" ht="26.25" customHeight="1" x14ac:dyDescent="0.25">
      <c r="A42" s="450" t="s">
        <v>13</v>
      </c>
      <c r="B42" s="568" t="s">
        <v>319</v>
      </c>
      <c r="C42" s="569"/>
      <c r="D42" s="569"/>
      <c r="E42" s="569"/>
      <c r="F42" s="569"/>
      <c r="G42" s="569"/>
      <c r="H42" s="569"/>
      <c r="I42" s="569"/>
    </row>
    <row r="43" spans="1:9" ht="6.75" customHeight="1" x14ac:dyDescent="0.35">
      <c r="A43" s="50"/>
      <c r="B43" s="49"/>
      <c r="C43" s="48"/>
      <c r="D43" s="47"/>
      <c r="E43" s="47"/>
      <c r="F43" s="46"/>
      <c r="G43" s="46"/>
      <c r="H43" s="45"/>
      <c r="I43" s="44"/>
    </row>
    <row r="44" spans="1:9" ht="16.5" x14ac:dyDescent="0.35">
      <c r="A44" s="50"/>
      <c r="B44" s="49"/>
      <c r="C44" s="48"/>
      <c r="D44" s="47"/>
      <c r="E44" s="47"/>
      <c r="F44" s="46"/>
      <c r="G44" s="46"/>
      <c r="H44" s="45"/>
      <c r="I44" s="44"/>
    </row>
    <row r="45" spans="1:9" ht="19.5" thickBot="1" x14ac:dyDescent="0.45">
      <c r="A45" s="43" t="s">
        <v>12</v>
      </c>
      <c r="B45" s="43" t="s">
        <v>11</v>
      </c>
      <c r="C45" s="42"/>
      <c r="D45" s="5"/>
      <c r="E45" s="5"/>
      <c r="F45" s="4"/>
      <c r="G45" s="10"/>
      <c r="H45" s="549" t="s">
        <v>10</v>
      </c>
      <c r="I45" s="550"/>
    </row>
    <row r="46" spans="1:9" ht="18.75" thickTop="1" x14ac:dyDescent="0.35">
      <c r="A46" s="41"/>
      <c r="B46" s="39"/>
      <c r="C46" s="40"/>
      <c r="D46" s="39"/>
      <c r="E46" s="38" t="s">
        <v>9</v>
      </c>
      <c r="F46" s="37" t="s">
        <v>8</v>
      </c>
      <c r="G46" s="37" t="s">
        <v>7</v>
      </c>
      <c r="H46" s="36" t="s">
        <v>6</v>
      </c>
      <c r="I46" s="35" t="s">
        <v>5</v>
      </c>
    </row>
    <row r="47" spans="1:9" x14ac:dyDescent="0.2">
      <c r="A47" s="31"/>
      <c r="B47" s="4"/>
      <c r="C47" s="4"/>
      <c r="D47" s="4"/>
      <c r="E47" s="31"/>
      <c r="F47" s="542"/>
      <c r="G47" s="34"/>
      <c r="H47" s="33">
        <v>41274</v>
      </c>
      <c r="I47" s="32">
        <v>41274</v>
      </c>
    </row>
    <row r="48" spans="1:9"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25800</v>
      </c>
      <c r="F50" s="22">
        <v>0</v>
      </c>
      <c r="G50" s="21">
        <v>0</v>
      </c>
      <c r="H50" s="21">
        <f>E50+F50-G50</f>
        <v>25800</v>
      </c>
      <c r="I50" s="20">
        <v>25800</v>
      </c>
    </row>
    <row r="51" spans="1:9" x14ac:dyDescent="0.2">
      <c r="A51" s="19"/>
      <c r="B51" s="18"/>
      <c r="C51" s="18" t="s">
        <v>3</v>
      </c>
      <c r="D51" s="18"/>
      <c r="E51" s="464">
        <v>49952.89</v>
      </c>
      <c r="F51" s="17">
        <v>211471</v>
      </c>
      <c r="G51" s="16">
        <v>179939.85</v>
      </c>
      <c r="H51" s="16">
        <f>E51+F51-G51</f>
        <v>81484.040000000008</v>
      </c>
      <c r="I51" s="15">
        <v>72970.039999999994</v>
      </c>
    </row>
    <row r="52" spans="1:9" x14ac:dyDescent="0.2">
      <c r="A52" s="19"/>
      <c r="B52" s="18"/>
      <c r="C52" s="18" t="s">
        <v>2</v>
      </c>
      <c r="D52" s="18"/>
      <c r="E52" s="464">
        <v>102509.4</v>
      </c>
      <c r="F52" s="17">
        <v>0</v>
      </c>
      <c r="G52" s="16">
        <v>0</v>
      </c>
      <c r="H52" s="16">
        <f>E52+F52-G52</f>
        <v>102509.4</v>
      </c>
      <c r="I52" s="15">
        <v>102509.4</v>
      </c>
    </row>
    <row r="53" spans="1:9" x14ac:dyDescent="0.2">
      <c r="A53" s="19"/>
      <c r="B53" s="18"/>
      <c r="C53" s="18" t="s">
        <v>1</v>
      </c>
      <c r="D53" s="18"/>
      <c r="E53" s="464">
        <v>132927.29999999999</v>
      </c>
      <c r="F53" s="17">
        <v>1000129.9999999998</v>
      </c>
      <c r="G53" s="16">
        <v>862470</v>
      </c>
      <c r="H53" s="16">
        <f>E53+F53-G53</f>
        <v>270587.29999999981</v>
      </c>
      <c r="I53" s="15">
        <v>270587.3</v>
      </c>
    </row>
    <row r="54" spans="1:9" ht="18.75" thickBot="1" x14ac:dyDescent="0.4">
      <c r="A54" s="14" t="s">
        <v>0</v>
      </c>
      <c r="B54" s="13"/>
      <c r="C54" s="13"/>
      <c r="D54" s="13"/>
      <c r="E54" s="465">
        <f>SUM(E50:E53)</f>
        <v>311189.58999999997</v>
      </c>
      <c r="F54" s="12">
        <f>SUM(F50:F53)</f>
        <v>1211600.9999999998</v>
      </c>
      <c r="G54" s="12">
        <f>SUM(G50:G53)</f>
        <v>1042409.85</v>
      </c>
      <c r="H54" s="12">
        <f>SUM(H50:H53)</f>
        <v>480380.73999999982</v>
      </c>
      <c r="I54" s="11">
        <f>SUM(I50:I53)</f>
        <v>471866.74</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A2:D2"/>
    <mergeCell ref="E3:I3"/>
    <mergeCell ref="E2:I2"/>
    <mergeCell ref="E5:I5"/>
    <mergeCell ref="E4:I4"/>
    <mergeCell ref="F47:F48"/>
    <mergeCell ref="E6:G6"/>
    <mergeCell ref="A32:I34"/>
    <mergeCell ref="E7:I7"/>
    <mergeCell ref="H13:I13"/>
    <mergeCell ref="H45:I45"/>
    <mergeCell ref="B42:I42"/>
  </mergeCells>
  <conditionalFormatting sqref="I43:I44">
    <cfRule type="cellIs" dxfId="234" priority="11" stopIfTrue="1" operator="greaterThan">
      <formula>1</formula>
    </cfRule>
  </conditionalFormatting>
  <conditionalFormatting sqref="H50:H53">
    <cfRule type="cellIs" dxfId="233" priority="15" stopIfTrue="1" operator="notEqual">
      <formula>E50+F50-G50</formula>
    </cfRule>
  </conditionalFormatting>
  <conditionalFormatting sqref="I54">
    <cfRule type="cellIs" dxfId="232" priority="16" stopIfTrue="1" operator="notEqual">
      <formula>$I$50+$I$51+$I$52+$I$53</formula>
    </cfRule>
  </conditionalFormatting>
  <conditionalFormatting sqref="H54">
    <cfRule type="cellIs" dxfId="231" priority="17" stopIfTrue="1" operator="notEqual">
      <formula>E54+F54-G54</formula>
    </cfRule>
    <cfRule type="cellIs" dxfId="230" priority="18" stopIfTrue="1" operator="notEqual">
      <formula>SUM($H$50:$H$53)</formula>
    </cfRule>
  </conditionalFormatting>
  <conditionalFormatting sqref="G18 G16">
    <cfRule type="cellIs" dxfId="229" priority="19" stopIfTrue="1" operator="notEqual">
      <formula>H16+I16</formula>
    </cfRule>
  </conditionalFormatting>
  <conditionalFormatting sqref="G24">
    <cfRule type="cellIs" dxfId="228" priority="20" stopIfTrue="1" operator="notEqual">
      <formula>ROUND(H24+I24,2)</formula>
    </cfRule>
  </conditionalFormatting>
  <conditionalFormatting sqref="H24">
    <cfRule type="cellIs" dxfId="227" priority="21" stopIfTrue="1" operator="notEqual">
      <formula>$H$18-$H$16</formula>
    </cfRule>
  </conditionalFormatting>
  <conditionalFormatting sqref="I24">
    <cfRule type="cellIs" dxfId="226" priority="22" stopIfTrue="1" operator="notEqual">
      <formula>I18-I16</formula>
    </cfRule>
  </conditionalFormatting>
  <conditionalFormatting sqref="G23">
    <cfRule type="cellIs" dxfId="225" priority="9" stopIfTrue="1" operator="notEqual">
      <formula>ROUND(H23+I23,2)</formula>
    </cfRule>
  </conditionalFormatting>
  <conditionalFormatting sqref="G28">
    <cfRule type="cellIs" dxfId="224" priority="7" operator="notEqual">
      <formula>ROUND($G$24,2)</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9" ht="19.5" x14ac:dyDescent="0.4">
      <c r="A1" s="119" t="s">
        <v>47</v>
      </c>
      <c r="B1" s="118"/>
      <c r="C1" s="118"/>
      <c r="D1" s="118"/>
    </row>
    <row r="2" spans="1:9" ht="19.5" x14ac:dyDescent="0.4">
      <c r="A2" s="553" t="s">
        <v>46</v>
      </c>
      <c r="B2" s="553"/>
      <c r="C2" s="553"/>
      <c r="D2" s="553"/>
      <c r="E2" s="554" t="s">
        <v>107</v>
      </c>
      <c r="F2" s="543"/>
      <c r="G2" s="543"/>
      <c r="H2" s="543"/>
      <c r="I2" s="543"/>
    </row>
    <row r="3" spans="1:9" ht="12" customHeight="1" x14ac:dyDescent="0.4">
      <c r="A3" s="455"/>
      <c r="B3" s="455"/>
      <c r="C3" s="455"/>
      <c r="D3" s="455"/>
      <c r="E3" s="546" t="s">
        <v>44</v>
      </c>
      <c r="F3" s="546"/>
      <c r="G3" s="546"/>
      <c r="H3" s="546"/>
      <c r="I3" s="546"/>
    </row>
    <row r="4" spans="1:9" ht="15.75" x14ac:dyDescent="0.25">
      <c r="A4" s="115" t="s">
        <v>45</v>
      </c>
      <c r="E4" s="555" t="s">
        <v>235</v>
      </c>
      <c r="F4" s="555"/>
      <c r="G4" s="555"/>
      <c r="H4" s="555"/>
      <c r="I4" s="555"/>
    </row>
    <row r="5" spans="1:9" ht="9" customHeight="1" x14ac:dyDescent="0.25">
      <c r="A5" s="115"/>
      <c r="E5" s="546" t="s">
        <v>44</v>
      </c>
      <c r="F5" s="546"/>
      <c r="G5" s="546"/>
      <c r="H5" s="546"/>
      <c r="I5" s="546"/>
    </row>
    <row r="6" spans="1:9" ht="19.5" x14ac:dyDescent="0.4">
      <c r="A6" s="113" t="s">
        <v>43</v>
      </c>
      <c r="E6" s="543" t="s">
        <v>236</v>
      </c>
      <c r="F6" s="543"/>
      <c r="G6" s="543"/>
      <c r="H6" s="113" t="s">
        <v>42</v>
      </c>
      <c r="I6" s="111" t="s">
        <v>237</v>
      </c>
    </row>
    <row r="7" spans="1:9" ht="9.75" customHeight="1" x14ac:dyDescent="0.4">
      <c r="A7" s="113"/>
      <c r="E7" s="546" t="s">
        <v>41</v>
      </c>
      <c r="F7" s="546"/>
      <c r="G7" s="546"/>
      <c r="H7" s="546"/>
      <c r="I7" s="546"/>
    </row>
    <row r="8" spans="1:9" ht="19.5" x14ac:dyDescent="0.4">
      <c r="A8" s="113"/>
      <c r="E8" s="111"/>
      <c r="F8" s="111"/>
      <c r="G8" s="111"/>
      <c r="H8" s="112"/>
      <c r="I8" s="111"/>
    </row>
    <row r="9" spans="1:9" ht="19.5" x14ac:dyDescent="0.4">
      <c r="A9" s="113"/>
      <c r="E9" s="111"/>
      <c r="F9" s="111"/>
      <c r="G9" s="111"/>
      <c r="H9" s="112"/>
      <c r="I9" s="111"/>
    </row>
    <row r="11" spans="1:9" ht="18.75" x14ac:dyDescent="0.4">
      <c r="A11" s="110"/>
      <c r="B11" s="94"/>
      <c r="C11" s="94"/>
      <c r="D11" s="94"/>
      <c r="E11" s="104" t="s">
        <v>40</v>
      </c>
      <c r="F11" s="104" t="s">
        <v>39</v>
      </c>
      <c r="G11" s="107" t="s">
        <v>20</v>
      </c>
      <c r="H11" s="109" t="s">
        <v>38</v>
      </c>
      <c r="I11" s="108"/>
    </row>
    <row r="12" spans="1:9" ht="18.75" x14ac:dyDescent="0.4">
      <c r="A12" s="66"/>
      <c r="B12" s="66"/>
      <c r="C12" s="66"/>
      <c r="D12" s="66"/>
      <c r="E12" s="104" t="s">
        <v>37</v>
      </c>
      <c r="F12" s="104" t="s">
        <v>37</v>
      </c>
      <c r="G12" s="107" t="s">
        <v>36</v>
      </c>
      <c r="H12" s="106" t="s">
        <v>35</v>
      </c>
      <c r="I12" s="105" t="s">
        <v>34</v>
      </c>
    </row>
    <row r="13" spans="1:9" ht="15" x14ac:dyDescent="0.2">
      <c r="A13" s="66"/>
      <c r="B13" s="66"/>
      <c r="C13" s="66"/>
      <c r="D13" s="66"/>
      <c r="E13" s="104" t="s">
        <v>0</v>
      </c>
      <c r="F13" s="104" t="s">
        <v>0</v>
      </c>
      <c r="G13" s="103"/>
      <c r="H13" s="547" t="s">
        <v>33</v>
      </c>
      <c r="I13" s="548"/>
    </row>
    <row r="14" spans="1:9" ht="15" x14ac:dyDescent="0.2">
      <c r="A14" s="66"/>
      <c r="B14" s="66"/>
      <c r="C14" s="66"/>
      <c r="D14" s="66"/>
      <c r="E14" s="104"/>
      <c r="F14" s="104"/>
      <c r="G14" s="103"/>
      <c r="H14" s="456"/>
      <c r="I14" s="457"/>
    </row>
    <row r="15" spans="1:9" ht="18.75" x14ac:dyDescent="0.4">
      <c r="A15" s="71" t="s">
        <v>32</v>
      </c>
      <c r="B15" s="71"/>
      <c r="C15" s="99"/>
      <c r="D15" s="98"/>
      <c r="E15" s="100"/>
      <c r="F15" s="100"/>
      <c r="G15" s="82"/>
      <c r="H15" s="66"/>
      <c r="I15" s="66"/>
    </row>
    <row r="16" spans="1:9" ht="19.5" x14ac:dyDescent="0.4">
      <c r="A16" s="85" t="s">
        <v>31</v>
      </c>
      <c r="B16" s="71"/>
      <c r="C16" s="99"/>
      <c r="D16" s="98"/>
      <c r="E16" s="78">
        <v>13950000</v>
      </c>
      <c r="F16" s="93">
        <v>13783000</v>
      </c>
      <c r="G16" s="90">
        <f>H16+I16</f>
        <v>13841508.1</v>
      </c>
      <c r="H16" s="78">
        <v>13841508.1</v>
      </c>
      <c r="I16" s="78">
        <v>0</v>
      </c>
    </row>
    <row r="17" spans="1:9" ht="14.25" x14ac:dyDescent="0.3">
      <c r="A17" s="97"/>
      <c r="B17" s="96"/>
      <c r="C17" s="96"/>
      <c r="D17" s="96"/>
      <c r="E17" s="95"/>
      <c r="F17" s="94"/>
    </row>
    <row r="18" spans="1:9" ht="19.5" x14ac:dyDescent="0.4">
      <c r="A18" s="85" t="s">
        <v>30</v>
      </c>
      <c r="B18" s="83"/>
      <c r="C18" s="83"/>
      <c r="D18" s="83"/>
      <c r="E18" s="78">
        <v>12931000</v>
      </c>
      <c r="F18" s="93">
        <v>13783000</v>
      </c>
      <c r="G18" s="90">
        <f>H18+I18</f>
        <v>13849322.35</v>
      </c>
      <c r="H18" s="78">
        <v>13849322.35</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7814.25</v>
      </c>
      <c r="H24" s="75">
        <f>H18-H16</f>
        <v>7814.25</v>
      </c>
      <c r="I24" s="75">
        <f>I18-I164</f>
        <v>0</v>
      </c>
    </row>
    <row r="26" spans="1:9" x14ac:dyDescent="0.2">
      <c r="H26" s="66"/>
    </row>
    <row r="28" spans="1:9" ht="19.5" x14ac:dyDescent="0.4">
      <c r="A28" s="43" t="s">
        <v>28</v>
      </c>
      <c r="B28" s="43" t="s">
        <v>27</v>
      </c>
      <c r="C28" s="43"/>
      <c r="D28" s="65"/>
      <c r="E28" s="65"/>
      <c r="F28" s="4"/>
      <c r="G28" s="460">
        <f>ROUND(G29+G30+G31,2)</f>
        <v>7814.25</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7814.25</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9" x14ac:dyDescent="0.2">
      <c r="A33" s="545"/>
      <c r="B33" s="545"/>
      <c r="C33" s="545"/>
      <c r="D33" s="545"/>
      <c r="E33" s="545"/>
      <c r="F33" s="545"/>
      <c r="G33" s="545"/>
      <c r="H33" s="545"/>
      <c r="I33" s="545"/>
    </row>
    <row r="34" spans="1:9" x14ac:dyDescent="0.2">
      <c r="A34" s="545"/>
      <c r="B34" s="545"/>
      <c r="C34" s="545"/>
      <c r="D34" s="545"/>
      <c r="E34" s="545"/>
      <c r="F34" s="545"/>
      <c r="G34" s="545"/>
      <c r="H34" s="545"/>
      <c r="I34" s="545"/>
    </row>
    <row r="35" spans="1:9" ht="19.5" x14ac:dyDescent="0.4">
      <c r="A35" s="43" t="s">
        <v>23</v>
      </c>
      <c r="B35" s="43" t="s">
        <v>22</v>
      </c>
      <c r="C35" s="43"/>
      <c r="D35" s="63"/>
      <c r="E35" s="5"/>
      <c r="F35" s="65"/>
      <c r="G35" s="64"/>
      <c r="H35" s="4"/>
      <c r="I35" s="4"/>
    </row>
    <row r="36" spans="1:9" ht="18.75" x14ac:dyDescent="0.4">
      <c r="A36" s="43"/>
      <c r="B36" s="43"/>
      <c r="C36" s="43"/>
      <c r="D36" s="63"/>
      <c r="F36" s="9" t="s">
        <v>21</v>
      </c>
      <c r="G36" s="62" t="s">
        <v>20</v>
      </c>
      <c r="H36" s="4"/>
      <c r="I36" s="61" t="s">
        <v>19</v>
      </c>
    </row>
    <row r="37" spans="1:9" ht="16.5" x14ac:dyDescent="0.35">
      <c r="A37" s="59" t="s">
        <v>18</v>
      </c>
      <c r="B37" s="58"/>
      <c r="C37" s="57"/>
      <c r="D37" s="58"/>
      <c r="E37" s="5"/>
      <c r="F37" s="56">
        <f>7182000-8000</f>
        <v>7174000</v>
      </c>
      <c r="G37" s="56">
        <f>7187171-13175</f>
        <v>7173996</v>
      </c>
      <c r="H37" s="55"/>
      <c r="I37" s="54">
        <f>IF(F37=0,"nerozp.",G37/F37)</f>
        <v>0.99999944243100081</v>
      </c>
    </row>
    <row r="38" spans="1:9" ht="16.5" x14ac:dyDescent="0.35">
      <c r="A38" s="59" t="s">
        <v>17</v>
      </c>
      <c r="B38" s="58"/>
      <c r="C38" s="57"/>
      <c r="D38" s="60"/>
      <c r="E38" s="60"/>
      <c r="F38" s="56">
        <v>204000</v>
      </c>
      <c r="G38" s="56">
        <v>204612</v>
      </c>
      <c r="H38" s="55"/>
      <c r="I38" s="54">
        <f>IF(F38=0,"nerozp.",G38/F38)</f>
        <v>1.0029999999999999</v>
      </c>
    </row>
    <row r="39" spans="1:9" ht="16.5" x14ac:dyDescent="0.35">
      <c r="A39" s="59" t="s">
        <v>16</v>
      </c>
      <c r="B39" s="58"/>
      <c r="C39" s="57"/>
      <c r="D39" s="60"/>
      <c r="E39" s="60"/>
      <c r="F39" s="56">
        <v>0</v>
      </c>
      <c r="G39" s="56">
        <v>0</v>
      </c>
      <c r="H39" s="55"/>
      <c r="I39" s="54" t="str">
        <f>IF(F39=0,"nerozp.",G39/F39)</f>
        <v>nerozp.</v>
      </c>
    </row>
    <row r="40" spans="1:9" ht="16.5" x14ac:dyDescent="0.35">
      <c r="A40" s="59" t="s">
        <v>15</v>
      </c>
      <c r="B40" s="58"/>
      <c r="C40" s="57"/>
      <c r="D40" s="5"/>
      <c r="E40" s="5"/>
      <c r="F40" s="56">
        <v>159000</v>
      </c>
      <c r="G40" s="56">
        <v>159000</v>
      </c>
      <c r="H40" s="55"/>
      <c r="I40" s="54">
        <f>IF(F40=0,"nerozp.",G40/F40)</f>
        <v>1</v>
      </c>
    </row>
    <row r="41" spans="1:9" ht="16.5" x14ac:dyDescent="0.35">
      <c r="A41" s="59" t="s">
        <v>14</v>
      </c>
      <c r="B41" s="58"/>
      <c r="C41" s="57"/>
      <c r="D41" s="5"/>
      <c r="E41" s="5"/>
      <c r="F41" s="56">
        <v>0</v>
      </c>
      <c r="G41" s="56">
        <v>0</v>
      </c>
      <c r="H41" s="55"/>
      <c r="I41" s="54" t="str">
        <f>IF(F41=0,"nerozp.",G41/F41)</f>
        <v>nerozp.</v>
      </c>
    </row>
    <row r="42" spans="1:9" ht="14.25" x14ac:dyDescent="0.2">
      <c r="A42" s="53" t="s">
        <v>13</v>
      </c>
      <c r="B42" s="52" t="s">
        <v>320</v>
      </c>
      <c r="C42" s="51"/>
      <c r="D42" s="47"/>
      <c r="E42" s="47"/>
      <c r="F42" s="46"/>
      <c r="G42" s="46"/>
      <c r="H42" s="45"/>
      <c r="I42" s="44"/>
    </row>
    <row r="43" spans="1:9" ht="16.5" x14ac:dyDescent="0.35">
      <c r="A43" s="50"/>
      <c r="B43" s="49"/>
      <c r="C43" s="48"/>
      <c r="D43" s="47"/>
      <c r="E43" s="47"/>
      <c r="F43" s="46"/>
      <c r="G43" s="46"/>
      <c r="H43" s="45"/>
      <c r="I43" s="44"/>
    </row>
    <row r="44" spans="1:9" ht="16.5" x14ac:dyDescent="0.35">
      <c r="A44" s="50"/>
      <c r="B44" s="49"/>
      <c r="C44" s="48"/>
      <c r="D44" s="47"/>
      <c r="E44" s="47"/>
      <c r="F44" s="46"/>
      <c r="G44" s="46"/>
      <c r="H44" s="45"/>
      <c r="I44" s="44"/>
    </row>
    <row r="45" spans="1:9" ht="19.5" thickBot="1" x14ac:dyDescent="0.45">
      <c r="A45" s="43" t="s">
        <v>12</v>
      </c>
      <c r="B45" s="43" t="s">
        <v>11</v>
      </c>
      <c r="C45" s="42"/>
      <c r="D45" s="5"/>
      <c r="E45" s="5"/>
      <c r="F45" s="4"/>
      <c r="G45" s="10"/>
      <c r="H45" s="549" t="s">
        <v>10</v>
      </c>
      <c r="I45" s="550"/>
    </row>
    <row r="46" spans="1:9" ht="18.75" thickTop="1" x14ac:dyDescent="0.35">
      <c r="A46" s="41"/>
      <c r="B46" s="39"/>
      <c r="C46" s="40"/>
      <c r="D46" s="39"/>
      <c r="E46" s="38" t="s">
        <v>9</v>
      </c>
      <c r="F46" s="37" t="s">
        <v>8</v>
      </c>
      <c r="G46" s="37" t="s">
        <v>7</v>
      </c>
      <c r="H46" s="36" t="s">
        <v>6</v>
      </c>
      <c r="I46" s="35" t="s">
        <v>5</v>
      </c>
    </row>
    <row r="47" spans="1:9" x14ac:dyDescent="0.2">
      <c r="A47" s="31"/>
      <c r="B47" s="4"/>
      <c r="C47" s="4"/>
      <c r="D47" s="4"/>
      <c r="E47" s="31"/>
      <c r="F47" s="542"/>
      <c r="G47" s="34"/>
      <c r="H47" s="33">
        <v>41274</v>
      </c>
      <c r="I47" s="32">
        <v>41274</v>
      </c>
    </row>
    <row r="48" spans="1:9"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5600</v>
      </c>
      <c r="F50" s="22">
        <v>0</v>
      </c>
      <c r="G50" s="21">
        <v>0</v>
      </c>
      <c r="H50" s="21">
        <f>E50+F50-G50</f>
        <v>5600</v>
      </c>
      <c r="I50" s="20">
        <v>5600</v>
      </c>
    </row>
    <row r="51" spans="1:9" x14ac:dyDescent="0.2">
      <c r="A51" s="19"/>
      <c r="B51" s="18"/>
      <c r="C51" s="18" t="s">
        <v>3</v>
      </c>
      <c r="D51" s="18"/>
      <c r="E51" s="464">
        <v>84452.44</v>
      </c>
      <c r="F51" s="17">
        <v>67390</v>
      </c>
      <c r="G51" s="16">
        <v>112234</v>
      </c>
      <c r="H51" s="16">
        <f>E51+F51-G51</f>
        <v>39608.44</v>
      </c>
      <c r="I51" s="15">
        <v>41574.800000000003</v>
      </c>
    </row>
    <row r="52" spans="1:9" x14ac:dyDescent="0.2">
      <c r="A52" s="19"/>
      <c r="B52" s="18"/>
      <c r="C52" s="18" t="s">
        <v>2</v>
      </c>
      <c r="D52" s="18"/>
      <c r="E52" s="464">
        <v>185018.53</v>
      </c>
      <c r="F52" s="17">
        <v>0</v>
      </c>
      <c r="G52" s="16">
        <v>0</v>
      </c>
      <c r="H52" s="16">
        <f>E52+F52-G52</f>
        <v>185018.53</v>
      </c>
      <c r="I52" s="15">
        <v>185018.53</v>
      </c>
    </row>
    <row r="53" spans="1:9" x14ac:dyDescent="0.2">
      <c r="A53" s="19"/>
      <c r="B53" s="18"/>
      <c r="C53" s="18" t="s">
        <v>1</v>
      </c>
      <c r="D53" s="18"/>
      <c r="E53" s="464">
        <v>755400.07</v>
      </c>
      <c r="F53" s="17">
        <v>204611.99999999988</v>
      </c>
      <c r="G53" s="16">
        <v>159000</v>
      </c>
      <c r="H53" s="16">
        <f>E53+F53-G53</f>
        <v>801012.06999999983</v>
      </c>
      <c r="I53" s="15">
        <v>801012.07</v>
      </c>
    </row>
    <row r="54" spans="1:9" ht="18.75" thickBot="1" x14ac:dyDescent="0.4">
      <c r="A54" s="14" t="s">
        <v>0</v>
      </c>
      <c r="B54" s="13"/>
      <c r="C54" s="13"/>
      <c r="D54" s="13"/>
      <c r="E54" s="465">
        <f>SUM(E50:E53)</f>
        <v>1030471.0399999999</v>
      </c>
      <c r="F54" s="12">
        <f>SUM(F50:F53)</f>
        <v>272001.99999999988</v>
      </c>
      <c r="G54" s="12">
        <f>SUM(G50:G53)</f>
        <v>271234</v>
      </c>
      <c r="H54" s="12">
        <f>SUM(H50:H53)</f>
        <v>1031239.0399999998</v>
      </c>
      <c r="I54" s="11">
        <f>SUM(I50:I53)</f>
        <v>1033205.3999999999</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1">
    <mergeCell ref="A2:D2"/>
    <mergeCell ref="E3:I3"/>
    <mergeCell ref="E2:I2"/>
    <mergeCell ref="E5:I5"/>
    <mergeCell ref="E4:I4"/>
    <mergeCell ref="F47:F48"/>
    <mergeCell ref="E6:G6"/>
    <mergeCell ref="A32:I34"/>
    <mergeCell ref="E7:I7"/>
    <mergeCell ref="H13:I13"/>
    <mergeCell ref="H45:I45"/>
  </mergeCells>
  <conditionalFormatting sqref="I42:I44">
    <cfRule type="cellIs" dxfId="223" priority="9" stopIfTrue="1" operator="greaterThan">
      <formula>1</formula>
    </cfRule>
  </conditionalFormatting>
  <conditionalFormatting sqref="H50:H53">
    <cfRule type="cellIs" dxfId="222" priority="13" stopIfTrue="1" operator="notEqual">
      <formula>E50+F50-G50</formula>
    </cfRule>
  </conditionalFormatting>
  <conditionalFormatting sqref="I54">
    <cfRule type="cellIs" dxfId="221" priority="14" stopIfTrue="1" operator="notEqual">
      <formula>$I$50+$I$51+$I$52+$I$53</formula>
    </cfRule>
  </conditionalFormatting>
  <conditionalFormatting sqref="H54">
    <cfRule type="cellIs" dxfId="220" priority="15" stopIfTrue="1" operator="notEqual">
      <formula>E54+F54-G54</formula>
    </cfRule>
    <cfRule type="cellIs" dxfId="219" priority="16" stopIfTrue="1" operator="notEqual">
      <formula>SUM($H$50:$H$53)</formula>
    </cfRule>
  </conditionalFormatting>
  <conditionalFormatting sqref="G18 G16">
    <cfRule type="cellIs" dxfId="218" priority="17" stopIfTrue="1" operator="notEqual">
      <formula>H16+I16</formula>
    </cfRule>
  </conditionalFormatting>
  <conditionalFormatting sqref="G24">
    <cfRule type="cellIs" dxfId="217" priority="18" stopIfTrue="1" operator="notEqual">
      <formula>ROUND(H24+I24,2)</formula>
    </cfRule>
  </conditionalFormatting>
  <conditionalFormatting sqref="H24">
    <cfRule type="cellIs" dxfId="216" priority="19" stopIfTrue="1" operator="notEqual">
      <formula>$H$18-$H$16</formula>
    </cfRule>
  </conditionalFormatting>
  <conditionalFormatting sqref="I24">
    <cfRule type="cellIs" dxfId="215" priority="20" stopIfTrue="1" operator="notEqual">
      <formula>I18-I16</formula>
    </cfRule>
  </conditionalFormatting>
  <conditionalFormatting sqref="G23">
    <cfRule type="cellIs" dxfId="214" priority="7" stopIfTrue="1" operator="notEqual">
      <formula>ROUND(H23+I23,2)</formula>
    </cfRule>
  </conditionalFormatting>
  <conditionalFormatting sqref="G28">
    <cfRule type="cellIs" dxfId="213" priority="5" operator="notEqual">
      <formula>ROUND($G$24,2)</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9" ht="19.5" x14ac:dyDescent="0.4">
      <c r="A1" s="119" t="s">
        <v>47</v>
      </c>
      <c r="B1" s="118"/>
      <c r="C1" s="118"/>
      <c r="D1" s="118"/>
    </row>
    <row r="2" spans="1:9" ht="19.5" x14ac:dyDescent="0.4">
      <c r="A2" s="553" t="s">
        <v>46</v>
      </c>
      <c r="B2" s="553"/>
      <c r="C2" s="553"/>
      <c r="D2" s="553"/>
      <c r="E2" s="554" t="s">
        <v>238</v>
      </c>
      <c r="F2" s="543"/>
      <c r="G2" s="543"/>
      <c r="H2" s="543"/>
      <c r="I2" s="543"/>
    </row>
    <row r="3" spans="1:9" ht="12" customHeight="1" x14ac:dyDescent="0.4">
      <c r="A3" s="455"/>
      <c r="B3" s="455"/>
      <c r="C3" s="455"/>
      <c r="D3" s="455"/>
      <c r="E3" s="546" t="s">
        <v>44</v>
      </c>
      <c r="F3" s="546"/>
      <c r="G3" s="546"/>
      <c r="H3" s="546"/>
      <c r="I3" s="546"/>
    </row>
    <row r="4" spans="1:9" ht="15.75" x14ac:dyDescent="0.25">
      <c r="A4" s="115" t="s">
        <v>45</v>
      </c>
      <c r="E4" s="555" t="s">
        <v>239</v>
      </c>
      <c r="F4" s="555"/>
      <c r="G4" s="555"/>
      <c r="H4" s="555"/>
      <c r="I4" s="555"/>
    </row>
    <row r="5" spans="1:9" ht="9" customHeight="1" x14ac:dyDescent="0.25">
      <c r="A5" s="115"/>
      <c r="E5" s="546" t="s">
        <v>44</v>
      </c>
      <c r="F5" s="546"/>
      <c r="G5" s="546"/>
      <c r="H5" s="546"/>
      <c r="I5" s="546"/>
    </row>
    <row r="6" spans="1:9" ht="19.5" x14ac:dyDescent="0.4">
      <c r="A6" s="113" t="s">
        <v>43</v>
      </c>
      <c r="E6" s="543" t="s">
        <v>240</v>
      </c>
      <c r="F6" s="543"/>
      <c r="G6" s="543"/>
      <c r="H6" s="113" t="s">
        <v>42</v>
      </c>
      <c r="I6" s="111" t="s">
        <v>241</v>
      </c>
    </row>
    <row r="7" spans="1:9" ht="9.75" customHeight="1" x14ac:dyDescent="0.4">
      <c r="A7" s="113"/>
      <c r="E7" s="546" t="s">
        <v>41</v>
      </c>
      <c r="F7" s="546"/>
      <c r="G7" s="546"/>
      <c r="H7" s="546"/>
      <c r="I7" s="546"/>
    </row>
    <row r="8" spans="1:9" ht="19.5" x14ac:dyDescent="0.4">
      <c r="A8" s="113"/>
      <c r="E8" s="111"/>
      <c r="F8" s="111"/>
      <c r="G8" s="111"/>
      <c r="H8" s="112"/>
      <c r="I8" s="111"/>
    </row>
    <row r="9" spans="1:9" ht="19.5" x14ac:dyDescent="0.4">
      <c r="A9" s="113"/>
      <c r="E9" s="111"/>
      <c r="F9" s="111"/>
      <c r="G9" s="111"/>
      <c r="H9" s="112"/>
      <c r="I9" s="111"/>
    </row>
    <row r="11" spans="1:9" ht="18.75" x14ac:dyDescent="0.4">
      <c r="A11" s="110"/>
      <c r="B11" s="94"/>
      <c r="C11" s="94"/>
      <c r="D11" s="94"/>
      <c r="E11" s="104" t="s">
        <v>40</v>
      </c>
      <c r="F11" s="104" t="s">
        <v>39</v>
      </c>
      <c r="G11" s="107" t="s">
        <v>20</v>
      </c>
      <c r="H11" s="109" t="s">
        <v>38</v>
      </c>
      <c r="I11" s="108"/>
    </row>
    <row r="12" spans="1:9" ht="18.75" x14ac:dyDescent="0.4">
      <c r="A12" s="66"/>
      <c r="B12" s="66"/>
      <c r="C12" s="66"/>
      <c r="D12" s="66"/>
      <c r="E12" s="104" t="s">
        <v>37</v>
      </c>
      <c r="F12" s="104" t="s">
        <v>37</v>
      </c>
      <c r="G12" s="107" t="s">
        <v>36</v>
      </c>
      <c r="H12" s="106" t="s">
        <v>35</v>
      </c>
      <c r="I12" s="105" t="s">
        <v>34</v>
      </c>
    </row>
    <row r="13" spans="1:9" ht="15" x14ac:dyDescent="0.2">
      <c r="A13" s="66"/>
      <c r="B13" s="66"/>
      <c r="C13" s="66"/>
      <c r="D13" s="66"/>
      <c r="E13" s="104" t="s">
        <v>0</v>
      </c>
      <c r="F13" s="104" t="s">
        <v>0</v>
      </c>
      <c r="G13" s="103"/>
      <c r="H13" s="547" t="s">
        <v>33</v>
      </c>
      <c r="I13" s="548"/>
    </row>
    <row r="14" spans="1:9" ht="15" x14ac:dyDescent="0.2">
      <c r="A14" s="66"/>
      <c r="B14" s="66"/>
      <c r="C14" s="66"/>
      <c r="D14" s="66"/>
      <c r="E14" s="104"/>
      <c r="F14" s="104"/>
      <c r="G14" s="103"/>
      <c r="H14" s="456"/>
      <c r="I14" s="457"/>
    </row>
    <row r="15" spans="1:9" ht="18.75" x14ac:dyDescent="0.4">
      <c r="A15" s="71" t="s">
        <v>32</v>
      </c>
      <c r="B15" s="71"/>
      <c r="C15" s="99"/>
      <c r="D15" s="98"/>
      <c r="E15" s="100"/>
      <c r="F15" s="100"/>
      <c r="G15" s="82"/>
      <c r="H15" s="66"/>
      <c r="I15" s="66"/>
    </row>
    <row r="16" spans="1:9" ht="19.5" x14ac:dyDescent="0.4">
      <c r="A16" s="85" t="s">
        <v>31</v>
      </c>
      <c r="B16" s="71"/>
      <c r="C16" s="99"/>
      <c r="D16" s="98"/>
      <c r="E16" s="78">
        <v>5004000</v>
      </c>
      <c r="F16" s="93">
        <v>4697000</v>
      </c>
      <c r="G16" s="90">
        <f>H16+I16</f>
        <v>4802388.1900000004</v>
      </c>
      <c r="H16" s="78">
        <v>4802388.1900000004</v>
      </c>
      <c r="I16" s="78">
        <v>0</v>
      </c>
    </row>
    <row r="17" spans="1:9" ht="14.25" x14ac:dyDescent="0.3">
      <c r="A17" s="97"/>
      <c r="B17" s="96"/>
      <c r="C17" s="96"/>
      <c r="D17" s="96"/>
      <c r="E17" s="95"/>
      <c r="F17" s="94"/>
    </row>
    <row r="18" spans="1:9" ht="19.5" x14ac:dyDescent="0.4">
      <c r="A18" s="85" t="s">
        <v>30</v>
      </c>
      <c r="B18" s="83"/>
      <c r="C18" s="83"/>
      <c r="D18" s="83"/>
      <c r="E18" s="78">
        <v>4915000</v>
      </c>
      <c r="F18" s="93">
        <v>4697000</v>
      </c>
      <c r="G18" s="90">
        <f>H18+I18</f>
        <v>4802388.1899999995</v>
      </c>
      <c r="H18" s="78">
        <v>4802388.1899999995</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0</v>
      </c>
      <c r="H24" s="75">
        <f>H18-H16</f>
        <v>0</v>
      </c>
      <c r="I24" s="75">
        <f>I18-I164</f>
        <v>0</v>
      </c>
    </row>
    <row r="26" spans="1:9" x14ac:dyDescent="0.2">
      <c r="H26" s="66"/>
    </row>
    <row r="28" spans="1:9" ht="19.5" x14ac:dyDescent="0.4">
      <c r="A28" s="43" t="s">
        <v>28</v>
      </c>
      <c r="B28" s="43" t="s">
        <v>27</v>
      </c>
      <c r="C28" s="43"/>
      <c r="D28" s="65"/>
      <c r="E28" s="65"/>
      <c r="F28" s="4"/>
      <c r="G28" s="460">
        <f>ROUND(G29+G30+G31,2)</f>
        <v>0</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0</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9" x14ac:dyDescent="0.2">
      <c r="A33" s="545"/>
      <c r="B33" s="545"/>
      <c r="C33" s="545"/>
      <c r="D33" s="545"/>
      <c r="E33" s="545"/>
      <c r="F33" s="545"/>
      <c r="G33" s="545"/>
      <c r="H33" s="545"/>
      <c r="I33" s="545"/>
    </row>
    <row r="34" spans="1:9" x14ac:dyDescent="0.2">
      <c r="A34" s="545"/>
      <c r="B34" s="545"/>
      <c r="C34" s="545"/>
      <c r="D34" s="545"/>
      <c r="E34" s="545"/>
      <c r="F34" s="545"/>
      <c r="G34" s="545"/>
      <c r="H34" s="545"/>
      <c r="I34" s="545"/>
    </row>
    <row r="35" spans="1:9" ht="19.5" x14ac:dyDescent="0.4">
      <c r="A35" s="43" t="s">
        <v>23</v>
      </c>
      <c r="B35" s="43" t="s">
        <v>22</v>
      </c>
      <c r="C35" s="43"/>
      <c r="D35" s="63"/>
      <c r="E35" s="5"/>
      <c r="F35" s="65"/>
      <c r="G35" s="64"/>
      <c r="H35" s="4"/>
      <c r="I35" s="4"/>
    </row>
    <row r="36" spans="1:9" ht="18.75" x14ac:dyDescent="0.4">
      <c r="A36" s="43"/>
      <c r="B36" s="43"/>
      <c r="C36" s="43"/>
      <c r="D36" s="63"/>
      <c r="F36" s="9" t="s">
        <v>21</v>
      </c>
      <c r="G36" s="62" t="s">
        <v>20</v>
      </c>
      <c r="H36" s="4"/>
      <c r="I36" s="61" t="s">
        <v>19</v>
      </c>
    </row>
    <row r="37" spans="1:9" ht="16.5" x14ac:dyDescent="0.35">
      <c r="A37" s="59" t="s">
        <v>18</v>
      </c>
      <c r="B37" s="58"/>
      <c r="C37" s="57"/>
      <c r="D37" s="58"/>
      <c r="E37" s="5"/>
      <c r="F37" s="56">
        <f>2141000-16000</f>
        <v>2125000</v>
      </c>
      <c r="G37" s="56">
        <f>2127017-22782</f>
        <v>2104235</v>
      </c>
      <c r="H37" s="55"/>
      <c r="I37" s="54">
        <f>IF(F37=0,"nerozp.",G37/F37)</f>
        <v>0.99022823529411763</v>
      </c>
    </row>
    <row r="38" spans="1:9" ht="16.5" x14ac:dyDescent="0.35">
      <c r="A38" s="59" t="s">
        <v>17</v>
      </c>
      <c r="B38" s="58"/>
      <c r="C38" s="57"/>
      <c r="D38" s="60"/>
      <c r="E38" s="60"/>
      <c r="F38" s="56">
        <v>194000</v>
      </c>
      <c r="G38" s="56">
        <v>195300</v>
      </c>
      <c r="H38" s="55"/>
      <c r="I38" s="54">
        <f>IF(F38=0,"nerozp.",G38/F38)</f>
        <v>1.006701030927835</v>
      </c>
    </row>
    <row r="39" spans="1:9" ht="16.5" x14ac:dyDescent="0.35">
      <c r="A39" s="59" t="s">
        <v>16</v>
      </c>
      <c r="B39" s="58"/>
      <c r="C39" s="57"/>
      <c r="D39" s="60"/>
      <c r="E39" s="60"/>
      <c r="F39" s="56">
        <v>0</v>
      </c>
      <c r="G39" s="56">
        <v>0</v>
      </c>
      <c r="H39" s="55"/>
      <c r="I39" s="54" t="str">
        <f>IF(F39=0,"nerozp.",G39/F39)</f>
        <v>nerozp.</v>
      </c>
    </row>
    <row r="40" spans="1:9" ht="16.5" x14ac:dyDescent="0.35">
      <c r="A40" s="59" t="s">
        <v>15</v>
      </c>
      <c r="B40" s="58"/>
      <c r="C40" s="57"/>
      <c r="D40" s="5"/>
      <c r="E40" s="5"/>
      <c r="F40" s="56">
        <v>146000</v>
      </c>
      <c r="G40" s="56">
        <v>146000</v>
      </c>
      <c r="H40" s="55"/>
      <c r="I40" s="54">
        <f>IF(F40=0,"nerozp.",G40/F40)</f>
        <v>1</v>
      </c>
    </row>
    <row r="41" spans="1:9" ht="16.5" x14ac:dyDescent="0.35">
      <c r="A41" s="59" t="s">
        <v>14</v>
      </c>
      <c r="B41" s="58"/>
      <c r="C41" s="57"/>
      <c r="D41" s="5"/>
      <c r="E41" s="5"/>
      <c r="F41" s="56">
        <v>0</v>
      </c>
      <c r="G41" s="56">
        <v>0</v>
      </c>
      <c r="H41" s="55"/>
      <c r="I41" s="54" t="str">
        <f>IF(F41=0,"nerozp.",G41/F41)</f>
        <v>nerozp.</v>
      </c>
    </row>
    <row r="42" spans="1:9" ht="14.25" x14ac:dyDescent="0.2">
      <c r="A42" s="53" t="s">
        <v>13</v>
      </c>
      <c r="B42" s="52" t="s">
        <v>321</v>
      </c>
      <c r="C42" s="51"/>
      <c r="D42" s="47"/>
      <c r="E42" s="47"/>
      <c r="F42" s="46"/>
      <c r="G42" s="46"/>
      <c r="H42" s="45"/>
      <c r="I42" s="44"/>
    </row>
    <row r="43" spans="1:9" ht="25.5" customHeight="1" x14ac:dyDescent="0.2">
      <c r="A43" s="50"/>
      <c r="B43" s="564" t="s">
        <v>322</v>
      </c>
      <c r="C43" s="565"/>
      <c r="D43" s="565"/>
      <c r="E43" s="565"/>
      <c r="F43" s="565"/>
      <c r="G43" s="565"/>
      <c r="H43" s="565"/>
      <c r="I43" s="565"/>
    </row>
    <row r="44" spans="1:9" ht="16.5" x14ac:dyDescent="0.35">
      <c r="A44" s="50"/>
      <c r="B44" s="49"/>
      <c r="C44" s="48"/>
      <c r="D44" s="47"/>
      <c r="E44" s="47"/>
      <c r="F44" s="46"/>
      <c r="G44" s="46"/>
      <c r="H44" s="45"/>
      <c r="I44" s="44"/>
    </row>
    <row r="45" spans="1:9" ht="19.5" thickBot="1" x14ac:dyDescent="0.45">
      <c r="A45" s="43" t="s">
        <v>12</v>
      </c>
      <c r="B45" s="43" t="s">
        <v>11</v>
      </c>
      <c r="C45" s="42"/>
      <c r="D45" s="5"/>
      <c r="E45" s="5"/>
      <c r="F45" s="4"/>
      <c r="G45" s="10"/>
      <c r="H45" s="549" t="s">
        <v>10</v>
      </c>
      <c r="I45" s="550"/>
    </row>
    <row r="46" spans="1:9" ht="18.75" thickTop="1" x14ac:dyDescent="0.35">
      <c r="A46" s="41"/>
      <c r="B46" s="39"/>
      <c r="C46" s="40"/>
      <c r="D46" s="39"/>
      <c r="E46" s="38" t="s">
        <v>9</v>
      </c>
      <c r="F46" s="37" t="s">
        <v>8</v>
      </c>
      <c r="G46" s="37" t="s">
        <v>7</v>
      </c>
      <c r="H46" s="36" t="s">
        <v>6</v>
      </c>
      <c r="I46" s="35" t="s">
        <v>5</v>
      </c>
    </row>
    <row r="47" spans="1:9" x14ac:dyDescent="0.2">
      <c r="A47" s="31"/>
      <c r="B47" s="4"/>
      <c r="C47" s="4"/>
      <c r="D47" s="4"/>
      <c r="E47" s="31"/>
      <c r="F47" s="542"/>
      <c r="G47" s="34"/>
      <c r="H47" s="33">
        <v>41274</v>
      </c>
      <c r="I47" s="32">
        <v>41274</v>
      </c>
    </row>
    <row r="48" spans="1:9"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2000</v>
      </c>
      <c r="F50" s="22">
        <v>0</v>
      </c>
      <c r="G50" s="21">
        <v>0</v>
      </c>
      <c r="H50" s="21">
        <f>E50+F50-G50</f>
        <v>2000</v>
      </c>
      <c r="I50" s="20">
        <v>2000</v>
      </c>
    </row>
    <row r="51" spans="1:9" x14ac:dyDescent="0.2">
      <c r="A51" s="19"/>
      <c r="B51" s="18"/>
      <c r="C51" s="18" t="s">
        <v>3</v>
      </c>
      <c r="D51" s="18"/>
      <c r="E51" s="464">
        <v>11130.43</v>
      </c>
      <c r="F51" s="17">
        <v>20955</v>
      </c>
      <c r="G51" s="16">
        <v>22820</v>
      </c>
      <c r="H51" s="16">
        <f>E51+F51-G51</f>
        <v>9265.43</v>
      </c>
      <c r="I51" s="15">
        <v>3979.43</v>
      </c>
    </row>
    <row r="52" spans="1:9" x14ac:dyDescent="0.2">
      <c r="A52" s="19"/>
      <c r="B52" s="18"/>
      <c r="C52" s="18" t="s">
        <v>2</v>
      </c>
      <c r="D52" s="18"/>
      <c r="E52" s="464">
        <v>15898.05</v>
      </c>
      <c r="F52" s="17">
        <v>0</v>
      </c>
      <c r="G52" s="16">
        <v>0</v>
      </c>
      <c r="H52" s="16">
        <f>E52+F52-G52</f>
        <v>15898.05</v>
      </c>
      <c r="I52" s="15">
        <v>15898.05</v>
      </c>
    </row>
    <row r="53" spans="1:9" x14ac:dyDescent="0.2">
      <c r="A53" s="19"/>
      <c r="B53" s="18"/>
      <c r="C53" s="18" t="s">
        <v>1</v>
      </c>
      <c r="D53" s="18"/>
      <c r="E53" s="464">
        <v>111821</v>
      </c>
      <c r="F53" s="17">
        <v>195300</v>
      </c>
      <c r="G53" s="16">
        <v>159549.79</v>
      </c>
      <c r="H53" s="16">
        <f>E53+F53-G53</f>
        <v>147571.21</v>
      </c>
      <c r="I53" s="15">
        <v>147571.21</v>
      </c>
    </row>
    <row r="54" spans="1:9" ht="18.75" thickBot="1" x14ac:dyDescent="0.4">
      <c r="A54" s="14" t="s">
        <v>0</v>
      </c>
      <c r="B54" s="13"/>
      <c r="C54" s="13"/>
      <c r="D54" s="13"/>
      <c r="E54" s="465">
        <f>SUM(E50:E53)</f>
        <v>140849.48000000001</v>
      </c>
      <c r="F54" s="12">
        <f>SUM(F50:F53)</f>
        <v>216255</v>
      </c>
      <c r="G54" s="12">
        <f>SUM(G50:G53)</f>
        <v>182369.79</v>
      </c>
      <c r="H54" s="12">
        <f>SUM(H50:H53)</f>
        <v>174734.69</v>
      </c>
      <c r="I54" s="11">
        <f>SUM(I50:I53)</f>
        <v>169448.69</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A2:D2"/>
    <mergeCell ref="E3:I3"/>
    <mergeCell ref="E2:I2"/>
    <mergeCell ref="E5:I5"/>
    <mergeCell ref="E4:I4"/>
    <mergeCell ref="F47:F48"/>
    <mergeCell ref="E6:G6"/>
    <mergeCell ref="A32:I34"/>
    <mergeCell ref="E7:I7"/>
    <mergeCell ref="H13:I13"/>
    <mergeCell ref="H45:I45"/>
    <mergeCell ref="B43:I43"/>
  </mergeCells>
  <conditionalFormatting sqref="I42 I44">
    <cfRule type="cellIs" dxfId="212" priority="9" stopIfTrue="1" operator="greaterThan">
      <formula>1</formula>
    </cfRule>
  </conditionalFormatting>
  <conditionalFormatting sqref="H50:H53">
    <cfRule type="cellIs" dxfId="211" priority="13" stopIfTrue="1" operator="notEqual">
      <formula>E50+F50-G50</formula>
    </cfRule>
  </conditionalFormatting>
  <conditionalFormatting sqref="I54">
    <cfRule type="cellIs" dxfId="210" priority="14" stopIfTrue="1" operator="notEqual">
      <formula>$I$50+$I$51+$I$52+$I$53</formula>
    </cfRule>
  </conditionalFormatting>
  <conditionalFormatting sqref="H54">
    <cfRule type="cellIs" dxfId="209" priority="15" stopIfTrue="1" operator="notEqual">
      <formula>E54+F54-G54</formula>
    </cfRule>
    <cfRule type="cellIs" dxfId="208" priority="16" stopIfTrue="1" operator="notEqual">
      <formula>SUM($H$50:$H$53)</formula>
    </cfRule>
  </conditionalFormatting>
  <conditionalFormatting sqref="G18 G16">
    <cfRule type="cellIs" dxfId="207" priority="17" stopIfTrue="1" operator="notEqual">
      <formula>H16+I16</formula>
    </cfRule>
  </conditionalFormatting>
  <conditionalFormatting sqref="G24">
    <cfRule type="cellIs" dxfId="206" priority="18" stopIfTrue="1" operator="notEqual">
      <formula>ROUND(H24+I24,2)</formula>
    </cfRule>
  </conditionalFormatting>
  <conditionalFormatting sqref="H24">
    <cfRule type="cellIs" dxfId="205" priority="19" stopIfTrue="1" operator="notEqual">
      <formula>$H$18-$H$16</formula>
    </cfRule>
  </conditionalFormatting>
  <conditionalFormatting sqref="I24">
    <cfRule type="cellIs" dxfId="204" priority="20" stopIfTrue="1" operator="notEqual">
      <formula>I18-I16</formula>
    </cfRule>
  </conditionalFormatting>
  <conditionalFormatting sqref="G23">
    <cfRule type="cellIs" dxfId="203" priority="7" stopIfTrue="1" operator="notEqual">
      <formula>ROUND(H23+I23,2)</formula>
    </cfRule>
  </conditionalFormatting>
  <conditionalFormatting sqref="G28">
    <cfRule type="cellIs" dxfId="202" priority="5" operator="notEqual">
      <formula>ROUND($G$24,2)</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0" width="11.5703125" style="180" bestFit="1" customWidth="1"/>
    <col min="11" max="16384" width="9.140625" style="180"/>
  </cols>
  <sheetData>
    <row r="1" spans="1:11" ht="19.5" x14ac:dyDescent="0.4">
      <c r="A1" s="119" t="s">
        <v>47</v>
      </c>
      <c r="B1" s="118"/>
      <c r="C1" s="118"/>
      <c r="D1" s="118"/>
    </row>
    <row r="2" spans="1:11" ht="19.5" x14ac:dyDescent="0.4">
      <c r="A2" s="553" t="s">
        <v>46</v>
      </c>
      <c r="B2" s="553"/>
      <c r="C2" s="553"/>
      <c r="D2" s="553"/>
      <c r="E2" s="554" t="s">
        <v>173</v>
      </c>
      <c r="F2" s="543"/>
      <c r="G2" s="543"/>
      <c r="H2" s="543"/>
      <c r="I2" s="543"/>
      <c r="J2" s="458"/>
      <c r="K2" s="458"/>
    </row>
    <row r="3" spans="1:11" ht="12" customHeight="1" x14ac:dyDescent="0.4">
      <c r="A3" s="455"/>
      <c r="B3" s="455"/>
      <c r="C3" s="455"/>
      <c r="D3" s="455"/>
      <c r="E3" s="546" t="s">
        <v>44</v>
      </c>
      <c r="F3" s="546"/>
      <c r="G3" s="546"/>
      <c r="H3" s="546"/>
      <c r="I3" s="546"/>
    </row>
    <row r="4" spans="1:11" ht="15.75" x14ac:dyDescent="0.25">
      <c r="A4" s="115" t="s">
        <v>45</v>
      </c>
      <c r="E4" s="555" t="s">
        <v>174</v>
      </c>
      <c r="F4" s="555"/>
      <c r="G4" s="555"/>
      <c r="H4" s="555"/>
      <c r="I4" s="555"/>
    </row>
    <row r="5" spans="1:11" ht="9" customHeight="1" x14ac:dyDescent="0.25">
      <c r="A5" s="115"/>
      <c r="E5" s="546" t="s">
        <v>44</v>
      </c>
      <c r="F5" s="546"/>
      <c r="G5" s="546"/>
      <c r="H5" s="546"/>
      <c r="I5" s="546"/>
    </row>
    <row r="6" spans="1:11" ht="19.5" x14ac:dyDescent="0.4">
      <c r="A6" s="113" t="s">
        <v>43</v>
      </c>
      <c r="E6" s="543" t="s">
        <v>175</v>
      </c>
      <c r="F6" s="543"/>
      <c r="G6" s="543"/>
      <c r="H6" s="113" t="s">
        <v>42</v>
      </c>
      <c r="I6" s="111" t="s">
        <v>176</v>
      </c>
    </row>
    <row r="7" spans="1:11" ht="9.75" customHeight="1" x14ac:dyDescent="0.4">
      <c r="A7" s="113"/>
      <c r="E7" s="546" t="s">
        <v>41</v>
      </c>
      <c r="F7" s="546"/>
      <c r="G7" s="546"/>
      <c r="H7" s="546"/>
      <c r="I7" s="546"/>
    </row>
    <row r="8" spans="1:11" ht="19.5" x14ac:dyDescent="0.4">
      <c r="A8" s="113"/>
      <c r="E8" s="111"/>
      <c r="F8" s="111"/>
      <c r="G8" s="111"/>
      <c r="H8" s="112"/>
      <c r="I8" s="111"/>
    </row>
    <row r="9" spans="1:11" ht="19.5"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456"/>
      <c r="I14" s="457"/>
    </row>
    <row r="15" spans="1:11" ht="18.75" x14ac:dyDescent="0.4">
      <c r="A15" s="71" t="s">
        <v>32</v>
      </c>
      <c r="B15" s="71"/>
      <c r="C15" s="99"/>
      <c r="D15" s="98"/>
      <c r="E15" s="100"/>
      <c r="F15" s="100"/>
      <c r="G15" s="82"/>
      <c r="H15" s="66"/>
      <c r="I15" s="66"/>
    </row>
    <row r="16" spans="1:11" ht="19.5" x14ac:dyDescent="0.4">
      <c r="A16" s="85" t="s">
        <v>31</v>
      </c>
      <c r="B16" s="71"/>
      <c r="C16" s="99"/>
      <c r="D16" s="98"/>
      <c r="E16" s="78">
        <v>15601000</v>
      </c>
      <c r="F16" s="93">
        <v>15601000</v>
      </c>
      <c r="G16" s="90">
        <f>H16+I16</f>
        <v>15751715.01</v>
      </c>
      <c r="H16" s="78">
        <v>15751715.01</v>
      </c>
      <c r="I16" s="78">
        <v>0</v>
      </c>
    </row>
    <row r="17" spans="1:9" ht="14.25" x14ac:dyDescent="0.3">
      <c r="A17" s="97"/>
      <c r="B17" s="96"/>
      <c r="C17" s="96"/>
      <c r="D17" s="96"/>
      <c r="E17" s="95"/>
      <c r="F17" s="94"/>
    </row>
    <row r="18" spans="1:9" ht="19.5" x14ac:dyDescent="0.4">
      <c r="A18" s="85" t="s">
        <v>30</v>
      </c>
      <c r="B18" s="83"/>
      <c r="C18" s="83"/>
      <c r="D18" s="83"/>
      <c r="E18" s="78">
        <v>14179000</v>
      </c>
      <c r="F18" s="93">
        <v>15601000</v>
      </c>
      <c r="G18" s="90">
        <f>H18+I18</f>
        <v>15752557.59</v>
      </c>
      <c r="H18" s="78">
        <v>15752557.59</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842.58</v>
      </c>
      <c r="H24" s="75">
        <f>H18-H16</f>
        <v>842.58000000007451</v>
      </c>
      <c r="I24" s="75">
        <f>I18-I164</f>
        <v>0</v>
      </c>
    </row>
    <row r="26" spans="1:9" x14ac:dyDescent="0.2">
      <c r="H26" s="66"/>
    </row>
    <row r="28" spans="1:9" ht="19.5" x14ac:dyDescent="0.4">
      <c r="A28" s="43" t="s">
        <v>28</v>
      </c>
      <c r="B28" s="43" t="s">
        <v>27</v>
      </c>
      <c r="C28" s="43"/>
      <c r="D28" s="65"/>
      <c r="E28" s="65"/>
      <c r="F28" s="4"/>
      <c r="G28" s="460">
        <v>842.58</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842.58000000007451</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11" x14ac:dyDescent="0.2">
      <c r="A33" s="545"/>
      <c r="B33" s="545"/>
      <c r="C33" s="545"/>
      <c r="D33" s="545"/>
      <c r="E33" s="545"/>
      <c r="F33" s="545"/>
      <c r="G33" s="545"/>
      <c r="H33" s="545"/>
      <c r="I33" s="545"/>
    </row>
    <row r="34" spans="1:11" x14ac:dyDescent="0.2">
      <c r="A34" s="545"/>
      <c r="B34" s="545"/>
      <c r="C34" s="545"/>
      <c r="D34" s="545"/>
      <c r="E34" s="545"/>
      <c r="F34" s="545"/>
      <c r="G34" s="545"/>
      <c r="H34" s="545"/>
      <c r="I34" s="545"/>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56">
        <f>8394000-50000</f>
        <v>8344000</v>
      </c>
      <c r="G37" s="56">
        <f>8333940+41999</f>
        <v>8375939</v>
      </c>
      <c r="H37" s="55"/>
      <c r="I37" s="54">
        <f>IF(F37=0,"nerozp.",G37/F37)</f>
        <v>1.0038277804410354</v>
      </c>
      <c r="J37" s="446"/>
      <c r="K37" s="461"/>
    </row>
    <row r="38" spans="1:11" ht="16.5" x14ac:dyDescent="0.35">
      <c r="A38" s="59" t="s">
        <v>17</v>
      </c>
      <c r="B38" s="58"/>
      <c r="C38" s="57"/>
      <c r="D38" s="60"/>
      <c r="E38" s="60"/>
      <c r="F38" s="56">
        <v>373000</v>
      </c>
      <c r="G38" s="56">
        <v>373148</v>
      </c>
      <c r="H38" s="55"/>
      <c r="I38" s="54">
        <f>IF(F38=0,"nerozp.",G38/F38)</f>
        <v>1.000396782841823</v>
      </c>
      <c r="J38" s="447"/>
      <c r="K38" s="461"/>
    </row>
    <row r="39" spans="1:11" ht="16.5" x14ac:dyDescent="0.35">
      <c r="A39" s="59" t="s">
        <v>16</v>
      </c>
      <c r="B39" s="58"/>
      <c r="C39" s="57"/>
      <c r="D39" s="60"/>
      <c r="E39" s="60"/>
      <c r="F39" s="56">
        <v>0</v>
      </c>
      <c r="G39" s="56">
        <v>0</v>
      </c>
      <c r="H39" s="55"/>
      <c r="I39" s="54" t="str">
        <f>IF(F39=0,"nerozp.",G39/F39)</f>
        <v>nerozp.</v>
      </c>
    </row>
    <row r="40" spans="1:11" ht="16.5" x14ac:dyDescent="0.35">
      <c r="A40" s="59" t="s">
        <v>15</v>
      </c>
      <c r="B40" s="58"/>
      <c r="C40" s="57"/>
      <c r="D40" s="5"/>
      <c r="E40" s="5"/>
      <c r="F40" s="56">
        <v>280000</v>
      </c>
      <c r="G40" s="56">
        <v>280000</v>
      </c>
      <c r="H40" s="55"/>
      <c r="I40" s="54">
        <f>IF(F40=0,"nerozp.",G40/F40)</f>
        <v>1</v>
      </c>
      <c r="J40" s="462"/>
      <c r="K40" s="445"/>
    </row>
    <row r="41" spans="1:11" ht="16.5" x14ac:dyDescent="0.35">
      <c r="A41" s="59" t="s">
        <v>14</v>
      </c>
      <c r="B41" s="58"/>
      <c r="C41" s="57"/>
      <c r="D41" s="5"/>
      <c r="E41" s="5"/>
      <c r="F41" s="56">
        <v>0</v>
      </c>
      <c r="G41" s="56">
        <v>0</v>
      </c>
      <c r="H41" s="55"/>
      <c r="I41" s="54" t="str">
        <f>IF(F41=0,"nerozp.",G41/F41)</f>
        <v>nerozp.</v>
      </c>
    </row>
    <row r="42" spans="1:11" ht="14.25" x14ac:dyDescent="0.2">
      <c r="A42" s="53" t="s">
        <v>13</v>
      </c>
      <c r="B42" s="52" t="s">
        <v>301</v>
      </c>
      <c r="C42" s="51"/>
      <c r="D42" s="47"/>
      <c r="E42" s="47"/>
      <c r="F42" s="46"/>
      <c r="G42" s="46"/>
      <c r="H42" s="45"/>
      <c r="I42" s="44"/>
    </row>
    <row r="43" spans="1:11" ht="27.75" customHeight="1" x14ac:dyDescent="0.2">
      <c r="A43" s="50"/>
      <c r="B43" s="551" t="s">
        <v>342</v>
      </c>
      <c r="C43" s="552"/>
      <c r="D43" s="552"/>
      <c r="E43" s="552"/>
      <c r="F43" s="552"/>
      <c r="G43" s="552"/>
      <c r="H43" s="552"/>
      <c r="I43" s="552"/>
    </row>
    <row r="44" spans="1:11" ht="5.25" customHeight="1"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48600</v>
      </c>
      <c r="F50" s="22">
        <v>0</v>
      </c>
      <c r="G50" s="21">
        <v>0</v>
      </c>
      <c r="H50" s="21">
        <f>E50+F50-G50</f>
        <v>48600</v>
      </c>
      <c r="I50" s="20">
        <v>48600</v>
      </c>
    </row>
    <row r="51" spans="1:9" x14ac:dyDescent="0.2">
      <c r="A51" s="19"/>
      <c r="B51" s="18"/>
      <c r="C51" s="18" t="s">
        <v>3</v>
      </c>
      <c r="D51" s="18"/>
      <c r="E51" s="464">
        <v>85803.62</v>
      </c>
      <c r="F51" s="17">
        <v>83000</v>
      </c>
      <c r="G51" s="16">
        <v>139781</v>
      </c>
      <c r="H51" s="16">
        <f>E51+F51-G51</f>
        <v>29022.619999999995</v>
      </c>
      <c r="I51" s="15">
        <v>15572.62</v>
      </c>
    </row>
    <row r="52" spans="1:9" x14ac:dyDescent="0.2">
      <c r="A52" s="19"/>
      <c r="B52" s="18"/>
      <c r="C52" s="18" t="s">
        <v>2</v>
      </c>
      <c r="D52" s="18"/>
      <c r="E52" s="464">
        <v>3911.31</v>
      </c>
      <c r="F52" s="17">
        <v>4066.11</v>
      </c>
      <c r="G52" s="16">
        <v>0</v>
      </c>
      <c r="H52" s="16">
        <f>E52+F52-G52</f>
        <v>7977.42</v>
      </c>
      <c r="I52" s="15">
        <v>7977.42</v>
      </c>
    </row>
    <row r="53" spans="1:9" x14ac:dyDescent="0.2">
      <c r="A53" s="19"/>
      <c r="B53" s="18"/>
      <c r="C53" s="18" t="s">
        <v>1</v>
      </c>
      <c r="D53" s="18"/>
      <c r="E53" s="464">
        <v>71614.8</v>
      </c>
      <c r="F53" s="17">
        <v>445154.00000000006</v>
      </c>
      <c r="G53" s="16">
        <v>382006</v>
      </c>
      <c r="H53" s="16">
        <f>E53+F53-G53</f>
        <v>134762.80000000005</v>
      </c>
      <c r="I53" s="15">
        <v>134762.79999999999</v>
      </c>
    </row>
    <row r="54" spans="1:9" ht="18.75" thickBot="1" x14ac:dyDescent="0.4">
      <c r="A54" s="14" t="s">
        <v>0</v>
      </c>
      <c r="B54" s="13"/>
      <c r="C54" s="13"/>
      <c r="D54" s="13"/>
      <c r="E54" s="465">
        <f>SUM(E50:E53)</f>
        <v>209929.72999999998</v>
      </c>
      <c r="F54" s="12">
        <f>SUM(F50:F53)</f>
        <v>532220.1100000001</v>
      </c>
      <c r="G54" s="12">
        <f>SUM(G50:G53)</f>
        <v>521787</v>
      </c>
      <c r="H54" s="12">
        <f>SUM(H50:H53)</f>
        <v>220362.84000000003</v>
      </c>
      <c r="I54" s="11">
        <f>SUM(I50:I53)</f>
        <v>206912.84</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A2:D2"/>
    <mergeCell ref="E3:I3"/>
    <mergeCell ref="E2:I2"/>
    <mergeCell ref="E5:I5"/>
    <mergeCell ref="E4:I4"/>
    <mergeCell ref="F47:F48"/>
    <mergeCell ref="E6:G6"/>
    <mergeCell ref="A32:I34"/>
    <mergeCell ref="E7:I7"/>
    <mergeCell ref="H13:I13"/>
    <mergeCell ref="H45:I45"/>
    <mergeCell ref="B43:I43"/>
  </mergeCells>
  <conditionalFormatting sqref="I42 I44">
    <cfRule type="cellIs" dxfId="445" priority="12" stopIfTrue="1" operator="greaterThan">
      <formula>1</formula>
    </cfRule>
  </conditionalFormatting>
  <conditionalFormatting sqref="G28">
    <cfRule type="cellIs" dxfId="444" priority="9" operator="notEqual">
      <formula>$G$24</formula>
    </cfRule>
    <cfRule type="cellIs" dxfId="443" priority="15" stopIfTrue="1" operator="notEqual">
      <formula>ROUND($G$29+$G$30+$G$31,2)</formula>
    </cfRule>
  </conditionalFormatting>
  <conditionalFormatting sqref="H50:H53">
    <cfRule type="cellIs" dxfId="442" priority="16" stopIfTrue="1" operator="notEqual">
      <formula>E50+F50-G50</formula>
    </cfRule>
  </conditionalFormatting>
  <conditionalFormatting sqref="I54">
    <cfRule type="cellIs" dxfId="441" priority="17" stopIfTrue="1" operator="notEqual">
      <formula>$I$50+$I$51+$I$52+$I$53</formula>
    </cfRule>
  </conditionalFormatting>
  <conditionalFormatting sqref="H54">
    <cfRule type="cellIs" dxfId="440" priority="18" stopIfTrue="1" operator="notEqual">
      <formula>E54+F54-G54</formula>
    </cfRule>
    <cfRule type="cellIs" dxfId="439" priority="19" stopIfTrue="1" operator="notEqual">
      <formula>SUM($H$50:$H$53)</formula>
    </cfRule>
  </conditionalFormatting>
  <conditionalFormatting sqref="G18 G16">
    <cfRule type="cellIs" dxfId="438" priority="20" stopIfTrue="1" operator="notEqual">
      <formula>H16+I16</formula>
    </cfRule>
  </conditionalFormatting>
  <conditionalFormatting sqref="G24">
    <cfRule type="cellIs" dxfId="437" priority="21" stopIfTrue="1" operator="notEqual">
      <formula>ROUND(H24+I24,2)</formula>
    </cfRule>
  </conditionalFormatting>
  <conditionalFormatting sqref="H24">
    <cfRule type="cellIs" dxfId="436" priority="22" stopIfTrue="1" operator="notEqual">
      <formula>$H$18-$H$16</formula>
    </cfRule>
  </conditionalFormatting>
  <conditionalFormatting sqref="I24">
    <cfRule type="cellIs" dxfId="435" priority="23" stopIfTrue="1" operator="notEqual">
      <formula>I18-I16</formula>
    </cfRule>
  </conditionalFormatting>
  <conditionalFormatting sqref="G23">
    <cfRule type="cellIs" dxfId="434" priority="10" stopIfTrue="1" operator="notEqual">
      <formula>ROUND(H23+I23,2)</formula>
    </cfRule>
  </conditionalFormatting>
  <conditionalFormatting sqref="J37">
    <cfRule type="cellIs" dxfId="433" priority="3" operator="greaterThan">
      <formula>0</formula>
    </cfRule>
    <cfRule type="cellIs" dxfId="432" priority="4" operator="lessThan">
      <formula>0</formula>
    </cfRule>
  </conditionalFormatting>
  <conditionalFormatting sqref="J38">
    <cfRule type="cellIs" dxfId="431" priority="1" operator="greaterThan">
      <formula>0</formula>
    </cfRule>
    <cfRule type="cellIs" dxfId="430" priority="2" operator="lessThan">
      <formula>0</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9" ht="19.5" x14ac:dyDescent="0.4">
      <c r="A1" s="119" t="s">
        <v>47</v>
      </c>
      <c r="B1" s="118"/>
      <c r="C1" s="118"/>
      <c r="D1" s="118"/>
    </row>
    <row r="2" spans="1:9" ht="19.5" x14ac:dyDescent="0.4">
      <c r="A2" s="553" t="s">
        <v>46</v>
      </c>
      <c r="B2" s="553"/>
      <c r="C2" s="553"/>
      <c r="D2" s="553"/>
      <c r="E2" s="554" t="s">
        <v>100</v>
      </c>
      <c r="F2" s="543"/>
      <c r="G2" s="543"/>
      <c r="H2" s="543"/>
      <c r="I2" s="543"/>
    </row>
    <row r="3" spans="1:9" ht="12" customHeight="1" x14ac:dyDescent="0.4">
      <c r="A3" s="455"/>
      <c r="B3" s="455"/>
      <c r="C3" s="455"/>
      <c r="D3" s="455"/>
      <c r="E3" s="546" t="s">
        <v>44</v>
      </c>
      <c r="F3" s="546"/>
      <c r="G3" s="546"/>
      <c r="H3" s="546"/>
      <c r="I3" s="546"/>
    </row>
    <row r="4" spans="1:9" ht="15.75" x14ac:dyDescent="0.25">
      <c r="A4" s="115" t="s">
        <v>45</v>
      </c>
      <c r="E4" s="555" t="s">
        <v>242</v>
      </c>
      <c r="F4" s="555"/>
      <c r="G4" s="555"/>
      <c r="H4" s="555"/>
      <c r="I4" s="555"/>
    </row>
    <row r="5" spans="1:9" ht="9" customHeight="1" x14ac:dyDescent="0.25">
      <c r="A5" s="115"/>
      <c r="E5" s="546" t="s">
        <v>44</v>
      </c>
      <c r="F5" s="546"/>
      <c r="G5" s="546"/>
      <c r="H5" s="546"/>
      <c r="I5" s="546"/>
    </row>
    <row r="6" spans="1:9" ht="19.5" x14ac:dyDescent="0.4">
      <c r="A6" s="113" t="s">
        <v>43</v>
      </c>
      <c r="E6" s="543" t="s">
        <v>243</v>
      </c>
      <c r="F6" s="543"/>
      <c r="G6" s="543"/>
      <c r="H6" s="113" t="s">
        <v>42</v>
      </c>
      <c r="I6" s="111" t="s">
        <v>244</v>
      </c>
    </row>
    <row r="7" spans="1:9" ht="9.75" customHeight="1" x14ac:dyDescent="0.4">
      <c r="A7" s="113"/>
      <c r="E7" s="546" t="s">
        <v>41</v>
      </c>
      <c r="F7" s="546"/>
      <c r="G7" s="546"/>
      <c r="H7" s="546"/>
      <c r="I7" s="546"/>
    </row>
    <row r="8" spans="1:9" ht="19.5" x14ac:dyDescent="0.4">
      <c r="A8" s="113"/>
      <c r="E8" s="111"/>
      <c r="F8" s="111"/>
      <c r="G8" s="111"/>
      <c r="H8" s="112"/>
      <c r="I8" s="111"/>
    </row>
    <row r="9" spans="1:9" ht="19.5" x14ac:dyDescent="0.4">
      <c r="A9" s="113"/>
      <c r="E9" s="111"/>
      <c r="F9" s="111"/>
      <c r="G9" s="111"/>
      <c r="H9" s="112"/>
      <c r="I9" s="111"/>
    </row>
    <row r="11" spans="1:9" ht="18.75" x14ac:dyDescent="0.4">
      <c r="A11" s="110"/>
      <c r="B11" s="94"/>
      <c r="C11" s="94"/>
      <c r="D11" s="94"/>
      <c r="E11" s="104" t="s">
        <v>40</v>
      </c>
      <c r="F11" s="104" t="s">
        <v>39</v>
      </c>
      <c r="G11" s="107" t="s">
        <v>20</v>
      </c>
      <c r="H11" s="109" t="s">
        <v>38</v>
      </c>
      <c r="I11" s="108"/>
    </row>
    <row r="12" spans="1:9" ht="18.75" x14ac:dyDescent="0.4">
      <c r="A12" s="66"/>
      <c r="B12" s="66"/>
      <c r="C12" s="66"/>
      <c r="D12" s="66"/>
      <c r="E12" s="104" t="s">
        <v>37</v>
      </c>
      <c r="F12" s="104" t="s">
        <v>37</v>
      </c>
      <c r="G12" s="107" t="s">
        <v>36</v>
      </c>
      <c r="H12" s="106" t="s">
        <v>35</v>
      </c>
      <c r="I12" s="105" t="s">
        <v>34</v>
      </c>
    </row>
    <row r="13" spans="1:9" ht="15" x14ac:dyDescent="0.2">
      <c r="A13" s="66"/>
      <c r="B13" s="66"/>
      <c r="C13" s="66"/>
      <c r="D13" s="66"/>
      <c r="E13" s="104" t="s">
        <v>0</v>
      </c>
      <c r="F13" s="104" t="s">
        <v>0</v>
      </c>
      <c r="G13" s="103"/>
      <c r="H13" s="547" t="s">
        <v>33</v>
      </c>
      <c r="I13" s="548"/>
    </row>
    <row r="14" spans="1:9" ht="15" x14ac:dyDescent="0.2">
      <c r="A14" s="66"/>
      <c r="B14" s="66"/>
      <c r="C14" s="66"/>
      <c r="D14" s="66"/>
      <c r="E14" s="104"/>
      <c r="F14" s="104"/>
      <c r="G14" s="103"/>
      <c r="H14" s="456"/>
      <c r="I14" s="457"/>
    </row>
    <row r="15" spans="1:9" ht="18.75" x14ac:dyDescent="0.4">
      <c r="A15" s="71" t="s">
        <v>32</v>
      </c>
      <c r="B15" s="71"/>
      <c r="C15" s="99"/>
      <c r="D15" s="98"/>
      <c r="E15" s="100"/>
      <c r="F15" s="100"/>
      <c r="G15" s="82"/>
      <c r="H15" s="66"/>
      <c r="I15" s="66"/>
    </row>
    <row r="16" spans="1:9" ht="19.5" x14ac:dyDescent="0.4">
      <c r="A16" s="85" t="s">
        <v>31</v>
      </c>
      <c r="B16" s="71"/>
      <c r="C16" s="99"/>
      <c r="D16" s="98"/>
      <c r="E16" s="78">
        <v>21566000</v>
      </c>
      <c r="F16" s="93">
        <v>21579000</v>
      </c>
      <c r="G16" s="90">
        <f>H16+I16</f>
        <v>22219470.890000001</v>
      </c>
      <c r="H16" s="78">
        <v>22219470.890000001</v>
      </c>
      <c r="I16" s="78">
        <v>0</v>
      </c>
    </row>
    <row r="17" spans="1:9" ht="14.25" x14ac:dyDescent="0.3">
      <c r="A17" s="97"/>
      <c r="B17" s="96"/>
      <c r="C17" s="96"/>
      <c r="D17" s="96"/>
      <c r="E17" s="95"/>
      <c r="F17" s="94"/>
    </row>
    <row r="18" spans="1:9" ht="19.5" x14ac:dyDescent="0.4">
      <c r="A18" s="85" t="s">
        <v>30</v>
      </c>
      <c r="B18" s="83"/>
      <c r="C18" s="83"/>
      <c r="D18" s="83"/>
      <c r="E18" s="78">
        <v>19112000</v>
      </c>
      <c r="F18" s="93">
        <v>21579000</v>
      </c>
      <c r="G18" s="90">
        <f>H18+I18</f>
        <v>22225820.270000003</v>
      </c>
      <c r="H18" s="78">
        <v>22225820.270000003</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6349.38</v>
      </c>
      <c r="H24" s="75">
        <f>H18-H16</f>
        <v>6349.3800000026822</v>
      </c>
      <c r="I24" s="75">
        <f>I18-I164</f>
        <v>0</v>
      </c>
    </row>
    <row r="26" spans="1:9" x14ac:dyDescent="0.2">
      <c r="H26" s="66"/>
    </row>
    <row r="28" spans="1:9" ht="19.5" x14ac:dyDescent="0.4">
      <c r="A28" s="43" t="s">
        <v>28</v>
      </c>
      <c r="B28" s="43" t="s">
        <v>27</v>
      </c>
      <c r="C28" s="43"/>
      <c r="D28" s="65"/>
      <c r="E28" s="65"/>
      <c r="F28" s="4"/>
      <c r="G28" s="460">
        <f>ROUND(G29+G30+G31,2)</f>
        <v>6349.38</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6349.3800000026822</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9" x14ac:dyDescent="0.2">
      <c r="A33" s="545"/>
      <c r="B33" s="545"/>
      <c r="C33" s="545"/>
      <c r="D33" s="545"/>
      <c r="E33" s="545"/>
      <c r="F33" s="545"/>
      <c r="G33" s="545"/>
      <c r="H33" s="545"/>
      <c r="I33" s="545"/>
    </row>
    <row r="34" spans="1:9" x14ac:dyDescent="0.2">
      <c r="A34" s="545"/>
      <c r="B34" s="545"/>
      <c r="C34" s="545"/>
      <c r="D34" s="545"/>
      <c r="E34" s="545"/>
      <c r="F34" s="545"/>
      <c r="G34" s="545"/>
      <c r="H34" s="545"/>
      <c r="I34" s="545"/>
    </row>
    <row r="35" spans="1:9" ht="19.5" x14ac:dyDescent="0.4">
      <c r="A35" s="43" t="s">
        <v>23</v>
      </c>
      <c r="B35" s="43" t="s">
        <v>22</v>
      </c>
      <c r="C35" s="43"/>
      <c r="D35" s="63"/>
      <c r="E35" s="5"/>
      <c r="F35" s="65"/>
      <c r="G35" s="64"/>
      <c r="H35" s="4"/>
      <c r="I35" s="4"/>
    </row>
    <row r="36" spans="1:9" ht="18.75" x14ac:dyDescent="0.4">
      <c r="A36" s="43"/>
      <c r="B36" s="43"/>
      <c r="C36" s="43"/>
      <c r="D36" s="63"/>
      <c r="F36" s="9" t="s">
        <v>21</v>
      </c>
      <c r="G36" s="62" t="s">
        <v>20</v>
      </c>
      <c r="H36" s="4"/>
      <c r="I36" s="61" t="s">
        <v>19</v>
      </c>
    </row>
    <row r="37" spans="1:9" ht="16.5" x14ac:dyDescent="0.35">
      <c r="A37" s="59" t="s">
        <v>18</v>
      </c>
      <c r="B37" s="58"/>
      <c r="C37" s="57"/>
      <c r="D37" s="58"/>
      <c r="E37" s="5"/>
      <c r="F37" s="56">
        <f>10971000-100000</f>
        <v>10871000</v>
      </c>
      <c r="G37" s="56">
        <f>10962628-91628</f>
        <v>10871000</v>
      </c>
      <c r="H37" s="55"/>
      <c r="I37" s="54">
        <f>IF(F37=0,"nerozp.",G37/F37)</f>
        <v>1</v>
      </c>
    </row>
    <row r="38" spans="1:9" ht="16.5" x14ac:dyDescent="0.35">
      <c r="A38" s="59" t="s">
        <v>17</v>
      </c>
      <c r="B38" s="58"/>
      <c r="C38" s="57"/>
      <c r="D38" s="60"/>
      <c r="E38" s="60"/>
      <c r="F38" s="56">
        <v>380000</v>
      </c>
      <c r="G38" s="56">
        <v>380787</v>
      </c>
      <c r="H38" s="55"/>
      <c r="I38" s="54">
        <f>IF(F38=0,"nerozp.",G38/F38)</f>
        <v>1.002071052631579</v>
      </c>
    </row>
    <row r="39" spans="1:9" ht="16.5" x14ac:dyDescent="0.35">
      <c r="A39" s="59" t="s">
        <v>16</v>
      </c>
      <c r="B39" s="58"/>
      <c r="C39" s="57"/>
      <c r="D39" s="60"/>
      <c r="E39" s="60"/>
      <c r="F39" s="56">
        <v>0</v>
      </c>
      <c r="G39" s="56">
        <v>0</v>
      </c>
      <c r="H39" s="55"/>
      <c r="I39" s="54" t="str">
        <f>IF(F39=0,"nerozp.",G39/F39)</f>
        <v>nerozp.</v>
      </c>
    </row>
    <row r="40" spans="1:9" ht="16.5" x14ac:dyDescent="0.35">
      <c r="A40" s="59" t="s">
        <v>15</v>
      </c>
      <c r="B40" s="58"/>
      <c r="C40" s="57"/>
      <c r="D40" s="5"/>
      <c r="E40" s="5"/>
      <c r="F40" s="56">
        <v>305000</v>
      </c>
      <c r="G40" s="56">
        <v>305000</v>
      </c>
      <c r="H40" s="55"/>
      <c r="I40" s="54">
        <f>IF(F40=0,"nerozp.",G40/F40)</f>
        <v>1</v>
      </c>
    </row>
    <row r="41" spans="1:9" ht="16.5" x14ac:dyDescent="0.35">
      <c r="A41" s="59" t="s">
        <v>14</v>
      </c>
      <c r="B41" s="58"/>
      <c r="C41" s="57"/>
      <c r="D41" s="5"/>
      <c r="E41" s="5"/>
      <c r="F41" s="56">
        <v>0</v>
      </c>
      <c r="G41" s="56">
        <v>0</v>
      </c>
      <c r="H41" s="55"/>
      <c r="I41" s="54" t="str">
        <f>IF(F41=0,"nerozp.",G41/F41)</f>
        <v>nerozp.</v>
      </c>
    </row>
    <row r="42" spans="1:9" ht="14.25" x14ac:dyDescent="0.2">
      <c r="A42" s="53" t="s">
        <v>13</v>
      </c>
      <c r="B42" s="52" t="s">
        <v>331</v>
      </c>
      <c r="C42" s="51"/>
      <c r="D42" s="47"/>
      <c r="E42" s="47"/>
      <c r="F42" s="46"/>
      <c r="G42" s="46"/>
      <c r="H42" s="45"/>
      <c r="I42" s="44"/>
    </row>
    <row r="43" spans="1:9" ht="16.5" x14ac:dyDescent="0.35">
      <c r="A43" s="50"/>
      <c r="B43" s="49"/>
      <c r="C43" s="48"/>
      <c r="D43" s="47"/>
      <c r="E43" s="47"/>
      <c r="F43" s="46"/>
      <c r="G43" s="46"/>
      <c r="H43" s="45"/>
      <c r="I43" s="44"/>
    </row>
    <row r="44" spans="1:9" ht="16.5" x14ac:dyDescent="0.35">
      <c r="A44" s="50"/>
      <c r="B44" s="49"/>
      <c r="C44" s="48"/>
      <c r="D44" s="47"/>
      <c r="E44" s="47"/>
      <c r="F44" s="46"/>
      <c r="G44" s="46"/>
      <c r="H44" s="45"/>
      <c r="I44" s="44"/>
    </row>
    <row r="45" spans="1:9" ht="19.5" thickBot="1" x14ac:dyDescent="0.45">
      <c r="A45" s="43" t="s">
        <v>12</v>
      </c>
      <c r="B45" s="43" t="s">
        <v>11</v>
      </c>
      <c r="C45" s="42"/>
      <c r="D45" s="5"/>
      <c r="E45" s="5"/>
      <c r="F45" s="4"/>
      <c r="G45" s="10"/>
      <c r="H45" s="549" t="s">
        <v>10</v>
      </c>
      <c r="I45" s="550"/>
    </row>
    <row r="46" spans="1:9" ht="18.75" thickTop="1" x14ac:dyDescent="0.35">
      <c r="A46" s="41"/>
      <c r="B46" s="39"/>
      <c r="C46" s="40"/>
      <c r="D46" s="39"/>
      <c r="E46" s="38" t="s">
        <v>9</v>
      </c>
      <c r="F46" s="37" t="s">
        <v>8</v>
      </c>
      <c r="G46" s="37" t="s">
        <v>7</v>
      </c>
      <c r="H46" s="36" t="s">
        <v>6</v>
      </c>
      <c r="I46" s="35" t="s">
        <v>5</v>
      </c>
    </row>
    <row r="47" spans="1:9" x14ac:dyDescent="0.2">
      <c r="A47" s="31"/>
      <c r="B47" s="4"/>
      <c r="C47" s="4"/>
      <c r="D47" s="4"/>
      <c r="E47" s="31"/>
      <c r="F47" s="542"/>
      <c r="G47" s="34"/>
      <c r="H47" s="33">
        <v>41274</v>
      </c>
      <c r="I47" s="32">
        <v>41274</v>
      </c>
    </row>
    <row r="48" spans="1:9"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3200</v>
      </c>
      <c r="F50" s="22">
        <v>0</v>
      </c>
      <c r="G50" s="21">
        <v>0</v>
      </c>
      <c r="H50" s="21">
        <f>E50+F50-G50</f>
        <v>3200</v>
      </c>
      <c r="I50" s="20">
        <v>3200</v>
      </c>
    </row>
    <row r="51" spans="1:9" x14ac:dyDescent="0.2">
      <c r="A51" s="19"/>
      <c r="B51" s="18"/>
      <c r="C51" s="18" t="s">
        <v>3</v>
      </c>
      <c r="D51" s="18"/>
      <c r="E51" s="464">
        <v>272545.57</v>
      </c>
      <c r="F51" s="17">
        <v>109506</v>
      </c>
      <c r="G51" s="16">
        <v>174800</v>
      </c>
      <c r="H51" s="16">
        <f>E51+F51-G51</f>
        <v>207251.57</v>
      </c>
      <c r="I51" s="15">
        <v>197747.27</v>
      </c>
    </row>
    <row r="52" spans="1:9" x14ac:dyDescent="0.2">
      <c r="A52" s="19"/>
      <c r="B52" s="18"/>
      <c r="C52" s="18" t="s">
        <v>2</v>
      </c>
      <c r="D52" s="18"/>
      <c r="E52" s="464">
        <v>231031.81999999998</v>
      </c>
      <c r="F52" s="17">
        <v>244295.59000000003</v>
      </c>
      <c r="G52" s="16">
        <v>71832</v>
      </c>
      <c r="H52" s="16">
        <f>E52+F52-G52</f>
        <v>403495.41000000003</v>
      </c>
      <c r="I52" s="15">
        <v>403495.41000000003</v>
      </c>
    </row>
    <row r="53" spans="1:9" x14ac:dyDescent="0.2">
      <c r="A53" s="19"/>
      <c r="B53" s="18"/>
      <c r="C53" s="18" t="s">
        <v>1</v>
      </c>
      <c r="D53" s="18"/>
      <c r="E53" s="464">
        <v>179815</v>
      </c>
      <c r="F53" s="17">
        <v>1364543</v>
      </c>
      <c r="G53" s="16">
        <v>1288756</v>
      </c>
      <c r="H53" s="16">
        <f>E53+F53-G53</f>
        <v>255602</v>
      </c>
      <c r="I53" s="15">
        <v>255602</v>
      </c>
    </row>
    <row r="54" spans="1:9" ht="18.75" thickBot="1" x14ac:dyDescent="0.4">
      <c r="A54" s="14" t="s">
        <v>0</v>
      </c>
      <c r="B54" s="13"/>
      <c r="C54" s="13"/>
      <c r="D54" s="13"/>
      <c r="E54" s="465">
        <f>SUM(E50:E53)</f>
        <v>686592.39</v>
      </c>
      <c r="F54" s="12">
        <f>SUM(F50:F53)</f>
        <v>1718344.59</v>
      </c>
      <c r="G54" s="12">
        <f>SUM(G50:G53)</f>
        <v>1535388</v>
      </c>
      <c r="H54" s="12">
        <f>SUM(H50:H53)</f>
        <v>869548.98</v>
      </c>
      <c r="I54" s="11">
        <f>SUM(I50:I53)</f>
        <v>860044.68</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1">
    <mergeCell ref="A2:D2"/>
    <mergeCell ref="E3:I3"/>
    <mergeCell ref="E2:I2"/>
    <mergeCell ref="E5:I5"/>
    <mergeCell ref="E4:I4"/>
    <mergeCell ref="F47:F48"/>
    <mergeCell ref="E6:G6"/>
    <mergeCell ref="A32:I34"/>
    <mergeCell ref="E7:I7"/>
    <mergeCell ref="H13:I13"/>
    <mergeCell ref="H45:I45"/>
  </mergeCells>
  <conditionalFormatting sqref="I42:I44">
    <cfRule type="cellIs" dxfId="201" priority="9" stopIfTrue="1" operator="greaterThan">
      <formula>1</formula>
    </cfRule>
  </conditionalFormatting>
  <conditionalFormatting sqref="H50:H53">
    <cfRule type="cellIs" dxfId="200" priority="13" stopIfTrue="1" operator="notEqual">
      <formula>E50+F50-G50</formula>
    </cfRule>
  </conditionalFormatting>
  <conditionalFormatting sqref="I54">
    <cfRule type="cellIs" dxfId="199" priority="14" stopIfTrue="1" operator="notEqual">
      <formula>$I$50+$I$51+$I$52+$I$53</formula>
    </cfRule>
  </conditionalFormatting>
  <conditionalFormatting sqref="H54">
    <cfRule type="cellIs" dxfId="198" priority="15" stopIfTrue="1" operator="notEqual">
      <formula>E54+F54-G54</formula>
    </cfRule>
    <cfRule type="cellIs" dxfId="197" priority="16" stopIfTrue="1" operator="notEqual">
      <formula>SUM($H$50:$H$53)</formula>
    </cfRule>
  </conditionalFormatting>
  <conditionalFormatting sqref="G18 G16">
    <cfRule type="cellIs" dxfId="196" priority="17" stopIfTrue="1" operator="notEqual">
      <formula>H16+I16</formula>
    </cfRule>
  </conditionalFormatting>
  <conditionalFormatting sqref="G24">
    <cfRule type="cellIs" dxfId="195" priority="18" stopIfTrue="1" operator="notEqual">
      <formula>ROUND(H24+I24,2)</formula>
    </cfRule>
  </conditionalFormatting>
  <conditionalFormatting sqref="H24">
    <cfRule type="cellIs" dxfId="194" priority="19" stopIfTrue="1" operator="notEqual">
      <formula>$H$18-$H$16</formula>
    </cfRule>
  </conditionalFormatting>
  <conditionalFormatting sqref="I24">
    <cfRule type="cellIs" dxfId="193" priority="20" stopIfTrue="1" operator="notEqual">
      <formula>I18-I16</formula>
    </cfRule>
  </conditionalFormatting>
  <conditionalFormatting sqref="G23">
    <cfRule type="cellIs" dxfId="192" priority="7" stopIfTrue="1" operator="notEqual">
      <formula>ROUND(H23+I23,2)</formula>
    </cfRule>
  </conditionalFormatting>
  <conditionalFormatting sqref="G28">
    <cfRule type="cellIs" dxfId="191" priority="5" operator="notEqual">
      <formula>ROUND($G$24,2)</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58"/>
  <sheetViews>
    <sheetView showGridLines="0" workbookViewId="0">
      <selection activeCell="L34" sqref="L34"/>
    </sheetView>
  </sheetViews>
  <sheetFormatPr defaultColWidth="8.7109375" defaultRowHeight="12.75" customHeight="1" x14ac:dyDescent="0.25"/>
  <cols>
    <col min="1" max="1" width="7.5703125" style="468" customWidth="1"/>
    <col min="2" max="2" width="2.5703125" style="468" customWidth="1"/>
    <col min="3" max="3" width="8.42578125" style="468" customWidth="1"/>
    <col min="4" max="4" width="8.28515625" style="468" customWidth="1"/>
    <col min="5" max="5" width="14.7109375" style="468" customWidth="1"/>
    <col min="6" max="6" width="15.5703125" style="468" customWidth="1"/>
    <col min="7" max="9" width="14.7109375" style="468" customWidth="1"/>
    <col min="10" max="16384" width="8.7109375" style="426"/>
  </cols>
  <sheetData>
    <row r="1" spans="1:9" ht="19.5" customHeight="1" x14ac:dyDescent="0.4">
      <c r="A1" s="179" t="s">
        <v>47</v>
      </c>
      <c r="B1" s="178"/>
      <c r="C1" s="178"/>
      <c r="D1" s="178"/>
    </row>
    <row r="2" spans="1:9" ht="19.5" customHeight="1" x14ac:dyDescent="0.4">
      <c r="A2" s="575" t="s">
        <v>46</v>
      </c>
      <c r="B2" s="575"/>
      <c r="C2" s="575"/>
      <c r="D2" s="575"/>
      <c r="E2" s="576" t="s">
        <v>245</v>
      </c>
      <c r="F2" s="576"/>
      <c r="G2" s="576"/>
      <c r="H2" s="576"/>
      <c r="I2" s="576"/>
    </row>
    <row r="3" spans="1:9" ht="12" customHeight="1" x14ac:dyDescent="0.4">
      <c r="A3" s="177"/>
      <c r="B3" s="177"/>
      <c r="C3" s="177"/>
      <c r="D3" s="177"/>
      <c r="E3" s="572" t="s">
        <v>44</v>
      </c>
      <c r="F3" s="572"/>
      <c r="G3" s="572"/>
      <c r="H3" s="572"/>
      <c r="I3" s="572"/>
    </row>
    <row r="4" spans="1:9" ht="15.75" customHeight="1" x14ac:dyDescent="0.25">
      <c r="A4" s="176" t="s">
        <v>45</v>
      </c>
      <c r="E4" s="577" t="s">
        <v>246</v>
      </c>
      <c r="F4" s="577"/>
      <c r="G4" s="577"/>
      <c r="H4" s="577"/>
      <c r="I4" s="577"/>
    </row>
    <row r="5" spans="1:9" ht="9" customHeight="1" x14ac:dyDescent="0.25">
      <c r="A5" s="176"/>
      <c r="E5" s="572" t="s">
        <v>44</v>
      </c>
      <c r="F5" s="572"/>
      <c r="G5" s="572"/>
      <c r="H5" s="572"/>
      <c r="I5" s="572"/>
    </row>
    <row r="6" spans="1:9" ht="19.5" customHeight="1" x14ac:dyDescent="0.4">
      <c r="A6" s="175" t="s">
        <v>43</v>
      </c>
      <c r="E6" s="573" t="s">
        <v>247</v>
      </c>
      <c r="F6" s="573"/>
      <c r="G6" s="573"/>
      <c r="H6" s="175" t="s">
        <v>42</v>
      </c>
      <c r="I6" s="469" t="s">
        <v>248</v>
      </c>
    </row>
    <row r="7" spans="1:9" ht="9.75" customHeight="1" x14ac:dyDescent="0.4">
      <c r="A7" s="175"/>
      <c r="E7" s="572" t="s">
        <v>41</v>
      </c>
      <c r="F7" s="572"/>
      <c r="G7" s="572"/>
      <c r="H7" s="572"/>
      <c r="I7" s="572"/>
    </row>
    <row r="8" spans="1:9" ht="19.5" customHeight="1" x14ac:dyDescent="0.4">
      <c r="A8" s="175"/>
      <c r="E8" s="470"/>
      <c r="F8" s="470"/>
      <c r="G8" s="470"/>
      <c r="H8" s="174"/>
      <c r="I8" s="470"/>
    </row>
    <row r="9" spans="1:9" ht="19.5" customHeight="1" x14ac:dyDescent="0.4">
      <c r="A9" s="175"/>
      <c r="E9" s="470"/>
      <c r="F9" s="470"/>
      <c r="G9" s="470"/>
      <c r="H9" s="174"/>
      <c r="I9" s="470"/>
    </row>
    <row r="11" spans="1:9" ht="18.75" customHeight="1" x14ac:dyDescent="0.4">
      <c r="A11" s="173"/>
      <c r="B11" s="471"/>
      <c r="C11" s="471"/>
      <c r="D11" s="471"/>
      <c r="E11" s="169" t="s">
        <v>40</v>
      </c>
      <c r="F11" s="169" t="s">
        <v>39</v>
      </c>
      <c r="G11" s="171" t="s">
        <v>20</v>
      </c>
      <c r="H11" s="472" t="s">
        <v>38</v>
      </c>
      <c r="I11" s="172"/>
    </row>
    <row r="12" spans="1:9" ht="18.75" customHeight="1" x14ac:dyDescent="0.4">
      <c r="A12" s="473"/>
      <c r="B12" s="473"/>
      <c r="C12" s="473"/>
      <c r="D12" s="473"/>
      <c r="E12" s="169" t="s">
        <v>37</v>
      </c>
      <c r="F12" s="169" t="s">
        <v>37</v>
      </c>
      <c r="G12" s="171" t="s">
        <v>36</v>
      </c>
      <c r="H12" s="170" t="s">
        <v>35</v>
      </c>
      <c r="I12" s="474" t="s">
        <v>34</v>
      </c>
    </row>
    <row r="13" spans="1:9" ht="15" customHeight="1" x14ac:dyDescent="0.25">
      <c r="A13" s="473"/>
      <c r="B13" s="473"/>
      <c r="C13" s="473"/>
      <c r="D13" s="473"/>
      <c r="E13" s="169" t="s">
        <v>0</v>
      </c>
      <c r="F13" s="169" t="s">
        <v>0</v>
      </c>
      <c r="G13" s="168"/>
      <c r="H13" s="574" t="s">
        <v>33</v>
      </c>
      <c r="I13" s="574"/>
    </row>
    <row r="14" spans="1:9" ht="15" customHeight="1" x14ac:dyDescent="0.25">
      <c r="A14" s="473"/>
      <c r="B14" s="473"/>
      <c r="C14" s="473"/>
      <c r="D14" s="473"/>
      <c r="E14" s="169"/>
      <c r="F14" s="169"/>
      <c r="G14" s="168"/>
      <c r="H14" s="475"/>
      <c r="I14" s="476"/>
    </row>
    <row r="15" spans="1:9" ht="18.75" customHeight="1" x14ac:dyDescent="0.4">
      <c r="A15" s="145" t="s">
        <v>32</v>
      </c>
      <c r="B15" s="145"/>
      <c r="C15" s="166"/>
      <c r="D15" s="165"/>
      <c r="E15" s="167"/>
      <c r="F15" s="167"/>
      <c r="G15" s="152"/>
      <c r="H15" s="473"/>
      <c r="I15" s="473"/>
    </row>
    <row r="16" spans="1:9" ht="19.5" customHeight="1" x14ac:dyDescent="0.4">
      <c r="A16" s="155" t="s">
        <v>31</v>
      </c>
      <c r="B16" s="145"/>
      <c r="C16" s="166"/>
      <c r="D16" s="165"/>
      <c r="E16" s="413">
        <v>5846000</v>
      </c>
      <c r="F16" s="414">
        <v>5824000</v>
      </c>
      <c r="G16" s="90">
        <f>H16+I16</f>
        <v>5526611.6400000006</v>
      </c>
      <c r="H16" s="413">
        <v>5526611.6400000006</v>
      </c>
      <c r="I16" s="413">
        <v>0</v>
      </c>
    </row>
    <row r="17" spans="1:9" ht="14.25" customHeight="1" x14ac:dyDescent="0.3">
      <c r="A17" s="164"/>
      <c r="B17" s="163"/>
      <c r="C17" s="163"/>
      <c r="D17" s="163"/>
      <c r="E17" s="477"/>
      <c r="F17" s="471"/>
    </row>
    <row r="18" spans="1:9" ht="19.5" customHeight="1" x14ac:dyDescent="0.4">
      <c r="A18" s="155" t="s">
        <v>30</v>
      </c>
      <c r="B18" s="153"/>
      <c r="C18" s="153"/>
      <c r="D18" s="153"/>
      <c r="E18" s="413">
        <v>4962000</v>
      </c>
      <c r="F18" s="414">
        <v>5824000</v>
      </c>
      <c r="G18" s="90">
        <f>H18+I18</f>
        <v>5627370.4699999997</v>
      </c>
      <c r="H18" s="413">
        <v>5627370.4699999997</v>
      </c>
      <c r="I18" s="413">
        <v>0</v>
      </c>
    </row>
    <row r="19" spans="1:9" ht="18" customHeight="1" x14ac:dyDescent="0.35">
      <c r="A19" s="162"/>
      <c r="B19" s="153"/>
      <c r="C19" s="153"/>
      <c r="D19" s="153"/>
      <c r="E19" s="160"/>
      <c r="F19" s="161"/>
      <c r="G19" s="160"/>
      <c r="H19" s="159"/>
      <c r="I19" s="159"/>
    </row>
    <row r="20" spans="1:9" ht="12.75" hidden="1" customHeight="1" x14ac:dyDescent="0.35">
      <c r="A20" s="158"/>
      <c r="B20" s="157"/>
      <c r="C20" s="157"/>
      <c r="D20" s="157"/>
      <c r="E20" s="153"/>
      <c r="F20" s="153"/>
      <c r="G20" s="153"/>
      <c r="H20" s="156"/>
      <c r="I20" s="156"/>
    </row>
    <row r="21" spans="1:9" ht="19.5" customHeight="1" x14ac:dyDescent="0.4">
      <c r="A21" s="517" t="s">
        <v>348</v>
      </c>
      <c r="B21" s="518"/>
      <c r="C21" s="518"/>
      <c r="D21" s="518"/>
      <c r="E21" s="518"/>
      <c r="F21" s="518"/>
      <c r="G21" s="154"/>
      <c r="H21" s="153"/>
      <c r="I21" s="153"/>
    </row>
    <row r="22" spans="1:9" ht="18" customHeight="1" x14ac:dyDescent="0.35">
      <c r="A22" s="518"/>
      <c r="B22" s="518"/>
      <c r="C22" s="519" t="s">
        <v>349</v>
      </c>
      <c r="D22" s="518"/>
      <c r="E22" s="518"/>
      <c r="F22" s="518"/>
      <c r="G22" s="78">
        <f>H22+I22</f>
        <v>0</v>
      </c>
      <c r="H22" s="413">
        <v>0</v>
      </c>
      <c r="I22" s="413">
        <v>0</v>
      </c>
    </row>
    <row r="23" spans="1:9" ht="18" customHeight="1" x14ac:dyDescent="0.25">
      <c r="A23" s="152"/>
      <c r="B23" s="150"/>
      <c r="C23" s="151"/>
      <c r="D23" s="150"/>
      <c r="E23" s="150"/>
      <c r="F23" s="150"/>
      <c r="G23" s="149"/>
      <c r="H23" s="413"/>
      <c r="I23" s="413"/>
    </row>
    <row r="24" spans="1:9" ht="22.5" customHeight="1" x14ac:dyDescent="0.45">
      <c r="A24" s="147" t="s">
        <v>29</v>
      </c>
      <c r="B24" s="147"/>
      <c r="C24" s="148"/>
      <c r="D24" s="147"/>
      <c r="E24" s="147"/>
      <c r="F24" s="147"/>
      <c r="G24" s="478">
        <f>ROUND(G18-G16-G22,2)</f>
        <v>100758.83</v>
      </c>
      <c r="H24" s="146">
        <f>H18-H16</f>
        <v>100758.82999999914</v>
      </c>
      <c r="I24" s="146">
        <f>I18-I164</f>
        <v>0</v>
      </c>
    </row>
    <row r="26" spans="1:9" ht="12.75" customHeight="1" x14ac:dyDescent="0.25">
      <c r="H26" s="473"/>
    </row>
    <row r="28" spans="1:9" ht="19.5" customHeight="1" x14ac:dyDescent="0.4">
      <c r="A28" s="133" t="s">
        <v>28</v>
      </c>
      <c r="B28" s="133" t="s">
        <v>27</v>
      </c>
      <c r="C28" s="133"/>
      <c r="D28" s="140"/>
      <c r="E28" s="140"/>
      <c r="F28" s="479"/>
      <c r="G28" s="460">
        <f>ROUND(G29+G30+G31,2)</f>
        <v>100758.83</v>
      </c>
      <c r="H28" s="480"/>
      <c r="I28" s="479"/>
    </row>
    <row r="29" spans="1:9" ht="18.75" customHeight="1" x14ac:dyDescent="0.4">
      <c r="A29" s="145"/>
      <c r="B29" s="145"/>
      <c r="C29" s="144" t="s">
        <v>26</v>
      </c>
      <c r="D29" s="143"/>
      <c r="E29" s="142"/>
      <c r="F29" s="434" t="s">
        <v>4</v>
      </c>
      <c r="G29" s="481">
        <v>0</v>
      </c>
      <c r="H29" s="480"/>
      <c r="I29" s="473"/>
    </row>
    <row r="30" spans="1:9" ht="18.75" customHeight="1" x14ac:dyDescent="0.4">
      <c r="A30" s="145"/>
      <c r="B30" s="145"/>
      <c r="C30" s="144"/>
      <c r="D30" s="143"/>
      <c r="E30" s="142"/>
      <c r="F30" s="435" t="s">
        <v>2</v>
      </c>
      <c r="G30" s="482">
        <v>100758.82999999914</v>
      </c>
      <c r="H30" s="480"/>
      <c r="I30" s="473"/>
    </row>
    <row r="31" spans="1:9" ht="18.75" customHeight="1" x14ac:dyDescent="0.4">
      <c r="A31" s="145"/>
      <c r="B31" s="145"/>
      <c r="C31" s="144" t="s">
        <v>25</v>
      </c>
      <c r="D31" s="143"/>
      <c r="E31" s="142"/>
      <c r="F31" s="434" t="s">
        <v>24</v>
      </c>
      <c r="G31" s="141">
        <v>0</v>
      </c>
      <c r="H31" s="480"/>
      <c r="I31" s="473"/>
    </row>
    <row r="32" spans="1:9" ht="12.75" customHeight="1" x14ac:dyDescent="0.2">
      <c r="A32" s="578"/>
      <c r="B32" s="578"/>
      <c r="C32" s="578"/>
      <c r="D32" s="578"/>
      <c r="E32" s="578"/>
      <c r="F32" s="578"/>
      <c r="G32" s="578"/>
      <c r="H32" s="578"/>
      <c r="I32" s="578"/>
    </row>
    <row r="33" spans="1:9" ht="12.75" customHeight="1" x14ac:dyDescent="0.2">
      <c r="A33" s="578"/>
      <c r="B33" s="578"/>
      <c r="C33" s="578"/>
      <c r="D33" s="578"/>
      <c r="E33" s="578"/>
      <c r="F33" s="578"/>
      <c r="G33" s="578"/>
      <c r="H33" s="578"/>
      <c r="I33" s="578"/>
    </row>
    <row r="34" spans="1:9" ht="12.75" customHeight="1" x14ac:dyDescent="0.2">
      <c r="A34" s="578"/>
      <c r="B34" s="578"/>
      <c r="C34" s="578"/>
      <c r="D34" s="578"/>
      <c r="E34" s="578"/>
      <c r="F34" s="578"/>
      <c r="G34" s="578"/>
      <c r="H34" s="578"/>
      <c r="I34" s="578"/>
    </row>
    <row r="35" spans="1:9" ht="19.5" customHeight="1" x14ac:dyDescent="0.4">
      <c r="A35" s="133" t="s">
        <v>23</v>
      </c>
      <c r="B35" s="133" t="s">
        <v>22</v>
      </c>
      <c r="C35" s="133"/>
      <c r="D35" s="138"/>
      <c r="E35" s="120"/>
      <c r="F35" s="140"/>
      <c r="G35" s="139"/>
      <c r="H35" s="479"/>
      <c r="I35" s="479"/>
    </row>
    <row r="36" spans="1:9" ht="18.75" customHeight="1" x14ac:dyDescent="0.4">
      <c r="A36" s="133"/>
      <c r="B36" s="133"/>
      <c r="C36" s="133"/>
      <c r="D36" s="138"/>
      <c r="F36" s="483" t="s">
        <v>21</v>
      </c>
      <c r="G36" s="137" t="s">
        <v>20</v>
      </c>
      <c r="H36" s="479"/>
      <c r="I36" s="484" t="s">
        <v>19</v>
      </c>
    </row>
    <row r="37" spans="1:9" ht="16.5" customHeight="1" x14ac:dyDescent="0.25">
      <c r="A37" s="417" t="s">
        <v>18</v>
      </c>
      <c r="B37" s="415"/>
      <c r="C37" s="416"/>
      <c r="D37" s="415"/>
      <c r="E37" s="415"/>
      <c r="F37" s="433">
        <f>3390000-25000</f>
        <v>3365000</v>
      </c>
      <c r="G37" s="433">
        <f>3304763-19844</f>
        <v>3284919</v>
      </c>
      <c r="H37" s="480"/>
      <c r="I37" s="485">
        <f>IF(F37=0,"nerozp.",G37/F37)</f>
        <v>0.9762017830609212</v>
      </c>
    </row>
    <row r="38" spans="1:9" ht="16.5" customHeight="1" x14ac:dyDescent="0.25">
      <c r="A38" s="417" t="s">
        <v>17</v>
      </c>
      <c r="B38" s="415"/>
      <c r="C38" s="416"/>
      <c r="D38" s="416"/>
      <c r="E38" s="416"/>
      <c r="F38" s="433">
        <v>85000</v>
      </c>
      <c r="G38" s="433">
        <v>85974</v>
      </c>
      <c r="H38" s="480"/>
      <c r="I38" s="485">
        <f>IF(F38=0,"nerozp.",G38/F38)</f>
        <v>1.0114588235294117</v>
      </c>
    </row>
    <row r="39" spans="1:9" ht="16.5" customHeight="1" x14ac:dyDescent="0.25">
      <c r="A39" s="417" t="s">
        <v>16</v>
      </c>
      <c r="B39" s="415"/>
      <c r="C39" s="416"/>
      <c r="D39" s="416"/>
      <c r="E39" s="416"/>
      <c r="F39" s="433">
        <v>0</v>
      </c>
      <c r="G39" s="433">
        <v>0</v>
      </c>
      <c r="H39" s="480"/>
      <c r="I39" s="485" t="str">
        <f>IF(F39=0,"nerozp.",G39/F39)</f>
        <v>nerozp.</v>
      </c>
    </row>
    <row r="40" spans="1:9" ht="16.5" customHeight="1" x14ac:dyDescent="0.25">
      <c r="A40" s="417" t="s">
        <v>15</v>
      </c>
      <c r="B40" s="415"/>
      <c r="C40" s="416"/>
      <c r="D40" s="415"/>
      <c r="E40" s="415"/>
      <c r="F40" s="433">
        <v>64250</v>
      </c>
      <c r="G40" s="433">
        <v>64250</v>
      </c>
      <c r="H40" s="480"/>
      <c r="I40" s="485">
        <f>IF(F40=0,"nerozp.",G40/F40)</f>
        <v>1</v>
      </c>
    </row>
    <row r="41" spans="1:9" ht="16.5" customHeight="1" x14ac:dyDescent="0.25">
      <c r="A41" s="417" t="s">
        <v>14</v>
      </c>
      <c r="B41" s="415"/>
      <c r="C41" s="416"/>
      <c r="D41" s="415"/>
      <c r="E41" s="415"/>
      <c r="F41" s="433">
        <v>0</v>
      </c>
      <c r="G41" s="433">
        <v>0</v>
      </c>
      <c r="H41" s="480"/>
      <c r="I41" s="485" t="str">
        <f>IF(F41=0,"nerozp.",G41/F41)</f>
        <v>nerozp.</v>
      </c>
    </row>
    <row r="42" spans="1:9" ht="14.25" customHeight="1" x14ac:dyDescent="0.2">
      <c r="A42" s="427" t="s">
        <v>13</v>
      </c>
      <c r="B42" s="428" t="s">
        <v>323</v>
      </c>
      <c r="C42" s="429"/>
      <c r="D42" s="428"/>
      <c r="E42" s="428"/>
      <c r="F42" s="430"/>
      <c r="G42" s="430"/>
      <c r="H42" s="431"/>
      <c r="I42" s="432"/>
    </row>
    <row r="43" spans="1:9" s="180" customFormat="1" ht="25.5" customHeight="1" x14ac:dyDescent="0.2">
      <c r="A43" s="50"/>
      <c r="B43" s="564" t="s">
        <v>334</v>
      </c>
      <c r="C43" s="565"/>
      <c r="D43" s="565"/>
      <c r="E43" s="565"/>
      <c r="F43" s="565"/>
      <c r="G43" s="565"/>
      <c r="H43" s="565"/>
      <c r="I43" s="565"/>
    </row>
    <row r="44" spans="1:9" ht="16.5" customHeight="1" x14ac:dyDescent="0.35">
      <c r="A44" s="486"/>
      <c r="B44" s="136"/>
      <c r="C44" s="135"/>
      <c r="D44" s="134"/>
      <c r="E44" s="134"/>
      <c r="F44" s="487"/>
      <c r="G44" s="487"/>
      <c r="H44" s="488"/>
      <c r="I44" s="489"/>
    </row>
    <row r="45" spans="1:9" ht="19.5" customHeight="1" thickBot="1" x14ac:dyDescent="0.45">
      <c r="A45" s="133" t="s">
        <v>12</v>
      </c>
      <c r="B45" s="133" t="s">
        <v>11</v>
      </c>
      <c r="C45" s="132"/>
      <c r="D45" s="120"/>
      <c r="E45" s="120"/>
      <c r="F45" s="479"/>
      <c r="G45" s="124"/>
      <c r="H45" s="570" t="s">
        <v>10</v>
      </c>
      <c r="I45" s="570"/>
    </row>
    <row r="46" spans="1:9" ht="18.75" customHeight="1" thickTop="1" x14ac:dyDescent="0.35">
      <c r="A46" s="131"/>
      <c r="B46" s="490"/>
      <c r="C46" s="130"/>
      <c r="D46" s="490"/>
      <c r="E46" s="129" t="s">
        <v>9</v>
      </c>
      <c r="F46" s="491" t="s">
        <v>8</v>
      </c>
      <c r="G46" s="491" t="s">
        <v>7</v>
      </c>
      <c r="H46" s="492" t="s">
        <v>6</v>
      </c>
      <c r="I46" s="493" t="s">
        <v>5</v>
      </c>
    </row>
    <row r="47" spans="1:9" ht="12.75" customHeight="1" x14ac:dyDescent="0.25">
      <c r="A47" s="494"/>
      <c r="B47" s="479"/>
      <c r="C47" s="479"/>
      <c r="D47" s="479"/>
      <c r="E47" s="494"/>
      <c r="F47" s="571"/>
      <c r="G47" s="495"/>
      <c r="H47" s="496">
        <v>41274</v>
      </c>
      <c r="I47" s="497">
        <v>41274</v>
      </c>
    </row>
    <row r="48" spans="1:9" ht="12.75" customHeight="1" x14ac:dyDescent="0.25">
      <c r="A48" s="494"/>
      <c r="B48" s="479"/>
      <c r="C48" s="479"/>
      <c r="D48" s="479"/>
      <c r="E48" s="494"/>
      <c r="F48" s="571"/>
      <c r="G48" s="498"/>
      <c r="H48" s="498"/>
      <c r="I48" s="499"/>
    </row>
    <row r="49" spans="1:9" ht="13.5" customHeight="1" thickBot="1" x14ac:dyDescent="0.3">
      <c r="A49" s="500"/>
      <c r="B49" s="501"/>
      <c r="C49" s="501"/>
      <c r="D49" s="501"/>
      <c r="E49" s="500"/>
      <c r="F49" s="502"/>
      <c r="G49" s="502"/>
      <c r="H49" s="502"/>
      <c r="I49" s="503"/>
    </row>
    <row r="50" spans="1:9" ht="13.5" customHeight="1" thickTop="1" x14ac:dyDescent="0.25">
      <c r="A50" s="504"/>
      <c r="B50" s="505"/>
      <c r="C50" s="418" t="s">
        <v>4</v>
      </c>
      <c r="D50" s="418"/>
      <c r="E50" s="506">
        <v>33195</v>
      </c>
      <c r="F50" s="419">
        <v>0</v>
      </c>
      <c r="G50" s="420">
        <v>0</v>
      </c>
      <c r="H50" s="420">
        <f>E50+F50-G50</f>
        <v>33195</v>
      </c>
      <c r="I50" s="421">
        <v>33195</v>
      </c>
    </row>
    <row r="51" spans="1:9" ht="12.75" customHeight="1" x14ac:dyDescent="0.25">
      <c r="A51" s="507"/>
      <c r="B51" s="508"/>
      <c r="C51" s="422" t="s">
        <v>3</v>
      </c>
      <c r="D51" s="422"/>
      <c r="E51" s="509">
        <v>15858.95</v>
      </c>
      <c r="F51" s="423">
        <v>33027</v>
      </c>
      <c r="G51" s="424">
        <v>39260</v>
      </c>
      <c r="H51" s="424">
        <f>E51+F51-G51</f>
        <v>9625.9499999999971</v>
      </c>
      <c r="I51" s="425">
        <v>7759.02</v>
      </c>
    </row>
    <row r="52" spans="1:9" ht="12.75" customHeight="1" x14ac:dyDescent="0.25">
      <c r="A52" s="507"/>
      <c r="B52" s="508"/>
      <c r="C52" s="422" t="s">
        <v>2</v>
      </c>
      <c r="D52" s="422"/>
      <c r="E52" s="509">
        <v>93640.67</v>
      </c>
      <c r="F52" s="423">
        <v>5700</v>
      </c>
      <c r="G52" s="424">
        <v>500</v>
      </c>
      <c r="H52" s="424">
        <f>E52+F52-G52</f>
        <v>98840.67</v>
      </c>
      <c r="I52" s="425">
        <v>98840.67</v>
      </c>
    </row>
    <row r="53" spans="1:9" ht="12.75" customHeight="1" x14ac:dyDescent="0.25">
      <c r="A53" s="507"/>
      <c r="B53" s="508"/>
      <c r="C53" s="422" t="s">
        <v>1</v>
      </c>
      <c r="D53" s="422"/>
      <c r="E53" s="509">
        <v>44250.53</v>
      </c>
      <c r="F53" s="423">
        <v>85974</v>
      </c>
      <c r="G53" s="424">
        <v>64250</v>
      </c>
      <c r="H53" s="424">
        <f>E53+F53-G53</f>
        <v>65974.53</v>
      </c>
      <c r="I53" s="425">
        <v>65974.53</v>
      </c>
    </row>
    <row r="54" spans="1:9" ht="18.75" customHeight="1" thickBot="1" x14ac:dyDescent="0.4">
      <c r="A54" s="128" t="s">
        <v>0</v>
      </c>
      <c r="B54" s="127"/>
      <c r="C54" s="127"/>
      <c r="D54" s="127"/>
      <c r="E54" s="510">
        <f>SUM(E50:E53)</f>
        <v>186945.15</v>
      </c>
      <c r="F54" s="126">
        <f>SUM(F50:F53)</f>
        <v>124701</v>
      </c>
      <c r="G54" s="126">
        <f>SUM(G50:G53)</f>
        <v>104010</v>
      </c>
      <c r="H54" s="126">
        <f>SUM(H50:H53)</f>
        <v>207636.15</v>
      </c>
      <c r="I54" s="125">
        <f>SUM(I50:I53)</f>
        <v>205769.22</v>
      </c>
    </row>
    <row r="55" spans="1:9" ht="18.75" customHeight="1" thickTop="1" x14ac:dyDescent="0.35">
      <c r="A55" s="122"/>
      <c r="B55" s="121"/>
      <c r="C55" s="121"/>
      <c r="D55" s="120"/>
      <c r="E55" s="120"/>
      <c r="F55" s="479"/>
      <c r="G55" s="124"/>
      <c r="H55" s="483"/>
      <c r="I55" s="483"/>
    </row>
    <row r="56" spans="1:9" ht="18" customHeight="1" x14ac:dyDescent="0.35">
      <c r="A56" s="122"/>
      <c r="B56" s="121"/>
      <c r="C56" s="121"/>
      <c r="D56" s="120"/>
      <c r="E56" s="120"/>
      <c r="F56" s="479"/>
      <c r="G56" s="123"/>
      <c r="H56" s="479"/>
      <c r="I56" s="479"/>
    </row>
    <row r="57" spans="1:9" ht="18" customHeight="1" x14ac:dyDescent="0.35">
      <c r="A57" s="122"/>
      <c r="B57" s="121"/>
      <c r="C57" s="121"/>
      <c r="D57" s="120"/>
      <c r="E57" s="120"/>
      <c r="F57" s="479"/>
      <c r="G57" s="479"/>
      <c r="H57" s="479"/>
      <c r="I57" s="479"/>
    </row>
    <row r="58" spans="1:9" ht="12.75" customHeight="1" x14ac:dyDescent="0.25">
      <c r="A58" s="511"/>
      <c r="B58" s="511"/>
      <c r="C58" s="511"/>
      <c r="D58" s="511"/>
      <c r="E58" s="511"/>
      <c r="F58" s="511"/>
      <c r="G58" s="511"/>
      <c r="H58" s="511"/>
      <c r="I58" s="511"/>
    </row>
  </sheetData>
  <sheetProtection selectLockedCells="1"/>
  <mergeCells count="12">
    <mergeCell ref="A2:D2"/>
    <mergeCell ref="E2:I2"/>
    <mergeCell ref="E3:I3"/>
    <mergeCell ref="E4:I4"/>
    <mergeCell ref="A32:I34"/>
    <mergeCell ref="H45:I45"/>
    <mergeCell ref="F47:F48"/>
    <mergeCell ref="E5:I5"/>
    <mergeCell ref="E6:G6"/>
    <mergeCell ref="E7:I7"/>
    <mergeCell ref="H13:I13"/>
    <mergeCell ref="B43:I43"/>
  </mergeCells>
  <conditionalFormatting sqref="I42 I44">
    <cfRule type="cellIs" dxfId="190" priority="8" stopIfTrue="1" operator="greaterThan">
      <formula>1</formula>
    </cfRule>
  </conditionalFormatting>
  <conditionalFormatting sqref="H50:H53">
    <cfRule type="cellIs" dxfId="189" priority="13" stopIfTrue="1" operator="notEqual">
      <formula>E50+F50-G50</formula>
    </cfRule>
  </conditionalFormatting>
  <conditionalFormatting sqref="I54">
    <cfRule type="cellIs" dxfId="188" priority="14" stopIfTrue="1" operator="notEqual">
      <formula>$I$50+$I$51+$I$52+$I$53</formula>
    </cfRule>
  </conditionalFormatting>
  <conditionalFormatting sqref="H54">
    <cfRule type="cellIs" dxfId="187" priority="15" stopIfTrue="1" operator="notEqual">
      <formula>E54+F54-G54</formula>
    </cfRule>
    <cfRule type="cellIs" dxfId="186" priority="16" stopIfTrue="1" operator="notEqual">
      <formula>SUM($H$50:$H$53)</formula>
    </cfRule>
  </conditionalFormatting>
  <conditionalFormatting sqref="G24">
    <cfRule type="cellIs" dxfId="185" priority="18" stopIfTrue="1" operator="notEqual">
      <formula>ROUND(H24+I24,2)</formula>
    </cfRule>
  </conditionalFormatting>
  <conditionalFormatting sqref="H24">
    <cfRule type="cellIs" dxfId="184" priority="19" stopIfTrue="1" operator="notEqual">
      <formula>$H$18-$H$16</formula>
    </cfRule>
  </conditionalFormatting>
  <conditionalFormatting sqref="I24">
    <cfRule type="cellIs" dxfId="183" priority="20" stopIfTrue="1" operator="notEqual">
      <formula>I18-I16</formula>
    </cfRule>
  </conditionalFormatting>
  <conditionalFormatting sqref="G23">
    <cfRule type="cellIs" dxfId="182" priority="21" stopIfTrue="1" operator="notEqual">
      <formula>ROUND(H23+I23,2)</formula>
    </cfRule>
  </conditionalFormatting>
  <conditionalFormatting sqref="G28">
    <cfRule type="cellIs" dxfId="181" priority="6" operator="notEqual">
      <formula>ROUND($G$24,2)</formula>
    </cfRule>
  </conditionalFormatting>
  <conditionalFormatting sqref="G18 G16">
    <cfRule type="cellIs" dxfId="180" priority="5" stopIfTrue="1" operator="notEqual">
      <formula>H16+I16</formula>
    </cfRule>
  </conditionalFormatting>
  <pageMargins left="0.78740157480314965" right="0.39370078740157483" top="0.59055118110236227" bottom="0.59055118110236227" header="0.51181102362204722" footer="0.51181102362204722"/>
  <pageSetup paperSize="9" scale="85" firstPageNumber="0"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9" ht="19.5" x14ac:dyDescent="0.4">
      <c r="A1" s="119" t="s">
        <v>47</v>
      </c>
      <c r="B1" s="118"/>
      <c r="C1" s="118"/>
      <c r="D1" s="118"/>
    </row>
    <row r="2" spans="1:9" ht="19.5" x14ac:dyDescent="0.4">
      <c r="A2" s="553" t="s">
        <v>46</v>
      </c>
      <c r="B2" s="553"/>
      <c r="C2" s="553"/>
      <c r="D2" s="553"/>
      <c r="E2" s="554" t="s">
        <v>249</v>
      </c>
      <c r="F2" s="543"/>
      <c r="G2" s="543"/>
      <c r="H2" s="543"/>
      <c r="I2" s="543"/>
    </row>
    <row r="3" spans="1:9" ht="12" customHeight="1" x14ac:dyDescent="0.4">
      <c r="A3" s="455"/>
      <c r="B3" s="455"/>
      <c r="C3" s="455"/>
      <c r="D3" s="455"/>
      <c r="E3" s="546" t="s">
        <v>44</v>
      </c>
      <c r="F3" s="546"/>
      <c r="G3" s="546"/>
      <c r="H3" s="546"/>
      <c r="I3" s="546"/>
    </row>
    <row r="4" spans="1:9" ht="15.75" x14ac:dyDescent="0.25">
      <c r="A4" s="115" t="s">
        <v>45</v>
      </c>
      <c r="E4" s="555" t="s">
        <v>250</v>
      </c>
      <c r="F4" s="555"/>
      <c r="G4" s="555"/>
      <c r="H4" s="555"/>
      <c r="I4" s="555"/>
    </row>
    <row r="5" spans="1:9" ht="9" customHeight="1" x14ac:dyDescent="0.25">
      <c r="A5" s="115"/>
      <c r="E5" s="546" t="s">
        <v>44</v>
      </c>
      <c r="F5" s="546"/>
      <c r="G5" s="546"/>
      <c r="H5" s="546"/>
      <c r="I5" s="546"/>
    </row>
    <row r="6" spans="1:9" ht="19.5" x14ac:dyDescent="0.4">
      <c r="A6" s="113" t="s">
        <v>43</v>
      </c>
      <c r="E6" s="543" t="s">
        <v>251</v>
      </c>
      <c r="F6" s="543"/>
      <c r="G6" s="543"/>
      <c r="H6" s="113" t="s">
        <v>42</v>
      </c>
      <c r="I6" s="111" t="s">
        <v>252</v>
      </c>
    </row>
    <row r="7" spans="1:9" ht="9.75" customHeight="1" x14ac:dyDescent="0.4">
      <c r="A7" s="113"/>
      <c r="E7" s="546" t="s">
        <v>41</v>
      </c>
      <c r="F7" s="546"/>
      <c r="G7" s="546"/>
      <c r="H7" s="546"/>
      <c r="I7" s="546"/>
    </row>
    <row r="8" spans="1:9" ht="19.5" x14ac:dyDescent="0.4">
      <c r="A8" s="113"/>
      <c r="E8" s="111"/>
      <c r="F8" s="111"/>
      <c r="G8" s="111"/>
      <c r="H8" s="112"/>
      <c r="I8" s="111"/>
    </row>
    <row r="9" spans="1:9" ht="19.5" x14ac:dyDescent="0.4">
      <c r="A9" s="113"/>
      <c r="E9" s="111"/>
      <c r="F9" s="111"/>
      <c r="G9" s="111"/>
      <c r="H9" s="112"/>
      <c r="I9" s="111"/>
    </row>
    <row r="11" spans="1:9" ht="18.75" x14ac:dyDescent="0.4">
      <c r="A11" s="110"/>
      <c r="B11" s="94"/>
      <c r="C11" s="94"/>
      <c r="D11" s="94"/>
      <c r="E11" s="104" t="s">
        <v>40</v>
      </c>
      <c r="F11" s="104" t="s">
        <v>39</v>
      </c>
      <c r="G11" s="107" t="s">
        <v>20</v>
      </c>
      <c r="H11" s="109" t="s">
        <v>38</v>
      </c>
      <c r="I11" s="108"/>
    </row>
    <row r="12" spans="1:9" ht="18.75" x14ac:dyDescent="0.4">
      <c r="A12" s="66"/>
      <c r="B12" s="66"/>
      <c r="C12" s="66"/>
      <c r="D12" s="66"/>
      <c r="E12" s="104" t="s">
        <v>37</v>
      </c>
      <c r="F12" s="104" t="s">
        <v>37</v>
      </c>
      <c r="G12" s="107" t="s">
        <v>36</v>
      </c>
      <c r="H12" s="106" t="s">
        <v>35</v>
      </c>
      <c r="I12" s="105" t="s">
        <v>34</v>
      </c>
    </row>
    <row r="13" spans="1:9" ht="15" x14ac:dyDescent="0.2">
      <c r="A13" s="66"/>
      <c r="B13" s="66"/>
      <c r="C13" s="66"/>
      <c r="D13" s="66"/>
      <c r="E13" s="104" t="s">
        <v>0</v>
      </c>
      <c r="F13" s="104" t="s">
        <v>0</v>
      </c>
      <c r="G13" s="103"/>
      <c r="H13" s="547" t="s">
        <v>33</v>
      </c>
      <c r="I13" s="548"/>
    </row>
    <row r="14" spans="1:9" ht="15" x14ac:dyDescent="0.2">
      <c r="A14" s="66"/>
      <c r="B14" s="66"/>
      <c r="C14" s="66"/>
      <c r="D14" s="66"/>
      <c r="E14" s="104"/>
      <c r="F14" s="104"/>
      <c r="G14" s="103"/>
      <c r="H14" s="456"/>
      <c r="I14" s="457"/>
    </row>
    <row r="15" spans="1:9" ht="18.75" x14ac:dyDescent="0.4">
      <c r="A15" s="71" t="s">
        <v>32</v>
      </c>
      <c r="B15" s="71"/>
      <c r="C15" s="99"/>
      <c r="D15" s="98"/>
      <c r="E15" s="100"/>
      <c r="F15" s="100"/>
      <c r="G15" s="82"/>
      <c r="H15" s="66"/>
      <c r="I15" s="66"/>
    </row>
    <row r="16" spans="1:9" ht="19.5" x14ac:dyDescent="0.4">
      <c r="A16" s="85" t="s">
        <v>31</v>
      </c>
      <c r="B16" s="71"/>
      <c r="C16" s="99"/>
      <c r="D16" s="98"/>
      <c r="E16" s="78">
        <v>59807000</v>
      </c>
      <c r="F16" s="93">
        <v>58248000</v>
      </c>
      <c r="G16" s="90">
        <f>H16+I16</f>
        <v>58092992.850000009</v>
      </c>
      <c r="H16" s="78">
        <v>58092992.850000009</v>
      </c>
      <c r="I16" s="78">
        <v>0</v>
      </c>
    </row>
    <row r="17" spans="1:9" ht="14.25" x14ac:dyDescent="0.3">
      <c r="A17" s="97"/>
      <c r="B17" s="96"/>
      <c r="C17" s="96"/>
      <c r="D17" s="96"/>
      <c r="E17" s="95"/>
      <c r="F17" s="94"/>
    </row>
    <row r="18" spans="1:9" ht="19.5" x14ac:dyDescent="0.4">
      <c r="A18" s="85" t="s">
        <v>30</v>
      </c>
      <c r="B18" s="83"/>
      <c r="C18" s="83"/>
      <c r="D18" s="83"/>
      <c r="E18" s="78">
        <v>52912000</v>
      </c>
      <c r="F18" s="93">
        <v>56648000</v>
      </c>
      <c r="G18" s="90">
        <f>H18+I18</f>
        <v>58154689.809999995</v>
      </c>
      <c r="H18" s="78">
        <v>58154689.809999995</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61696.959999999999</v>
      </c>
      <c r="H24" s="75">
        <f>H18-H16</f>
        <v>61696.959999985993</v>
      </c>
      <c r="I24" s="75">
        <f>I18-I164</f>
        <v>0</v>
      </c>
    </row>
    <row r="26" spans="1:9" x14ac:dyDescent="0.2">
      <c r="H26" s="66"/>
    </row>
    <row r="28" spans="1:9" ht="19.5" x14ac:dyDescent="0.4">
      <c r="A28" s="43" t="s">
        <v>28</v>
      </c>
      <c r="B28" s="43" t="s">
        <v>27</v>
      </c>
      <c r="C28" s="43"/>
      <c r="D28" s="65"/>
      <c r="E28" s="65"/>
      <c r="F28" s="4"/>
      <c r="G28" s="460">
        <f>ROUND(G29+G30+G31,2)</f>
        <v>61696.959999999999</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0</v>
      </c>
      <c r="H30" s="55"/>
      <c r="I30" s="66"/>
    </row>
    <row r="31" spans="1:9" ht="18.75" x14ac:dyDescent="0.4">
      <c r="A31" s="71"/>
      <c r="B31" s="71"/>
      <c r="C31" s="70" t="s">
        <v>25</v>
      </c>
      <c r="D31" s="69"/>
      <c r="E31" s="68"/>
      <c r="F31" s="66" t="s">
        <v>24</v>
      </c>
      <c r="G31" s="67">
        <v>61696.959999999999</v>
      </c>
      <c r="H31" s="55"/>
      <c r="I31" s="66"/>
    </row>
    <row r="32" spans="1:9" x14ac:dyDescent="0.2">
      <c r="A32" s="579" t="s">
        <v>295</v>
      </c>
      <c r="B32" s="580"/>
      <c r="C32" s="580"/>
      <c r="D32" s="580"/>
      <c r="E32" s="580"/>
      <c r="F32" s="580"/>
      <c r="G32" s="580"/>
      <c r="H32" s="580"/>
      <c r="I32" s="580"/>
    </row>
    <row r="33" spans="1:9" x14ac:dyDescent="0.2">
      <c r="A33" s="580"/>
      <c r="B33" s="580"/>
      <c r="C33" s="580"/>
      <c r="D33" s="580"/>
      <c r="E33" s="580"/>
      <c r="F33" s="580"/>
      <c r="G33" s="580"/>
      <c r="H33" s="580"/>
      <c r="I33" s="580"/>
    </row>
    <row r="34" spans="1:9" x14ac:dyDescent="0.2">
      <c r="A34" s="580"/>
      <c r="B34" s="580"/>
      <c r="C34" s="580"/>
      <c r="D34" s="580"/>
      <c r="E34" s="580"/>
      <c r="F34" s="580"/>
      <c r="G34" s="580"/>
      <c r="H34" s="580"/>
      <c r="I34" s="580"/>
    </row>
    <row r="35" spans="1:9" ht="19.5" x14ac:dyDescent="0.4">
      <c r="A35" s="43" t="s">
        <v>23</v>
      </c>
      <c r="B35" s="43" t="s">
        <v>22</v>
      </c>
      <c r="C35" s="43"/>
      <c r="D35" s="63"/>
      <c r="E35" s="5"/>
      <c r="F35" s="65"/>
      <c r="G35" s="64"/>
      <c r="H35" s="4"/>
      <c r="I35" s="4"/>
    </row>
    <row r="36" spans="1:9" ht="18.75" x14ac:dyDescent="0.4">
      <c r="A36" s="43"/>
      <c r="B36" s="43"/>
      <c r="C36" s="43"/>
      <c r="D36" s="63"/>
      <c r="F36" s="9" t="s">
        <v>21</v>
      </c>
      <c r="G36" s="62" t="s">
        <v>20</v>
      </c>
      <c r="H36" s="4"/>
      <c r="I36" s="61" t="s">
        <v>19</v>
      </c>
    </row>
    <row r="37" spans="1:9" ht="16.5" x14ac:dyDescent="0.35">
      <c r="A37" s="59" t="s">
        <v>18</v>
      </c>
      <c r="B37" s="58"/>
      <c r="C37" s="57"/>
      <c r="D37" s="58"/>
      <c r="E37" s="5"/>
      <c r="F37" s="56">
        <f>28687000-150000+40000</f>
        <v>28577000</v>
      </c>
      <c r="G37" s="56">
        <f>28636820-122995</f>
        <v>28513825</v>
      </c>
      <c r="H37" s="55"/>
      <c r="I37" s="54">
        <f>IF(F37=0,"nerozp.",G37/F37)</f>
        <v>0.99778930608531335</v>
      </c>
    </row>
    <row r="38" spans="1:9" ht="16.5" x14ac:dyDescent="0.35">
      <c r="A38" s="59" t="s">
        <v>17</v>
      </c>
      <c r="B38" s="58"/>
      <c r="C38" s="57"/>
      <c r="D38" s="60"/>
      <c r="E38" s="60"/>
      <c r="F38" s="56">
        <v>965000</v>
      </c>
      <c r="G38" s="56">
        <v>965212</v>
      </c>
      <c r="H38" s="55"/>
      <c r="I38" s="54">
        <f>IF(F38=0,"nerozp.",G38/F38)</f>
        <v>1.000219689119171</v>
      </c>
    </row>
    <row r="39" spans="1:9" ht="16.5" x14ac:dyDescent="0.35">
      <c r="A39" s="59" t="s">
        <v>16</v>
      </c>
      <c r="B39" s="58"/>
      <c r="C39" s="57"/>
      <c r="D39" s="60"/>
      <c r="E39" s="60"/>
      <c r="F39" s="56">
        <v>0</v>
      </c>
      <c r="G39" s="56">
        <v>0</v>
      </c>
      <c r="H39" s="55"/>
      <c r="I39" s="54" t="str">
        <f>IF(F39=0,"nerozp.",G39/F39)</f>
        <v>nerozp.</v>
      </c>
    </row>
    <row r="40" spans="1:9" ht="16.5" x14ac:dyDescent="0.35">
      <c r="A40" s="59" t="s">
        <v>15</v>
      </c>
      <c r="B40" s="58"/>
      <c r="C40" s="57"/>
      <c r="D40" s="5"/>
      <c r="E40" s="5"/>
      <c r="F40" s="56">
        <v>810000</v>
      </c>
      <c r="G40" s="56">
        <v>810000</v>
      </c>
      <c r="H40" s="55"/>
      <c r="I40" s="54">
        <f>IF(F40=0,"nerozp.",G40/F40)</f>
        <v>1</v>
      </c>
    </row>
    <row r="41" spans="1:9" ht="16.5" x14ac:dyDescent="0.35">
      <c r="A41" s="59" t="s">
        <v>14</v>
      </c>
      <c r="B41" s="58"/>
      <c r="C41" s="57"/>
      <c r="D41" s="5"/>
      <c r="E41" s="5"/>
      <c r="F41" s="56">
        <v>0</v>
      </c>
      <c r="G41" s="56">
        <v>0</v>
      </c>
      <c r="H41" s="55"/>
      <c r="I41" s="54" t="str">
        <f>IF(F41=0,"nerozp.",G41/F41)</f>
        <v>nerozp.</v>
      </c>
    </row>
    <row r="42" spans="1:9" ht="14.25" x14ac:dyDescent="0.2">
      <c r="A42" s="53" t="s">
        <v>13</v>
      </c>
      <c r="B42" s="52" t="s">
        <v>324</v>
      </c>
      <c r="C42" s="51"/>
      <c r="D42" s="47"/>
      <c r="E42" s="47"/>
      <c r="F42" s="46"/>
      <c r="G42" s="46"/>
      <c r="H42" s="45"/>
      <c r="I42" s="44"/>
    </row>
    <row r="43" spans="1:9" x14ac:dyDescent="0.2">
      <c r="A43" s="50"/>
      <c r="B43" s="564" t="s">
        <v>351</v>
      </c>
      <c r="C43" s="565"/>
      <c r="D43" s="565"/>
      <c r="E43" s="565"/>
      <c r="F43" s="565"/>
      <c r="G43" s="565"/>
      <c r="H43" s="565"/>
      <c r="I43" s="565"/>
    </row>
    <row r="44" spans="1:9" ht="16.5" x14ac:dyDescent="0.35">
      <c r="A44" s="50"/>
      <c r="B44" s="49"/>
      <c r="C44" s="48"/>
      <c r="D44" s="47"/>
      <c r="E44" s="47"/>
      <c r="F44" s="46"/>
      <c r="G44" s="46"/>
      <c r="H44" s="45"/>
      <c r="I44" s="44"/>
    </row>
    <row r="45" spans="1:9" ht="19.5" thickBot="1" x14ac:dyDescent="0.45">
      <c r="A45" s="43" t="s">
        <v>12</v>
      </c>
      <c r="B45" s="43" t="s">
        <v>11</v>
      </c>
      <c r="C45" s="42"/>
      <c r="D45" s="5"/>
      <c r="E45" s="5"/>
      <c r="F45" s="4"/>
      <c r="G45" s="10"/>
      <c r="H45" s="549" t="s">
        <v>10</v>
      </c>
      <c r="I45" s="550"/>
    </row>
    <row r="46" spans="1:9" ht="18.75" thickTop="1" x14ac:dyDescent="0.35">
      <c r="A46" s="41"/>
      <c r="B46" s="39"/>
      <c r="C46" s="40"/>
      <c r="D46" s="39"/>
      <c r="E46" s="38" t="s">
        <v>9</v>
      </c>
      <c r="F46" s="37" t="s">
        <v>8</v>
      </c>
      <c r="G46" s="37" t="s">
        <v>7</v>
      </c>
      <c r="H46" s="36" t="s">
        <v>6</v>
      </c>
      <c r="I46" s="35" t="s">
        <v>5</v>
      </c>
    </row>
    <row r="47" spans="1:9" x14ac:dyDescent="0.2">
      <c r="A47" s="31"/>
      <c r="B47" s="4"/>
      <c r="C47" s="4"/>
      <c r="D47" s="4"/>
      <c r="E47" s="31"/>
      <c r="F47" s="542"/>
      <c r="G47" s="34"/>
      <c r="H47" s="33">
        <v>41274</v>
      </c>
      <c r="I47" s="32">
        <v>41274</v>
      </c>
    </row>
    <row r="48" spans="1:9"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256627</v>
      </c>
      <c r="F50" s="22">
        <v>0</v>
      </c>
      <c r="G50" s="21">
        <v>0</v>
      </c>
      <c r="H50" s="21">
        <f>E50+F50-G50</f>
        <v>256627</v>
      </c>
      <c r="I50" s="20">
        <v>256627</v>
      </c>
    </row>
    <row r="51" spans="1:9" x14ac:dyDescent="0.2">
      <c r="A51" s="19"/>
      <c r="B51" s="18"/>
      <c r="C51" s="18" t="s">
        <v>3</v>
      </c>
      <c r="D51" s="18"/>
      <c r="E51" s="464">
        <v>253253.32</v>
      </c>
      <c r="F51" s="17">
        <v>283550.00000000006</v>
      </c>
      <c r="G51" s="16">
        <v>473810</v>
      </c>
      <c r="H51" s="16">
        <f>E51+F51-G51</f>
        <v>62993.320000000065</v>
      </c>
      <c r="I51" s="15">
        <v>43309.58</v>
      </c>
    </row>
    <row r="52" spans="1:9" x14ac:dyDescent="0.2">
      <c r="A52" s="19"/>
      <c r="B52" s="18"/>
      <c r="C52" s="18" t="s">
        <v>2</v>
      </c>
      <c r="D52" s="18"/>
      <c r="E52" s="464">
        <v>791932.42</v>
      </c>
      <c r="F52" s="17">
        <v>230353.03</v>
      </c>
      <c r="G52" s="16">
        <v>965913.42</v>
      </c>
      <c r="H52" s="16">
        <f>E52+F52-G52</f>
        <v>56372.030000000028</v>
      </c>
      <c r="I52" s="15">
        <v>56372.03</v>
      </c>
    </row>
    <row r="53" spans="1:9" x14ac:dyDescent="0.2">
      <c r="A53" s="19"/>
      <c r="B53" s="18"/>
      <c r="C53" s="18" t="s">
        <v>1</v>
      </c>
      <c r="D53" s="18"/>
      <c r="E53" s="464">
        <v>197710.4</v>
      </c>
      <c r="F53" s="17">
        <v>1248700</v>
      </c>
      <c r="G53" s="16">
        <v>1342648</v>
      </c>
      <c r="H53" s="16">
        <f>E53+F53-G53</f>
        <v>103762.39999999991</v>
      </c>
      <c r="I53" s="15">
        <v>103762.4</v>
      </c>
    </row>
    <row r="54" spans="1:9" ht="18.75" thickBot="1" x14ac:dyDescent="0.4">
      <c r="A54" s="14" t="s">
        <v>0</v>
      </c>
      <c r="B54" s="13"/>
      <c r="C54" s="13"/>
      <c r="D54" s="13"/>
      <c r="E54" s="465">
        <f>SUM(E50:E53)</f>
        <v>1499523.14</v>
      </c>
      <c r="F54" s="12">
        <f>SUM(F50:F53)</f>
        <v>1762603.03</v>
      </c>
      <c r="G54" s="12">
        <f>SUM(G50:G53)</f>
        <v>2782371.42</v>
      </c>
      <c r="H54" s="12">
        <f>SUM(H50:H53)</f>
        <v>479754.75</v>
      </c>
      <c r="I54" s="11">
        <f>SUM(I50:I53)</f>
        <v>460071.01</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A2:D2"/>
    <mergeCell ref="E3:I3"/>
    <mergeCell ref="E2:I2"/>
    <mergeCell ref="E5:I5"/>
    <mergeCell ref="E4:I4"/>
    <mergeCell ref="F47:F48"/>
    <mergeCell ref="E6:G6"/>
    <mergeCell ref="A32:I34"/>
    <mergeCell ref="E7:I7"/>
    <mergeCell ref="H13:I13"/>
    <mergeCell ref="H45:I45"/>
    <mergeCell ref="B43:I43"/>
  </mergeCells>
  <conditionalFormatting sqref="I42 I44">
    <cfRule type="cellIs" dxfId="179" priority="9" stopIfTrue="1" operator="greaterThan">
      <formula>1</formula>
    </cfRule>
  </conditionalFormatting>
  <conditionalFormatting sqref="H50:H53">
    <cfRule type="cellIs" dxfId="178" priority="13" stopIfTrue="1" operator="notEqual">
      <formula>E50+F50-G50</formula>
    </cfRule>
  </conditionalFormatting>
  <conditionalFormatting sqref="I54">
    <cfRule type="cellIs" dxfId="177" priority="14" stopIfTrue="1" operator="notEqual">
      <formula>$I$50+$I$51+$I$52+$I$53</formula>
    </cfRule>
  </conditionalFormatting>
  <conditionalFormatting sqref="H54">
    <cfRule type="cellIs" dxfId="176" priority="15" stopIfTrue="1" operator="notEqual">
      <formula>E54+F54-G54</formula>
    </cfRule>
    <cfRule type="cellIs" dxfId="175" priority="16" stopIfTrue="1" operator="notEqual">
      <formula>SUM($H$50:$H$53)</formula>
    </cfRule>
  </conditionalFormatting>
  <conditionalFormatting sqref="G18 G16">
    <cfRule type="cellIs" dxfId="174" priority="17" stopIfTrue="1" operator="notEqual">
      <formula>H16+I16</formula>
    </cfRule>
  </conditionalFormatting>
  <conditionalFormatting sqref="G24">
    <cfRule type="cellIs" dxfId="173" priority="18" stopIfTrue="1" operator="notEqual">
      <formula>ROUND(H24+I24,2)</formula>
    </cfRule>
  </conditionalFormatting>
  <conditionalFormatting sqref="H24">
    <cfRule type="cellIs" dxfId="172" priority="19" stopIfTrue="1" operator="notEqual">
      <formula>$H$18-$H$16</formula>
    </cfRule>
  </conditionalFormatting>
  <conditionalFormatting sqref="I24">
    <cfRule type="cellIs" dxfId="171" priority="20" stopIfTrue="1" operator="notEqual">
      <formula>I18-I16</formula>
    </cfRule>
  </conditionalFormatting>
  <conditionalFormatting sqref="G23">
    <cfRule type="cellIs" dxfId="170" priority="7" stopIfTrue="1" operator="notEqual">
      <formula>ROUND(H23+I23,2)</formula>
    </cfRule>
  </conditionalFormatting>
  <conditionalFormatting sqref="G28">
    <cfRule type="cellIs" dxfId="169" priority="5" operator="notEqual">
      <formula>ROUND($G$24,2)</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11" ht="19.5" x14ac:dyDescent="0.4">
      <c r="A1" s="119" t="s">
        <v>47</v>
      </c>
      <c r="B1" s="118"/>
      <c r="C1" s="118"/>
      <c r="D1" s="118"/>
    </row>
    <row r="2" spans="1:11" ht="19.5" x14ac:dyDescent="0.4">
      <c r="A2" s="553" t="s">
        <v>46</v>
      </c>
      <c r="B2" s="553"/>
      <c r="C2" s="553"/>
      <c r="D2" s="553"/>
      <c r="E2" s="554" t="s">
        <v>253</v>
      </c>
      <c r="F2" s="543"/>
      <c r="G2" s="543"/>
      <c r="H2" s="543"/>
      <c r="I2" s="543"/>
      <c r="J2" s="458"/>
      <c r="K2" s="458"/>
    </row>
    <row r="3" spans="1:11" ht="12" customHeight="1" x14ac:dyDescent="0.4">
      <c r="A3" s="455"/>
      <c r="B3" s="455"/>
      <c r="C3" s="455"/>
      <c r="D3" s="455"/>
      <c r="E3" s="546" t="s">
        <v>44</v>
      </c>
      <c r="F3" s="546"/>
      <c r="G3" s="546"/>
      <c r="H3" s="546"/>
      <c r="I3" s="546"/>
    </row>
    <row r="4" spans="1:11" ht="15.75" x14ac:dyDescent="0.25">
      <c r="A4" s="115" t="s">
        <v>45</v>
      </c>
      <c r="E4" s="555" t="s">
        <v>254</v>
      </c>
      <c r="F4" s="555"/>
      <c r="G4" s="555"/>
      <c r="H4" s="555"/>
      <c r="I4" s="555"/>
    </row>
    <row r="5" spans="1:11" ht="9" customHeight="1" x14ac:dyDescent="0.25">
      <c r="A5" s="115"/>
      <c r="E5" s="546" t="s">
        <v>44</v>
      </c>
      <c r="F5" s="546"/>
      <c r="G5" s="546"/>
      <c r="H5" s="546"/>
      <c r="I5" s="546"/>
    </row>
    <row r="6" spans="1:11" ht="19.5" x14ac:dyDescent="0.4">
      <c r="A6" s="113" t="s">
        <v>43</v>
      </c>
      <c r="E6" s="543" t="s">
        <v>255</v>
      </c>
      <c r="F6" s="543"/>
      <c r="G6" s="543"/>
      <c r="H6" s="113" t="s">
        <v>42</v>
      </c>
      <c r="I6" s="111" t="s">
        <v>256</v>
      </c>
    </row>
    <row r="7" spans="1:11" ht="9.75" customHeight="1" x14ac:dyDescent="0.4">
      <c r="A7" s="113"/>
      <c r="E7" s="546" t="s">
        <v>41</v>
      </c>
      <c r="F7" s="546"/>
      <c r="G7" s="546"/>
      <c r="H7" s="546"/>
      <c r="I7" s="546"/>
    </row>
    <row r="8" spans="1:11" ht="19.5" x14ac:dyDescent="0.4">
      <c r="A8" s="113"/>
      <c r="E8" s="111"/>
      <c r="F8" s="111"/>
      <c r="G8" s="111"/>
      <c r="H8" s="112"/>
      <c r="I8" s="111"/>
    </row>
    <row r="9" spans="1:11" ht="19.5"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456"/>
      <c r="I14" s="457"/>
    </row>
    <row r="15" spans="1:11" ht="18.75" x14ac:dyDescent="0.4">
      <c r="A15" s="71" t="s">
        <v>32</v>
      </c>
      <c r="B15" s="71"/>
      <c r="C15" s="99"/>
      <c r="D15" s="98"/>
      <c r="E15" s="100"/>
      <c r="F15" s="100"/>
      <c r="G15" s="82"/>
      <c r="H15" s="66"/>
      <c r="I15" s="66"/>
    </row>
    <row r="16" spans="1:11" ht="19.5" x14ac:dyDescent="0.4">
      <c r="A16" s="85" t="s">
        <v>31</v>
      </c>
      <c r="B16" s="71"/>
      <c r="C16" s="99"/>
      <c r="D16" s="98"/>
      <c r="E16" s="78">
        <v>19747000</v>
      </c>
      <c r="F16" s="93">
        <v>19782694.179999996</v>
      </c>
      <c r="G16" s="90">
        <f>H16+I16</f>
        <v>19784037.179999996</v>
      </c>
      <c r="H16" s="78">
        <v>19784037.179999996</v>
      </c>
      <c r="I16" s="78">
        <v>0</v>
      </c>
    </row>
    <row r="17" spans="1:9" ht="14.25" x14ac:dyDescent="0.3">
      <c r="A17" s="97"/>
      <c r="B17" s="96"/>
      <c r="C17" s="96"/>
      <c r="D17" s="96"/>
      <c r="E17" s="95"/>
      <c r="F17" s="94"/>
    </row>
    <row r="18" spans="1:9" ht="19.5" x14ac:dyDescent="0.4">
      <c r="A18" s="85" t="s">
        <v>30</v>
      </c>
      <c r="B18" s="83"/>
      <c r="C18" s="83"/>
      <c r="D18" s="83"/>
      <c r="E18" s="78">
        <v>17907000</v>
      </c>
      <c r="F18" s="93">
        <v>19953981.41</v>
      </c>
      <c r="G18" s="90">
        <f>H18+I18</f>
        <v>19953981.41</v>
      </c>
      <c r="H18" s="78">
        <v>19953981.41</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169944.23</v>
      </c>
      <c r="H24" s="75">
        <f>H18-H16</f>
        <v>169944.23000000417</v>
      </c>
      <c r="I24" s="75">
        <f>I18-I164</f>
        <v>0</v>
      </c>
    </row>
    <row r="26" spans="1:9" x14ac:dyDescent="0.2">
      <c r="H26" s="66"/>
    </row>
    <row r="28" spans="1:9" ht="19.5" x14ac:dyDescent="0.4">
      <c r="A28" s="43" t="s">
        <v>28</v>
      </c>
      <c r="B28" s="43" t="s">
        <v>27</v>
      </c>
      <c r="C28" s="43"/>
      <c r="D28" s="65"/>
      <c r="E28" s="65"/>
      <c r="F28" s="4"/>
      <c r="G28" s="460">
        <f>ROUND(G29+G30+G31,2)</f>
        <v>169944.23</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169944.23000000417</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11" x14ac:dyDescent="0.2">
      <c r="A33" s="545"/>
      <c r="B33" s="545"/>
      <c r="C33" s="545"/>
      <c r="D33" s="545"/>
      <c r="E33" s="545"/>
      <c r="F33" s="545"/>
      <c r="G33" s="545"/>
      <c r="H33" s="545"/>
      <c r="I33" s="545"/>
    </row>
    <row r="34" spans="1:11" x14ac:dyDescent="0.2">
      <c r="A34" s="545"/>
      <c r="B34" s="545"/>
      <c r="C34" s="545"/>
      <c r="D34" s="545"/>
      <c r="E34" s="545"/>
      <c r="F34" s="545"/>
      <c r="G34" s="545"/>
      <c r="H34" s="545"/>
      <c r="I34" s="545"/>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56">
        <f>9697000-50000</f>
        <v>9647000</v>
      </c>
      <c r="G37" s="56">
        <f>9723081-76081</f>
        <v>9647000</v>
      </c>
      <c r="H37" s="55"/>
      <c r="I37" s="54">
        <f>IF(F37=0,"nerozp.",G37/F37)</f>
        <v>1</v>
      </c>
      <c r="J37" s="446"/>
      <c r="K37" s="461"/>
    </row>
    <row r="38" spans="1:11" ht="16.5" x14ac:dyDescent="0.35">
      <c r="A38" s="59" t="s">
        <v>17</v>
      </c>
      <c r="B38" s="58"/>
      <c r="C38" s="57"/>
      <c r="D38" s="60"/>
      <c r="E38" s="60"/>
      <c r="F38" s="56">
        <v>286000</v>
      </c>
      <c r="G38" s="56">
        <v>287343</v>
      </c>
      <c r="H38" s="55"/>
      <c r="I38" s="54">
        <f>IF(F38=0,"nerozp.",G38/F38)</f>
        <v>1.0046958041958043</v>
      </c>
      <c r="J38" s="447"/>
      <c r="K38" s="461"/>
    </row>
    <row r="39" spans="1:11" ht="16.5" x14ac:dyDescent="0.35">
      <c r="A39" s="59" t="s">
        <v>16</v>
      </c>
      <c r="B39" s="58"/>
      <c r="C39" s="57"/>
      <c r="D39" s="60"/>
      <c r="E39" s="60"/>
      <c r="F39" s="56">
        <v>0</v>
      </c>
      <c r="G39" s="56">
        <v>0</v>
      </c>
      <c r="H39" s="55"/>
      <c r="I39" s="54" t="str">
        <f>IF(F39=0,"nerozp.",G39/F39)</f>
        <v>nerozp.</v>
      </c>
    </row>
    <row r="40" spans="1:11" ht="16.5" x14ac:dyDescent="0.35">
      <c r="A40" s="59" t="s">
        <v>15</v>
      </c>
      <c r="B40" s="58"/>
      <c r="C40" s="57"/>
      <c r="D40" s="5"/>
      <c r="E40" s="5"/>
      <c r="F40" s="56">
        <v>243000</v>
      </c>
      <c r="G40" s="56">
        <v>243000</v>
      </c>
      <c r="H40" s="55"/>
      <c r="I40" s="54">
        <f>IF(F40=0,"nerozp.",G40/F40)</f>
        <v>1</v>
      </c>
    </row>
    <row r="41" spans="1:11" ht="16.5" x14ac:dyDescent="0.35">
      <c r="A41" s="59" t="s">
        <v>14</v>
      </c>
      <c r="B41" s="58"/>
      <c r="C41" s="57"/>
      <c r="D41" s="5"/>
      <c r="E41" s="5"/>
      <c r="F41" s="56">
        <v>0</v>
      </c>
      <c r="G41" s="56">
        <v>0</v>
      </c>
      <c r="H41" s="55"/>
      <c r="I41" s="54" t="str">
        <f>IF(F41=0,"nerozp.",G41/F41)</f>
        <v>nerozp.</v>
      </c>
    </row>
    <row r="42" spans="1:11" ht="14.25" x14ac:dyDescent="0.2">
      <c r="A42" s="53" t="s">
        <v>13</v>
      </c>
      <c r="B42" s="52" t="s">
        <v>325</v>
      </c>
      <c r="C42" s="51"/>
      <c r="D42" s="47"/>
      <c r="E42" s="47"/>
      <c r="F42" s="46"/>
      <c r="G42" s="46"/>
      <c r="H42" s="45"/>
      <c r="I42" s="44"/>
    </row>
    <row r="43" spans="1:11" ht="16.5" x14ac:dyDescent="0.35">
      <c r="A43" s="50"/>
      <c r="B43" s="49"/>
      <c r="C43" s="48"/>
      <c r="D43" s="47"/>
      <c r="E43" s="47"/>
      <c r="F43" s="46"/>
      <c r="G43" s="46"/>
      <c r="H43" s="45"/>
      <c r="I43" s="44"/>
    </row>
    <row r="44" spans="1:11" ht="16.5"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84101</v>
      </c>
      <c r="F50" s="22">
        <v>0</v>
      </c>
      <c r="G50" s="21">
        <v>0</v>
      </c>
      <c r="H50" s="21">
        <f>E50+F50-G50</f>
        <v>84101</v>
      </c>
      <c r="I50" s="20">
        <v>84101</v>
      </c>
    </row>
    <row r="51" spans="1:9" x14ac:dyDescent="0.2">
      <c r="A51" s="19"/>
      <c r="B51" s="18"/>
      <c r="C51" s="18" t="s">
        <v>3</v>
      </c>
      <c r="D51" s="18"/>
      <c r="E51" s="464">
        <v>32293.15</v>
      </c>
      <c r="F51" s="17">
        <v>96553</v>
      </c>
      <c r="G51" s="16">
        <v>93874</v>
      </c>
      <c r="H51" s="16">
        <f>E51+F51-G51</f>
        <v>34972.149999999994</v>
      </c>
      <c r="I51" s="15">
        <v>31046.27</v>
      </c>
    </row>
    <row r="52" spans="1:9" x14ac:dyDescent="0.2">
      <c r="A52" s="19"/>
      <c r="B52" s="18"/>
      <c r="C52" s="18" t="s">
        <v>2</v>
      </c>
      <c r="D52" s="18"/>
      <c r="E52" s="464">
        <v>502802.51</v>
      </c>
      <c r="F52" s="17">
        <v>205117.87000000005</v>
      </c>
      <c r="G52" s="16">
        <v>133126</v>
      </c>
      <c r="H52" s="16">
        <f>E52+F52-G52</f>
        <v>574794.38000000012</v>
      </c>
      <c r="I52" s="15">
        <v>574794.38</v>
      </c>
    </row>
    <row r="53" spans="1:9" x14ac:dyDescent="0.2">
      <c r="A53" s="19"/>
      <c r="B53" s="18"/>
      <c r="C53" s="18" t="s">
        <v>1</v>
      </c>
      <c r="D53" s="18"/>
      <c r="E53" s="464">
        <v>68570.7</v>
      </c>
      <c r="F53" s="17">
        <v>353530.99999999994</v>
      </c>
      <c r="G53" s="16">
        <v>312088</v>
      </c>
      <c r="H53" s="16">
        <f>E53+F53-G53</f>
        <v>110013.69999999995</v>
      </c>
      <c r="I53" s="15">
        <v>110013.7</v>
      </c>
    </row>
    <row r="54" spans="1:9" ht="18.75" thickBot="1" x14ac:dyDescent="0.4">
      <c r="A54" s="14" t="s">
        <v>0</v>
      </c>
      <c r="B54" s="13"/>
      <c r="C54" s="13"/>
      <c r="D54" s="13"/>
      <c r="E54" s="465">
        <f>SUM(E50:E53)</f>
        <v>687767.36</v>
      </c>
      <c r="F54" s="12">
        <f>SUM(F50:F53)</f>
        <v>655201.87</v>
      </c>
      <c r="G54" s="12">
        <f>SUM(G50:G53)</f>
        <v>539088</v>
      </c>
      <c r="H54" s="12">
        <f>SUM(H50:H53)</f>
        <v>803881.2300000001</v>
      </c>
      <c r="I54" s="11">
        <f>SUM(I50:I53)</f>
        <v>799955.35</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1">
    <mergeCell ref="A2:D2"/>
    <mergeCell ref="E3:I3"/>
    <mergeCell ref="E2:I2"/>
    <mergeCell ref="E5:I5"/>
    <mergeCell ref="E4:I4"/>
    <mergeCell ref="F47:F48"/>
    <mergeCell ref="E6:G6"/>
    <mergeCell ref="A32:I34"/>
    <mergeCell ref="E7:I7"/>
    <mergeCell ref="H13:I13"/>
    <mergeCell ref="H45:I45"/>
  </mergeCells>
  <conditionalFormatting sqref="I42:I44">
    <cfRule type="cellIs" dxfId="168" priority="9" stopIfTrue="1" operator="greaterThan">
      <formula>1</formula>
    </cfRule>
  </conditionalFormatting>
  <conditionalFormatting sqref="H50:H53">
    <cfRule type="cellIs" dxfId="167" priority="13" stopIfTrue="1" operator="notEqual">
      <formula>E50+F50-G50</formula>
    </cfRule>
  </conditionalFormatting>
  <conditionalFormatting sqref="I54">
    <cfRule type="cellIs" dxfId="166" priority="14" stopIfTrue="1" operator="notEqual">
      <formula>$I$50+$I$51+$I$52+$I$53</formula>
    </cfRule>
  </conditionalFormatting>
  <conditionalFormatting sqref="H54">
    <cfRule type="cellIs" dxfId="165" priority="15" stopIfTrue="1" operator="notEqual">
      <formula>E54+F54-G54</formula>
    </cfRule>
    <cfRule type="cellIs" dxfId="164" priority="16" stopIfTrue="1" operator="notEqual">
      <formula>SUM($H$50:$H$53)</formula>
    </cfRule>
  </conditionalFormatting>
  <conditionalFormatting sqref="G18 G16">
    <cfRule type="cellIs" dxfId="163" priority="17" stopIfTrue="1" operator="notEqual">
      <formula>H16+I16</formula>
    </cfRule>
  </conditionalFormatting>
  <conditionalFormatting sqref="G24">
    <cfRule type="cellIs" dxfId="162" priority="18" stopIfTrue="1" operator="notEqual">
      <formula>ROUND(H24+I24,2)</formula>
    </cfRule>
  </conditionalFormatting>
  <conditionalFormatting sqref="H24">
    <cfRule type="cellIs" dxfId="161" priority="19" stopIfTrue="1" operator="notEqual">
      <formula>$H$18-$H$16</formula>
    </cfRule>
  </conditionalFormatting>
  <conditionalFormatting sqref="I24">
    <cfRule type="cellIs" dxfId="160" priority="20" stopIfTrue="1" operator="notEqual">
      <formula>I18-I16</formula>
    </cfRule>
  </conditionalFormatting>
  <conditionalFormatting sqref="G23">
    <cfRule type="cellIs" dxfId="159" priority="7" stopIfTrue="1" operator="notEqual">
      <formula>ROUND(H23+I23,2)</formula>
    </cfRule>
  </conditionalFormatting>
  <conditionalFormatting sqref="G28">
    <cfRule type="cellIs" dxfId="158" priority="5" operator="notEqual">
      <formula>ROUND($G$24,2)</formula>
    </cfRule>
  </conditionalFormatting>
  <conditionalFormatting sqref="J37">
    <cfRule type="cellIs" dxfId="157" priority="3" operator="greaterThan">
      <formula>0</formula>
    </cfRule>
    <cfRule type="cellIs" dxfId="156" priority="4" operator="lessThan">
      <formula>0</formula>
    </cfRule>
  </conditionalFormatting>
  <conditionalFormatting sqref="J38">
    <cfRule type="cellIs" dxfId="155" priority="1" operator="greaterThan">
      <formula>0</formula>
    </cfRule>
    <cfRule type="cellIs" dxfId="154" priority="2" operator="lessThan">
      <formula>0</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11" ht="19.5" x14ac:dyDescent="0.4">
      <c r="A1" s="119" t="s">
        <v>47</v>
      </c>
      <c r="B1" s="118"/>
      <c r="C1" s="118"/>
      <c r="D1" s="118"/>
    </row>
    <row r="2" spans="1:11" ht="19.5" x14ac:dyDescent="0.4">
      <c r="A2" s="553" t="s">
        <v>46</v>
      </c>
      <c r="B2" s="553"/>
      <c r="C2" s="553"/>
      <c r="D2" s="553"/>
      <c r="E2" s="554" t="s">
        <v>89</v>
      </c>
      <c r="F2" s="543"/>
      <c r="G2" s="543"/>
      <c r="H2" s="543"/>
      <c r="I2" s="543"/>
      <c r="J2" s="458"/>
      <c r="K2" s="458"/>
    </row>
    <row r="3" spans="1:11" ht="12" customHeight="1" x14ac:dyDescent="0.4">
      <c r="A3" s="455"/>
      <c r="B3" s="455"/>
      <c r="C3" s="455"/>
      <c r="D3" s="455"/>
      <c r="E3" s="546" t="s">
        <v>44</v>
      </c>
      <c r="F3" s="546"/>
      <c r="G3" s="546"/>
      <c r="H3" s="546"/>
      <c r="I3" s="546"/>
    </row>
    <row r="4" spans="1:11" ht="15.75" x14ac:dyDescent="0.25">
      <c r="A4" s="115" t="s">
        <v>45</v>
      </c>
      <c r="E4" s="555" t="s">
        <v>257</v>
      </c>
      <c r="F4" s="555"/>
      <c r="G4" s="555"/>
      <c r="H4" s="555"/>
      <c r="I4" s="555"/>
    </row>
    <row r="5" spans="1:11" ht="9" customHeight="1" x14ac:dyDescent="0.25">
      <c r="A5" s="115"/>
      <c r="E5" s="546" t="s">
        <v>44</v>
      </c>
      <c r="F5" s="546"/>
      <c r="G5" s="546"/>
      <c r="H5" s="546"/>
      <c r="I5" s="546"/>
    </row>
    <row r="6" spans="1:11" ht="19.5" x14ac:dyDescent="0.4">
      <c r="A6" s="113" t="s">
        <v>43</v>
      </c>
      <c r="E6" s="543" t="s">
        <v>258</v>
      </c>
      <c r="F6" s="543"/>
      <c r="G6" s="543"/>
      <c r="H6" s="113" t="s">
        <v>42</v>
      </c>
      <c r="I6" s="111" t="s">
        <v>259</v>
      </c>
    </row>
    <row r="7" spans="1:11" ht="9.75" customHeight="1" x14ac:dyDescent="0.4">
      <c r="A7" s="113"/>
      <c r="E7" s="546" t="s">
        <v>41</v>
      </c>
      <c r="F7" s="546"/>
      <c r="G7" s="546"/>
      <c r="H7" s="546"/>
      <c r="I7" s="546"/>
    </row>
    <row r="8" spans="1:11" ht="19.5" x14ac:dyDescent="0.4">
      <c r="A8" s="113"/>
      <c r="E8" s="111"/>
      <c r="F8" s="111"/>
      <c r="G8" s="111"/>
      <c r="H8" s="112"/>
      <c r="I8" s="111"/>
    </row>
    <row r="9" spans="1:11" ht="19.5"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456"/>
      <c r="I14" s="457"/>
    </row>
    <row r="15" spans="1:11" ht="18.75" x14ac:dyDescent="0.4">
      <c r="A15" s="71" t="s">
        <v>32</v>
      </c>
      <c r="B15" s="71"/>
      <c r="C15" s="99"/>
      <c r="D15" s="98"/>
      <c r="E15" s="100"/>
      <c r="F15" s="100"/>
      <c r="G15" s="82"/>
      <c r="H15" s="66"/>
      <c r="I15" s="66"/>
    </row>
    <row r="16" spans="1:11" ht="19.5" x14ac:dyDescent="0.4">
      <c r="A16" s="85" t="s">
        <v>31</v>
      </c>
      <c r="B16" s="71"/>
      <c r="C16" s="99"/>
      <c r="D16" s="98"/>
      <c r="E16" s="78">
        <v>39727000</v>
      </c>
      <c r="F16" s="93">
        <v>38959680</v>
      </c>
      <c r="G16" s="90">
        <f>H16+I16</f>
        <v>39015790.370000005</v>
      </c>
      <c r="H16" s="78">
        <v>39015790.370000005</v>
      </c>
      <c r="I16" s="78">
        <v>0</v>
      </c>
    </row>
    <row r="17" spans="1:9" ht="14.25" x14ac:dyDescent="0.3">
      <c r="A17" s="97"/>
      <c r="B17" s="96"/>
      <c r="C17" s="96"/>
      <c r="D17" s="96"/>
      <c r="E17" s="95"/>
      <c r="F17" s="94"/>
    </row>
    <row r="18" spans="1:9" ht="19.5" x14ac:dyDescent="0.4">
      <c r="A18" s="85" t="s">
        <v>30</v>
      </c>
      <c r="B18" s="83"/>
      <c r="C18" s="83"/>
      <c r="D18" s="83"/>
      <c r="E18" s="78">
        <v>36060000</v>
      </c>
      <c r="F18" s="93">
        <v>38959000</v>
      </c>
      <c r="G18" s="90">
        <f>H18+I18</f>
        <v>39020593.469999999</v>
      </c>
      <c r="H18" s="78">
        <v>39020593.469999999</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4803.1000000000004</v>
      </c>
      <c r="H24" s="75">
        <f>H18-H16</f>
        <v>4803.0999999940395</v>
      </c>
      <c r="I24" s="75">
        <f>I18-I164</f>
        <v>0</v>
      </c>
    </row>
    <row r="26" spans="1:9" x14ac:dyDescent="0.2">
      <c r="H26" s="66"/>
    </row>
    <row r="28" spans="1:9" ht="19.5" x14ac:dyDescent="0.4">
      <c r="A28" s="43" t="s">
        <v>28</v>
      </c>
      <c r="B28" s="43" t="s">
        <v>27</v>
      </c>
      <c r="C28" s="43"/>
      <c r="D28" s="65"/>
      <c r="E28" s="65"/>
      <c r="F28" s="4"/>
      <c r="G28" s="460">
        <f>ROUND(G29+G30+G31,2)</f>
        <v>4803.1000000000004</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4803.0999999940395</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11" x14ac:dyDescent="0.2">
      <c r="A33" s="545"/>
      <c r="B33" s="545"/>
      <c r="C33" s="545"/>
      <c r="D33" s="545"/>
      <c r="E33" s="545"/>
      <c r="F33" s="545"/>
      <c r="G33" s="545"/>
      <c r="H33" s="545"/>
      <c r="I33" s="545"/>
    </row>
    <row r="34" spans="1:11" x14ac:dyDescent="0.2">
      <c r="A34" s="545"/>
      <c r="B34" s="545"/>
      <c r="C34" s="545"/>
      <c r="D34" s="545"/>
      <c r="E34" s="545"/>
      <c r="F34" s="545"/>
      <c r="G34" s="545"/>
      <c r="H34" s="545"/>
      <c r="I34" s="545"/>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56">
        <f>19212000-150000</f>
        <v>19062000</v>
      </c>
      <c r="G37" s="56">
        <f>19236070-109552</f>
        <v>19126518</v>
      </c>
      <c r="H37" s="55"/>
      <c r="I37" s="54">
        <f>IF(F37=0,"nerozp.",G37/F37)</f>
        <v>1.0033846395971042</v>
      </c>
      <c r="J37" s="446"/>
      <c r="K37" s="461"/>
    </row>
    <row r="38" spans="1:11" ht="16.5" x14ac:dyDescent="0.35">
      <c r="A38" s="59" t="s">
        <v>17</v>
      </c>
      <c r="B38" s="58"/>
      <c r="C38" s="57"/>
      <c r="D38" s="60"/>
      <c r="E38" s="60"/>
      <c r="F38" s="56">
        <v>1146000</v>
      </c>
      <c r="G38" s="56">
        <v>1146680</v>
      </c>
      <c r="H38" s="55"/>
      <c r="I38" s="54">
        <f>IF(F38=0,"nerozp.",G38/F38)</f>
        <v>1.0005933682373473</v>
      </c>
      <c r="J38" s="447"/>
      <c r="K38" s="461"/>
    </row>
    <row r="39" spans="1:11" ht="16.5" x14ac:dyDescent="0.35">
      <c r="A39" s="59" t="s">
        <v>16</v>
      </c>
      <c r="B39" s="58"/>
      <c r="C39" s="57"/>
      <c r="D39" s="60"/>
      <c r="E39" s="60"/>
      <c r="F39" s="56">
        <v>0</v>
      </c>
      <c r="G39" s="56">
        <v>0</v>
      </c>
      <c r="H39" s="55"/>
      <c r="I39" s="54" t="str">
        <f>IF(F39=0,"nerozp.",G39/F39)</f>
        <v>nerozp.</v>
      </c>
    </row>
    <row r="40" spans="1:11" ht="16.5" x14ac:dyDescent="0.35">
      <c r="A40" s="59" t="s">
        <v>15</v>
      </c>
      <c r="B40" s="58"/>
      <c r="C40" s="57"/>
      <c r="D40" s="5"/>
      <c r="E40" s="5"/>
      <c r="F40" s="56">
        <v>862000</v>
      </c>
      <c r="G40" s="56">
        <v>862000</v>
      </c>
      <c r="H40" s="55"/>
      <c r="I40" s="54">
        <f>IF(F40=0,"nerozp.",G40/F40)</f>
        <v>1</v>
      </c>
    </row>
    <row r="41" spans="1:11" ht="16.5" x14ac:dyDescent="0.35">
      <c r="A41" s="59" t="s">
        <v>14</v>
      </c>
      <c r="B41" s="58"/>
      <c r="C41" s="57"/>
      <c r="D41" s="5"/>
      <c r="E41" s="5"/>
      <c r="F41" s="56">
        <v>0</v>
      </c>
      <c r="G41" s="56">
        <v>0</v>
      </c>
      <c r="H41" s="55"/>
      <c r="I41" s="54" t="str">
        <f>IF(F41=0,"nerozp.",G41/F41)</f>
        <v>nerozp.</v>
      </c>
    </row>
    <row r="42" spans="1:11" ht="14.25" x14ac:dyDescent="0.2">
      <c r="A42" s="53" t="s">
        <v>13</v>
      </c>
      <c r="B42" s="52" t="s">
        <v>327</v>
      </c>
      <c r="C42" s="51"/>
      <c r="D42" s="47"/>
      <c r="E42" s="47"/>
      <c r="F42" s="46"/>
      <c r="G42" s="46"/>
      <c r="H42" s="45"/>
      <c r="I42" s="44"/>
    </row>
    <row r="43" spans="1:11" s="512" customFormat="1" ht="25.5" customHeight="1" x14ac:dyDescent="0.2">
      <c r="A43" s="451"/>
      <c r="B43" s="581" t="s">
        <v>326</v>
      </c>
      <c r="C43" s="582"/>
      <c r="D43" s="582"/>
      <c r="E43" s="582"/>
      <c r="F43" s="582"/>
      <c r="G43" s="582"/>
      <c r="H43" s="582"/>
      <c r="I43" s="582"/>
    </row>
    <row r="44" spans="1:11" ht="16.5"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158839</v>
      </c>
      <c r="F50" s="22">
        <v>0</v>
      </c>
      <c r="G50" s="21">
        <v>0</v>
      </c>
      <c r="H50" s="21">
        <f>E50+F50-G50</f>
        <v>158839</v>
      </c>
      <c r="I50" s="20">
        <v>158839</v>
      </c>
    </row>
    <row r="51" spans="1:9" x14ac:dyDescent="0.2">
      <c r="A51" s="19"/>
      <c r="B51" s="18"/>
      <c r="C51" s="18" t="s">
        <v>3</v>
      </c>
      <c r="D51" s="18"/>
      <c r="E51" s="464">
        <v>85773.97</v>
      </c>
      <c r="F51" s="17">
        <v>191644.99999999997</v>
      </c>
      <c r="G51" s="16">
        <v>173050</v>
      </c>
      <c r="H51" s="16">
        <f>E51+F51-G51</f>
        <v>104368.96999999997</v>
      </c>
      <c r="I51" s="15">
        <v>105458.92</v>
      </c>
    </row>
    <row r="52" spans="1:9" x14ac:dyDescent="0.2">
      <c r="A52" s="19"/>
      <c r="B52" s="18"/>
      <c r="C52" s="18" t="s">
        <v>2</v>
      </c>
      <c r="D52" s="18"/>
      <c r="E52" s="464">
        <v>30671.74</v>
      </c>
      <c r="F52" s="17">
        <v>76491.34</v>
      </c>
      <c r="G52" s="16">
        <v>55266.01</v>
      </c>
      <c r="H52" s="16">
        <f>E52+F52-G52</f>
        <v>51897.07</v>
      </c>
      <c r="I52" s="15">
        <v>51897.070000000007</v>
      </c>
    </row>
    <row r="53" spans="1:9" x14ac:dyDescent="0.2">
      <c r="A53" s="19"/>
      <c r="B53" s="18"/>
      <c r="C53" s="18" t="s">
        <v>1</v>
      </c>
      <c r="D53" s="18"/>
      <c r="E53" s="464">
        <v>610837.93000000005</v>
      </c>
      <c r="F53" s="17">
        <v>1679221</v>
      </c>
      <c r="G53" s="16">
        <v>1394541</v>
      </c>
      <c r="H53" s="16">
        <f>E53+F53-G53</f>
        <v>895517.93000000017</v>
      </c>
      <c r="I53" s="15">
        <v>895517.93</v>
      </c>
    </row>
    <row r="54" spans="1:9" ht="18.75" thickBot="1" x14ac:dyDescent="0.4">
      <c r="A54" s="14" t="s">
        <v>0</v>
      </c>
      <c r="B54" s="13"/>
      <c r="C54" s="13"/>
      <c r="D54" s="13"/>
      <c r="E54" s="465">
        <f>SUM(E50:E53)</f>
        <v>886122.64000000013</v>
      </c>
      <c r="F54" s="12">
        <f>SUM(F50:F53)</f>
        <v>1947357.3399999999</v>
      </c>
      <c r="G54" s="12">
        <f>SUM(G50:G53)</f>
        <v>1622857.01</v>
      </c>
      <c r="H54" s="12">
        <f>SUM(H50:H53)</f>
        <v>1210622.9700000002</v>
      </c>
      <c r="I54" s="11">
        <f>SUM(I50:I53)</f>
        <v>1211712.92</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A2:D2"/>
    <mergeCell ref="E3:I3"/>
    <mergeCell ref="E2:I2"/>
    <mergeCell ref="E5:I5"/>
    <mergeCell ref="E4:I4"/>
    <mergeCell ref="F47:F48"/>
    <mergeCell ref="E6:G6"/>
    <mergeCell ref="A32:I34"/>
    <mergeCell ref="E7:I7"/>
    <mergeCell ref="H13:I13"/>
    <mergeCell ref="H45:I45"/>
    <mergeCell ref="B43:I43"/>
  </mergeCells>
  <conditionalFormatting sqref="I42 I44">
    <cfRule type="cellIs" dxfId="153" priority="9" stopIfTrue="1" operator="greaterThan">
      <formula>1</formula>
    </cfRule>
  </conditionalFormatting>
  <conditionalFormatting sqref="H50:H53">
    <cfRule type="cellIs" dxfId="152" priority="13" stopIfTrue="1" operator="notEqual">
      <formula>E50+F50-G50</formula>
    </cfRule>
  </conditionalFormatting>
  <conditionalFormatting sqref="I54">
    <cfRule type="cellIs" dxfId="151" priority="14" stopIfTrue="1" operator="notEqual">
      <formula>$I$50+$I$51+$I$52+$I$53</formula>
    </cfRule>
  </conditionalFormatting>
  <conditionalFormatting sqref="H54">
    <cfRule type="cellIs" dxfId="150" priority="15" stopIfTrue="1" operator="notEqual">
      <formula>E54+F54-G54</formula>
    </cfRule>
    <cfRule type="cellIs" dxfId="149" priority="16" stopIfTrue="1" operator="notEqual">
      <formula>SUM($H$50:$H$53)</formula>
    </cfRule>
  </conditionalFormatting>
  <conditionalFormatting sqref="G18 G16">
    <cfRule type="cellIs" dxfId="148" priority="17" stopIfTrue="1" operator="notEqual">
      <formula>H16+I16</formula>
    </cfRule>
  </conditionalFormatting>
  <conditionalFormatting sqref="G24">
    <cfRule type="cellIs" dxfId="147" priority="18" stopIfTrue="1" operator="notEqual">
      <formula>ROUND(H24+I24,2)</formula>
    </cfRule>
  </conditionalFormatting>
  <conditionalFormatting sqref="H24">
    <cfRule type="cellIs" dxfId="146" priority="19" stopIfTrue="1" operator="notEqual">
      <formula>$H$18-$H$16</formula>
    </cfRule>
  </conditionalFormatting>
  <conditionalFormatting sqref="I24">
    <cfRule type="cellIs" dxfId="145" priority="20" stopIfTrue="1" operator="notEqual">
      <formula>I18-I16</formula>
    </cfRule>
  </conditionalFormatting>
  <conditionalFormatting sqref="G23">
    <cfRule type="cellIs" dxfId="144" priority="7" stopIfTrue="1" operator="notEqual">
      <formula>ROUND(H23+I23,2)</formula>
    </cfRule>
  </conditionalFormatting>
  <conditionalFormatting sqref="G28">
    <cfRule type="cellIs" dxfId="143" priority="5" operator="notEqual">
      <formula>ROUND($G$24,2)</formula>
    </cfRule>
  </conditionalFormatting>
  <conditionalFormatting sqref="J37">
    <cfRule type="cellIs" dxfId="142" priority="3" operator="greaterThan">
      <formula>0</formula>
    </cfRule>
    <cfRule type="cellIs" dxfId="141" priority="4" operator="lessThan">
      <formula>0</formula>
    </cfRule>
  </conditionalFormatting>
  <conditionalFormatting sqref="J38">
    <cfRule type="cellIs" dxfId="140" priority="1" operator="greaterThan">
      <formula>0</formula>
    </cfRule>
    <cfRule type="cellIs" dxfId="139" priority="2" operator="lessThan">
      <formula>0</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9" ht="19.5" x14ac:dyDescent="0.4">
      <c r="A1" s="119" t="s">
        <v>47</v>
      </c>
      <c r="B1" s="118"/>
      <c r="C1" s="118"/>
      <c r="D1" s="118"/>
    </row>
    <row r="2" spans="1:9" ht="19.5" x14ac:dyDescent="0.4">
      <c r="A2" s="553" t="s">
        <v>46</v>
      </c>
      <c r="B2" s="553"/>
      <c r="C2" s="553"/>
      <c r="D2" s="553"/>
      <c r="E2" s="554" t="s">
        <v>260</v>
      </c>
      <c r="F2" s="543"/>
      <c r="G2" s="543"/>
      <c r="H2" s="543"/>
      <c r="I2" s="543"/>
    </row>
    <row r="3" spans="1:9" ht="12" customHeight="1" x14ac:dyDescent="0.4">
      <c r="A3" s="455"/>
      <c r="B3" s="455"/>
      <c r="C3" s="455"/>
      <c r="D3" s="455"/>
      <c r="E3" s="546" t="s">
        <v>44</v>
      </c>
      <c r="F3" s="546"/>
      <c r="G3" s="546"/>
      <c r="H3" s="546"/>
      <c r="I3" s="546"/>
    </row>
    <row r="4" spans="1:9" ht="15.75" x14ac:dyDescent="0.25">
      <c r="A4" s="115" t="s">
        <v>45</v>
      </c>
      <c r="E4" s="555" t="s">
        <v>261</v>
      </c>
      <c r="F4" s="555"/>
      <c r="G4" s="555"/>
      <c r="H4" s="555"/>
      <c r="I4" s="555"/>
    </row>
    <row r="5" spans="1:9" ht="9" customHeight="1" x14ac:dyDescent="0.25">
      <c r="A5" s="115"/>
      <c r="E5" s="546" t="s">
        <v>44</v>
      </c>
      <c r="F5" s="546"/>
      <c r="G5" s="546"/>
      <c r="H5" s="546"/>
      <c r="I5" s="546"/>
    </row>
    <row r="6" spans="1:9" ht="19.5" x14ac:dyDescent="0.4">
      <c r="A6" s="113" t="s">
        <v>43</v>
      </c>
      <c r="E6" s="543" t="s">
        <v>262</v>
      </c>
      <c r="F6" s="543"/>
      <c r="G6" s="543"/>
      <c r="H6" s="113" t="s">
        <v>42</v>
      </c>
      <c r="I6" s="111" t="s">
        <v>263</v>
      </c>
    </row>
    <row r="7" spans="1:9" ht="9.75" customHeight="1" x14ac:dyDescent="0.4">
      <c r="A7" s="113"/>
      <c r="E7" s="546" t="s">
        <v>41</v>
      </c>
      <c r="F7" s="546"/>
      <c r="G7" s="546"/>
      <c r="H7" s="546"/>
      <c r="I7" s="546"/>
    </row>
    <row r="8" spans="1:9" ht="19.5" x14ac:dyDescent="0.4">
      <c r="A8" s="113"/>
      <c r="E8" s="111"/>
      <c r="F8" s="111"/>
      <c r="G8" s="111"/>
      <c r="H8" s="112"/>
      <c r="I8" s="111"/>
    </row>
    <row r="9" spans="1:9" ht="19.5" x14ac:dyDescent="0.4">
      <c r="A9" s="113"/>
      <c r="E9" s="111"/>
      <c r="F9" s="111"/>
      <c r="G9" s="111"/>
      <c r="H9" s="112"/>
      <c r="I9" s="111"/>
    </row>
    <row r="11" spans="1:9" ht="18.75" x14ac:dyDescent="0.4">
      <c r="A11" s="110"/>
      <c r="B11" s="94"/>
      <c r="C11" s="94"/>
      <c r="D11" s="94"/>
      <c r="E11" s="104" t="s">
        <v>40</v>
      </c>
      <c r="F11" s="104" t="s">
        <v>39</v>
      </c>
      <c r="G11" s="107" t="s">
        <v>20</v>
      </c>
      <c r="H11" s="109" t="s">
        <v>38</v>
      </c>
      <c r="I11" s="108"/>
    </row>
    <row r="12" spans="1:9" ht="18.75" x14ac:dyDescent="0.4">
      <c r="A12" s="66"/>
      <c r="B12" s="66"/>
      <c r="C12" s="66"/>
      <c r="D12" s="66"/>
      <c r="E12" s="104" t="s">
        <v>37</v>
      </c>
      <c r="F12" s="104" t="s">
        <v>37</v>
      </c>
      <c r="G12" s="107" t="s">
        <v>36</v>
      </c>
      <c r="H12" s="106" t="s">
        <v>35</v>
      </c>
      <c r="I12" s="105" t="s">
        <v>34</v>
      </c>
    </row>
    <row r="13" spans="1:9" ht="15" x14ac:dyDescent="0.2">
      <c r="A13" s="66"/>
      <c r="B13" s="66"/>
      <c r="C13" s="66"/>
      <c r="D13" s="66"/>
      <c r="E13" s="104" t="s">
        <v>0</v>
      </c>
      <c r="F13" s="104" t="s">
        <v>0</v>
      </c>
      <c r="G13" s="103"/>
      <c r="H13" s="547" t="s">
        <v>33</v>
      </c>
      <c r="I13" s="548"/>
    </row>
    <row r="14" spans="1:9" ht="15" x14ac:dyDescent="0.2">
      <c r="A14" s="66"/>
      <c r="B14" s="66"/>
      <c r="C14" s="66"/>
      <c r="D14" s="66"/>
      <c r="E14" s="104"/>
      <c r="F14" s="104"/>
      <c r="G14" s="103"/>
      <c r="H14" s="456"/>
      <c r="I14" s="457"/>
    </row>
    <row r="15" spans="1:9" ht="18.75" x14ac:dyDescent="0.4">
      <c r="A15" s="71" t="s">
        <v>32</v>
      </c>
      <c r="B15" s="71"/>
      <c r="C15" s="99"/>
      <c r="D15" s="98"/>
      <c r="E15" s="100"/>
      <c r="F15" s="100"/>
      <c r="G15" s="82"/>
      <c r="H15" s="66"/>
      <c r="I15" s="66"/>
    </row>
    <row r="16" spans="1:9" ht="19.5" x14ac:dyDescent="0.4">
      <c r="A16" s="85" t="s">
        <v>31</v>
      </c>
      <c r="B16" s="71"/>
      <c r="C16" s="99"/>
      <c r="D16" s="98"/>
      <c r="E16" s="78">
        <v>10733000</v>
      </c>
      <c r="F16" s="93">
        <v>11045000</v>
      </c>
      <c r="G16" s="90">
        <f>H16+I16</f>
        <v>10921910.039999999</v>
      </c>
      <c r="H16" s="78">
        <v>10921910.039999999</v>
      </c>
      <c r="I16" s="78">
        <v>0</v>
      </c>
    </row>
    <row r="17" spans="1:9" ht="14.25" x14ac:dyDescent="0.3">
      <c r="A17" s="97"/>
      <c r="B17" s="96"/>
      <c r="C17" s="96"/>
      <c r="D17" s="96"/>
      <c r="E17" s="95"/>
      <c r="F17" s="94"/>
    </row>
    <row r="18" spans="1:9" ht="19.5" x14ac:dyDescent="0.4">
      <c r="A18" s="85" t="s">
        <v>30</v>
      </c>
      <c r="B18" s="83"/>
      <c r="C18" s="83"/>
      <c r="D18" s="83"/>
      <c r="E18" s="78">
        <v>10453000</v>
      </c>
      <c r="F18" s="93">
        <v>11045000</v>
      </c>
      <c r="G18" s="90">
        <f>H18+I18</f>
        <v>11145929.399999999</v>
      </c>
      <c r="H18" s="78">
        <v>11145929.399999999</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224019.36</v>
      </c>
      <c r="H24" s="75">
        <f>H18-H16</f>
        <v>224019.3599999994</v>
      </c>
      <c r="I24" s="75">
        <f>I18-I164</f>
        <v>0</v>
      </c>
    </row>
    <row r="26" spans="1:9" x14ac:dyDescent="0.2">
      <c r="H26" s="66"/>
    </row>
    <row r="28" spans="1:9" ht="19.5" x14ac:dyDescent="0.4">
      <c r="A28" s="43" t="s">
        <v>28</v>
      </c>
      <c r="B28" s="43" t="s">
        <v>27</v>
      </c>
      <c r="C28" s="43"/>
      <c r="D28" s="65"/>
      <c r="E28" s="65"/>
      <c r="F28" s="4"/>
      <c r="G28" s="460">
        <f>ROUND(G29+G30+G31,2)</f>
        <v>224019.36</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224019.3599999994</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9" x14ac:dyDescent="0.2">
      <c r="A33" s="545"/>
      <c r="B33" s="545"/>
      <c r="C33" s="545"/>
      <c r="D33" s="545"/>
      <c r="E33" s="545"/>
      <c r="F33" s="545"/>
      <c r="G33" s="545"/>
      <c r="H33" s="545"/>
      <c r="I33" s="545"/>
    </row>
    <row r="34" spans="1:9" x14ac:dyDescent="0.2">
      <c r="A34" s="545"/>
      <c r="B34" s="545"/>
      <c r="C34" s="545"/>
      <c r="D34" s="545"/>
      <c r="E34" s="545"/>
      <c r="F34" s="545"/>
      <c r="G34" s="545"/>
      <c r="H34" s="545"/>
      <c r="I34" s="545"/>
    </row>
    <row r="35" spans="1:9" ht="19.5" x14ac:dyDescent="0.4">
      <c r="A35" s="43" t="s">
        <v>23</v>
      </c>
      <c r="B35" s="43" t="s">
        <v>22</v>
      </c>
      <c r="C35" s="43"/>
      <c r="D35" s="63"/>
      <c r="E35" s="5"/>
      <c r="F35" s="65"/>
      <c r="G35" s="64"/>
      <c r="H35" s="4"/>
      <c r="I35" s="4"/>
    </row>
    <row r="36" spans="1:9" ht="18.75" x14ac:dyDescent="0.4">
      <c r="A36" s="43"/>
      <c r="B36" s="43"/>
      <c r="C36" s="43"/>
      <c r="D36" s="63"/>
      <c r="F36" s="9" t="s">
        <v>21</v>
      </c>
      <c r="G36" s="62" t="s">
        <v>20</v>
      </c>
      <c r="H36" s="4"/>
      <c r="I36" s="61" t="s">
        <v>19</v>
      </c>
    </row>
    <row r="37" spans="1:9" ht="16.5" x14ac:dyDescent="0.35">
      <c r="A37" s="59" t="s">
        <v>18</v>
      </c>
      <c r="B37" s="58"/>
      <c r="C37" s="57"/>
      <c r="D37" s="58"/>
      <c r="E37" s="5"/>
      <c r="F37" s="56">
        <f>6210000-50000</f>
        <v>6160000</v>
      </c>
      <c r="G37" s="56">
        <f>6175881-15881</f>
        <v>6160000</v>
      </c>
      <c r="H37" s="55"/>
      <c r="I37" s="54">
        <f>IF(F37=0,"nerozp.",G37/F37)</f>
        <v>1</v>
      </c>
    </row>
    <row r="38" spans="1:9" ht="16.5" x14ac:dyDescent="0.35">
      <c r="A38" s="59" t="s">
        <v>17</v>
      </c>
      <c r="B38" s="58"/>
      <c r="C38" s="57"/>
      <c r="D38" s="60"/>
      <c r="E38" s="60"/>
      <c r="F38" s="56">
        <v>221000</v>
      </c>
      <c r="G38" s="56">
        <v>221604</v>
      </c>
      <c r="H38" s="55"/>
      <c r="I38" s="54">
        <f>IF(F38=0,"nerozp.",G38/F38)</f>
        <v>1.0027330316742082</v>
      </c>
    </row>
    <row r="39" spans="1:9" ht="16.5" x14ac:dyDescent="0.35">
      <c r="A39" s="59" t="s">
        <v>16</v>
      </c>
      <c r="B39" s="58"/>
      <c r="C39" s="57"/>
      <c r="D39" s="60"/>
      <c r="E39" s="60"/>
      <c r="F39" s="56">
        <v>0</v>
      </c>
      <c r="G39" s="56">
        <v>0</v>
      </c>
      <c r="H39" s="55"/>
      <c r="I39" s="54" t="str">
        <f>IF(F39=0,"nerozp.",G39/F39)</f>
        <v>nerozp.</v>
      </c>
    </row>
    <row r="40" spans="1:9" ht="16.5" x14ac:dyDescent="0.35">
      <c r="A40" s="59" t="s">
        <v>15</v>
      </c>
      <c r="B40" s="58"/>
      <c r="C40" s="57"/>
      <c r="D40" s="5"/>
      <c r="E40" s="5"/>
      <c r="F40" s="56">
        <v>173000</v>
      </c>
      <c r="G40" s="56">
        <v>173000</v>
      </c>
      <c r="H40" s="55"/>
      <c r="I40" s="54">
        <f>IF(F40=0,"nerozp.",G40/F40)</f>
        <v>1</v>
      </c>
    </row>
    <row r="41" spans="1:9" ht="16.5" x14ac:dyDescent="0.35">
      <c r="A41" s="59" t="s">
        <v>14</v>
      </c>
      <c r="B41" s="58"/>
      <c r="C41" s="57"/>
      <c r="D41" s="5"/>
      <c r="E41" s="5"/>
      <c r="F41" s="56">
        <v>0</v>
      </c>
      <c r="G41" s="56">
        <v>0</v>
      </c>
      <c r="H41" s="55"/>
      <c r="I41" s="54" t="str">
        <f>IF(F41=0,"nerozp.",G41/F41)</f>
        <v>nerozp.</v>
      </c>
    </row>
    <row r="42" spans="1:9" ht="14.25" x14ac:dyDescent="0.2">
      <c r="A42" s="53" t="s">
        <v>13</v>
      </c>
      <c r="B42" s="52" t="s">
        <v>328</v>
      </c>
      <c r="C42" s="51"/>
      <c r="D42" s="47"/>
      <c r="E42" s="47"/>
      <c r="F42" s="46"/>
      <c r="G42" s="46"/>
      <c r="H42" s="45"/>
      <c r="I42" s="44"/>
    </row>
    <row r="43" spans="1:9" ht="16.5" x14ac:dyDescent="0.35">
      <c r="A43" s="50"/>
      <c r="B43" s="49"/>
      <c r="C43" s="48"/>
      <c r="D43" s="47"/>
      <c r="E43" s="47"/>
      <c r="F43" s="46"/>
      <c r="G43" s="46"/>
      <c r="H43" s="45"/>
      <c r="I43" s="44"/>
    </row>
    <row r="44" spans="1:9" ht="16.5" x14ac:dyDescent="0.35">
      <c r="A44" s="50"/>
      <c r="B44" s="49"/>
      <c r="C44" s="48"/>
      <c r="D44" s="47"/>
      <c r="E44" s="47"/>
      <c r="F44" s="46"/>
      <c r="G44" s="46"/>
      <c r="H44" s="45"/>
      <c r="I44" s="44"/>
    </row>
    <row r="45" spans="1:9" ht="19.5" thickBot="1" x14ac:dyDescent="0.45">
      <c r="A45" s="43" t="s">
        <v>12</v>
      </c>
      <c r="B45" s="43" t="s">
        <v>11</v>
      </c>
      <c r="C45" s="42"/>
      <c r="D45" s="5"/>
      <c r="E45" s="5"/>
      <c r="F45" s="4"/>
      <c r="G45" s="10"/>
      <c r="H45" s="549" t="s">
        <v>10</v>
      </c>
      <c r="I45" s="550"/>
    </row>
    <row r="46" spans="1:9" ht="18.75" thickTop="1" x14ac:dyDescent="0.35">
      <c r="A46" s="41"/>
      <c r="B46" s="39"/>
      <c r="C46" s="40"/>
      <c r="D46" s="39"/>
      <c r="E46" s="38" t="s">
        <v>9</v>
      </c>
      <c r="F46" s="37" t="s">
        <v>8</v>
      </c>
      <c r="G46" s="37" t="s">
        <v>7</v>
      </c>
      <c r="H46" s="36" t="s">
        <v>6</v>
      </c>
      <c r="I46" s="35" t="s">
        <v>5</v>
      </c>
    </row>
    <row r="47" spans="1:9" x14ac:dyDescent="0.2">
      <c r="A47" s="31"/>
      <c r="B47" s="4"/>
      <c r="C47" s="4"/>
      <c r="D47" s="4"/>
      <c r="E47" s="31"/>
      <c r="F47" s="542"/>
      <c r="G47" s="34"/>
      <c r="H47" s="33">
        <v>41274</v>
      </c>
      <c r="I47" s="32">
        <v>41274</v>
      </c>
    </row>
    <row r="48" spans="1:9"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13445</v>
      </c>
      <c r="F50" s="22">
        <v>0</v>
      </c>
      <c r="G50" s="21">
        <v>0</v>
      </c>
      <c r="H50" s="21">
        <f>E50+F50-G50</f>
        <v>13445</v>
      </c>
      <c r="I50" s="20">
        <v>13445</v>
      </c>
    </row>
    <row r="51" spans="1:9" x14ac:dyDescent="0.2">
      <c r="A51" s="19"/>
      <c r="B51" s="18"/>
      <c r="C51" s="18" t="s">
        <v>3</v>
      </c>
      <c r="D51" s="18"/>
      <c r="E51" s="464">
        <v>59156.6</v>
      </c>
      <c r="F51" s="17">
        <v>61167.000000000007</v>
      </c>
      <c r="G51" s="16">
        <v>66204</v>
      </c>
      <c r="H51" s="16">
        <f>E51+F51-G51</f>
        <v>54119.600000000006</v>
      </c>
      <c r="I51" s="15">
        <v>50389.43</v>
      </c>
    </row>
    <row r="52" spans="1:9" x14ac:dyDescent="0.2">
      <c r="A52" s="19"/>
      <c r="B52" s="18"/>
      <c r="C52" s="18" t="s">
        <v>2</v>
      </c>
      <c r="D52" s="18"/>
      <c r="E52" s="464">
        <v>278537.24</v>
      </c>
      <c r="F52" s="17">
        <v>56189</v>
      </c>
      <c r="G52" s="16">
        <v>35339</v>
      </c>
      <c r="H52" s="16">
        <f>E52+F52-G52</f>
        <v>299387.24</v>
      </c>
      <c r="I52" s="15">
        <v>299387.24</v>
      </c>
    </row>
    <row r="53" spans="1:9" x14ac:dyDescent="0.2">
      <c r="A53" s="19"/>
      <c r="B53" s="18"/>
      <c r="C53" s="18" t="s">
        <v>1</v>
      </c>
      <c r="D53" s="18"/>
      <c r="E53" s="464">
        <v>89503.3</v>
      </c>
      <c r="F53" s="17">
        <v>904304</v>
      </c>
      <c r="G53" s="16">
        <v>855700</v>
      </c>
      <c r="H53" s="16">
        <f>E53+F53-G53</f>
        <v>138107.30000000005</v>
      </c>
      <c r="I53" s="15">
        <v>138107.29999999999</v>
      </c>
    </row>
    <row r="54" spans="1:9" ht="18.75" thickBot="1" x14ac:dyDescent="0.4">
      <c r="A54" s="14" t="s">
        <v>0</v>
      </c>
      <c r="B54" s="13"/>
      <c r="C54" s="13"/>
      <c r="D54" s="13"/>
      <c r="E54" s="465">
        <f>SUM(E50:E53)</f>
        <v>440642.13999999996</v>
      </c>
      <c r="F54" s="12">
        <f>SUM(F50:F53)</f>
        <v>1021660</v>
      </c>
      <c r="G54" s="12">
        <f>SUM(G50:G53)</f>
        <v>957243</v>
      </c>
      <c r="H54" s="12">
        <f>SUM(H50:H53)</f>
        <v>505059.14</v>
      </c>
      <c r="I54" s="11">
        <f>SUM(I50:I53)</f>
        <v>501328.97</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1">
    <mergeCell ref="A2:D2"/>
    <mergeCell ref="E3:I3"/>
    <mergeCell ref="E2:I2"/>
    <mergeCell ref="E5:I5"/>
    <mergeCell ref="E4:I4"/>
    <mergeCell ref="F47:F48"/>
    <mergeCell ref="E6:G6"/>
    <mergeCell ref="A32:I34"/>
    <mergeCell ref="E7:I7"/>
    <mergeCell ref="H13:I13"/>
    <mergeCell ref="H45:I45"/>
  </mergeCells>
  <conditionalFormatting sqref="I42:I44">
    <cfRule type="cellIs" dxfId="138" priority="9" stopIfTrue="1" operator="greaterThan">
      <formula>1</formula>
    </cfRule>
  </conditionalFormatting>
  <conditionalFormatting sqref="H50:H53">
    <cfRule type="cellIs" dxfId="137" priority="13" stopIfTrue="1" operator="notEqual">
      <formula>E50+F50-G50</formula>
    </cfRule>
  </conditionalFormatting>
  <conditionalFormatting sqref="I54">
    <cfRule type="cellIs" dxfId="136" priority="14" stopIfTrue="1" operator="notEqual">
      <formula>$I$50+$I$51+$I$52+$I$53</formula>
    </cfRule>
  </conditionalFormatting>
  <conditionalFormatting sqref="H54">
    <cfRule type="cellIs" dxfId="135" priority="15" stopIfTrue="1" operator="notEqual">
      <formula>E54+F54-G54</formula>
    </cfRule>
    <cfRule type="cellIs" dxfId="134" priority="16" stopIfTrue="1" operator="notEqual">
      <formula>SUM($H$50:$H$53)</formula>
    </cfRule>
  </conditionalFormatting>
  <conditionalFormatting sqref="G18 G16">
    <cfRule type="cellIs" dxfId="133" priority="17" stopIfTrue="1" operator="notEqual">
      <formula>H16+I16</formula>
    </cfRule>
  </conditionalFormatting>
  <conditionalFormatting sqref="G24">
    <cfRule type="cellIs" dxfId="132" priority="18" stopIfTrue="1" operator="notEqual">
      <formula>ROUND(H24+I24,2)</formula>
    </cfRule>
  </conditionalFormatting>
  <conditionalFormatting sqref="H24">
    <cfRule type="cellIs" dxfId="131" priority="19" stopIfTrue="1" operator="notEqual">
      <formula>$H$18-$H$16</formula>
    </cfRule>
  </conditionalFormatting>
  <conditionalFormatting sqref="I24">
    <cfRule type="cellIs" dxfId="130" priority="20" stopIfTrue="1" operator="notEqual">
      <formula>I18-I16</formula>
    </cfRule>
  </conditionalFormatting>
  <conditionalFormatting sqref="G23">
    <cfRule type="cellIs" dxfId="129" priority="7" stopIfTrue="1" operator="notEqual">
      <formula>ROUND(H23+I23,2)</formula>
    </cfRule>
  </conditionalFormatting>
  <conditionalFormatting sqref="G28">
    <cfRule type="cellIs" dxfId="128" priority="5" operator="notEqual">
      <formula>ROUND($G$24,2)</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9" ht="19.5" x14ac:dyDescent="0.4">
      <c r="A1" s="119" t="s">
        <v>47</v>
      </c>
      <c r="B1" s="118"/>
      <c r="C1" s="118"/>
      <c r="D1" s="118"/>
    </row>
    <row r="2" spans="1:9" ht="19.5" x14ac:dyDescent="0.4">
      <c r="A2" s="553" t="s">
        <v>46</v>
      </c>
      <c r="B2" s="553"/>
      <c r="C2" s="553"/>
      <c r="D2" s="553"/>
      <c r="E2" s="554" t="s">
        <v>265</v>
      </c>
      <c r="F2" s="543"/>
      <c r="G2" s="543"/>
      <c r="H2" s="543"/>
      <c r="I2" s="543"/>
    </row>
    <row r="3" spans="1:9" ht="12" customHeight="1" x14ac:dyDescent="0.4">
      <c r="A3" s="455"/>
      <c r="B3" s="455"/>
      <c r="C3" s="455"/>
      <c r="D3" s="455"/>
      <c r="E3" s="546" t="s">
        <v>44</v>
      </c>
      <c r="F3" s="546"/>
      <c r="G3" s="546"/>
      <c r="H3" s="546"/>
      <c r="I3" s="546"/>
    </row>
    <row r="4" spans="1:9" ht="15.75" x14ac:dyDescent="0.25">
      <c r="A4" s="115" t="s">
        <v>45</v>
      </c>
      <c r="E4" s="555" t="s">
        <v>266</v>
      </c>
      <c r="F4" s="555"/>
      <c r="G4" s="555"/>
      <c r="H4" s="555"/>
      <c r="I4" s="555"/>
    </row>
    <row r="5" spans="1:9" ht="9" customHeight="1" x14ac:dyDescent="0.25">
      <c r="A5" s="115"/>
      <c r="E5" s="546" t="s">
        <v>44</v>
      </c>
      <c r="F5" s="546"/>
      <c r="G5" s="546"/>
      <c r="H5" s="546"/>
      <c r="I5" s="546"/>
    </row>
    <row r="6" spans="1:9" ht="19.5" x14ac:dyDescent="0.4">
      <c r="A6" s="113" t="s">
        <v>43</v>
      </c>
      <c r="E6" s="543" t="s">
        <v>267</v>
      </c>
      <c r="F6" s="543"/>
      <c r="G6" s="543"/>
      <c r="H6" s="113" t="s">
        <v>42</v>
      </c>
      <c r="I6" s="111" t="s">
        <v>264</v>
      </c>
    </row>
    <row r="7" spans="1:9" ht="9.75" customHeight="1" x14ac:dyDescent="0.4">
      <c r="A7" s="113"/>
      <c r="E7" s="546" t="s">
        <v>41</v>
      </c>
      <c r="F7" s="546"/>
      <c r="G7" s="546"/>
      <c r="H7" s="546"/>
      <c r="I7" s="546"/>
    </row>
    <row r="8" spans="1:9" ht="19.5" x14ac:dyDescent="0.4">
      <c r="A8" s="113"/>
      <c r="E8" s="111"/>
      <c r="F8" s="111"/>
      <c r="G8" s="111"/>
      <c r="H8" s="112"/>
      <c r="I8" s="111"/>
    </row>
    <row r="9" spans="1:9" ht="19.5" x14ac:dyDescent="0.4">
      <c r="A9" s="113"/>
      <c r="E9" s="111"/>
      <c r="F9" s="111"/>
      <c r="G9" s="111"/>
      <c r="H9" s="112"/>
      <c r="I9" s="111"/>
    </row>
    <row r="11" spans="1:9" ht="18.75" x14ac:dyDescent="0.4">
      <c r="A11" s="110"/>
      <c r="B11" s="94"/>
      <c r="C11" s="94"/>
      <c r="D11" s="94"/>
      <c r="E11" s="104" t="s">
        <v>40</v>
      </c>
      <c r="F11" s="104" t="s">
        <v>39</v>
      </c>
      <c r="G11" s="107" t="s">
        <v>20</v>
      </c>
      <c r="H11" s="109" t="s">
        <v>38</v>
      </c>
      <c r="I11" s="108"/>
    </row>
    <row r="12" spans="1:9" ht="18.75" x14ac:dyDescent="0.4">
      <c r="A12" s="66"/>
      <c r="B12" s="66"/>
      <c r="C12" s="66"/>
      <c r="D12" s="66"/>
      <c r="E12" s="104" t="s">
        <v>37</v>
      </c>
      <c r="F12" s="104" t="s">
        <v>37</v>
      </c>
      <c r="G12" s="107" t="s">
        <v>36</v>
      </c>
      <c r="H12" s="106" t="s">
        <v>35</v>
      </c>
      <c r="I12" s="105" t="s">
        <v>34</v>
      </c>
    </row>
    <row r="13" spans="1:9" ht="15" x14ac:dyDescent="0.2">
      <c r="A13" s="66"/>
      <c r="B13" s="66"/>
      <c r="C13" s="66"/>
      <c r="D13" s="66"/>
      <c r="E13" s="104" t="s">
        <v>0</v>
      </c>
      <c r="F13" s="104" t="s">
        <v>0</v>
      </c>
      <c r="G13" s="103"/>
      <c r="H13" s="547" t="s">
        <v>33</v>
      </c>
      <c r="I13" s="548"/>
    </row>
    <row r="14" spans="1:9" ht="15" x14ac:dyDescent="0.2">
      <c r="A14" s="66"/>
      <c r="B14" s="66"/>
      <c r="C14" s="66"/>
      <c r="D14" s="66"/>
      <c r="E14" s="104"/>
      <c r="F14" s="104"/>
      <c r="G14" s="103"/>
      <c r="H14" s="456"/>
      <c r="I14" s="457"/>
    </row>
    <row r="15" spans="1:9" ht="18.75" x14ac:dyDescent="0.4">
      <c r="A15" s="71" t="s">
        <v>32</v>
      </c>
      <c r="B15" s="71"/>
      <c r="C15" s="99"/>
      <c r="D15" s="98"/>
      <c r="E15" s="100"/>
      <c r="F15" s="100"/>
      <c r="G15" s="82"/>
      <c r="H15" s="66"/>
      <c r="I15" s="66"/>
    </row>
    <row r="16" spans="1:9" ht="19.5" x14ac:dyDescent="0.4">
      <c r="A16" s="85" t="s">
        <v>31</v>
      </c>
      <c r="B16" s="71"/>
      <c r="C16" s="99"/>
      <c r="D16" s="98"/>
      <c r="E16" s="78">
        <v>71559000</v>
      </c>
      <c r="F16" s="93">
        <v>68699000</v>
      </c>
      <c r="G16" s="90">
        <f>H16+I16</f>
        <v>68489173.99000001</v>
      </c>
      <c r="H16" s="78">
        <v>68489173.99000001</v>
      </c>
      <c r="I16" s="78">
        <v>0</v>
      </c>
    </row>
    <row r="17" spans="1:9" ht="14.25" x14ac:dyDescent="0.3">
      <c r="A17" s="97"/>
      <c r="B17" s="96"/>
      <c r="C17" s="96"/>
      <c r="D17" s="96"/>
      <c r="E17" s="95"/>
      <c r="F17" s="94"/>
    </row>
    <row r="18" spans="1:9" ht="19.5" x14ac:dyDescent="0.4">
      <c r="A18" s="85" t="s">
        <v>30</v>
      </c>
      <c r="B18" s="83"/>
      <c r="C18" s="83"/>
      <c r="D18" s="83"/>
      <c r="E18" s="78">
        <v>66352000</v>
      </c>
      <c r="F18" s="93">
        <v>68484000</v>
      </c>
      <c r="G18" s="90">
        <f>H18+I18</f>
        <v>68566986.890000001</v>
      </c>
      <c r="H18" s="78">
        <v>68566986.890000001</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77812.899999999994</v>
      </c>
      <c r="H24" s="75">
        <f>H18-H16</f>
        <v>77812.899999991059</v>
      </c>
      <c r="I24" s="75">
        <f>I18-I164</f>
        <v>0</v>
      </c>
    </row>
    <row r="26" spans="1:9" x14ac:dyDescent="0.2">
      <c r="H26" s="66"/>
    </row>
    <row r="28" spans="1:9" ht="19.5" x14ac:dyDescent="0.4">
      <c r="A28" s="43" t="s">
        <v>28</v>
      </c>
      <c r="B28" s="43" t="s">
        <v>27</v>
      </c>
      <c r="C28" s="43"/>
      <c r="D28" s="65"/>
      <c r="E28" s="65"/>
      <c r="F28" s="4"/>
      <c r="G28" s="460">
        <f>ROUND(G29+G30+G31,2)</f>
        <v>77812.899999999994</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77812.899999991059</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9" x14ac:dyDescent="0.2">
      <c r="A33" s="545"/>
      <c r="B33" s="545"/>
      <c r="C33" s="545"/>
      <c r="D33" s="545"/>
      <c r="E33" s="545"/>
      <c r="F33" s="545"/>
      <c r="G33" s="545"/>
      <c r="H33" s="545"/>
      <c r="I33" s="545"/>
    </row>
    <row r="34" spans="1:9" x14ac:dyDescent="0.2">
      <c r="A34" s="545"/>
      <c r="B34" s="545"/>
      <c r="C34" s="545"/>
      <c r="D34" s="545"/>
      <c r="E34" s="545"/>
      <c r="F34" s="545"/>
      <c r="G34" s="545"/>
      <c r="H34" s="545"/>
      <c r="I34" s="545"/>
    </row>
    <row r="35" spans="1:9" ht="19.5" x14ac:dyDescent="0.4">
      <c r="A35" s="43" t="s">
        <v>23</v>
      </c>
      <c r="B35" s="43" t="s">
        <v>22</v>
      </c>
      <c r="C35" s="43"/>
      <c r="D35" s="63"/>
      <c r="E35" s="5"/>
      <c r="F35" s="65"/>
      <c r="G35" s="64"/>
      <c r="H35" s="4"/>
      <c r="I35" s="4"/>
    </row>
    <row r="36" spans="1:9" ht="18.75" x14ac:dyDescent="0.4">
      <c r="A36" s="43"/>
      <c r="B36" s="43"/>
      <c r="C36" s="43"/>
      <c r="D36" s="63"/>
      <c r="F36" s="9" t="s">
        <v>21</v>
      </c>
      <c r="G36" s="62" t="s">
        <v>20</v>
      </c>
      <c r="H36" s="4"/>
      <c r="I36" s="61" t="s">
        <v>19</v>
      </c>
    </row>
    <row r="37" spans="1:9" ht="16.5" x14ac:dyDescent="0.35">
      <c r="A37" s="59" t="s">
        <v>18</v>
      </c>
      <c r="B37" s="58"/>
      <c r="C37" s="57"/>
      <c r="D37" s="58"/>
      <c r="E37" s="5"/>
      <c r="F37" s="56">
        <f>34793000-220000</f>
        <v>34573000</v>
      </c>
      <c r="G37" s="56">
        <f>34559575-127142</f>
        <v>34432433</v>
      </c>
      <c r="H37" s="55"/>
      <c r="I37" s="54">
        <f>IF(F37=0,"nerozp.",G37/F37)</f>
        <v>0.99593419720591214</v>
      </c>
    </row>
    <row r="38" spans="1:9" ht="16.5" x14ac:dyDescent="0.35">
      <c r="A38" s="59" t="s">
        <v>17</v>
      </c>
      <c r="B38" s="58"/>
      <c r="C38" s="57"/>
      <c r="D38" s="60"/>
      <c r="E38" s="60"/>
      <c r="F38" s="56">
        <v>3879000</v>
      </c>
      <c r="G38" s="56">
        <v>3999291.4</v>
      </c>
      <c r="H38" s="55"/>
      <c r="I38" s="54">
        <f>IF(F38=0,"nerozp.",G38/F38)</f>
        <v>1.0310109306522299</v>
      </c>
    </row>
    <row r="39" spans="1:9" ht="16.5" x14ac:dyDescent="0.35">
      <c r="A39" s="59" t="s">
        <v>16</v>
      </c>
      <c r="B39" s="58"/>
      <c r="C39" s="57"/>
      <c r="D39" s="60"/>
      <c r="E39" s="60"/>
      <c r="F39" s="56">
        <v>0</v>
      </c>
      <c r="G39" s="56">
        <v>0</v>
      </c>
      <c r="H39" s="55"/>
      <c r="I39" s="54" t="str">
        <f>IF(F39=0,"nerozp.",G39/F39)</f>
        <v>nerozp.</v>
      </c>
    </row>
    <row r="40" spans="1:9" ht="16.5" x14ac:dyDescent="0.35">
      <c r="A40" s="59" t="s">
        <v>15</v>
      </c>
      <c r="B40" s="58"/>
      <c r="C40" s="57"/>
      <c r="D40" s="5"/>
      <c r="E40" s="5"/>
      <c r="F40" s="56">
        <v>2909000</v>
      </c>
      <c r="G40" s="56">
        <v>2909000</v>
      </c>
      <c r="H40" s="55"/>
      <c r="I40" s="54">
        <f>IF(F40=0,"nerozp.",G40/F40)</f>
        <v>1</v>
      </c>
    </row>
    <row r="41" spans="1:9" ht="16.5" x14ac:dyDescent="0.35">
      <c r="A41" s="59" t="s">
        <v>14</v>
      </c>
      <c r="B41" s="58"/>
      <c r="C41" s="57"/>
      <c r="D41" s="5"/>
      <c r="E41" s="5"/>
      <c r="F41" s="56">
        <v>0</v>
      </c>
      <c r="G41" s="56">
        <v>0</v>
      </c>
      <c r="H41" s="55"/>
      <c r="I41" s="54" t="str">
        <f>IF(F41=0,"nerozp.",G41/F41)</f>
        <v>nerozp.</v>
      </c>
    </row>
    <row r="42" spans="1:9" ht="14.25" x14ac:dyDescent="0.2">
      <c r="A42" s="53" t="s">
        <v>13</v>
      </c>
      <c r="B42" s="52" t="s">
        <v>329</v>
      </c>
      <c r="C42" s="51"/>
      <c r="D42" s="47"/>
      <c r="E42" s="47"/>
      <c r="F42" s="46"/>
      <c r="G42" s="46"/>
      <c r="H42" s="45"/>
      <c r="I42" s="44"/>
    </row>
    <row r="43" spans="1:9" ht="39" customHeight="1" x14ac:dyDescent="0.2">
      <c r="A43" s="50"/>
      <c r="B43" s="564" t="s">
        <v>352</v>
      </c>
      <c r="C43" s="565"/>
      <c r="D43" s="565"/>
      <c r="E43" s="565"/>
      <c r="F43" s="565"/>
      <c r="G43" s="565"/>
      <c r="H43" s="565"/>
      <c r="I43" s="565"/>
    </row>
    <row r="44" spans="1:9" ht="16.5" x14ac:dyDescent="0.35">
      <c r="A44" s="50"/>
      <c r="B44" s="49"/>
      <c r="C44" s="48"/>
      <c r="D44" s="47"/>
      <c r="E44" s="47"/>
      <c r="F44" s="46"/>
      <c r="G44" s="46"/>
      <c r="H44" s="45"/>
      <c r="I44" s="44"/>
    </row>
    <row r="45" spans="1:9" ht="19.5" thickBot="1" x14ac:dyDescent="0.45">
      <c r="A45" s="43" t="s">
        <v>12</v>
      </c>
      <c r="B45" s="43" t="s">
        <v>11</v>
      </c>
      <c r="C45" s="42"/>
      <c r="D45" s="5"/>
      <c r="E45" s="5"/>
      <c r="F45" s="4"/>
      <c r="G45" s="10"/>
      <c r="H45" s="549" t="s">
        <v>10</v>
      </c>
      <c r="I45" s="550"/>
    </row>
    <row r="46" spans="1:9" ht="18.75" thickTop="1" x14ac:dyDescent="0.35">
      <c r="A46" s="41"/>
      <c r="B46" s="39"/>
      <c r="C46" s="40"/>
      <c r="D46" s="39"/>
      <c r="E46" s="38" t="s">
        <v>9</v>
      </c>
      <c r="F46" s="37" t="s">
        <v>8</v>
      </c>
      <c r="G46" s="37" t="s">
        <v>7</v>
      </c>
      <c r="H46" s="36" t="s">
        <v>6</v>
      </c>
      <c r="I46" s="35" t="s">
        <v>5</v>
      </c>
    </row>
    <row r="47" spans="1:9" x14ac:dyDescent="0.2">
      <c r="A47" s="31"/>
      <c r="B47" s="4"/>
      <c r="C47" s="4"/>
      <c r="D47" s="4"/>
      <c r="E47" s="31"/>
      <c r="F47" s="542"/>
      <c r="G47" s="34"/>
      <c r="H47" s="33">
        <v>41274</v>
      </c>
      <c r="I47" s="32">
        <v>41274</v>
      </c>
    </row>
    <row r="48" spans="1:9"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136705.60000000001</v>
      </c>
      <c r="F50" s="22">
        <v>0</v>
      </c>
      <c r="G50" s="21">
        <v>0</v>
      </c>
      <c r="H50" s="21">
        <f>E50+F50-G50</f>
        <v>136705.60000000001</v>
      </c>
      <c r="I50" s="20">
        <v>136705.60000000001</v>
      </c>
    </row>
    <row r="51" spans="1:9" x14ac:dyDescent="0.2">
      <c r="A51" s="19"/>
      <c r="B51" s="18"/>
      <c r="C51" s="18" t="s">
        <v>3</v>
      </c>
      <c r="D51" s="18"/>
      <c r="E51" s="464">
        <v>388826.16</v>
      </c>
      <c r="F51" s="17">
        <v>344995.88000000006</v>
      </c>
      <c r="G51" s="16">
        <v>403740</v>
      </c>
      <c r="H51" s="16">
        <f>E51+F51-G51</f>
        <v>330082.04000000004</v>
      </c>
      <c r="I51" s="15">
        <v>235741.64</v>
      </c>
    </row>
    <row r="52" spans="1:9" x14ac:dyDescent="0.2">
      <c r="A52" s="19"/>
      <c r="B52" s="18"/>
      <c r="C52" s="18" t="s">
        <v>2</v>
      </c>
      <c r="D52" s="18"/>
      <c r="E52" s="464">
        <v>158486.14000000001</v>
      </c>
      <c r="F52" s="17">
        <v>116961.76999999999</v>
      </c>
      <c r="G52" s="16">
        <v>47792</v>
      </c>
      <c r="H52" s="16">
        <f>E52+F52-G52</f>
        <v>227655.91000000003</v>
      </c>
      <c r="I52" s="15">
        <v>227655.91</v>
      </c>
    </row>
    <row r="53" spans="1:9" x14ac:dyDescent="0.2">
      <c r="A53" s="19"/>
      <c r="B53" s="18"/>
      <c r="C53" s="18" t="s">
        <v>1</v>
      </c>
      <c r="D53" s="18"/>
      <c r="E53" s="464">
        <v>918609.45</v>
      </c>
      <c r="F53" s="17">
        <v>4299291.3999999994</v>
      </c>
      <c r="G53" s="16">
        <v>3374682</v>
      </c>
      <c r="H53" s="16">
        <f>E53+F53-G53</f>
        <v>1843218.8499999996</v>
      </c>
      <c r="I53" s="15">
        <v>1843218.85</v>
      </c>
    </row>
    <row r="54" spans="1:9" ht="18.75" thickBot="1" x14ac:dyDescent="0.4">
      <c r="A54" s="14" t="s">
        <v>0</v>
      </c>
      <c r="B54" s="13"/>
      <c r="C54" s="13"/>
      <c r="D54" s="13"/>
      <c r="E54" s="465">
        <f>SUM(E50:E53)</f>
        <v>1602627.35</v>
      </c>
      <c r="F54" s="12">
        <f>SUM(F50:F53)</f>
        <v>4761249.05</v>
      </c>
      <c r="G54" s="12">
        <f>SUM(G50:G53)</f>
        <v>3826214</v>
      </c>
      <c r="H54" s="12">
        <f>SUM(H50:H53)</f>
        <v>2537662.3999999994</v>
      </c>
      <c r="I54" s="11">
        <f>SUM(I50:I53)</f>
        <v>2443322</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F47:F48"/>
    <mergeCell ref="E6:G6"/>
    <mergeCell ref="A32:I34"/>
    <mergeCell ref="E7:I7"/>
    <mergeCell ref="H13:I13"/>
    <mergeCell ref="H45:I45"/>
    <mergeCell ref="B43:I43"/>
    <mergeCell ref="A2:D2"/>
    <mergeCell ref="E3:I3"/>
    <mergeCell ref="E2:I2"/>
    <mergeCell ref="E5:I5"/>
    <mergeCell ref="E4:I4"/>
  </mergeCells>
  <conditionalFormatting sqref="I42 I44">
    <cfRule type="cellIs" dxfId="127" priority="9" stopIfTrue="1" operator="greaterThan">
      <formula>1</formula>
    </cfRule>
  </conditionalFormatting>
  <conditionalFormatting sqref="H50:H53">
    <cfRule type="cellIs" dxfId="126" priority="13" stopIfTrue="1" operator="notEqual">
      <formula>E50+F50-G50</formula>
    </cfRule>
  </conditionalFormatting>
  <conditionalFormatting sqref="I54">
    <cfRule type="cellIs" dxfId="125" priority="14" stopIfTrue="1" operator="notEqual">
      <formula>$I$50+$I$51+$I$52+$I$53</formula>
    </cfRule>
  </conditionalFormatting>
  <conditionalFormatting sqref="H54">
    <cfRule type="cellIs" dxfId="124" priority="15" stopIfTrue="1" operator="notEqual">
      <formula>E54+F54-G54</formula>
    </cfRule>
    <cfRule type="cellIs" dxfId="123" priority="16" stopIfTrue="1" operator="notEqual">
      <formula>SUM($H$50:$H$53)</formula>
    </cfRule>
  </conditionalFormatting>
  <conditionalFormatting sqref="G18 G16">
    <cfRule type="cellIs" dxfId="122" priority="17" stopIfTrue="1" operator="notEqual">
      <formula>H16+I16</formula>
    </cfRule>
  </conditionalFormatting>
  <conditionalFormatting sqref="G24">
    <cfRule type="cellIs" dxfId="121" priority="18" stopIfTrue="1" operator="notEqual">
      <formula>ROUND(H24+I24,2)</formula>
    </cfRule>
  </conditionalFormatting>
  <conditionalFormatting sqref="H24">
    <cfRule type="cellIs" dxfId="120" priority="19" stopIfTrue="1" operator="notEqual">
      <formula>$H$18-$H$16</formula>
    </cfRule>
  </conditionalFormatting>
  <conditionalFormatting sqref="I24">
    <cfRule type="cellIs" dxfId="119" priority="20" stopIfTrue="1" operator="notEqual">
      <formula>I18-I16</formula>
    </cfRule>
  </conditionalFormatting>
  <conditionalFormatting sqref="G23">
    <cfRule type="cellIs" dxfId="118" priority="7" stopIfTrue="1" operator="notEqual">
      <formula>ROUND(H23+I23,2)</formula>
    </cfRule>
  </conditionalFormatting>
  <conditionalFormatting sqref="G28">
    <cfRule type="cellIs" dxfId="117" priority="5" operator="notEqual">
      <formula>ROUND($G$24,2)</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0" width="10.85546875" style="180" customWidth="1"/>
    <col min="11" max="11" width="10.28515625" style="180" customWidth="1"/>
    <col min="12" max="16384" width="9.140625" style="180"/>
  </cols>
  <sheetData>
    <row r="1" spans="1:11" ht="19.5" x14ac:dyDescent="0.4">
      <c r="A1" s="119" t="s">
        <v>47</v>
      </c>
      <c r="B1" s="118"/>
      <c r="C1" s="118"/>
      <c r="D1" s="118"/>
    </row>
    <row r="2" spans="1:11" ht="19.5" x14ac:dyDescent="0.4">
      <c r="A2" s="553" t="s">
        <v>46</v>
      </c>
      <c r="B2" s="553"/>
      <c r="C2" s="553"/>
      <c r="D2" s="553"/>
      <c r="E2" s="554" t="s">
        <v>269</v>
      </c>
      <c r="F2" s="543"/>
      <c r="G2" s="543"/>
      <c r="H2" s="543"/>
      <c r="I2" s="543"/>
      <c r="J2" s="458"/>
      <c r="K2" s="458"/>
    </row>
    <row r="3" spans="1:11" ht="12" customHeight="1" x14ac:dyDescent="0.4">
      <c r="A3" s="455"/>
      <c r="B3" s="455"/>
      <c r="C3" s="455"/>
      <c r="D3" s="455"/>
      <c r="E3" s="546" t="s">
        <v>44</v>
      </c>
      <c r="F3" s="546"/>
      <c r="G3" s="546"/>
      <c r="H3" s="546"/>
      <c r="I3" s="546"/>
    </row>
    <row r="4" spans="1:11" ht="15.75" x14ac:dyDescent="0.25">
      <c r="A4" s="115" t="s">
        <v>45</v>
      </c>
      <c r="E4" s="555" t="s">
        <v>270</v>
      </c>
      <c r="F4" s="555"/>
      <c r="G4" s="555"/>
      <c r="H4" s="555"/>
      <c r="I4" s="555"/>
    </row>
    <row r="5" spans="1:11" ht="9" customHeight="1" x14ac:dyDescent="0.25">
      <c r="A5" s="115"/>
      <c r="E5" s="546" t="s">
        <v>44</v>
      </c>
      <c r="F5" s="546"/>
      <c r="G5" s="546"/>
      <c r="H5" s="546"/>
      <c r="I5" s="546"/>
    </row>
    <row r="6" spans="1:11" ht="19.5" x14ac:dyDescent="0.4">
      <c r="A6" s="113" t="s">
        <v>43</v>
      </c>
      <c r="E6" s="543" t="s">
        <v>271</v>
      </c>
      <c r="F6" s="543"/>
      <c r="G6" s="543"/>
      <c r="H6" s="113" t="s">
        <v>42</v>
      </c>
      <c r="I6" s="111" t="s">
        <v>268</v>
      </c>
    </row>
    <row r="7" spans="1:11" ht="9.75" customHeight="1" x14ac:dyDescent="0.4">
      <c r="A7" s="113"/>
      <c r="E7" s="546" t="s">
        <v>41</v>
      </c>
      <c r="F7" s="546"/>
      <c r="G7" s="546"/>
      <c r="H7" s="546"/>
      <c r="I7" s="546"/>
    </row>
    <row r="8" spans="1:11" ht="19.5" x14ac:dyDescent="0.4">
      <c r="A8" s="113"/>
      <c r="E8" s="111"/>
      <c r="F8" s="111"/>
      <c r="G8" s="111"/>
      <c r="H8" s="112"/>
      <c r="I8" s="111"/>
    </row>
    <row r="9" spans="1:11" ht="19.5"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456"/>
      <c r="I14" s="457"/>
    </row>
    <row r="15" spans="1:11" ht="18.75" x14ac:dyDescent="0.4">
      <c r="A15" s="71" t="s">
        <v>32</v>
      </c>
      <c r="B15" s="71"/>
      <c r="C15" s="99"/>
      <c r="D15" s="98"/>
      <c r="E15" s="100"/>
      <c r="F15" s="100"/>
      <c r="G15" s="82"/>
      <c r="H15" s="66"/>
      <c r="I15" s="66"/>
    </row>
    <row r="16" spans="1:11" ht="19.5" x14ac:dyDescent="0.4">
      <c r="A16" s="85" t="s">
        <v>31</v>
      </c>
      <c r="B16" s="71"/>
      <c r="C16" s="99"/>
      <c r="D16" s="98"/>
      <c r="E16" s="78">
        <v>36309000</v>
      </c>
      <c r="F16" s="93">
        <v>37172000</v>
      </c>
      <c r="G16" s="90">
        <f>H16+I16</f>
        <v>37150869.729999997</v>
      </c>
      <c r="H16" s="78">
        <v>37150869.729999997</v>
      </c>
      <c r="I16" s="78">
        <v>0</v>
      </c>
    </row>
    <row r="17" spans="1:9" ht="14.25" x14ac:dyDescent="0.3">
      <c r="A17" s="97"/>
      <c r="B17" s="96"/>
      <c r="C17" s="96"/>
      <c r="D17" s="96"/>
      <c r="E17" s="95"/>
      <c r="F17" s="94"/>
    </row>
    <row r="18" spans="1:9" ht="19.5" x14ac:dyDescent="0.4">
      <c r="A18" s="85" t="s">
        <v>30</v>
      </c>
      <c r="B18" s="83"/>
      <c r="C18" s="83"/>
      <c r="D18" s="83"/>
      <c r="E18" s="78">
        <v>34926000</v>
      </c>
      <c r="F18" s="93">
        <v>37172000</v>
      </c>
      <c r="G18" s="90">
        <f>H18+I18</f>
        <v>37155238.63000001</v>
      </c>
      <c r="H18" s="78">
        <v>37155238.63000001</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4368.8999999999996</v>
      </c>
      <c r="H24" s="75">
        <f>H18-H16</f>
        <v>4368.900000013411</v>
      </c>
      <c r="I24" s="75">
        <f>I18-I164</f>
        <v>0</v>
      </c>
    </row>
    <row r="26" spans="1:9" x14ac:dyDescent="0.2">
      <c r="H26" s="66"/>
    </row>
    <row r="28" spans="1:9" ht="19.5" x14ac:dyDescent="0.4">
      <c r="A28" s="43" t="s">
        <v>28</v>
      </c>
      <c r="B28" s="43" t="s">
        <v>27</v>
      </c>
      <c r="C28" s="43"/>
      <c r="D28" s="65"/>
      <c r="E28" s="65"/>
      <c r="F28" s="4"/>
      <c r="G28" s="460">
        <f>ROUND(G29+G30+G31,2)</f>
        <v>4368.8999999999996</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4368.900000013411</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11" x14ac:dyDescent="0.2">
      <c r="A33" s="545"/>
      <c r="B33" s="545"/>
      <c r="C33" s="545"/>
      <c r="D33" s="545"/>
      <c r="E33" s="545"/>
      <c r="F33" s="545"/>
      <c r="G33" s="545"/>
      <c r="H33" s="545"/>
      <c r="I33" s="545"/>
    </row>
    <row r="34" spans="1:11" x14ac:dyDescent="0.2">
      <c r="A34" s="545"/>
      <c r="B34" s="545"/>
      <c r="C34" s="545"/>
      <c r="D34" s="545"/>
      <c r="E34" s="545"/>
      <c r="F34" s="545"/>
      <c r="G34" s="545"/>
      <c r="H34" s="545"/>
      <c r="I34" s="545"/>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56">
        <f>17910000-100000</f>
        <v>17810000</v>
      </c>
      <c r="G37" s="56">
        <f>18018593-42969</f>
        <v>17975624</v>
      </c>
      <c r="H37" s="55"/>
      <c r="I37" s="54">
        <f>IF(F37=0,"nerozp.",G37/F37)</f>
        <v>1.009299494665918</v>
      </c>
      <c r="J37" s="446"/>
      <c r="K37" s="461"/>
    </row>
    <row r="38" spans="1:11" ht="16.5" x14ac:dyDescent="0.35">
      <c r="A38" s="59" t="s">
        <v>17</v>
      </c>
      <c r="B38" s="58"/>
      <c r="C38" s="57"/>
      <c r="D38" s="60"/>
      <c r="E38" s="60"/>
      <c r="F38" s="56">
        <v>613000</v>
      </c>
      <c r="G38" s="56">
        <v>613723.19999999995</v>
      </c>
      <c r="H38" s="55"/>
      <c r="I38" s="54">
        <f>IF(F38=0,"nerozp.",G38/F38)</f>
        <v>1.0011797716150082</v>
      </c>
      <c r="J38" s="447"/>
      <c r="K38" s="461"/>
    </row>
    <row r="39" spans="1:11" ht="16.5" x14ac:dyDescent="0.35">
      <c r="A39" s="59" t="s">
        <v>16</v>
      </c>
      <c r="B39" s="58"/>
      <c r="C39" s="57"/>
      <c r="D39" s="60"/>
      <c r="E39" s="60"/>
      <c r="F39" s="56">
        <v>0</v>
      </c>
      <c r="G39" s="56">
        <v>0</v>
      </c>
      <c r="H39" s="55"/>
      <c r="I39" s="54" t="str">
        <f>IF(F39=0,"nerozp.",G39/F39)</f>
        <v>nerozp.</v>
      </c>
    </row>
    <row r="40" spans="1:11" ht="16.5" x14ac:dyDescent="0.35">
      <c r="A40" s="59" t="s">
        <v>15</v>
      </c>
      <c r="B40" s="58"/>
      <c r="C40" s="57"/>
      <c r="D40" s="5"/>
      <c r="E40" s="5"/>
      <c r="F40" s="56">
        <v>459250</v>
      </c>
      <c r="G40" s="56">
        <v>459250</v>
      </c>
      <c r="H40" s="55"/>
      <c r="I40" s="54">
        <f>IF(F40=0,"nerozp.",G40/F40)</f>
        <v>1</v>
      </c>
    </row>
    <row r="41" spans="1:11" ht="16.5" x14ac:dyDescent="0.35">
      <c r="A41" s="59" t="s">
        <v>14</v>
      </c>
      <c r="B41" s="58"/>
      <c r="C41" s="57"/>
      <c r="D41" s="5"/>
      <c r="E41" s="5"/>
      <c r="F41" s="56">
        <v>0</v>
      </c>
      <c r="G41" s="56">
        <v>0</v>
      </c>
      <c r="H41" s="55"/>
      <c r="I41" s="54" t="str">
        <f>IF(F41=0,"nerozp.",G41/F41)</f>
        <v>nerozp.</v>
      </c>
    </row>
    <row r="42" spans="1:11" ht="14.25" x14ac:dyDescent="0.2">
      <c r="A42" s="53" t="s">
        <v>13</v>
      </c>
      <c r="B42" s="52" t="s">
        <v>330</v>
      </c>
      <c r="C42" s="51"/>
      <c r="D42" s="47"/>
      <c r="E42" s="47"/>
      <c r="F42" s="46"/>
      <c r="G42" s="46"/>
      <c r="H42" s="45"/>
      <c r="I42" s="44"/>
      <c r="K42" s="462"/>
    </row>
    <row r="43" spans="1:11" ht="27" customHeight="1" x14ac:dyDescent="0.2">
      <c r="A43" s="50"/>
      <c r="B43" s="551" t="s">
        <v>332</v>
      </c>
      <c r="C43" s="552"/>
      <c r="D43" s="552"/>
      <c r="E43" s="552"/>
      <c r="F43" s="552"/>
      <c r="G43" s="552"/>
      <c r="H43" s="552"/>
      <c r="I43" s="552"/>
      <c r="K43" s="513"/>
    </row>
    <row r="44" spans="1:11" ht="16.5"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19343</v>
      </c>
      <c r="F50" s="22">
        <v>0</v>
      </c>
      <c r="G50" s="21">
        <v>0</v>
      </c>
      <c r="H50" s="21">
        <f>E50+F50-G50</f>
        <v>19343</v>
      </c>
      <c r="I50" s="20">
        <v>19343</v>
      </c>
    </row>
    <row r="51" spans="1:9" x14ac:dyDescent="0.2">
      <c r="A51" s="19"/>
      <c r="B51" s="18"/>
      <c r="C51" s="18" t="s">
        <v>3</v>
      </c>
      <c r="D51" s="18"/>
      <c r="E51" s="464">
        <v>283544.98</v>
      </c>
      <c r="F51" s="17">
        <v>179236</v>
      </c>
      <c r="G51" s="16">
        <v>223956</v>
      </c>
      <c r="H51" s="16">
        <f>E51+F51-G51</f>
        <v>238824.97999999998</v>
      </c>
      <c r="I51" s="15">
        <v>237190.98</v>
      </c>
    </row>
    <row r="52" spans="1:9" x14ac:dyDescent="0.2">
      <c r="A52" s="19"/>
      <c r="B52" s="18"/>
      <c r="C52" s="18" t="s">
        <v>2</v>
      </c>
      <c r="D52" s="18"/>
      <c r="E52" s="464">
        <v>336503.88</v>
      </c>
      <c r="F52" s="17">
        <v>51430.74</v>
      </c>
      <c r="G52" s="16">
        <v>125843</v>
      </c>
      <c r="H52" s="16">
        <f>E52+F52-G52</f>
        <v>262091.62</v>
      </c>
      <c r="I52" s="15">
        <v>262091.62</v>
      </c>
    </row>
    <row r="53" spans="1:9" x14ac:dyDescent="0.2">
      <c r="A53" s="19"/>
      <c r="B53" s="18"/>
      <c r="C53" s="18" t="s">
        <v>1</v>
      </c>
      <c r="D53" s="18"/>
      <c r="E53" s="464">
        <v>169072.56</v>
      </c>
      <c r="F53" s="17">
        <v>1287244.2</v>
      </c>
      <c r="G53" s="16">
        <v>1306619.2</v>
      </c>
      <c r="H53" s="16">
        <f>E53+F53-G53</f>
        <v>149697.56000000006</v>
      </c>
      <c r="I53" s="15">
        <v>149697.56</v>
      </c>
    </row>
    <row r="54" spans="1:9" ht="18.75" thickBot="1" x14ac:dyDescent="0.4">
      <c r="A54" s="14" t="s">
        <v>0</v>
      </c>
      <c r="B54" s="13"/>
      <c r="C54" s="13"/>
      <c r="D54" s="13"/>
      <c r="E54" s="465">
        <f>SUM(E50:E53)</f>
        <v>808464.41999999993</v>
      </c>
      <c r="F54" s="12">
        <f>SUM(F50:F53)</f>
        <v>1517910.94</v>
      </c>
      <c r="G54" s="12">
        <f>SUM(G50:G53)</f>
        <v>1656418.2</v>
      </c>
      <c r="H54" s="12">
        <f>SUM(H50:H53)</f>
        <v>669957.16</v>
      </c>
      <c r="I54" s="11">
        <f>SUM(I50:I53)</f>
        <v>668323.15999999992</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F47:F48"/>
    <mergeCell ref="E6:G6"/>
    <mergeCell ref="A32:I34"/>
    <mergeCell ref="E7:I7"/>
    <mergeCell ref="H13:I13"/>
    <mergeCell ref="H45:I45"/>
    <mergeCell ref="B43:I43"/>
    <mergeCell ref="A2:D2"/>
    <mergeCell ref="E3:I3"/>
    <mergeCell ref="E2:I2"/>
    <mergeCell ref="E5:I5"/>
    <mergeCell ref="E4:I4"/>
  </mergeCells>
  <conditionalFormatting sqref="I42 I44">
    <cfRule type="cellIs" dxfId="116" priority="9" stopIfTrue="1" operator="greaterThan">
      <formula>1</formula>
    </cfRule>
  </conditionalFormatting>
  <conditionalFormatting sqref="H50:H53">
    <cfRule type="cellIs" dxfId="115" priority="13" stopIfTrue="1" operator="notEqual">
      <formula>E50+F50-G50</formula>
    </cfRule>
  </conditionalFormatting>
  <conditionalFormatting sqref="I54">
    <cfRule type="cellIs" dxfId="114" priority="14" stopIfTrue="1" operator="notEqual">
      <formula>$I$50+$I$51+$I$52+$I$53</formula>
    </cfRule>
  </conditionalFormatting>
  <conditionalFormatting sqref="H54">
    <cfRule type="cellIs" dxfId="113" priority="15" stopIfTrue="1" operator="notEqual">
      <formula>E54+F54-G54</formula>
    </cfRule>
    <cfRule type="cellIs" dxfId="112" priority="16" stopIfTrue="1" operator="notEqual">
      <formula>SUM($H$50:$H$53)</formula>
    </cfRule>
  </conditionalFormatting>
  <conditionalFormatting sqref="G18 G16">
    <cfRule type="cellIs" dxfId="111" priority="17" stopIfTrue="1" operator="notEqual">
      <formula>H16+I16</formula>
    </cfRule>
  </conditionalFormatting>
  <conditionalFormatting sqref="G24">
    <cfRule type="cellIs" dxfId="110" priority="18" stopIfTrue="1" operator="notEqual">
      <formula>ROUND(H24+I24,2)</formula>
    </cfRule>
  </conditionalFormatting>
  <conditionalFormatting sqref="H24">
    <cfRule type="cellIs" dxfId="109" priority="19" stopIfTrue="1" operator="notEqual">
      <formula>$H$18-$H$16</formula>
    </cfRule>
  </conditionalFormatting>
  <conditionalFormatting sqref="I24">
    <cfRule type="cellIs" dxfId="108" priority="20" stopIfTrue="1" operator="notEqual">
      <formula>I18-I16</formula>
    </cfRule>
  </conditionalFormatting>
  <conditionalFormatting sqref="G23">
    <cfRule type="cellIs" dxfId="107" priority="7" stopIfTrue="1" operator="notEqual">
      <formula>ROUND(H23+I23,2)</formula>
    </cfRule>
  </conditionalFormatting>
  <conditionalFormatting sqref="G28">
    <cfRule type="cellIs" dxfId="106" priority="5" operator="notEqual">
      <formula>ROUND($G$24,2)</formula>
    </cfRule>
  </conditionalFormatting>
  <conditionalFormatting sqref="J37">
    <cfRule type="cellIs" dxfId="105" priority="3" operator="greaterThan">
      <formula>0</formula>
    </cfRule>
    <cfRule type="cellIs" dxfId="104" priority="4" operator="lessThan">
      <formula>0</formula>
    </cfRule>
  </conditionalFormatting>
  <conditionalFormatting sqref="J38">
    <cfRule type="cellIs" dxfId="103" priority="1" operator="greaterThan">
      <formula>0</formula>
    </cfRule>
    <cfRule type="cellIs" dxfId="102" priority="2" operator="lessThan">
      <formula>0</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9" ht="19.5" x14ac:dyDescent="0.4">
      <c r="A1" s="119" t="s">
        <v>47</v>
      </c>
      <c r="B1" s="118"/>
      <c r="C1" s="118"/>
      <c r="D1" s="118"/>
    </row>
    <row r="2" spans="1:9" ht="19.5" x14ac:dyDescent="0.4">
      <c r="A2" s="553" t="s">
        <v>46</v>
      </c>
      <c r="B2" s="553"/>
      <c r="C2" s="553"/>
      <c r="D2" s="553"/>
      <c r="E2" s="554" t="s">
        <v>273</v>
      </c>
      <c r="F2" s="543"/>
      <c r="G2" s="543"/>
      <c r="H2" s="543"/>
      <c r="I2" s="543"/>
    </row>
    <row r="3" spans="1:9" ht="12" customHeight="1" x14ac:dyDescent="0.4">
      <c r="A3" s="455"/>
      <c r="B3" s="455"/>
      <c r="C3" s="455"/>
      <c r="D3" s="455"/>
      <c r="E3" s="546" t="s">
        <v>44</v>
      </c>
      <c r="F3" s="546"/>
      <c r="G3" s="546"/>
      <c r="H3" s="546"/>
      <c r="I3" s="546"/>
    </row>
    <row r="4" spans="1:9" ht="15.75" x14ac:dyDescent="0.25">
      <c r="A4" s="115" t="s">
        <v>45</v>
      </c>
      <c r="E4" s="555" t="s">
        <v>274</v>
      </c>
      <c r="F4" s="555"/>
      <c r="G4" s="555"/>
      <c r="H4" s="555"/>
      <c r="I4" s="555"/>
    </row>
    <row r="5" spans="1:9" ht="9" customHeight="1" x14ac:dyDescent="0.25">
      <c r="A5" s="115"/>
      <c r="E5" s="546" t="s">
        <v>44</v>
      </c>
      <c r="F5" s="546"/>
      <c r="G5" s="546"/>
      <c r="H5" s="546"/>
      <c r="I5" s="546"/>
    </row>
    <row r="6" spans="1:9" ht="19.5" x14ac:dyDescent="0.4">
      <c r="A6" s="113" t="s">
        <v>43</v>
      </c>
      <c r="E6" s="543" t="s">
        <v>275</v>
      </c>
      <c r="F6" s="543"/>
      <c r="G6" s="543"/>
      <c r="H6" s="113" t="s">
        <v>42</v>
      </c>
      <c r="I6" s="111" t="s">
        <v>272</v>
      </c>
    </row>
    <row r="7" spans="1:9" ht="9.75" customHeight="1" x14ac:dyDescent="0.4">
      <c r="A7" s="113"/>
      <c r="E7" s="546" t="s">
        <v>41</v>
      </c>
      <c r="F7" s="546"/>
      <c r="G7" s="546"/>
      <c r="H7" s="546"/>
      <c r="I7" s="546"/>
    </row>
    <row r="8" spans="1:9" ht="19.5" x14ac:dyDescent="0.4">
      <c r="A8" s="113"/>
      <c r="E8" s="111"/>
      <c r="F8" s="111"/>
      <c r="G8" s="111"/>
      <c r="H8" s="112"/>
      <c r="I8" s="111"/>
    </row>
    <row r="9" spans="1:9" ht="19.5" x14ac:dyDescent="0.4">
      <c r="A9" s="113"/>
      <c r="E9" s="111"/>
      <c r="F9" s="111"/>
      <c r="G9" s="111"/>
      <c r="H9" s="112"/>
      <c r="I9" s="111"/>
    </row>
    <row r="11" spans="1:9" ht="18.75" x14ac:dyDescent="0.4">
      <c r="A11" s="110"/>
      <c r="B11" s="94"/>
      <c r="C11" s="94"/>
      <c r="D11" s="94"/>
      <c r="E11" s="104" t="s">
        <v>40</v>
      </c>
      <c r="F11" s="104" t="s">
        <v>39</v>
      </c>
      <c r="G11" s="107" t="s">
        <v>20</v>
      </c>
      <c r="H11" s="109" t="s">
        <v>38</v>
      </c>
      <c r="I11" s="108"/>
    </row>
    <row r="12" spans="1:9" ht="18.75" x14ac:dyDescent="0.4">
      <c r="A12" s="66"/>
      <c r="B12" s="66"/>
      <c r="C12" s="66"/>
      <c r="D12" s="66"/>
      <c r="E12" s="104" t="s">
        <v>37</v>
      </c>
      <c r="F12" s="104" t="s">
        <v>37</v>
      </c>
      <c r="G12" s="107" t="s">
        <v>36</v>
      </c>
      <c r="H12" s="106" t="s">
        <v>35</v>
      </c>
      <c r="I12" s="105" t="s">
        <v>34</v>
      </c>
    </row>
    <row r="13" spans="1:9" ht="15" x14ac:dyDescent="0.2">
      <c r="A13" s="66"/>
      <c r="B13" s="66"/>
      <c r="C13" s="66"/>
      <c r="D13" s="66"/>
      <c r="E13" s="104" t="s">
        <v>0</v>
      </c>
      <c r="F13" s="104" t="s">
        <v>0</v>
      </c>
      <c r="G13" s="103"/>
      <c r="H13" s="547" t="s">
        <v>33</v>
      </c>
      <c r="I13" s="548"/>
    </row>
    <row r="14" spans="1:9" ht="15" x14ac:dyDescent="0.2">
      <c r="A14" s="66"/>
      <c r="B14" s="66"/>
      <c r="C14" s="66"/>
      <c r="D14" s="66"/>
      <c r="E14" s="104"/>
      <c r="F14" s="104"/>
      <c r="G14" s="103"/>
      <c r="H14" s="456"/>
      <c r="I14" s="457"/>
    </row>
    <row r="15" spans="1:9" ht="18.75" x14ac:dyDescent="0.4">
      <c r="A15" s="71" t="s">
        <v>32</v>
      </c>
      <c r="B15" s="71"/>
      <c r="C15" s="99"/>
      <c r="D15" s="98"/>
      <c r="E15" s="100"/>
      <c r="F15" s="100"/>
      <c r="G15" s="82"/>
      <c r="H15" s="66"/>
      <c r="I15" s="66"/>
    </row>
    <row r="16" spans="1:9" ht="19.5" x14ac:dyDescent="0.4">
      <c r="A16" s="85" t="s">
        <v>31</v>
      </c>
      <c r="B16" s="71"/>
      <c r="C16" s="99"/>
      <c r="D16" s="98"/>
      <c r="E16" s="78">
        <v>41248000</v>
      </c>
      <c r="F16" s="93">
        <v>41352000</v>
      </c>
      <c r="G16" s="90">
        <f>H16+I16</f>
        <v>41747466.490000002</v>
      </c>
      <c r="H16" s="78">
        <v>41747466.490000002</v>
      </c>
      <c r="I16" s="78">
        <v>0</v>
      </c>
    </row>
    <row r="17" spans="1:9" ht="14.25" x14ac:dyDescent="0.3">
      <c r="A17" s="97"/>
      <c r="B17" s="96"/>
      <c r="C17" s="96"/>
      <c r="D17" s="96"/>
      <c r="E17" s="95"/>
      <c r="F17" s="94"/>
    </row>
    <row r="18" spans="1:9" ht="19.5" x14ac:dyDescent="0.4">
      <c r="A18" s="85" t="s">
        <v>30</v>
      </c>
      <c r="B18" s="83"/>
      <c r="C18" s="83"/>
      <c r="D18" s="83"/>
      <c r="E18" s="78">
        <v>38198000</v>
      </c>
      <c r="F18" s="93">
        <v>41220000</v>
      </c>
      <c r="G18" s="90">
        <f>H18+I18</f>
        <v>41981355.530000001</v>
      </c>
      <c r="H18" s="78">
        <v>41981355.530000001</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233889.04</v>
      </c>
      <c r="H24" s="75">
        <f>H18-H16</f>
        <v>233889.03999999911</v>
      </c>
      <c r="I24" s="75">
        <f>I18-I164</f>
        <v>0</v>
      </c>
    </row>
    <row r="26" spans="1:9" x14ac:dyDescent="0.2">
      <c r="H26" s="66"/>
    </row>
    <row r="28" spans="1:9" ht="19.5" x14ac:dyDescent="0.4">
      <c r="A28" s="43" t="s">
        <v>28</v>
      </c>
      <c r="B28" s="43" t="s">
        <v>27</v>
      </c>
      <c r="C28" s="43"/>
      <c r="D28" s="65"/>
      <c r="E28" s="65"/>
      <c r="F28" s="4"/>
      <c r="G28" s="460">
        <f>ROUND(G29+G30+G31,2)</f>
        <v>233889.04</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233889.03999999911</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9" x14ac:dyDescent="0.2">
      <c r="A33" s="545"/>
      <c r="B33" s="545"/>
      <c r="C33" s="545"/>
      <c r="D33" s="545"/>
      <c r="E33" s="545"/>
      <c r="F33" s="545"/>
      <c r="G33" s="545"/>
      <c r="H33" s="545"/>
      <c r="I33" s="545"/>
    </row>
    <row r="34" spans="1:9" x14ac:dyDescent="0.2">
      <c r="A34" s="545"/>
      <c r="B34" s="545"/>
      <c r="C34" s="545"/>
      <c r="D34" s="545"/>
      <c r="E34" s="545"/>
      <c r="F34" s="545"/>
      <c r="G34" s="545"/>
      <c r="H34" s="545"/>
      <c r="I34" s="545"/>
    </row>
    <row r="35" spans="1:9" ht="19.5" x14ac:dyDescent="0.4">
      <c r="A35" s="43" t="s">
        <v>23</v>
      </c>
      <c r="B35" s="43" t="s">
        <v>22</v>
      </c>
      <c r="C35" s="43"/>
      <c r="D35" s="63"/>
      <c r="E35" s="5"/>
      <c r="F35" s="65"/>
      <c r="G35" s="64"/>
      <c r="H35" s="4"/>
      <c r="I35" s="4"/>
    </row>
    <row r="36" spans="1:9" ht="18.75" x14ac:dyDescent="0.4">
      <c r="A36" s="43"/>
      <c r="B36" s="43"/>
      <c r="C36" s="43"/>
      <c r="D36" s="63"/>
      <c r="F36" s="9" t="s">
        <v>21</v>
      </c>
      <c r="G36" s="62" t="s">
        <v>20</v>
      </c>
      <c r="H36" s="4"/>
      <c r="I36" s="61" t="s">
        <v>19</v>
      </c>
    </row>
    <row r="37" spans="1:9" ht="16.5" x14ac:dyDescent="0.35">
      <c r="A37" s="59" t="s">
        <v>18</v>
      </c>
      <c r="B37" s="58"/>
      <c r="C37" s="57"/>
      <c r="D37" s="58"/>
      <c r="E37" s="5"/>
      <c r="F37" s="56">
        <f>21620000-300000</f>
        <v>21320000</v>
      </c>
      <c r="G37" s="56">
        <f>21629485-206501</f>
        <v>21422984</v>
      </c>
      <c r="H37" s="55"/>
      <c r="I37" s="54">
        <f>IF(F37=0,"nerozp.",G37/F37)</f>
        <v>1.0048303939962477</v>
      </c>
    </row>
    <row r="38" spans="1:9" ht="16.5" x14ac:dyDescent="0.35">
      <c r="A38" s="59" t="s">
        <v>17</v>
      </c>
      <c r="B38" s="58"/>
      <c r="C38" s="57"/>
      <c r="D38" s="60"/>
      <c r="E38" s="60"/>
      <c r="F38" s="56">
        <v>488000</v>
      </c>
      <c r="G38" s="56">
        <v>488246</v>
      </c>
      <c r="H38" s="55"/>
      <c r="I38" s="54">
        <f>IF(F38=0,"nerozp.",G38/F38)</f>
        <v>1.0005040983606557</v>
      </c>
    </row>
    <row r="39" spans="1:9" ht="16.5" x14ac:dyDescent="0.35">
      <c r="A39" s="59" t="s">
        <v>16</v>
      </c>
      <c r="B39" s="58"/>
      <c r="C39" s="57"/>
      <c r="D39" s="60"/>
      <c r="E39" s="60"/>
      <c r="F39" s="56">
        <v>0</v>
      </c>
      <c r="G39" s="56">
        <v>0</v>
      </c>
      <c r="H39" s="55"/>
      <c r="I39" s="54" t="str">
        <f>IF(F39=0,"nerozp.",G39/F39)</f>
        <v>nerozp.</v>
      </c>
    </row>
    <row r="40" spans="1:9" ht="16.5" x14ac:dyDescent="0.35">
      <c r="A40" s="59" t="s">
        <v>15</v>
      </c>
      <c r="B40" s="58"/>
      <c r="C40" s="57"/>
      <c r="D40" s="5"/>
      <c r="E40" s="5"/>
      <c r="F40" s="56">
        <v>366000</v>
      </c>
      <c r="G40" s="56">
        <v>366000</v>
      </c>
      <c r="H40" s="55"/>
      <c r="I40" s="54">
        <f>IF(F40=0,"nerozp.",G40/F40)</f>
        <v>1</v>
      </c>
    </row>
    <row r="41" spans="1:9" ht="16.5" x14ac:dyDescent="0.35">
      <c r="A41" s="59" t="s">
        <v>14</v>
      </c>
      <c r="B41" s="58"/>
      <c r="C41" s="57"/>
      <c r="D41" s="5"/>
      <c r="E41" s="5"/>
      <c r="F41" s="56">
        <v>0</v>
      </c>
      <c r="G41" s="56">
        <v>0</v>
      </c>
      <c r="H41" s="55"/>
      <c r="I41" s="54" t="str">
        <f>IF(F41=0,"nerozp.",G41/F41)</f>
        <v>nerozp.</v>
      </c>
    </row>
    <row r="42" spans="1:9" ht="14.25" x14ac:dyDescent="0.2">
      <c r="A42" s="53" t="s">
        <v>13</v>
      </c>
      <c r="B42" s="52" t="s">
        <v>333</v>
      </c>
      <c r="C42" s="51"/>
      <c r="D42" s="47"/>
      <c r="E42" s="47"/>
      <c r="F42" s="46"/>
      <c r="G42" s="46"/>
      <c r="H42" s="45"/>
      <c r="I42" s="44"/>
    </row>
    <row r="43" spans="1:9" ht="24.75" customHeight="1" x14ac:dyDescent="0.2">
      <c r="A43" s="50"/>
      <c r="B43" s="558" t="s">
        <v>335</v>
      </c>
      <c r="C43" s="559"/>
      <c r="D43" s="559"/>
      <c r="E43" s="559"/>
      <c r="F43" s="559"/>
      <c r="G43" s="559"/>
      <c r="H43" s="559"/>
      <c r="I43" s="559"/>
    </row>
    <row r="44" spans="1:9" ht="16.5" x14ac:dyDescent="0.35">
      <c r="A44" s="50"/>
      <c r="B44" s="49"/>
      <c r="C44" s="48"/>
      <c r="D44" s="47"/>
      <c r="E44" s="47"/>
      <c r="F44" s="46"/>
      <c r="G44" s="46"/>
      <c r="H44" s="45"/>
      <c r="I44" s="44"/>
    </row>
    <row r="45" spans="1:9" ht="19.5" thickBot="1" x14ac:dyDescent="0.45">
      <c r="A45" s="43" t="s">
        <v>12</v>
      </c>
      <c r="B45" s="43" t="s">
        <v>11</v>
      </c>
      <c r="C45" s="42"/>
      <c r="D45" s="5"/>
      <c r="E45" s="5"/>
      <c r="F45" s="4"/>
      <c r="G45" s="10"/>
      <c r="H45" s="549" t="s">
        <v>10</v>
      </c>
      <c r="I45" s="550"/>
    </row>
    <row r="46" spans="1:9" ht="18.75" thickTop="1" x14ac:dyDescent="0.35">
      <c r="A46" s="41"/>
      <c r="B46" s="39"/>
      <c r="C46" s="40"/>
      <c r="D46" s="39"/>
      <c r="E46" s="38" t="s">
        <v>9</v>
      </c>
      <c r="F46" s="37" t="s">
        <v>8</v>
      </c>
      <c r="G46" s="37" t="s">
        <v>7</v>
      </c>
      <c r="H46" s="36" t="s">
        <v>6</v>
      </c>
      <c r="I46" s="35" t="s">
        <v>5</v>
      </c>
    </row>
    <row r="47" spans="1:9" x14ac:dyDescent="0.2">
      <c r="A47" s="31"/>
      <c r="B47" s="4"/>
      <c r="C47" s="4"/>
      <c r="D47" s="4"/>
      <c r="E47" s="31"/>
      <c r="F47" s="542"/>
      <c r="G47" s="34"/>
      <c r="H47" s="33">
        <v>41274</v>
      </c>
      <c r="I47" s="32">
        <v>41274</v>
      </c>
    </row>
    <row r="48" spans="1:9"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22928</v>
      </c>
      <c r="F50" s="22">
        <v>0</v>
      </c>
      <c r="G50" s="21">
        <v>0</v>
      </c>
      <c r="H50" s="21">
        <f>E50+F50-G50</f>
        <v>22928</v>
      </c>
      <c r="I50" s="20">
        <v>22928</v>
      </c>
    </row>
    <row r="51" spans="1:9" x14ac:dyDescent="0.2">
      <c r="A51" s="19"/>
      <c r="B51" s="18"/>
      <c r="C51" s="18" t="s">
        <v>3</v>
      </c>
      <c r="D51" s="18"/>
      <c r="E51" s="464">
        <v>181300.58</v>
      </c>
      <c r="F51" s="17">
        <v>220035.99999999997</v>
      </c>
      <c r="G51" s="16">
        <v>283900</v>
      </c>
      <c r="H51" s="16">
        <f>E51+F51-G51</f>
        <v>117436.57999999996</v>
      </c>
      <c r="I51" s="15">
        <v>120248.63</v>
      </c>
    </row>
    <row r="52" spans="1:9" x14ac:dyDescent="0.2">
      <c r="A52" s="19"/>
      <c r="B52" s="18"/>
      <c r="C52" s="18" t="s">
        <v>2</v>
      </c>
      <c r="D52" s="18"/>
      <c r="E52" s="464">
        <v>436406.36</v>
      </c>
      <c r="F52" s="17">
        <v>171716.82</v>
      </c>
      <c r="G52" s="16">
        <v>26529</v>
      </c>
      <c r="H52" s="16">
        <f>E52+F52-G52</f>
        <v>581594.17999999993</v>
      </c>
      <c r="I52" s="15">
        <v>581594.18000000005</v>
      </c>
    </row>
    <row r="53" spans="1:9" x14ac:dyDescent="0.2">
      <c r="A53" s="19"/>
      <c r="B53" s="18"/>
      <c r="C53" s="18" t="s">
        <v>1</v>
      </c>
      <c r="D53" s="18"/>
      <c r="E53" s="464">
        <v>66086.570000000007</v>
      </c>
      <c r="F53" s="17">
        <v>488246.00000000006</v>
      </c>
      <c r="G53" s="16">
        <v>475901</v>
      </c>
      <c r="H53" s="16">
        <f>E53+F53-G53</f>
        <v>78431.570000000065</v>
      </c>
      <c r="I53" s="15">
        <v>78431.570000000007</v>
      </c>
    </row>
    <row r="54" spans="1:9" ht="18.75" thickBot="1" x14ac:dyDescent="0.4">
      <c r="A54" s="14" t="s">
        <v>0</v>
      </c>
      <c r="B54" s="13"/>
      <c r="C54" s="13"/>
      <c r="D54" s="13"/>
      <c r="E54" s="465">
        <f>SUM(E50:E53)</f>
        <v>706721.51</v>
      </c>
      <c r="F54" s="12">
        <f>SUM(F50:F53)</f>
        <v>879998.82000000007</v>
      </c>
      <c r="G54" s="12">
        <f>SUM(G50:G53)</f>
        <v>786330</v>
      </c>
      <c r="H54" s="12">
        <f>SUM(H50:H53)</f>
        <v>800390.33</v>
      </c>
      <c r="I54" s="11">
        <f>SUM(I50:I53)</f>
        <v>803202.38000000012</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F47:F48"/>
    <mergeCell ref="E6:G6"/>
    <mergeCell ref="A32:I34"/>
    <mergeCell ref="E7:I7"/>
    <mergeCell ref="H13:I13"/>
    <mergeCell ref="H45:I45"/>
    <mergeCell ref="B43:I43"/>
    <mergeCell ref="A2:D2"/>
    <mergeCell ref="E3:I3"/>
    <mergeCell ref="E2:I2"/>
    <mergeCell ref="E5:I5"/>
    <mergeCell ref="E4:I4"/>
  </mergeCells>
  <conditionalFormatting sqref="I42 I44">
    <cfRule type="cellIs" dxfId="101" priority="9" stopIfTrue="1" operator="greaterThan">
      <formula>1</formula>
    </cfRule>
  </conditionalFormatting>
  <conditionalFormatting sqref="H50:H53">
    <cfRule type="cellIs" dxfId="100" priority="13" stopIfTrue="1" operator="notEqual">
      <formula>E50+F50-G50</formula>
    </cfRule>
  </conditionalFormatting>
  <conditionalFormatting sqref="I54">
    <cfRule type="cellIs" dxfId="99" priority="14" stopIfTrue="1" operator="notEqual">
      <formula>$I$50+$I$51+$I$52+$I$53</formula>
    </cfRule>
  </conditionalFormatting>
  <conditionalFormatting sqref="H54">
    <cfRule type="cellIs" dxfId="98" priority="15" stopIfTrue="1" operator="notEqual">
      <formula>E54+F54-G54</formula>
    </cfRule>
    <cfRule type="cellIs" dxfId="97" priority="16" stopIfTrue="1" operator="notEqual">
      <formula>SUM($H$50:$H$53)</formula>
    </cfRule>
  </conditionalFormatting>
  <conditionalFormatting sqref="G18 G16">
    <cfRule type="cellIs" dxfId="96" priority="17" stopIfTrue="1" operator="notEqual">
      <formula>H16+I16</formula>
    </cfRule>
  </conditionalFormatting>
  <conditionalFormatting sqref="G24">
    <cfRule type="cellIs" dxfId="95" priority="18" stopIfTrue="1" operator="notEqual">
      <formula>ROUND(H24+I24,2)</formula>
    </cfRule>
  </conditionalFormatting>
  <conditionalFormatting sqref="H24">
    <cfRule type="cellIs" dxfId="94" priority="19" stopIfTrue="1" operator="notEqual">
      <formula>$H$18-$H$16</formula>
    </cfRule>
  </conditionalFormatting>
  <conditionalFormatting sqref="I24">
    <cfRule type="cellIs" dxfId="93" priority="20" stopIfTrue="1" operator="notEqual">
      <formula>I18-I16</formula>
    </cfRule>
  </conditionalFormatting>
  <conditionalFormatting sqref="G23">
    <cfRule type="cellIs" dxfId="92" priority="7" stopIfTrue="1" operator="notEqual">
      <formula>ROUND(H23+I23,2)</formula>
    </cfRule>
  </conditionalFormatting>
  <conditionalFormatting sqref="G28">
    <cfRule type="cellIs" dxfId="91" priority="5" operator="notEqual">
      <formula>ROUND($G$24,2)</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9" ht="19.5" x14ac:dyDescent="0.4">
      <c r="A1" s="119" t="s">
        <v>47</v>
      </c>
      <c r="B1" s="118"/>
      <c r="C1" s="118"/>
      <c r="D1" s="118"/>
    </row>
    <row r="2" spans="1:9" ht="19.5" x14ac:dyDescent="0.4">
      <c r="A2" s="553" t="s">
        <v>46</v>
      </c>
      <c r="B2" s="553"/>
      <c r="C2" s="553"/>
      <c r="D2" s="553"/>
      <c r="E2" s="554" t="s">
        <v>277</v>
      </c>
      <c r="F2" s="543"/>
      <c r="G2" s="543"/>
      <c r="H2" s="543"/>
      <c r="I2" s="543"/>
    </row>
    <row r="3" spans="1:9" ht="12" customHeight="1" x14ac:dyDescent="0.4">
      <c r="A3" s="455"/>
      <c r="B3" s="455"/>
      <c r="C3" s="455"/>
      <c r="D3" s="455"/>
      <c r="E3" s="546" t="s">
        <v>44</v>
      </c>
      <c r="F3" s="546"/>
      <c r="G3" s="546"/>
      <c r="H3" s="546"/>
      <c r="I3" s="546"/>
    </row>
    <row r="4" spans="1:9" ht="15.75" x14ac:dyDescent="0.25">
      <c r="A4" s="115" t="s">
        <v>45</v>
      </c>
      <c r="E4" s="555" t="s">
        <v>278</v>
      </c>
      <c r="F4" s="555"/>
      <c r="G4" s="555"/>
      <c r="H4" s="555"/>
      <c r="I4" s="555"/>
    </row>
    <row r="5" spans="1:9" ht="9" customHeight="1" x14ac:dyDescent="0.25">
      <c r="A5" s="115"/>
      <c r="E5" s="546" t="s">
        <v>44</v>
      </c>
      <c r="F5" s="546"/>
      <c r="G5" s="546"/>
      <c r="H5" s="546"/>
      <c r="I5" s="546"/>
    </row>
    <row r="6" spans="1:9" ht="19.5" x14ac:dyDescent="0.4">
      <c r="A6" s="113" t="s">
        <v>43</v>
      </c>
      <c r="E6" s="543" t="s">
        <v>279</v>
      </c>
      <c r="F6" s="543"/>
      <c r="G6" s="543"/>
      <c r="H6" s="113" t="s">
        <v>42</v>
      </c>
      <c r="I6" s="111" t="s">
        <v>276</v>
      </c>
    </row>
    <row r="7" spans="1:9" ht="9.75" customHeight="1" x14ac:dyDescent="0.4">
      <c r="A7" s="113"/>
      <c r="E7" s="546" t="s">
        <v>41</v>
      </c>
      <c r="F7" s="546"/>
      <c r="G7" s="546"/>
      <c r="H7" s="546"/>
      <c r="I7" s="546"/>
    </row>
    <row r="8" spans="1:9" ht="19.5" x14ac:dyDescent="0.4">
      <c r="A8" s="113"/>
      <c r="E8" s="111"/>
      <c r="F8" s="111"/>
      <c r="G8" s="111"/>
      <c r="H8" s="112"/>
      <c r="I8" s="111"/>
    </row>
    <row r="9" spans="1:9" ht="19.5" x14ac:dyDescent="0.4">
      <c r="A9" s="113"/>
      <c r="E9" s="111"/>
      <c r="F9" s="111"/>
      <c r="G9" s="111"/>
      <c r="H9" s="112"/>
      <c r="I9" s="111"/>
    </row>
    <row r="11" spans="1:9" ht="18.75" x14ac:dyDescent="0.4">
      <c r="A11" s="110"/>
      <c r="B11" s="94"/>
      <c r="C11" s="94"/>
      <c r="D11" s="94"/>
      <c r="E11" s="104" t="s">
        <v>40</v>
      </c>
      <c r="F11" s="104" t="s">
        <v>39</v>
      </c>
      <c r="G11" s="107" t="s">
        <v>20</v>
      </c>
      <c r="H11" s="109" t="s">
        <v>38</v>
      </c>
      <c r="I11" s="108"/>
    </row>
    <row r="12" spans="1:9" ht="18.75" x14ac:dyDescent="0.4">
      <c r="A12" s="66"/>
      <c r="B12" s="66"/>
      <c r="C12" s="66"/>
      <c r="D12" s="66"/>
      <c r="E12" s="104" t="s">
        <v>37</v>
      </c>
      <c r="F12" s="104" t="s">
        <v>37</v>
      </c>
      <c r="G12" s="107" t="s">
        <v>36</v>
      </c>
      <c r="H12" s="106" t="s">
        <v>35</v>
      </c>
      <c r="I12" s="105" t="s">
        <v>34</v>
      </c>
    </row>
    <row r="13" spans="1:9" ht="15" x14ac:dyDescent="0.2">
      <c r="A13" s="66"/>
      <c r="B13" s="66"/>
      <c r="C13" s="66"/>
      <c r="D13" s="66"/>
      <c r="E13" s="104" t="s">
        <v>0</v>
      </c>
      <c r="F13" s="104" t="s">
        <v>0</v>
      </c>
      <c r="G13" s="103"/>
      <c r="H13" s="547" t="s">
        <v>33</v>
      </c>
      <c r="I13" s="548"/>
    </row>
    <row r="14" spans="1:9" ht="15" x14ac:dyDescent="0.2">
      <c r="A14" s="66"/>
      <c r="B14" s="66"/>
      <c r="C14" s="66"/>
      <c r="D14" s="66"/>
      <c r="E14" s="104"/>
      <c r="F14" s="104"/>
      <c r="G14" s="103"/>
      <c r="H14" s="456"/>
      <c r="I14" s="457"/>
    </row>
    <row r="15" spans="1:9" ht="18.75" x14ac:dyDescent="0.4">
      <c r="A15" s="71" t="s">
        <v>32</v>
      </c>
      <c r="B15" s="71"/>
      <c r="C15" s="99"/>
      <c r="D15" s="98"/>
      <c r="E15" s="100"/>
      <c r="F15" s="100"/>
      <c r="G15" s="82"/>
      <c r="H15" s="66"/>
      <c r="I15" s="66"/>
    </row>
    <row r="16" spans="1:9" ht="19.5" x14ac:dyDescent="0.4">
      <c r="A16" s="85" t="s">
        <v>31</v>
      </c>
      <c r="B16" s="71"/>
      <c r="C16" s="99"/>
      <c r="D16" s="98"/>
      <c r="E16" s="78">
        <v>43990000</v>
      </c>
      <c r="F16" s="93">
        <v>45357000</v>
      </c>
      <c r="G16" s="90">
        <f>H16+I16</f>
        <v>45351540.370000005</v>
      </c>
      <c r="H16" s="78">
        <v>45351540.370000005</v>
      </c>
      <c r="I16" s="78">
        <v>0</v>
      </c>
    </row>
    <row r="17" spans="1:9" ht="14.25" x14ac:dyDescent="0.3">
      <c r="A17" s="97"/>
      <c r="B17" s="96"/>
      <c r="C17" s="96"/>
      <c r="D17" s="96"/>
      <c r="E17" s="95"/>
      <c r="F17" s="94"/>
    </row>
    <row r="18" spans="1:9" ht="19.5" x14ac:dyDescent="0.4">
      <c r="A18" s="85" t="s">
        <v>30</v>
      </c>
      <c r="B18" s="83"/>
      <c r="C18" s="83"/>
      <c r="D18" s="83"/>
      <c r="E18" s="78">
        <v>40890000</v>
      </c>
      <c r="F18" s="93">
        <v>45357000</v>
      </c>
      <c r="G18" s="90">
        <f>H18+I18</f>
        <v>45354404.920000002</v>
      </c>
      <c r="H18" s="78">
        <v>45354404.920000002</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2864.55</v>
      </c>
      <c r="H24" s="75">
        <f>H18-H16</f>
        <v>2864.5499999970198</v>
      </c>
      <c r="I24" s="75">
        <f>I18-I164</f>
        <v>0</v>
      </c>
    </row>
    <row r="26" spans="1:9" x14ac:dyDescent="0.2">
      <c r="H26" s="66"/>
    </row>
    <row r="28" spans="1:9" ht="19.5" x14ac:dyDescent="0.4">
      <c r="A28" s="43" t="s">
        <v>28</v>
      </c>
      <c r="B28" s="43" t="s">
        <v>27</v>
      </c>
      <c r="C28" s="43"/>
      <c r="D28" s="65"/>
      <c r="E28" s="65"/>
      <c r="F28" s="4"/>
      <c r="G28" s="460">
        <f>ROUND(G29+G30+G31,2)</f>
        <v>2864.55</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2864.5499999970198</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9" x14ac:dyDescent="0.2">
      <c r="A33" s="545"/>
      <c r="B33" s="545"/>
      <c r="C33" s="545"/>
      <c r="D33" s="545"/>
      <c r="E33" s="545"/>
      <c r="F33" s="545"/>
      <c r="G33" s="545"/>
      <c r="H33" s="545"/>
      <c r="I33" s="545"/>
    </row>
    <row r="34" spans="1:9" x14ac:dyDescent="0.2">
      <c r="A34" s="545"/>
      <c r="B34" s="545"/>
      <c r="C34" s="545"/>
      <c r="D34" s="545"/>
      <c r="E34" s="545"/>
      <c r="F34" s="545"/>
      <c r="G34" s="545"/>
      <c r="H34" s="545"/>
      <c r="I34" s="545"/>
    </row>
    <row r="35" spans="1:9" ht="19.5" x14ac:dyDescent="0.4">
      <c r="A35" s="43" t="s">
        <v>23</v>
      </c>
      <c r="B35" s="43" t="s">
        <v>22</v>
      </c>
      <c r="C35" s="43"/>
      <c r="D35" s="63"/>
      <c r="E35" s="5"/>
      <c r="F35" s="65"/>
      <c r="G35" s="64"/>
      <c r="H35" s="4"/>
      <c r="I35" s="4"/>
    </row>
    <row r="36" spans="1:9" ht="18.75" x14ac:dyDescent="0.4">
      <c r="A36" s="43"/>
      <c r="B36" s="43"/>
      <c r="C36" s="43"/>
      <c r="D36" s="63"/>
      <c r="F36" s="9" t="s">
        <v>21</v>
      </c>
      <c r="G36" s="62" t="s">
        <v>20</v>
      </c>
      <c r="H36" s="4"/>
      <c r="I36" s="61" t="s">
        <v>19</v>
      </c>
    </row>
    <row r="37" spans="1:9" ht="16.5" x14ac:dyDescent="0.35">
      <c r="A37" s="59" t="s">
        <v>18</v>
      </c>
      <c r="B37" s="58"/>
      <c r="C37" s="57"/>
      <c r="D37" s="58"/>
      <c r="E37" s="5"/>
      <c r="F37" s="56">
        <f>20935953-100000</f>
        <v>20835953</v>
      </c>
      <c r="G37" s="56">
        <f>20921065-85112</f>
        <v>20835953</v>
      </c>
      <c r="H37" s="55"/>
      <c r="I37" s="54">
        <f>IF(F37=0,"nerozp.",G37/F37)</f>
        <v>1</v>
      </c>
    </row>
    <row r="38" spans="1:9" ht="16.5" x14ac:dyDescent="0.35">
      <c r="A38" s="59" t="s">
        <v>17</v>
      </c>
      <c r="B38" s="58"/>
      <c r="C38" s="57"/>
      <c r="D38" s="60"/>
      <c r="E38" s="60"/>
      <c r="F38" s="56">
        <v>2376000</v>
      </c>
      <c r="G38" s="56">
        <v>2376114.67</v>
      </c>
      <c r="H38" s="55"/>
      <c r="I38" s="54">
        <f>IF(F38=0,"nerozp.",G38/F38)</f>
        <v>1.0000482617845117</v>
      </c>
    </row>
    <row r="39" spans="1:9" ht="16.5" x14ac:dyDescent="0.35">
      <c r="A39" s="59" t="s">
        <v>16</v>
      </c>
      <c r="B39" s="58"/>
      <c r="C39" s="57"/>
      <c r="D39" s="60"/>
      <c r="E39" s="60"/>
      <c r="F39" s="56">
        <v>0</v>
      </c>
      <c r="G39" s="56">
        <v>0</v>
      </c>
      <c r="H39" s="55"/>
      <c r="I39" s="54" t="str">
        <f>IF(F39=0,"nerozp.",G39/F39)</f>
        <v>nerozp.</v>
      </c>
    </row>
    <row r="40" spans="1:9" ht="16.5" x14ac:dyDescent="0.35">
      <c r="A40" s="59" t="s">
        <v>15</v>
      </c>
      <c r="B40" s="58"/>
      <c r="C40" s="57"/>
      <c r="D40" s="5"/>
      <c r="E40" s="5"/>
      <c r="F40" s="56">
        <v>1793000</v>
      </c>
      <c r="G40" s="56">
        <v>1793000</v>
      </c>
      <c r="H40" s="55"/>
      <c r="I40" s="54">
        <f>IF(F40=0,"nerozp.",G40/F40)</f>
        <v>1</v>
      </c>
    </row>
    <row r="41" spans="1:9" ht="16.5" x14ac:dyDescent="0.35">
      <c r="A41" s="59" t="s">
        <v>14</v>
      </c>
      <c r="B41" s="58"/>
      <c r="C41" s="57"/>
      <c r="D41" s="5"/>
      <c r="E41" s="5"/>
      <c r="F41" s="56">
        <v>0</v>
      </c>
      <c r="G41" s="56">
        <v>0</v>
      </c>
      <c r="H41" s="55"/>
      <c r="I41" s="54" t="str">
        <f>IF(F41=0,"nerozp.",G41/F41)</f>
        <v>nerozp.</v>
      </c>
    </row>
    <row r="42" spans="1:9" ht="14.25" x14ac:dyDescent="0.2">
      <c r="A42" s="53" t="s">
        <v>13</v>
      </c>
      <c r="B42" s="52" t="s">
        <v>336</v>
      </c>
      <c r="C42" s="51"/>
      <c r="D42" s="47"/>
      <c r="E42" s="47"/>
      <c r="F42" s="46"/>
      <c r="G42" s="46"/>
      <c r="H42" s="45"/>
      <c r="I42" s="44"/>
    </row>
    <row r="43" spans="1:9" ht="16.5" x14ac:dyDescent="0.35">
      <c r="A43" s="50"/>
      <c r="B43" s="49"/>
      <c r="C43" s="48"/>
      <c r="D43" s="47"/>
      <c r="E43" s="47"/>
      <c r="F43" s="46"/>
      <c r="G43" s="46"/>
      <c r="H43" s="45"/>
      <c r="I43" s="44"/>
    </row>
    <row r="44" spans="1:9" ht="16.5" x14ac:dyDescent="0.35">
      <c r="A44" s="50"/>
      <c r="B44" s="49"/>
      <c r="C44" s="48"/>
      <c r="D44" s="47"/>
      <c r="E44" s="47"/>
      <c r="F44" s="46"/>
      <c r="G44" s="46"/>
      <c r="H44" s="45"/>
      <c r="I44" s="44"/>
    </row>
    <row r="45" spans="1:9" ht="19.5" thickBot="1" x14ac:dyDescent="0.45">
      <c r="A45" s="43" t="s">
        <v>12</v>
      </c>
      <c r="B45" s="43" t="s">
        <v>11</v>
      </c>
      <c r="C45" s="42"/>
      <c r="D45" s="5"/>
      <c r="E45" s="5"/>
      <c r="F45" s="4"/>
      <c r="G45" s="10"/>
      <c r="H45" s="549" t="s">
        <v>10</v>
      </c>
      <c r="I45" s="550"/>
    </row>
    <row r="46" spans="1:9" ht="18.75" thickTop="1" x14ac:dyDescent="0.35">
      <c r="A46" s="41"/>
      <c r="B46" s="39"/>
      <c r="C46" s="40"/>
      <c r="D46" s="39"/>
      <c r="E46" s="38" t="s">
        <v>9</v>
      </c>
      <c r="F46" s="37" t="s">
        <v>8</v>
      </c>
      <c r="G46" s="37" t="s">
        <v>7</v>
      </c>
      <c r="H46" s="36" t="s">
        <v>6</v>
      </c>
      <c r="I46" s="35" t="s">
        <v>5</v>
      </c>
    </row>
    <row r="47" spans="1:9" x14ac:dyDescent="0.2">
      <c r="A47" s="31"/>
      <c r="B47" s="4"/>
      <c r="C47" s="4"/>
      <c r="D47" s="4"/>
      <c r="E47" s="31"/>
      <c r="F47" s="542"/>
      <c r="G47" s="34"/>
      <c r="H47" s="33">
        <v>41274</v>
      </c>
      <c r="I47" s="32">
        <v>41274</v>
      </c>
    </row>
    <row r="48" spans="1:9"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18710</v>
      </c>
      <c r="F50" s="22">
        <v>0</v>
      </c>
      <c r="G50" s="21">
        <v>0</v>
      </c>
      <c r="H50" s="21">
        <f>E50+F50-G50</f>
        <v>18710</v>
      </c>
      <c r="I50" s="20">
        <v>18710</v>
      </c>
    </row>
    <row r="51" spans="1:9" x14ac:dyDescent="0.2">
      <c r="A51" s="19"/>
      <c r="B51" s="18"/>
      <c r="C51" s="18" t="s">
        <v>3</v>
      </c>
      <c r="D51" s="18"/>
      <c r="E51" s="464">
        <v>14834.94</v>
      </c>
      <c r="F51" s="17">
        <v>205835.87</v>
      </c>
      <c r="G51" s="16">
        <v>202720.8</v>
      </c>
      <c r="H51" s="16">
        <f>E51+F51-G51</f>
        <v>17950.010000000009</v>
      </c>
      <c r="I51" s="15">
        <v>11277.03</v>
      </c>
    </row>
    <row r="52" spans="1:9" x14ac:dyDescent="0.2">
      <c r="A52" s="19"/>
      <c r="B52" s="18"/>
      <c r="C52" s="18" t="s">
        <v>2</v>
      </c>
      <c r="D52" s="18"/>
      <c r="E52" s="464">
        <v>0</v>
      </c>
      <c r="F52" s="17">
        <v>57164.77</v>
      </c>
      <c r="G52" s="16">
        <v>53400</v>
      </c>
      <c r="H52" s="16">
        <f>E52+F52-G52</f>
        <v>3764.7699999999968</v>
      </c>
      <c r="I52" s="15">
        <v>3764.77</v>
      </c>
    </row>
    <row r="53" spans="1:9" x14ac:dyDescent="0.2">
      <c r="A53" s="19"/>
      <c r="B53" s="18"/>
      <c r="C53" s="18" t="s">
        <v>1</v>
      </c>
      <c r="D53" s="18"/>
      <c r="E53" s="464">
        <v>61910.34</v>
      </c>
      <c r="F53" s="17">
        <v>2947719.67</v>
      </c>
      <c r="G53" s="16">
        <v>2941949</v>
      </c>
      <c r="H53" s="16">
        <f>E53+F53-G53</f>
        <v>67681.009999999776</v>
      </c>
      <c r="I53" s="15">
        <v>67681.009999999995</v>
      </c>
    </row>
    <row r="54" spans="1:9" ht="18.75" thickBot="1" x14ac:dyDescent="0.4">
      <c r="A54" s="14" t="s">
        <v>0</v>
      </c>
      <c r="B54" s="13"/>
      <c r="C54" s="13"/>
      <c r="D54" s="13"/>
      <c r="E54" s="465">
        <f>SUM(E50:E53)</f>
        <v>95455.28</v>
      </c>
      <c r="F54" s="12">
        <f>SUM(F50:F53)</f>
        <v>3210720.31</v>
      </c>
      <c r="G54" s="12">
        <f>SUM(G50:G53)</f>
        <v>3198069.8</v>
      </c>
      <c r="H54" s="12">
        <f>SUM(H50:H53)</f>
        <v>108105.78999999978</v>
      </c>
      <c r="I54" s="11">
        <f>SUM(I50:I53)</f>
        <v>101432.81</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1">
    <mergeCell ref="F47:F48"/>
    <mergeCell ref="E6:G6"/>
    <mergeCell ref="A32:I34"/>
    <mergeCell ref="E7:I7"/>
    <mergeCell ref="H13:I13"/>
    <mergeCell ref="H45:I45"/>
    <mergeCell ref="A2:D2"/>
    <mergeCell ref="E3:I3"/>
    <mergeCell ref="E2:I2"/>
    <mergeCell ref="E5:I5"/>
    <mergeCell ref="E4:I4"/>
  </mergeCells>
  <conditionalFormatting sqref="I42:I44">
    <cfRule type="cellIs" dxfId="90" priority="9" stopIfTrue="1" operator="greaterThan">
      <formula>1</formula>
    </cfRule>
  </conditionalFormatting>
  <conditionalFormatting sqref="H50:H53">
    <cfRule type="cellIs" dxfId="89" priority="13" stopIfTrue="1" operator="notEqual">
      <formula>E50+F50-G50</formula>
    </cfRule>
  </conditionalFormatting>
  <conditionalFormatting sqref="I54">
    <cfRule type="cellIs" dxfId="88" priority="14" stopIfTrue="1" operator="notEqual">
      <formula>$I$50+$I$51+$I$52+$I$53</formula>
    </cfRule>
  </conditionalFormatting>
  <conditionalFormatting sqref="H54">
    <cfRule type="cellIs" dxfId="87" priority="15" stopIfTrue="1" operator="notEqual">
      <formula>E54+F54-G54</formula>
    </cfRule>
    <cfRule type="cellIs" dxfId="86" priority="16" stopIfTrue="1" operator="notEqual">
      <formula>SUM($H$50:$H$53)</formula>
    </cfRule>
  </conditionalFormatting>
  <conditionalFormatting sqref="G18 G16">
    <cfRule type="cellIs" dxfId="85" priority="17" stopIfTrue="1" operator="notEqual">
      <formula>H16+I16</formula>
    </cfRule>
  </conditionalFormatting>
  <conditionalFormatting sqref="G24">
    <cfRule type="cellIs" dxfId="84" priority="18" stopIfTrue="1" operator="notEqual">
      <formula>ROUND(H24+I24,2)</formula>
    </cfRule>
  </conditionalFormatting>
  <conditionalFormatting sqref="H24">
    <cfRule type="cellIs" dxfId="83" priority="19" stopIfTrue="1" operator="notEqual">
      <formula>$H$18-$H$16</formula>
    </cfRule>
  </conditionalFormatting>
  <conditionalFormatting sqref="I24">
    <cfRule type="cellIs" dxfId="82" priority="20" stopIfTrue="1" operator="notEqual">
      <formula>I18-I16</formula>
    </cfRule>
  </conditionalFormatting>
  <conditionalFormatting sqref="G23">
    <cfRule type="cellIs" dxfId="81" priority="7" stopIfTrue="1" operator="notEqual">
      <formula>ROUND(H23+I23,2)</formula>
    </cfRule>
  </conditionalFormatting>
  <conditionalFormatting sqref="G28">
    <cfRule type="cellIs" dxfId="80" priority="5" operator="notEqual">
      <formula>ROUND($G$24,2)</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0" width="12" style="180" bestFit="1" customWidth="1"/>
    <col min="11" max="11" width="10.140625" style="180" bestFit="1" customWidth="1"/>
    <col min="12" max="16384" width="9.140625" style="180"/>
  </cols>
  <sheetData>
    <row r="1" spans="1:11" ht="19.5" x14ac:dyDescent="0.4">
      <c r="A1" s="119" t="s">
        <v>47</v>
      </c>
      <c r="B1" s="118"/>
      <c r="C1" s="118"/>
      <c r="D1" s="118"/>
    </row>
    <row r="2" spans="1:11" ht="19.5" x14ac:dyDescent="0.4">
      <c r="A2" s="553" t="s">
        <v>46</v>
      </c>
      <c r="B2" s="553"/>
      <c r="C2" s="553"/>
      <c r="D2" s="553"/>
      <c r="E2" s="554" t="s">
        <v>177</v>
      </c>
      <c r="F2" s="543"/>
      <c r="G2" s="543"/>
      <c r="H2" s="543"/>
      <c r="I2" s="543"/>
      <c r="J2" s="458"/>
      <c r="K2" s="458"/>
    </row>
    <row r="3" spans="1:11" ht="12" customHeight="1" x14ac:dyDescent="0.4">
      <c r="A3" s="455"/>
      <c r="B3" s="455"/>
      <c r="C3" s="455"/>
      <c r="D3" s="455"/>
      <c r="E3" s="546" t="s">
        <v>44</v>
      </c>
      <c r="F3" s="546"/>
      <c r="G3" s="546"/>
      <c r="H3" s="546"/>
      <c r="I3" s="546"/>
    </row>
    <row r="4" spans="1:11" ht="15.75" x14ac:dyDescent="0.25">
      <c r="A4" s="115" t="s">
        <v>45</v>
      </c>
      <c r="E4" s="555" t="s">
        <v>178</v>
      </c>
      <c r="F4" s="555"/>
      <c r="G4" s="555"/>
      <c r="H4" s="555"/>
      <c r="I4" s="555"/>
    </row>
    <row r="5" spans="1:11" ht="9" customHeight="1" x14ac:dyDescent="0.25">
      <c r="A5" s="115"/>
      <c r="E5" s="546" t="s">
        <v>44</v>
      </c>
      <c r="F5" s="546"/>
      <c r="G5" s="546"/>
      <c r="H5" s="546"/>
      <c r="I5" s="546"/>
    </row>
    <row r="6" spans="1:11" ht="19.5" x14ac:dyDescent="0.4">
      <c r="A6" s="113" t="s">
        <v>43</v>
      </c>
      <c r="E6" s="543" t="s">
        <v>179</v>
      </c>
      <c r="F6" s="543"/>
      <c r="G6" s="543"/>
      <c r="H6" s="113" t="s">
        <v>42</v>
      </c>
      <c r="I6" s="111" t="s">
        <v>180</v>
      </c>
    </row>
    <row r="7" spans="1:11" ht="9.75" customHeight="1" x14ac:dyDescent="0.4">
      <c r="A7" s="113"/>
      <c r="E7" s="546" t="s">
        <v>41</v>
      </c>
      <c r="F7" s="546"/>
      <c r="G7" s="546"/>
      <c r="H7" s="546"/>
      <c r="I7" s="546"/>
    </row>
    <row r="8" spans="1:11" ht="19.5" x14ac:dyDescent="0.4">
      <c r="A8" s="113"/>
      <c r="E8" s="111"/>
      <c r="F8" s="111"/>
      <c r="G8" s="111"/>
      <c r="H8" s="112"/>
      <c r="I8" s="111"/>
    </row>
    <row r="9" spans="1:11" ht="19.5"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456"/>
      <c r="I14" s="457"/>
    </row>
    <row r="15" spans="1:11" ht="18.75" x14ac:dyDescent="0.4">
      <c r="A15" s="71" t="s">
        <v>32</v>
      </c>
      <c r="B15" s="71"/>
      <c r="C15" s="99"/>
      <c r="D15" s="98"/>
      <c r="E15" s="100"/>
      <c r="F15" s="100"/>
      <c r="G15" s="82"/>
      <c r="H15" s="66"/>
      <c r="I15" s="66"/>
    </row>
    <row r="16" spans="1:11" ht="19.5" x14ac:dyDescent="0.4">
      <c r="A16" s="85" t="s">
        <v>31</v>
      </c>
      <c r="B16" s="71"/>
      <c r="C16" s="99"/>
      <c r="D16" s="98"/>
      <c r="E16" s="78">
        <v>26845000</v>
      </c>
      <c r="F16" s="93">
        <v>26920000</v>
      </c>
      <c r="G16" s="90">
        <f>H16+I16</f>
        <v>27078859.750000004</v>
      </c>
      <c r="H16" s="78">
        <v>27078859.750000004</v>
      </c>
      <c r="I16" s="78">
        <v>0</v>
      </c>
    </row>
    <row r="17" spans="1:9" ht="14.25" x14ac:dyDescent="0.3">
      <c r="A17" s="97"/>
      <c r="B17" s="96"/>
      <c r="C17" s="96"/>
      <c r="D17" s="96"/>
      <c r="E17" s="95"/>
      <c r="F17" s="94"/>
    </row>
    <row r="18" spans="1:9" ht="19.5" x14ac:dyDescent="0.4">
      <c r="A18" s="85" t="s">
        <v>30</v>
      </c>
      <c r="B18" s="83"/>
      <c r="C18" s="83"/>
      <c r="D18" s="83"/>
      <c r="E18" s="78">
        <v>23786000</v>
      </c>
      <c r="F18" s="93">
        <v>26920000</v>
      </c>
      <c r="G18" s="90">
        <f>H18+I18</f>
        <v>27108838.280000001</v>
      </c>
      <c r="H18" s="78">
        <v>27108838.280000001</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4.25" customHeight="1" x14ac:dyDescent="0.35">
      <c r="A22" s="518"/>
      <c r="B22" s="518"/>
      <c r="C22" s="519" t="s">
        <v>349</v>
      </c>
      <c r="D22" s="518"/>
      <c r="E22" s="518"/>
      <c r="F22" s="518"/>
      <c r="G22" s="78">
        <f>H22+I22</f>
        <v>0</v>
      </c>
      <c r="H22" s="78">
        <v>0</v>
      </c>
      <c r="I22" s="78">
        <v>0</v>
      </c>
    </row>
    <row r="23" spans="1:9" ht="11.25" customHeight="1" x14ac:dyDescent="0.25">
      <c r="A23" s="82"/>
      <c r="B23" s="80"/>
      <c r="C23" s="81"/>
      <c r="D23" s="80"/>
      <c r="E23" s="80"/>
      <c r="F23" s="80"/>
      <c r="G23" s="79"/>
      <c r="H23" s="78"/>
      <c r="I23" s="78"/>
    </row>
    <row r="24" spans="1:9" ht="22.5" x14ac:dyDescent="0.45">
      <c r="A24" s="76" t="s">
        <v>29</v>
      </c>
      <c r="B24" s="76"/>
      <c r="C24" s="77"/>
      <c r="D24" s="76"/>
      <c r="E24" s="76"/>
      <c r="F24" s="76"/>
      <c r="G24" s="459">
        <f>ROUND(G18-G16-G22,2)</f>
        <v>29978.53</v>
      </c>
      <c r="H24" s="75">
        <f>H18-H16</f>
        <v>29978.529999997467</v>
      </c>
      <c r="I24" s="75">
        <f>I18-I164</f>
        <v>0</v>
      </c>
    </row>
    <row r="26" spans="1:9" x14ac:dyDescent="0.2">
      <c r="H26" s="66"/>
    </row>
    <row r="28" spans="1:9" ht="19.5" x14ac:dyDescent="0.4">
      <c r="A28" s="43" t="s">
        <v>28</v>
      </c>
      <c r="B28" s="43" t="s">
        <v>27</v>
      </c>
      <c r="C28" s="43"/>
      <c r="D28" s="65"/>
      <c r="E28" s="65"/>
      <c r="F28" s="4"/>
      <c r="G28" s="460">
        <f>ROUND(G29+G30+G31,2)</f>
        <v>29978.53</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29978.529999997467</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11" x14ac:dyDescent="0.2">
      <c r="A33" s="545"/>
      <c r="B33" s="545"/>
      <c r="C33" s="545"/>
      <c r="D33" s="545"/>
      <c r="E33" s="545"/>
      <c r="F33" s="545"/>
      <c r="G33" s="545"/>
      <c r="H33" s="545"/>
      <c r="I33" s="545"/>
    </row>
    <row r="34" spans="1:11" x14ac:dyDescent="0.2">
      <c r="A34" s="545"/>
      <c r="B34" s="545"/>
      <c r="C34" s="545"/>
      <c r="D34" s="545"/>
      <c r="E34" s="545"/>
      <c r="F34" s="545"/>
      <c r="G34" s="545"/>
      <c r="H34" s="545"/>
      <c r="I34" s="545"/>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56">
        <v>14455000</v>
      </c>
      <c r="G37" s="56">
        <f>14541816</f>
        <v>14541816</v>
      </c>
      <c r="H37" s="55"/>
      <c r="I37" s="54">
        <f>IF(F37=0,"nerozp.",G37/F37)</f>
        <v>1.0060059494984435</v>
      </c>
      <c r="J37" s="446"/>
      <c r="K37" s="461"/>
    </row>
    <row r="38" spans="1:11" ht="16.5" x14ac:dyDescent="0.35">
      <c r="A38" s="59" t="s">
        <v>17</v>
      </c>
      <c r="B38" s="58"/>
      <c r="C38" s="57"/>
      <c r="D38" s="60"/>
      <c r="E38" s="60"/>
      <c r="F38" s="56">
        <v>423000</v>
      </c>
      <c r="G38" s="56">
        <v>423062</v>
      </c>
      <c r="H38" s="55"/>
      <c r="I38" s="54">
        <f>IF(F38=0,"nerozp.",G38/F38)</f>
        <v>1.0001465721040188</v>
      </c>
      <c r="J38" s="447"/>
      <c r="K38" s="461"/>
    </row>
    <row r="39" spans="1:11" ht="16.5" x14ac:dyDescent="0.35">
      <c r="A39" s="59" t="s">
        <v>16</v>
      </c>
      <c r="B39" s="58"/>
      <c r="C39" s="57"/>
      <c r="D39" s="60"/>
      <c r="E39" s="60"/>
      <c r="F39" s="56">
        <v>0</v>
      </c>
      <c r="G39" s="56">
        <v>0</v>
      </c>
      <c r="H39" s="55"/>
      <c r="I39" s="54" t="str">
        <f>IF(F39=0,"nerozp.",G39/F39)</f>
        <v>nerozp.</v>
      </c>
    </row>
    <row r="40" spans="1:11" ht="16.5" x14ac:dyDescent="0.35">
      <c r="A40" s="59" t="s">
        <v>15</v>
      </c>
      <c r="B40" s="58"/>
      <c r="C40" s="57"/>
      <c r="D40" s="5"/>
      <c r="E40" s="5"/>
      <c r="F40" s="56">
        <v>354000</v>
      </c>
      <c r="G40" s="56">
        <v>354000</v>
      </c>
      <c r="H40" s="55"/>
      <c r="I40" s="54">
        <f>IF(F40=0,"nerozp.",G40/F40)</f>
        <v>1</v>
      </c>
      <c r="J40" s="462"/>
    </row>
    <row r="41" spans="1:11" ht="16.5" x14ac:dyDescent="0.35">
      <c r="A41" s="59" t="s">
        <v>14</v>
      </c>
      <c r="B41" s="58"/>
      <c r="C41" s="57"/>
      <c r="D41" s="5"/>
      <c r="E41" s="5"/>
      <c r="F41" s="56">
        <v>0</v>
      </c>
      <c r="G41" s="56">
        <v>0</v>
      </c>
      <c r="H41" s="55"/>
      <c r="I41" s="54" t="str">
        <f>IF(F41=0,"nerozp.",G41/F41)</f>
        <v>nerozp.</v>
      </c>
    </row>
    <row r="42" spans="1:11" ht="14.25" x14ac:dyDescent="0.2">
      <c r="A42" s="53" t="s">
        <v>13</v>
      </c>
      <c r="B42" s="52" t="s">
        <v>353</v>
      </c>
      <c r="C42" s="51"/>
      <c r="D42" s="47"/>
      <c r="E42" s="47"/>
      <c r="F42" s="46"/>
      <c r="G42" s="46"/>
      <c r="H42" s="45"/>
      <c r="I42" s="44"/>
    </row>
    <row r="43" spans="1:11" ht="57" customHeight="1" x14ac:dyDescent="0.2">
      <c r="A43" s="50"/>
      <c r="B43" s="556" t="s">
        <v>343</v>
      </c>
      <c r="C43" s="557"/>
      <c r="D43" s="557"/>
      <c r="E43" s="557"/>
      <c r="F43" s="557"/>
      <c r="G43" s="557"/>
      <c r="H43" s="557"/>
      <c r="I43" s="557"/>
    </row>
    <row r="44" spans="1:11" ht="10.5" hidden="1" customHeight="1"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11" ht="13.5" thickBot="1" x14ac:dyDescent="0.25">
      <c r="A49" s="27"/>
      <c r="B49" s="28"/>
      <c r="C49" s="28"/>
      <c r="D49" s="28"/>
      <c r="E49" s="27"/>
      <c r="F49" s="26"/>
      <c r="G49" s="26"/>
      <c r="H49" s="26"/>
      <c r="I49" s="25"/>
    </row>
    <row r="50" spans="1:11" ht="13.5" thickTop="1" x14ac:dyDescent="0.2">
      <c r="A50" s="24"/>
      <c r="B50" s="23"/>
      <c r="C50" s="23" t="s">
        <v>4</v>
      </c>
      <c r="D50" s="23"/>
      <c r="E50" s="463">
        <v>59270</v>
      </c>
      <c r="F50" s="22">
        <v>0</v>
      </c>
      <c r="G50" s="21">
        <v>0</v>
      </c>
      <c r="H50" s="21">
        <f>E50+F50-G50</f>
        <v>59270</v>
      </c>
      <c r="I50" s="20">
        <v>59270</v>
      </c>
    </row>
    <row r="51" spans="1:11" x14ac:dyDescent="0.2">
      <c r="A51" s="19"/>
      <c r="B51" s="18"/>
      <c r="C51" s="18" t="s">
        <v>3</v>
      </c>
      <c r="D51" s="18"/>
      <c r="E51" s="466">
        <f>81347.62+0.32</f>
        <v>81347.94</v>
      </c>
      <c r="F51" s="467">
        <v>149550.12</v>
      </c>
      <c r="G51" s="408">
        <f>179312+0.32</f>
        <v>179312.32</v>
      </c>
      <c r="H51" s="408">
        <f>E51+F51-G51</f>
        <v>51585.739999999991</v>
      </c>
      <c r="I51" s="15">
        <v>35685.74</v>
      </c>
      <c r="K51" s="197"/>
    </row>
    <row r="52" spans="1:11" x14ac:dyDescent="0.2">
      <c r="A52" s="19"/>
      <c r="B52" s="18"/>
      <c r="C52" s="18" t="s">
        <v>2</v>
      </c>
      <c r="D52" s="18"/>
      <c r="E52" s="466">
        <v>56809.08</v>
      </c>
      <c r="F52" s="467">
        <v>120471.79</v>
      </c>
      <c r="G52" s="408">
        <v>28854</v>
      </c>
      <c r="H52" s="408">
        <f>E52+F52-G52</f>
        <v>148426.87</v>
      </c>
      <c r="I52" s="15">
        <v>148426.87</v>
      </c>
    </row>
    <row r="53" spans="1:11" x14ac:dyDescent="0.2">
      <c r="A53" s="19"/>
      <c r="B53" s="18"/>
      <c r="C53" s="18" t="s">
        <v>1</v>
      </c>
      <c r="D53" s="18"/>
      <c r="E53" s="464">
        <v>479480</v>
      </c>
      <c r="F53" s="17">
        <v>1243062</v>
      </c>
      <c r="G53" s="16">
        <v>680503</v>
      </c>
      <c r="H53" s="16">
        <f>E53+F53-G53</f>
        <v>1042039</v>
      </c>
      <c r="I53" s="15">
        <v>987439</v>
      </c>
      <c r="K53" s="197"/>
    </row>
    <row r="54" spans="1:11" ht="18.75" thickBot="1" x14ac:dyDescent="0.4">
      <c r="A54" s="14" t="s">
        <v>0</v>
      </c>
      <c r="B54" s="13"/>
      <c r="C54" s="13"/>
      <c r="D54" s="13"/>
      <c r="E54" s="465">
        <f>SUM(E50:E53)</f>
        <v>676907.02</v>
      </c>
      <c r="F54" s="12">
        <f>SUM(F50:F53)</f>
        <v>1513083.91</v>
      </c>
      <c r="G54" s="12">
        <f>SUM(G50:G53)</f>
        <v>888669.32000000007</v>
      </c>
      <c r="H54" s="12">
        <f>SUM(H50:H53)</f>
        <v>1301321.6099999999</v>
      </c>
      <c r="I54" s="11">
        <f>SUM(I50:I53)</f>
        <v>1230821.6099999999</v>
      </c>
    </row>
    <row r="55" spans="1:11" ht="18.75" thickTop="1" x14ac:dyDescent="0.35">
      <c r="A55" s="7"/>
      <c r="B55" s="6"/>
      <c r="C55" s="6"/>
      <c r="D55" s="5"/>
      <c r="E55" s="5"/>
      <c r="F55" s="4"/>
      <c r="G55" s="10"/>
      <c r="H55" s="9"/>
      <c r="I55" s="9"/>
    </row>
    <row r="56" spans="1:11" ht="18" x14ac:dyDescent="0.35">
      <c r="A56" s="7"/>
      <c r="B56" s="6"/>
      <c r="C56" s="6"/>
      <c r="D56" s="5"/>
      <c r="E56" s="5"/>
      <c r="F56" s="4"/>
      <c r="G56" s="8"/>
      <c r="H56" s="4"/>
      <c r="I56" s="4"/>
    </row>
    <row r="57" spans="1:11" ht="18" x14ac:dyDescent="0.35">
      <c r="A57" s="7"/>
      <c r="B57" s="6"/>
      <c r="C57" s="6"/>
      <c r="D57" s="5"/>
      <c r="E57" s="5"/>
      <c r="F57" s="4"/>
      <c r="G57" s="4"/>
      <c r="H57" s="4"/>
      <c r="I57" s="4"/>
    </row>
    <row r="58" spans="1:11" x14ac:dyDescent="0.2">
      <c r="A58" s="3"/>
      <c r="B58" s="3"/>
      <c r="C58" s="3"/>
      <c r="D58" s="3"/>
      <c r="E58" s="3"/>
      <c r="F58" s="3"/>
      <c r="G58" s="3"/>
      <c r="H58" s="3"/>
      <c r="I58" s="3"/>
    </row>
  </sheetData>
  <sheetProtection selectLockedCells="1"/>
  <mergeCells count="12">
    <mergeCell ref="A2:D2"/>
    <mergeCell ref="E3:I3"/>
    <mergeCell ref="E2:I2"/>
    <mergeCell ref="E5:I5"/>
    <mergeCell ref="E4:I4"/>
    <mergeCell ref="F47:F48"/>
    <mergeCell ref="E6:G6"/>
    <mergeCell ref="A32:I34"/>
    <mergeCell ref="E7:I7"/>
    <mergeCell ref="H13:I13"/>
    <mergeCell ref="H45:I45"/>
    <mergeCell ref="B43:I43"/>
  </mergeCells>
  <conditionalFormatting sqref="I42 I44">
    <cfRule type="cellIs" dxfId="429" priority="9" stopIfTrue="1" operator="greaterThan">
      <formula>1</formula>
    </cfRule>
  </conditionalFormatting>
  <conditionalFormatting sqref="H50:H53">
    <cfRule type="cellIs" dxfId="428" priority="13" stopIfTrue="1" operator="notEqual">
      <formula>E50+F50-G50</formula>
    </cfRule>
  </conditionalFormatting>
  <conditionalFormatting sqref="I54">
    <cfRule type="cellIs" dxfId="427" priority="14" stopIfTrue="1" operator="notEqual">
      <formula>$I$50+$I$51+$I$52+$I$53</formula>
    </cfRule>
  </conditionalFormatting>
  <conditionalFormatting sqref="H54">
    <cfRule type="cellIs" dxfId="426" priority="15" stopIfTrue="1" operator="notEqual">
      <formula>E54+F54-G54</formula>
    </cfRule>
    <cfRule type="cellIs" dxfId="425" priority="16" stopIfTrue="1" operator="notEqual">
      <formula>SUM($H$50:$H$53)</formula>
    </cfRule>
  </conditionalFormatting>
  <conditionalFormatting sqref="G18 G16">
    <cfRule type="cellIs" dxfId="424" priority="17" stopIfTrue="1" operator="notEqual">
      <formula>H16+I16</formula>
    </cfRule>
  </conditionalFormatting>
  <conditionalFormatting sqref="G24">
    <cfRule type="cellIs" dxfId="423" priority="18" stopIfTrue="1" operator="notEqual">
      <formula>ROUND(H24+I24,2)</formula>
    </cfRule>
  </conditionalFormatting>
  <conditionalFormatting sqref="H24">
    <cfRule type="cellIs" dxfId="422" priority="19" stopIfTrue="1" operator="notEqual">
      <formula>$H$18-$H$16</formula>
    </cfRule>
  </conditionalFormatting>
  <conditionalFormatting sqref="I24">
    <cfRule type="cellIs" dxfId="421" priority="20" stopIfTrue="1" operator="notEqual">
      <formula>I18-I16</formula>
    </cfRule>
  </conditionalFormatting>
  <conditionalFormatting sqref="G23">
    <cfRule type="cellIs" dxfId="420" priority="7" stopIfTrue="1" operator="notEqual">
      <formula>ROUND(H23+I23,2)</formula>
    </cfRule>
  </conditionalFormatting>
  <conditionalFormatting sqref="G28">
    <cfRule type="cellIs" dxfId="419" priority="5" operator="notEqual">
      <formula>ROUND($G$24,2)</formula>
    </cfRule>
  </conditionalFormatting>
  <conditionalFormatting sqref="J37">
    <cfRule type="cellIs" dxfId="418" priority="3" operator="greaterThan">
      <formula>0</formula>
    </cfRule>
    <cfRule type="cellIs" dxfId="417" priority="4" operator="lessThan">
      <formula>0</formula>
    </cfRule>
  </conditionalFormatting>
  <conditionalFormatting sqref="J38">
    <cfRule type="cellIs" dxfId="416" priority="1" operator="greaterThan">
      <formula>0</formula>
    </cfRule>
    <cfRule type="cellIs" dxfId="415" priority="2" operator="lessThan">
      <formula>0</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9" ht="19.5" x14ac:dyDescent="0.4">
      <c r="A1" s="119" t="s">
        <v>47</v>
      </c>
      <c r="B1" s="118"/>
      <c r="C1" s="118"/>
      <c r="D1" s="118"/>
    </row>
    <row r="2" spans="1:9" ht="19.5" x14ac:dyDescent="0.4">
      <c r="A2" s="553" t="s">
        <v>46</v>
      </c>
      <c r="B2" s="553"/>
      <c r="C2" s="553"/>
      <c r="D2" s="553"/>
      <c r="E2" s="554" t="s">
        <v>281</v>
      </c>
      <c r="F2" s="543"/>
      <c r="G2" s="543"/>
      <c r="H2" s="543"/>
      <c r="I2" s="543"/>
    </row>
    <row r="3" spans="1:9" ht="12" customHeight="1" x14ac:dyDescent="0.4">
      <c r="A3" s="455"/>
      <c r="B3" s="455"/>
      <c r="C3" s="455"/>
      <c r="D3" s="455"/>
      <c r="E3" s="546" t="s">
        <v>44</v>
      </c>
      <c r="F3" s="546"/>
      <c r="G3" s="546"/>
      <c r="H3" s="546"/>
      <c r="I3" s="546"/>
    </row>
    <row r="4" spans="1:9" ht="15.75" x14ac:dyDescent="0.25">
      <c r="A4" s="115" t="s">
        <v>45</v>
      </c>
      <c r="E4" s="555" t="s">
        <v>282</v>
      </c>
      <c r="F4" s="555"/>
      <c r="G4" s="555"/>
      <c r="H4" s="555"/>
      <c r="I4" s="555"/>
    </row>
    <row r="5" spans="1:9" ht="9" customHeight="1" x14ac:dyDescent="0.25">
      <c r="A5" s="115"/>
      <c r="E5" s="546" t="s">
        <v>44</v>
      </c>
      <c r="F5" s="546"/>
      <c r="G5" s="546"/>
      <c r="H5" s="546"/>
      <c r="I5" s="546"/>
    </row>
    <row r="6" spans="1:9" ht="19.5" x14ac:dyDescent="0.4">
      <c r="A6" s="113" t="s">
        <v>43</v>
      </c>
      <c r="E6" s="543" t="s">
        <v>283</v>
      </c>
      <c r="F6" s="543"/>
      <c r="G6" s="543"/>
      <c r="H6" s="113" t="s">
        <v>42</v>
      </c>
      <c r="I6" s="111" t="s">
        <v>280</v>
      </c>
    </row>
    <row r="7" spans="1:9" ht="9.75" customHeight="1" x14ac:dyDescent="0.4">
      <c r="A7" s="113"/>
      <c r="E7" s="546" t="s">
        <v>41</v>
      </c>
      <c r="F7" s="546"/>
      <c r="G7" s="546"/>
      <c r="H7" s="546"/>
      <c r="I7" s="546"/>
    </row>
    <row r="8" spans="1:9" ht="19.5" x14ac:dyDescent="0.4">
      <c r="A8" s="113"/>
      <c r="E8" s="111"/>
      <c r="F8" s="111"/>
      <c r="G8" s="111"/>
      <c r="H8" s="112"/>
      <c r="I8" s="111"/>
    </row>
    <row r="9" spans="1:9" ht="19.5" x14ac:dyDescent="0.4">
      <c r="A9" s="113"/>
      <c r="E9" s="111"/>
      <c r="F9" s="111"/>
      <c r="G9" s="111"/>
      <c r="H9" s="112"/>
      <c r="I9" s="111"/>
    </row>
    <row r="11" spans="1:9" ht="18.75" x14ac:dyDescent="0.4">
      <c r="A11" s="110"/>
      <c r="B11" s="94"/>
      <c r="C11" s="94"/>
      <c r="D11" s="94"/>
      <c r="E11" s="104" t="s">
        <v>40</v>
      </c>
      <c r="F11" s="104" t="s">
        <v>39</v>
      </c>
      <c r="G11" s="107" t="s">
        <v>20</v>
      </c>
      <c r="H11" s="109" t="s">
        <v>38</v>
      </c>
      <c r="I11" s="108"/>
    </row>
    <row r="12" spans="1:9" ht="18.75" x14ac:dyDescent="0.4">
      <c r="A12" s="66"/>
      <c r="B12" s="66"/>
      <c r="C12" s="66"/>
      <c r="D12" s="66"/>
      <c r="E12" s="104" t="s">
        <v>37</v>
      </c>
      <c r="F12" s="104" t="s">
        <v>37</v>
      </c>
      <c r="G12" s="107" t="s">
        <v>36</v>
      </c>
      <c r="H12" s="106" t="s">
        <v>35</v>
      </c>
      <c r="I12" s="105" t="s">
        <v>34</v>
      </c>
    </row>
    <row r="13" spans="1:9" ht="15" x14ac:dyDescent="0.2">
      <c r="A13" s="66"/>
      <c r="B13" s="66"/>
      <c r="C13" s="66"/>
      <c r="D13" s="66"/>
      <c r="E13" s="104" t="s">
        <v>0</v>
      </c>
      <c r="F13" s="104" t="s">
        <v>0</v>
      </c>
      <c r="G13" s="103"/>
      <c r="H13" s="547" t="s">
        <v>33</v>
      </c>
      <c r="I13" s="548"/>
    </row>
    <row r="14" spans="1:9" ht="15" x14ac:dyDescent="0.2">
      <c r="A14" s="66"/>
      <c r="B14" s="66"/>
      <c r="C14" s="66"/>
      <c r="D14" s="66"/>
      <c r="E14" s="104"/>
      <c r="F14" s="104"/>
      <c r="G14" s="103"/>
      <c r="H14" s="456"/>
      <c r="I14" s="457"/>
    </row>
    <row r="15" spans="1:9" ht="18.75" x14ac:dyDescent="0.4">
      <c r="A15" s="71" t="s">
        <v>32</v>
      </c>
      <c r="B15" s="71"/>
      <c r="C15" s="99"/>
      <c r="D15" s="98"/>
      <c r="E15" s="100"/>
      <c r="F15" s="100"/>
      <c r="G15" s="82"/>
      <c r="H15" s="66"/>
      <c r="I15" s="66"/>
    </row>
    <row r="16" spans="1:9" ht="19.5" x14ac:dyDescent="0.4">
      <c r="A16" s="85" t="s">
        <v>31</v>
      </c>
      <c r="B16" s="71"/>
      <c r="C16" s="99"/>
      <c r="D16" s="98"/>
      <c r="E16" s="78">
        <v>26387000</v>
      </c>
      <c r="F16" s="93">
        <v>25330000</v>
      </c>
      <c r="G16" s="90">
        <f>H16+I16</f>
        <v>25484433.439999994</v>
      </c>
      <c r="H16" s="78">
        <v>25484433.439999994</v>
      </c>
      <c r="I16" s="78">
        <v>0</v>
      </c>
    </row>
    <row r="17" spans="1:9" ht="14.25" x14ac:dyDescent="0.3">
      <c r="A17" s="97"/>
      <c r="B17" s="96"/>
      <c r="C17" s="96"/>
      <c r="D17" s="96"/>
      <c r="E17" s="95"/>
      <c r="F17" s="94"/>
    </row>
    <row r="18" spans="1:9" ht="19.5" x14ac:dyDescent="0.4">
      <c r="A18" s="85" t="s">
        <v>30</v>
      </c>
      <c r="B18" s="83"/>
      <c r="C18" s="83"/>
      <c r="D18" s="83"/>
      <c r="E18" s="78">
        <v>23828000</v>
      </c>
      <c r="F18" s="93">
        <v>25277000</v>
      </c>
      <c r="G18" s="90">
        <f>H18+I18</f>
        <v>25639921.380000003</v>
      </c>
      <c r="H18" s="78">
        <v>25639921.380000003</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155487.94</v>
      </c>
      <c r="H24" s="75">
        <f>H18-H16</f>
        <v>155487.94000000879</v>
      </c>
      <c r="I24" s="75">
        <f>I18-I164</f>
        <v>0</v>
      </c>
    </row>
    <row r="26" spans="1:9" x14ac:dyDescent="0.2">
      <c r="H26" s="66"/>
    </row>
    <row r="28" spans="1:9" ht="19.5" x14ac:dyDescent="0.4">
      <c r="A28" s="43" t="s">
        <v>28</v>
      </c>
      <c r="B28" s="43" t="s">
        <v>27</v>
      </c>
      <c r="C28" s="43"/>
      <c r="D28" s="65"/>
      <c r="E28" s="65"/>
      <c r="F28" s="4"/>
      <c r="G28" s="460">
        <f>ROUND(G29+G30+G31,2)</f>
        <v>155487.94</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155487.94000000879</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9" x14ac:dyDescent="0.2">
      <c r="A33" s="545"/>
      <c r="B33" s="545"/>
      <c r="C33" s="545"/>
      <c r="D33" s="545"/>
      <c r="E33" s="545"/>
      <c r="F33" s="545"/>
      <c r="G33" s="545"/>
      <c r="H33" s="545"/>
      <c r="I33" s="545"/>
    </row>
    <row r="34" spans="1:9" x14ac:dyDescent="0.2">
      <c r="A34" s="545"/>
      <c r="B34" s="545"/>
      <c r="C34" s="545"/>
      <c r="D34" s="545"/>
      <c r="E34" s="545"/>
      <c r="F34" s="545"/>
      <c r="G34" s="545"/>
      <c r="H34" s="545"/>
      <c r="I34" s="545"/>
    </row>
    <row r="35" spans="1:9" ht="19.5" x14ac:dyDescent="0.4">
      <c r="A35" s="43" t="s">
        <v>23</v>
      </c>
      <c r="B35" s="43" t="s">
        <v>22</v>
      </c>
      <c r="C35" s="43"/>
      <c r="D35" s="63"/>
      <c r="E35" s="5"/>
      <c r="F35" s="65"/>
      <c r="G35" s="64"/>
      <c r="H35" s="4"/>
      <c r="I35" s="4"/>
    </row>
    <row r="36" spans="1:9" ht="18.75" x14ac:dyDescent="0.4">
      <c r="A36" s="43"/>
      <c r="B36" s="43"/>
      <c r="C36" s="43"/>
      <c r="D36" s="63"/>
      <c r="F36" s="9" t="s">
        <v>21</v>
      </c>
      <c r="G36" s="62" t="s">
        <v>20</v>
      </c>
      <c r="H36" s="4"/>
      <c r="I36" s="61" t="s">
        <v>19</v>
      </c>
    </row>
    <row r="37" spans="1:9" ht="16.5" x14ac:dyDescent="0.35">
      <c r="A37" s="59" t="s">
        <v>18</v>
      </c>
      <c r="B37" s="58"/>
      <c r="C37" s="57"/>
      <c r="D37" s="58"/>
      <c r="E37" s="5"/>
      <c r="F37" s="56">
        <f>13588000-90000</f>
        <v>13498000</v>
      </c>
      <c r="G37" s="56">
        <f>13544239-46239</f>
        <v>13498000</v>
      </c>
      <c r="H37" s="55"/>
      <c r="I37" s="54">
        <f>IF(F37=0,"nerozp.",G37/F37)</f>
        <v>1</v>
      </c>
    </row>
    <row r="38" spans="1:9" ht="16.5" x14ac:dyDescent="0.35">
      <c r="A38" s="59" t="s">
        <v>17</v>
      </c>
      <c r="B38" s="58"/>
      <c r="C38" s="57"/>
      <c r="D38" s="60"/>
      <c r="E38" s="60"/>
      <c r="F38" s="56">
        <v>505000</v>
      </c>
      <c r="G38" s="56">
        <v>505322</v>
      </c>
      <c r="H38" s="55"/>
      <c r="I38" s="54">
        <f>IF(F38=0,"nerozp.",G38/F38)</f>
        <v>1.0006376237623762</v>
      </c>
    </row>
    <row r="39" spans="1:9" ht="16.5" x14ac:dyDescent="0.35">
      <c r="A39" s="59" t="s">
        <v>16</v>
      </c>
      <c r="B39" s="58"/>
      <c r="C39" s="57"/>
      <c r="D39" s="60"/>
      <c r="E39" s="60"/>
      <c r="F39" s="56">
        <v>0</v>
      </c>
      <c r="G39" s="56">
        <v>0</v>
      </c>
      <c r="H39" s="55"/>
      <c r="I39" s="54" t="str">
        <f>IF(F39=0,"nerozp.",G39/F39)</f>
        <v>nerozp.</v>
      </c>
    </row>
    <row r="40" spans="1:9" ht="16.5" x14ac:dyDescent="0.35">
      <c r="A40" s="59" t="s">
        <v>15</v>
      </c>
      <c r="B40" s="58"/>
      <c r="C40" s="57"/>
      <c r="D40" s="5"/>
      <c r="E40" s="5"/>
      <c r="F40" s="56">
        <v>401000</v>
      </c>
      <c r="G40" s="56">
        <v>401000</v>
      </c>
      <c r="H40" s="55"/>
      <c r="I40" s="54">
        <f>IF(F40=0,"nerozp.",G40/F40)</f>
        <v>1</v>
      </c>
    </row>
    <row r="41" spans="1:9" ht="16.5" x14ac:dyDescent="0.35">
      <c r="A41" s="59" t="s">
        <v>14</v>
      </c>
      <c r="B41" s="58"/>
      <c r="C41" s="57"/>
      <c r="D41" s="5"/>
      <c r="E41" s="5"/>
      <c r="F41" s="56">
        <v>0</v>
      </c>
      <c r="G41" s="56">
        <v>0</v>
      </c>
      <c r="H41" s="55"/>
      <c r="I41" s="54" t="str">
        <f>IF(F41=0,"nerozp.",G41/F41)</f>
        <v>nerozp.</v>
      </c>
    </row>
    <row r="42" spans="1:9" ht="14.25" x14ac:dyDescent="0.2">
      <c r="A42" s="53" t="s">
        <v>13</v>
      </c>
      <c r="B42" s="52" t="s">
        <v>337</v>
      </c>
      <c r="C42" s="51"/>
      <c r="D42" s="47"/>
      <c r="E42" s="47"/>
      <c r="F42" s="46"/>
      <c r="G42" s="46"/>
      <c r="H42" s="45"/>
      <c r="I42" s="44"/>
    </row>
    <row r="43" spans="1:9" ht="16.5" x14ac:dyDescent="0.35">
      <c r="A43" s="50"/>
      <c r="B43" s="49"/>
      <c r="C43" s="48"/>
      <c r="D43" s="47"/>
      <c r="E43" s="47"/>
      <c r="F43" s="46"/>
      <c r="G43" s="46"/>
      <c r="H43" s="45"/>
      <c r="I43" s="44"/>
    </row>
    <row r="44" spans="1:9" ht="16.5" x14ac:dyDescent="0.35">
      <c r="A44" s="50"/>
      <c r="B44" s="49"/>
      <c r="C44" s="48"/>
      <c r="D44" s="47"/>
      <c r="E44" s="47"/>
      <c r="F44" s="46"/>
      <c r="G44" s="46"/>
      <c r="H44" s="45"/>
      <c r="I44" s="44"/>
    </row>
    <row r="45" spans="1:9" ht="19.5" thickBot="1" x14ac:dyDescent="0.45">
      <c r="A45" s="43" t="s">
        <v>12</v>
      </c>
      <c r="B45" s="43" t="s">
        <v>11</v>
      </c>
      <c r="C45" s="42"/>
      <c r="D45" s="5"/>
      <c r="E45" s="5"/>
      <c r="F45" s="4"/>
      <c r="G45" s="10"/>
      <c r="H45" s="549" t="s">
        <v>10</v>
      </c>
      <c r="I45" s="550"/>
    </row>
    <row r="46" spans="1:9" ht="18.75" thickTop="1" x14ac:dyDescent="0.35">
      <c r="A46" s="41"/>
      <c r="B46" s="39"/>
      <c r="C46" s="40"/>
      <c r="D46" s="39"/>
      <c r="E46" s="38" t="s">
        <v>9</v>
      </c>
      <c r="F46" s="37" t="s">
        <v>8</v>
      </c>
      <c r="G46" s="37" t="s">
        <v>7</v>
      </c>
      <c r="H46" s="36" t="s">
        <v>6</v>
      </c>
      <c r="I46" s="35" t="s">
        <v>5</v>
      </c>
    </row>
    <row r="47" spans="1:9" x14ac:dyDescent="0.2">
      <c r="A47" s="31"/>
      <c r="B47" s="4"/>
      <c r="C47" s="4"/>
      <c r="D47" s="4"/>
      <c r="E47" s="31"/>
      <c r="F47" s="542"/>
      <c r="G47" s="34"/>
      <c r="H47" s="33">
        <v>41274</v>
      </c>
      <c r="I47" s="32">
        <v>41274</v>
      </c>
    </row>
    <row r="48" spans="1:9"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12850</v>
      </c>
      <c r="F50" s="22">
        <v>0</v>
      </c>
      <c r="G50" s="21">
        <v>0</v>
      </c>
      <c r="H50" s="21">
        <f>E50+F50-G50</f>
        <v>12850</v>
      </c>
      <c r="I50" s="20">
        <v>12850</v>
      </c>
    </row>
    <row r="51" spans="1:9" x14ac:dyDescent="0.2">
      <c r="A51" s="19"/>
      <c r="B51" s="18"/>
      <c r="C51" s="18" t="s">
        <v>3</v>
      </c>
      <c r="D51" s="18"/>
      <c r="E51" s="464">
        <v>36787.47</v>
      </c>
      <c r="F51" s="17">
        <v>134977</v>
      </c>
      <c r="G51" s="16">
        <v>126426</v>
      </c>
      <c r="H51" s="16">
        <f>E51+F51-G51</f>
        <v>45338.47</v>
      </c>
      <c r="I51" s="15">
        <v>40135.47</v>
      </c>
    </row>
    <row r="52" spans="1:9" x14ac:dyDescent="0.2">
      <c r="A52" s="19"/>
      <c r="B52" s="18"/>
      <c r="C52" s="18" t="s">
        <v>2</v>
      </c>
      <c r="D52" s="18"/>
      <c r="E52" s="464">
        <v>377681.70999999996</v>
      </c>
      <c r="F52" s="17">
        <v>136581.71999999997</v>
      </c>
      <c r="G52" s="16">
        <v>65447</v>
      </c>
      <c r="H52" s="16">
        <f>E52+F52-G52</f>
        <v>448816.42999999993</v>
      </c>
      <c r="I52" s="15">
        <v>448816.43</v>
      </c>
    </row>
    <row r="53" spans="1:9" x14ac:dyDescent="0.2">
      <c r="A53" s="19"/>
      <c r="B53" s="18"/>
      <c r="C53" s="18" t="s">
        <v>1</v>
      </c>
      <c r="D53" s="18"/>
      <c r="E53" s="464">
        <v>137297.42000000001</v>
      </c>
      <c r="F53" s="17">
        <v>961255.99999999988</v>
      </c>
      <c r="G53" s="16">
        <v>1073973</v>
      </c>
      <c r="H53" s="16">
        <f>E53+F53-G53</f>
        <v>24580.419999999925</v>
      </c>
      <c r="I53" s="15">
        <v>24580.42</v>
      </c>
    </row>
    <row r="54" spans="1:9" ht="18.75" thickBot="1" x14ac:dyDescent="0.4">
      <c r="A54" s="14" t="s">
        <v>0</v>
      </c>
      <c r="B54" s="13"/>
      <c r="C54" s="13"/>
      <c r="D54" s="13"/>
      <c r="E54" s="465">
        <f>SUM(E50:E53)</f>
        <v>564616.6</v>
      </c>
      <c r="F54" s="12">
        <f>SUM(F50:F53)</f>
        <v>1232814.7199999997</v>
      </c>
      <c r="G54" s="12">
        <f>SUM(G50:G53)</f>
        <v>1265846</v>
      </c>
      <c r="H54" s="12">
        <f>SUM(H50:H53)</f>
        <v>531585.31999999983</v>
      </c>
      <c r="I54" s="11">
        <f>SUM(I50:I53)</f>
        <v>526382.32000000007</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1">
    <mergeCell ref="F47:F48"/>
    <mergeCell ref="E6:G6"/>
    <mergeCell ref="A32:I34"/>
    <mergeCell ref="E7:I7"/>
    <mergeCell ref="H13:I13"/>
    <mergeCell ref="H45:I45"/>
    <mergeCell ref="A2:D2"/>
    <mergeCell ref="E3:I3"/>
    <mergeCell ref="E2:I2"/>
    <mergeCell ref="E5:I5"/>
    <mergeCell ref="E4:I4"/>
  </mergeCells>
  <conditionalFormatting sqref="I42:I44">
    <cfRule type="cellIs" dxfId="79" priority="9" stopIfTrue="1" operator="greaterThan">
      <formula>1</formula>
    </cfRule>
  </conditionalFormatting>
  <conditionalFormatting sqref="H50:H53">
    <cfRule type="cellIs" dxfId="78" priority="13" stopIfTrue="1" operator="notEqual">
      <formula>E50+F50-G50</formula>
    </cfRule>
  </conditionalFormatting>
  <conditionalFormatting sqref="I54">
    <cfRule type="cellIs" dxfId="77" priority="14" stopIfTrue="1" operator="notEqual">
      <formula>$I$50+$I$51+$I$52+$I$53</formula>
    </cfRule>
  </conditionalFormatting>
  <conditionalFormatting sqref="H54">
    <cfRule type="cellIs" dxfId="76" priority="15" stopIfTrue="1" operator="notEqual">
      <formula>E54+F54-G54</formula>
    </cfRule>
    <cfRule type="cellIs" dxfId="75" priority="16" stopIfTrue="1" operator="notEqual">
      <formula>SUM($H$50:$H$53)</formula>
    </cfRule>
  </conditionalFormatting>
  <conditionalFormatting sqref="G18 G16">
    <cfRule type="cellIs" dxfId="74" priority="17" stopIfTrue="1" operator="notEqual">
      <formula>H16+I16</formula>
    </cfRule>
  </conditionalFormatting>
  <conditionalFormatting sqref="G24">
    <cfRule type="cellIs" dxfId="73" priority="18" stopIfTrue="1" operator="notEqual">
      <formula>ROUND(H24+I24,2)</formula>
    </cfRule>
  </conditionalFormatting>
  <conditionalFormatting sqref="H24">
    <cfRule type="cellIs" dxfId="72" priority="19" stopIfTrue="1" operator="notEqual">
      <formula>$H$18-$H$16</formula>
    </cfRule>
  </conditionalFormatting>
  <conditionalFormatting sqref="I24">
    <cfRule type="cellIs" dxfId="71" priority="20" stopIfTrue="1" operator="notEqual">
      <formula>I18-I16</formula>
    </cfRule>
  </conditionalFormatting>
  <conditionalFormatting sqref="G23">
    <cfRule type="cellIs" dxfId="70" priority="7" stopIfTrue="1" operator="notEqual">
      <formula>ROUND(H23+I23,2)</formula>
    </cfRule>
  </conditionalFormatting>
  <conditionalFormatting sqref="G28">
    <cfRule type="cellIs" dxfId="69" priority="5" operator="notEqual">
      <formula>ROUND($G$24,2)</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11" ht="19.5" x14ac:dyDescent="0.4">
      <c r="A1" s="119" t="s">
        <v>47</v>
      </c>
      <c r="B1" s="118"/>
      <c r="C1" s="118"/>
      <c r="D1" s="118"/>
    </row>
    <row r="2" spans="1:11" ht="19.5" x14ac:dyDescent="0.4">
      <c r="A2" s="553" t="s">
        <v>46</v>
      </c>
      <c r="B2" s="553"/>
      <c r="C2" s="553"/>
      <c r="D2" s="553"/>
      <c r="E2" s="554" t="s">
        <v>68</v>
      </c>
      <c r="F2" s="543"/>
      <c r="G2" s="543"/>
      <c r="H2" s="543"/>
      <c r="I2" s="543"/>
      <c r="J2" s="458"/>
      <c r="K2" s="458"/>
    </row>
    <row r="3" spans="1:11" ht="12" customHeight="1" x14ac:dyDescent="0.4">
      <c r="A3" s="455"/>
      <c r="B3" s="455"/>
      <c r="C3" s="455"/>
      <c r="D3" s="455"/>
      <c r="E3" s="546" t="s">
        <v>44</v>
      </c>
      <c r="F3" s="546"/>
      <c r="G3" s="546"/>
      <c r="H3" s="546"/>
      <c r="I3" s="546"/>
    </row>
    <row r="4" spans="1:11" ht="15.75" x14ac:dyDescent="0.25">
      <c r="A4" s="115" t="s">
        <v>45</v>
      </c>
      <c r="E4" s="555" t="s">
        <v>285</v>
      </c>
      <c r="F4" s="555"/>
      <c r="G4" s="555"/>
      <c r="H4" s="555"/>
      <c r="I4" s="555"/>
    </row>
    <row r="5" spans="1:11" ht="9" customHeight="1" x14ac:dyDescent="0.25">
      <c r="A5" s="115"/>
      <c r="E5" s="546" t="s">
        <v>44</v>
      </c>
      <c r="F5" s="546"/>
      <c r="G5" s="546"/>
      <c r="H5" s="546"/>
      <c r="I5" s="546"/>
    </row>
    <row r="6" spans="1:11" ht="19.5" x14ac:dyDescent="0.4">
      <c r="A6" s="113" t="s">
        <v>43</v>
      </c>
      <c r="E6" s="543" t="s">
        <v>286</v>
      </c>
      <c r="F6" s="543"/>
      <c r="G6" s="543"/>
      <c r="H6" s="113" t="s">
        <v>42</v>
      </c>
      <c r="I6" s="111" t="s">
        <v>284</v>
      </c>
    </row>
    <row r="7" spans="1:11" ht="9.75" customHeight="1" x14ac:dyDescent="0.4">
      <c r="A7" s="113"/>
      <c r="E7" s="546" t="s">
        <v>41</v>
      </c>
      <c r="F7" s="546"/>
      <c r="G7" s="546"/>
      <c r="H7" s="546"/>
      <c r="I7" s="546"/>
    </row>
    <row r="8" spans="1:11" ht="19.5" x14ac:dyDescent="0.4">
      <c r="A8" s="113"/>
      <c r="E8" s="111"/>
      <c r="F8" s="111"/>
      <c r="G8" s="111"/>
      <c r="H8" s="112"/>
      <c r="I8" s="111"/>
    </row>
    <row r="9" spans="1:11" ht="19.5"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456"/>
      <c r="I14" s="457"/>
    </row>
    <row r="15" spans="1:11" ht="18.75" x14ac:dyDescent="0.4">
      <c r="A15" s="71" t="s">
        <v>32</v>
      </c>
      <c r="B15" s="71"/>
      <c r="C15" s="99"/>
      <c r="D15" s="98"/>
      <c r="E15" s="100"/>
      <c r="F15" s="100"/>
      <c r="G15" s="82"/>
      <c r="H15" s="66"/>
      <c r="I15" s="66"/>
    </row>
    <row r="16" spans="1:11" ht="19.5" x14ac:dyDescent="0.4">
      <c r="A16" s="85" t="s">
        <v>31</v>
      </c>
      <c r="B16" s="71"/>
      <c r="C16" s="99"/>
      <c r="D16" s="98"/>
      <c r="E16" s="78">
        <v>26289000</v>
      </c>
      <c r="F16" s="93">
        <v>25864000</v>
      </c>
      <c r="G16" s="90">
        <f>H16+I16</f>
        <v>26230668.309999999</v>
      </c>
      <c r="H16" s="78">
        <v>26230668.309999999</v>
      </c>
      <c r="I16" s="78">
        <v>0</v>
      </c>
    </row>
    <row r="17" spans="1:9" ht="14.25" x14ac:dyDescent="0.3">
      <c r="A17" s="97"/>
      <c r="B17" s="96"/>
      <c r="C17" s="96"/>
      <c r="D17" s="96"/>
      <c r="E17" s="95"/>
      <c r="F17" s="94"/>
    </row>
    <row r="18" spans="1:9" ht="19.5" x14ac:dyDescent="0.4">
      <c r="A18" s="85" t="s">
        <v>30</v>
      </c>
      <c r="B18" s="83"/>
      <c r="C18" s="83"/>
      <c r="D18" s="83"/>
      <c r="E18" s="78">
        <v>23705000</v>
      </c>
      <c r="F18" s="93">
        <v>25864000</v>
      </c>
      <c r="G18" s="90">
        <f>H18+I18</f>
        <v>26231016.340000004</v>
      </c>
      <c r="H18" s="78">
        <v>26231016.340000004</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348.03</v>
      </c>
      <c r="H24" s="75">
        <f>H18-H16</f>
        <v>348.03000000491738</v>
      </c>
      <c r="I24" s="75">
        <f>I18-I164</f>
        <v>0</v>
      </c>
    </row>
    <row r="26" spans="1:9" x14ac:dyDescent="0.2">
      <c r="H26" s="66"/>
    </row>
    <row r="28" spans="1:9" ht="19.5" x14ac:dyDescent="0.4">
      <c r="A28" s="43" t="s">
        <v>28</v>
      </c>
      <c r="B28" s="43" t="s">
        <v>27</v>
      </c>
      <c r="C28" s="43"/>
      <c r="D28" s="65"/>
      <c r="E28" s="65"/>
      <c r="F28" s="4"/>
      <c r="G28" s="460">
        <f>ROUND(G29+G30+G31,2)</f>
        <v>348.03</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348.03000000491738</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11" x14ac:dyDescent="0.2">
      <c r="A33" s="545"/>
      <c r="B33" s="545"/>
      <c r="C33" s="545"/>
      <c r="D33" s="545"/>
      <c r="E33" s="545"/>
      <c r="F33" s="545"/>
      <c r="G33" s="545"/>
      <c r="H33" s="545"/>
      <c r="I33" s="545"/>
    </row>
    <row r="34" spans="1:11" x14ac:dyDescent="0.2">
      <c r="A34" s="545"/>
      <c r="B34" s="545"/>
      <c r="C34" s="545"/>
      <c r="D34" s="545"/>
      <c r="E34" s="545"/>
      <c r="F34" s="545"/>
      <c r="G34" s="545"/>
      <c r="H34" s="545"/>
      <c r="I34" s="545"/>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56">
        <f>12616000-120000</f>
        <v>12496000</v>
      </c>
      <c r="G37" s="56">
        <f>12592678-96678</f>
        <v>12496000</v>
      </c>
      <c r="H37" s="55"/>
      <c r="I37" s="54">
        <f>IF(F37=0,"nerozp.",G37/F37)</f>
        <v>1</v>
      </c>
      <c r="J37" s="446"/>
      <c r="K37" s="461"/>
    </row>
    <row r="38" spans="1:11" ht="16.5" x14ac:dyDescent="0.35">
      <c r="A38" s="59" t="s">
        <v>17</v>
      </c>
      <c r="B38" s="58"/>
      <c r="C38" s="57"/>
      <c r="D38" s="60"/>
      <c r="E38" s="60"/>
      <c r="F38" s="56">
        <v>1200000</v>
      </c>
      <c r="G38" s="56">
        <v>1200718.3</v>
      </c>
      <c r="H38" s="55"/>
      <c r="I38" s="54">
        <f>IF(F38=0,"nerozp.",G38/F38)</f>
        <v>1.0005985833333333</v>
      </c>
      <c r="J38" s="447"/>
      <c r="K38" s="461"/>
    </row>
    <row r="39" spans="1:11" ht="16.5" x14ac:dyDescent="0.35">
      <c r="A39" s="59" t="s">
        <v>16</v>
      </c>
      <c r="B39" s="58"/>
      <c r="C39" s="57"/>
      <c r="D39" s="60"/>
      <c r="E39" s="60"/>
      <c r="F39" s="56">
        <v>0</v>
      </c>
      <c r="G39" s="56">
        <v>0</v>
      </c>
      <c r="H39" s="55"/>
      <c r="I39" s="54" t="str">
        <f>IF(F39=0,"nerozp.",G39/F39)</f>
        <v>nerozp.</v>
      </c>
    </row>
    <row r="40" spans="1:11" ht="16.5" x14ac:dyDescent="0.35">
      <c r="A40" s="59" t="s">
        <v>15</v>
      </c>
      <c r="B40" s="58"/>
      <c r="C40" s="57"/>
      <c r="D40" s="5"/>
      <c r="E40" s="5"/>
      <c r="F40" s="56">
        <v>923000</v>
      </c>
      <c r="G40" s="56">
        <v>923000</v>
      </c>
      <c r="H40" s="55"/>
      <c r="I40" s="54">
        <f>IF(F40=0,"nerozp.",G40/F40)</f>
        <v>1</v>
      </c>
    </row>
    <row r="41" spans="1:11" ht="16.5" x14ac:dyDescent="0.35">
      <c r="A41" s="59" t="s">
        <v>14</v>
      </c>
      <c r="B41" s="58"/>
      <c r="C41" s="57"/>
      <c r="D41" s="5"/>
      <c r="E41" s="5"/>
      <c r="F41" s="56">
        <v>0</v>
      </c>
      <c r="G41" s="56">
        <v>0</v>
      </c>
      <c r="H41" s="55"/>
      <c r="I41" s="54" t="str">
        <f>IF(F41=0,"nerozp.",G41/F41)</f>
        <v>nerozp.</v>
      </c>
    </row>
    <row r="42" spans="1:11" ht="14.25" x14ac:dyDescent="0.2">
      <c r="A42" s="53" t="s">
        <v>13</v>
      </c>
      <c r="B42" s="52" t="s">
        <v>338</v>
      </c>
      <c r="C42" s="51"/>
      <c r="D42" s="47"/>
      <c r="E42" s="47"/>
      <c r="F42" s="46"/>
      <c r="G42" s="46"/>
      <c r="H42" s="45"/>
      <c r="I42" s="44"/>
    </row>
    <row r="43" spans="1:11" ht="16.5" x14ac:dyDescent="0.35">
      <c r="A43" s="50"/>
      <c r="B43" s="49"/>
      <c r="C43" s="48"/>
      <c r="D43" s="47"/>
      <c r="E43" s="47"/>
      <c r="F43" s="46"/>
      <c r="G43" s="46"/>
      <c r="H43" s="45"/>
      <c r="I43" s="44"/>
    </row>
    <row r="44" spans="1:11" ht="16.5"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16640</v>
      </c>
      <c r="F50" s="22">
        <v>0</v>
      </c>
      <c r="G50" s="21">
        <v>0</v>
      </c>
      <c r="H50" s="21">
        <f>E50+F50-G50</f>
        <v>16640</v>
      </c>
      <c r="I50" s="20">
        <v>16640</v>
      </c>
    </row>
    <row r="51" spans="1:9" x14ac:dyDescent="0.2">
      <c r="A51" s="19"/>
      <c r="B51" s="18"/>
      <c r="C51" s="18" t="s">
        <v>3</v>
      </c>
      <c r="D51" s="18"/>
      <c r="E51" s="464">
        <v>242670.27</v>
      </c>
      <c r="F51" s="17">
        <v>125407.00000000003</v>
      </c>
      <c r="G51" s="16">
        <v>142633</v>
      </c>
      <c r="H51" s="16">
        <f>E51+F51-G51</f>
        <v>225444.27000000002</v>
      </c>
      <c r="I51" s="15">
        <v>230324.27</v>
      </c>
    </row>
    <row r="52" spans="1:9" x14ac:dyDescent="0.2">
      <c r="A52" s="19"/>
      <c r="B52" s="18"/>
      <c r="C52" s="18" t="s">
        <v>2</v>
      </c>
      <c r="D52" s="18"/>
      <c r="E52" s="464">
        <v>62118.69</v>
      </c>
      <c r="F52" s="17">
        <v>87412.99</v>
      </c>
      <c r="G52" s="16">
        <v>37695.300000000003</v>
      </c>
      <c r="H52" s="16">
        <f>E52+F52-G52</f>
        <v>111836.37999999999</v>
      </c>
      <c r="I52" s="15">
        <v>111836.38</v>
      </c>
    </row>
    <row r="53" spans="1:9" x14ac:dyDescent="0.2">
      <c r="A53" s="19"/>
      <c r="B53" s="18"/>
      <c r="C53" s="18" t="s">
        <v>1</v>
      </c>
      <c r="D53" s="18"/>
      <c r="E53" s="464">
        <v>39107.96</v>
      </c>
      <c r="F53" s="17">
        <v>1425412.2999999998</v>
      </c>
      <c r="G53" s="16">
        <v>1350154</v>
      </c>
      <c r="H53" s="16">
        <f>E53+F53-G53</f>
        <v>114366.25999999978</v>
      </c>
      <c r="I53" s="15">
        <v>114366.26</v>
      </c>
    </row>
    <row r="54" spans="1:9" ht="18.75" thickBot="1" x14ac:dyDescent="0.4">
      <c r="A54" s="14" t="s">
        <v>0</v>
      </c>
      <c r="B54" s="13"/>
      <c r="C54" s="13"/>
      <c r="D54" s="13"/>
      <c r="E54" s="465">
        <f>SUM(E50:E53)</f>
        <v>360536.92</v>
      </c>
      <c r="F54" s="12">
        <f>SUM(F50:F53)</f>
        <v>1638232.2899999998</v>
      </c>
      <c r="G54" s="12">
        <f>SUM(G50:G53)</f>
        <v>1530482.3</v>
      </c>
      <c r="H54" s="12">
        <f>SUM(H50:H53)</f>
        <v>468286.9099999998</v>
      </c>
      <c r="I54" s="11">
        <f>SUM(I50:I53)</f>
        <v>473166.91000000003</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1">
    <mergeCell ref="F47:F48"/>
    <mergeCell ref="E6:G6"/>
    <mergeCell ref="A32:I34"/>
    <mergeCell ref="E7:I7"/>
    <mergeCell ref="H13:I13"/>
    <mergeCell ref="H45:I45"/>
    <mergeCell ref="A2:D2"/>
    <mergeCell ref="E3:I3"/>
    <mergeCell ref="E2:I2"/>
    <mergeCell ref="E5:I5"/>
    <mergeCell ref="E4:I4"/>
  </mergeCells>
  <conditionalFormatting sqref="I42:I44">
    <cfRule type="cellIs" dxfId="68" priority="9" stopIfTrue="1" operator="greaterThan">
      <formula>1</formula>
    </cfRule>
  </conditionalFormatting>
  <conditionalFormatting sqref="H50:H53">
    <cfRule type="cellIs" dxfId="67" priority="13" stopIfTrue="1" operator="notEqual">
      <formula>E50+F50-G50</formula>
    </cfRule>
  </conditionalFormatting>
  <conditionalFormatting sqref="I54">
    <cfRule type="cellIs" dxfId="66" priority="14" stopIfTrue="1" operator="notEqual">
      <formula>$I$50+$I$51+$I$52+$I$53</formula>
    </cfRule>
  </conditionalFormatting>
  <conditionalFormatting sqref="H54">
    <cfRule type="cellIs" dxfId="65" priority="15" stopIfTrue="1" operator="notEqual">
      <formula>E54+F54-G54</formula>
    </cfRule>
    <cfRule type="cellIs" dxfId="64" priority="16" stopIfTrue="1" operator="notEqual">
      <formula>SUM($H$50:$H$53)</formula>
    </cfRule>
  </conditionalFormatting>
  <conditionalFormatting sqref="G18 G16">
    <cfRule type="cellIs" dxfId="63" priority="17" stopIfTrue="1" operator="notEqual">
      <formula>H16+I16</formula>
    </cfRule>
  </conditionalFormatting>
  <conditionalFormatting sqref="G24">
    <cfRule type="cellIs" dxfId="62" priority="18" stopIfTrue="1" operator="notEqual">
      <formula>ROUND(H24+I24,2)</formula>
    </cfRule>
  </conditionalFormatting>
  <conditionalFormatting sqref="H24">
    <cfRule type="cellIs" dxfId="61" priority="19" stopIfTrue="1" operator="notEqual">
      <formula>$H$18-$H$16</formula>
    </cfRule>
  </conditionalFormatting>
  <conditionalFormatting sqref="I24">
    <cfRule type="cellIs" dxfId="60" priority="20" stopIfTrue="1" operator="notEqual">
      <formula>I18-I16</formula>
    </cfRule>
  </conditionalFormatting>
  <conditionalFormatting sqref="G23">
    <cfRule type="cellIs" dxfId="59" priority="7" stopIfTrue="1" operator="notEqual">
      <formula>ROUND(H23+I23,2)</formula>
    </cfRule>
  </conditionalFormatting>
  <conditionalFormatting sqref="G28">
    <cfRule type="cellIs" dxfId="58" priority="5" operator="notEqual">
      <formula>ROUND($G$24,2)</formula>
    </cfRule>
  </conditionalFormatting>
  <conditionalFormatting sqref="J37">
    <cfRule type="cellIs" dxfId="57" priority="3" operator="greaterThan">
      <formula>0</formula>
    </cfRule>
    <cfRule type="cellIs" dxfId="56" priority="4" operator="lessThan">
      <formula>0</formula>
    </cfRule>
  </conditionalFormatting>
  <conditionalFormatting sqref="J38">
    <cfRule type="cellIs" dxfId="55" priority="1" operator="greaterThan">
      <formula>0</formula>
    </cfRule>
    <cfRule type="cellIs" dxfId="54" priority="2" operator="lessThan">
      <formula>0</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11" ht="19.5" x14ac:dyDescent="0.4">
      <c r="A1" s="119" t="s">
        <v>47</v>
      </c>
      <c r="B1" s="118"/>
      <c r="C1" s="118"/>
      <c r="D1" s="118"/>
    </row>
    <row r="2" spans="1:11" ht="19.5" x14ac:dyDescent="0.4">
      <c r="A2" s="553" t="s">
        <v>46</v>
      </c>
      <c r="B2" s="553"/>
      <c r="C2" s="553"/>
      <c r="D2" s="553"/>
      <c r="E2" s="554" t="s">
        <v>288</v>
      </c>
      <c r="F2" s="543"/>
      <c r="G2" s="543"/>
      <c r="H2" s="543"/>
      <c r="I2" s="543"/>
      <c r="J2" s="458"/>
      <c r="K2" s="458"/>
    </row>
    <row r="3" spans="1:11" ht="12" customHeight="1" x14ac:dyDescent="0.4">
      <c r="A3" s="455"/>
      <c r="B3" s="455"/>
      <c r="C3" s="455"/>
      <c r="D3" s="455"/>
      <c r="E3" s="546" t="s">
        <v>44</v>
      </c>
      <c r="F3" s="546"/>
      <c r="G3" s="546"/>
      <c r="H3" s="546"/>
      <c r="I3" s="546"/>
    </row>
    <row r="4" spans="1:11" ht="15.75" x14ac:dyDescent="0.25">
      <c r="A4" s="115" t="s">
        <v>45</v>
      </c>
      <c r="E4" s="555" t="s">
        <v>289</v>
      </c>
      <c r="F4" s="555"/>
      <c r="G4" s="555"/>
      <c r="H4" s="555"/>
      <c r="I4" s="555"/>
    </row>
    <row r="5" spans="1:11" ht="9" customHeight="1" x14ac:dyDescent="0.25">
      <c r="A5" s="115"/>
      <c r="E5" s="546" t="s">
        <v>44</v>
      </c>
      <c r="F5" s="546"/>
      <c r="G5" s="546"/>
      <c r="H5" s="546"/>
      <c r="I5" s="546"/>
    </row>
    <row r="6" spans="1:11" ht="19.5" x14ac:dyDescent="0.4">
      <c r="A6" s="113" t="s">
        <v>43</v>
      </c>
      <c r="E6" s="543" t="s">
        <v>290</v>
      </c>
      <c r="F6" s="543"/>
      <c r="G6" s="543"/>
      <c r="H6" s="113" t="s">
        <v>42</v>
      </c>
      <c r="I6" s="111" t="s">
        <v>287</v>
      </c>
    </row>
    <row r="7" spans="1:11" ht="9.75" customHeight="1" x14ac:dyDescent="0.4">
      <c r="A7" s="113"/>
      <c r="E7" s="546" t="s">
        <v>41</v>
      </c>
      <c r="F7" s="546"/>
      <c r="G7" s="546"/>
      <c r="H7" s="546"/>
      <c r="I7" s="546"/>
    </row>
    <row r="8" spans="1:11" ht="19.5" x14ac:dyDescent="0.4">
      <c r="A8" s="113"/>
      <c r="E8" s="111"/>
      <c r="F8" s="111"/>
      <c r="G8" s="111"/>
      <c r="H8" s="112"/>
      <c r="I8" s="111"/>
    </row>
    <row r="9" spans="1:11" ht="19.5"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456"/>
      <c r="I14" s="457"/>
    </row>
    <row r="15" spans="1:11" ht="18.75" x14ac:dyDescent="0.4">
      <c r="A15" s="71" t="s">
        <v>32</v>
      </c>
      <c r="B15" s="71"/>
      <c r="C15" s="99"/>
      <c r="D15" s="98"/>
      <c r="E15" s="100"/>
      <c r="F15" s="100"/>
      <c r="G15" s="82"/>
      <c r="H15" s="66"/>
      <c r="I15" s="66"/>
    </row>
    <row r="16" spans="1:11" ht="19.5" x14ac:dyDescent="0.4">
      <c r="A16" s="85" t="s">
        <v>31</v>
      </c>
      <c r="B16" s="71"/>
      <c r="C16" s="99"/>
      <c r="D16" s="98"/>
      <c r="E16" s="78">
        <v>33323000</v>
      </c>
      <c r="F16" s="93">
        <v>32666000</v>
      </c>
      <c r="G16" s="90">
        <f>H16+I16</f>
        <v>30060159.380000006</v>
      </c>
      <c r="H16" s="78">
        <v>30060159.380000006</v>
      </c>
      <c r="I16" s="78">
        <v>0</v>
      </c>
    </row>
    <row r="17" spans="1:9" ht="14.25" x14ac:dyDescent="0.3">
      <c r="A17" s="97"/>
      <c r="B17" s="96"/>
      <c r="C17" s="96"/>
      <c r="D17" s="96"/>
      <c r="E17" s="95"/>
      <c r="F17" s="94"/>
    </row>
    <row r="18" spans="1:9" ht="19.5" x14ac:dyDescent="0.4">
      <c r="A18" s="85" t="s">
        <v>30</v>
      </c>
      <c r="B18" s="83"/>
      <c r="C18" s="83"/>
      <c r="D18" s="83"/>
      <c r="E18" s="78">
        <v>30263000</v>
      </c>
      <c r="F18" s="93">
        <v>32592000</v>
      </c>
      <c r="G18" s="90">
        <f>H18+I18</f>
        <v>30265072.109999999</v>
      </c>
      <c r="H18" s="78">
        <v>30265072.109999999</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204912.73</v>
      </c>
      <c r="H24" s="75">
        <f>H18-H16</f>
        <v>204912.729999993</v>
      </c>
      <c r="I24" s="75">
        <f>I18-I164</f>
        <v>0</v>
      </c>
    </row>
    <row r="26" spans="1:9" x14ac:dyDescent="0.2">
      <c r="H26" s="66"/>
    </row>
    <row r="28" spans="1:9" ht="19.5" x14ac:dyDescent="0.4">
      <c r="A28" s="43" t="s">
        <v>28</v>
      </c>
      <c r="B28" s="43" t="s">
        <v>27</v>
      </c>
      <c r="C28" s="43"/>
      <c r="D28" s="65"/>
      <c r="E28" s="65"/>
      <c r="F28" s="4"/>
      <c r="G28" s="460">
        <f>ROUND(G29+G30+G31,2)</f>
        <v>204912.73</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204912.729999993</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11" x14ac:dyDescent="0.2">
      <c r="A33" s="545"/>
      <c r="B33" s="545"/>
      <c r="C33" s="545"/>
      <c r="D33" s="545"/>
      <c r="E33" s="545"/>
      <c r="F33" s="545"/>
      <c r="G33" s="545"/>
      <c r="H33" s="545"/>
      <c r="I33" s="545"/>
    </row>
    <row r="34" spans="1:11" x14ac:dyDescent="0.2">
      <c r="A34" s="545"/>
      <c r="B34" s="545"/>
      <c r="C34" s="545"/>
      <c r="D34" s="545"/>
      <c r="E34" s="545"/>
      <c r="F34" s="545"/>
      <c r="G34" s="545"/>
      <c r="H34" s="545"/>
      <c r="I34" s="545"/>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56">
        <f>16893000-30000</f>
        <v>16863000</v>
      </c>
      <c r="G37" s="56">
        <f>16875592-12592</f>
        <v>16863000</v>
      </c>
      <c r="H37" s="55"/>
      <c r="I37" s="54">
        <f>IF(F37=0,"nerozp.",G37/F37)</f>
        <v>1</v>
      </c>
      <c r="J37" s="446"/>
      <c r="K37" s="461" t="str">
        <f>IF(J37&gt;0,"překročen limit",IF(J37=0," ","nedočerpáno"))</f>
        <v xml:space="preserve"> </v>
      </c>
    </row>
    <row r="38" spans="1:11" ht="16.5" x14ac:dyDescent="0.35">
      <c r="A38" s="59" t="s">
        <v>17</v>
      </c>
      <c r="B38" s="58"/>
      <c r="C38" s="57"/>
      <c r="D38" s="60"/>
      <c r="E38" s="60"/>
      <c r="F38" s="56">
        <v>1083000</v>
      </c>
      <c r="G38" s="56">
        <v>1083000</v>
      </c>
      <c r="H38" s="55"/>
      <c r="I38" s="54">
        <f>IF(F38=0,"nerozp.",G38/F38)</f>
        <v>1</v>
      </c>
      <c r="J38" s="447"/>
      <c r="K38" s="461" t="str">
        <f>IF(J38&gt;0," vlast. prostř.",IF(J38=0," ","NEDOČERPÁNO"))</f>
        <v xml:space="preserve"> </v>
      </c>
    </row>
    <row r="39" spans="1:11" ht="16.5" x14ac:dyDescent="0.35">
      <c r="A39" s="59" t="s">
        <v>16</v>
      </c>
      <c r="B39" s="58"/>
      <c r="C39" s="57"/>
      <c r="D39" s="60"/>
      <c r="E39" s="60"/>
      <c r="F39" s="56">
        <v>0</v>
      </c>
      <c r="G39" s="56">
        <v>0</v>
      </c>
      <c r="H39" s="55"/>
      <c r="I39" s="54" t="str">
        <f>IF(F39=0,"nerozp.",G39/F39)</f>
        <v>nerozp.</v>
      </c>
    </row>
    <row r="40" spans="1:11" ht="16.5" x14ac:dyDescent="0.35">
      <c r="A40" s="59" t="s">
        <v>15</v>
      </c>
      <c r="B40" s="58"/>
      <c r="C40" s="57"/>
      <c r="D40" s="5"/>
      <c r="E40" s="5"/>
      <c r="F40" s="56">
        <v>812250</v>
      </c>
      <c r="G40" s="56">
        <v>812250</v>
      </c>
      <c r="H40" s="55"/>
      <c r="I40" s="54">
        <f>IF(F40=0,"nerozp.",G40/F40)</f>
        <v>1</v>
      </c>
    </row>
    <row r="41" spans="1:11" ht="16.5" x14ac:dyDescent="0.35">
      <c r="A41" s="59" t="s">
        <v>14</v>
      </c>
      <c r="B41" s="58"/>
      <c r="C41" s="57"/>
      <c r="D41" s="5"/>
      <c r="E41" s="5"/>
      <c r="F41" s="56">
        <v>0</v>
      </c>
      <c r="G41" s="56">
        <v>0</v>
      </c>
      <c r="H41" s="55"/>
      <c r="I41" s="54" t="str">
        <f>IF(F41=0,"nerozp.",G41/F41)</f>
        <v>nerozp.</v>
      </c>
    </row>
    <row r="42" spans="1:11" ht="14.25" x14ac:dyDescent="0.2">
      <c r="A42" s="53"/>
      <c r="B42" s="52"/>
      <c r="C42" s="51"/>
      <c r="D42" s="47"/>
      <c r="E42" s="47"/>
      <c r="F42" s="46"/>
      <c r="G42" s="46"/>
      <c r="H42" s="45"/>
      <c r="I42" s="44"/>
    </row>
    <row r="43" spans="1:11" ht="16.5" x14ac:dyDescent="0.35">
      <c r="A43" s="50"/>
      <c r="B43" s="49"/>
      <c r="C43" s="48"/>
      <c r="D43" s="47"/>
      <c r="E43" s="47"/>
      <c r="F43" s="46"/>
      <c r="G43" s="46"/>
      <c r="H43" s="45"/>
      <c r="I43" s="44"/>
    </row>
    <row r="44" spans="1:11" ht="16.5"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44047</v>
      </c>
      <c r="F50" s="22">
        <v>0</v>
      </c>
      <c r="G50" s="21">
        <v>0</v>
      </c>
      <c r="H50" s="21">
        <f>E50+F50-G50</f>
        <v>44047</v>
      </c>
      <c r="I50" s="20">
        <v>44047</v>
      </c>
    </row>
    <row r="51" spans="1:9" x14ac:dyDescent="0.2">
      <c r="A51" s="19"/>
      <c r="B51" s="18"/>
      <c r="C51" s="18" t="s">
        <v>3</v>
      </c>
      <c r="D51" s="18"/>
      <c r="E51" s="464">
        <v>209362.84</v>
      </c>
      <c r="F51" s="17">
        <v>168929.99999999997</v>
      </c>
      <c r="G51" s="16">
        <v>153076</v>
      </c>
      <c r="H51" s="16">
        <f>E51+F51-G51</f>
        <v>225216.83999999997</v>
      </c>
      <c r="I51" s="15">
        <v>125865.3</v>
      </c>
    </row>
    <row r="52" spans="1:9" x14ac:dyDescent="0.2">
      <c r="A52" s="19"/>
      <c r="B52" s="18"/>
      <c r="C52" s="18" t="s">
        <v>2</v>
      </c>
      <c r="D52" s="18"/>
      <c r="E52" s="464">
        <v>277675.27</v>
      </c>
      <c r="F52" s="17">
        <v>78306.67</v>
      </c>
      <c r="G52" s="16">
        <v>0</v>
      </c>
      <c r="H52" s="16">
        <f>E52+F52-G52</f>
        <v>355981.94</v>
      </c>
      <c r="I52" s="15">
        <v>355981.94</v>
      </c>
    </row>
    <row r="53" spans="1:9" x14ac:dyDescent="0.2">
      <c r="A53" s="19"/>
      <c r="B53" s="18"/>
      <c r="C53" s="18" t="s">
        <v>1</v>
      </c>
      <c r="D53" s="18"/>
      <c r="E53" s="464">
        <v>254120.6</v>
      </c>
      <c r="F53" s="17">
        <v>1474435</v>
      </c>
      <c r="G53" s="16">
        <v>1616212</v>
      </c>
      <c r="H53" s="16">
        <f>E53+F53-G53</f>
        <v>112343.60000000009</v>
      </c>
      <c r="I53" s="15">
        <v>112343.6</v>
      </c>
    </row>
    <row r="54" spans="1:9" ht="18.75" thickBot="1" x14ac:dyDescent="0.4">
      <c r="A54" s="14" t="s">
        <v>0</v>
      </c>
      <c r="B54" s="13"/>
      <c r="C54" s="13"/>
      <c r="D54" s="13"/>
      <c r="E54" s="465">
        <f>SUM(E50:E53)</f>
        <v>785205.71</v>
      </c>
      <c r="F54" s="12">
        <f>SUM(F50:F53)</f>
        <v>1721671.67</v>
      </c>
      <c r="G54" s="12">
        <f>SUM(G50:G53)</f>
        <v>1769288</v>
      </c>
      <c r="H54" s="12">
        <f>SUM(H50:H53)</f>
        <v>737589.38000000012</v>
      </c>
      <c r="I54" s="11">
        <f>SUM(I50:I53)</f>
        <v>638237.84</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1">
    <mergeCell ref="F47:F48"/>
    <mergeCell ref="E6:G6"/>
    <mergeCell ref="A32:I34"/>
    <mergeCell ref="E7:I7"/>
    <mergeCell ref="H13:I13"/>
    <mergeCell ref="H45:I45"/>
    <mergeCell ref="A2:D2"/>
    <mergeCell ref="E3:I3"/>
    <mergeCell ref="E2:I2"/>
    <mergeCell ref="E5:I5"/>
    <mergeCell ref="E4:I4"/>
  </mergeCells>
  <conditionalFormatting sqref="I42:I44">
    <cfRule type="cellIs" dxfId="53" priority="9" stopIfTrue="1" operator="greaterThan">
      <formula>1</formula>
    </cfRule>
  </conditionalFormatting>
  <conditionalFormatting sqref="H50:H53">
    <cfRule type="cellIs" dxfId="52" priority="13" stopIfTrue="1" operator="notEqual">
      <formula>E50+F50-G50</formula>
    </cfRule>
  </conditionalFormatting>
  <conditionalFormatting sqref="I54">
    <cfRule type="cellIs" dxfId="51" priority="14" stopIfTrue="1" operator="notEqual">
      <formula>$I$50+$I$51+$I$52+$I$53</formula>
    </cfRule>
  </conditionalFormatting>
  <conditionalFormatting sqref="H54">
    <cfRule type="cellIs" dxfId="50" priority="15" stopIfTrue="1" operator="notEqual">
      <formula>E54+F54-G54</formula>
    </cfRule>
    <cfRule type="cellIs" dxfId="49" priority="16" stopIfTrue="1" operator="notEqual">
      <formula>SUM($H$50:$H$53)</formula>
    </cfRule>
  </conditionalFormatting>
  <conditionalFormatting sqref="G18 G16">
    <cfRule type="cellIs" dxfId="48" priority="17" stopIfTrue="1" operator="notEqual">
      <formula>H16+I16</formula>
    </cfRule>
  </conditionalFormatting>
  <conditionalFormatting sqref="G24">
    <cfRule type="cellIs" dxfId="47" priority="18" stopIfTrue="1" operator="notEqual">
      <formula>ROUND(H24+I24,2)</formula>
    </cfRule>
  </conditionalFormatting>
  <conditionalFormatting sqref="H24">
    <cfRule type="cellIs" dxfId="46" priority="19" stopIfTrue="1" operator="notEqual">
      <formula>$H$18-$H$16</formula>
    </cfRule>
  </conditionalFormatting>
  <conditionalFormatting sqref="I24">
    <cfRule type="cellIs" dxfId="45" priority="20" stopIfTrue="1" operator="notEqual">
      <formula>I18-I16</formula>
    </cfRule>
  </conditionalFormatting>
  <conditionalFormatting sqref="G23">
    <cfRule type="cellIs" dxfId="44" priority="7" stopIfTrue="1" operator="notEqual">
      <formula>ROUND(H23+I23,2)</formula>
    </cfRule>
  </conditionalFormatting>
  <conditionalFormatting sqref="G28">
    <cfRule type="cellIs" dxfId="43" priority="5" operator="notEqual">
      <formula>ROUND($G$24,2)</formula>
    </cfRule>
  </conditionalFormatting>
  <conditionalFormatting sqref="J37">
    <cfRule type="cellIs" dxfId="42" priority="3" operator="greaterThan">
      <formula>0</formula>
    </cfRule>
    <cfRule type="cellIs" dxfId="41" priority="4" operator="lessThan">
      <formula>0</formula>
    </cfRule>
  </conditionalFormatting>
  <conditionalFormatting sqref="J38">
    <cfRule type="cellIs" dxfId="40" priority="1" operator="greaterThan">
      <formula>0</formula>
    </cfRule>
    <cfRule type="cellIs" dxfId="39" priority="2" operator="lessThan">
      <formula>0</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58"/>
  <sheetViews>
    <sheetView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9" ht="19.5" x14ac:dyDescent="0.4">
      <c r="A1" s="119" t="s">
        <v>47</v>
      </c>
      <c r="B1" s="118"/>
      <c r="C1" s="118"/>
      <c r="D1" s="118"/>
    </row>
    <row r="2" spans="1:9" ht="19.5" x14ac:dyDescent="0.4">
      <c r="A2" s="553" t="s">
        <v>46</v>
      </c>
      <c r="B2" s="553"/>
      <c r="C2" s="553"/>
      <c r="D2" s="553"/>
      <c r="E2" s="554" t="s">
        <v>292</v>
      </c>
      <c r="F2" s="543"/>
      <c r="G2" s="543"/>
      <c r="H2" s="543"/>
      <c r="I2" s="543"/>
    </row>
    <row r="3" spans="1:9" ht="12" customHeight="1" x14ac:dyDescent="0.4">
      <c r="A3" s="455"/>
      <c r="B3" s="455"/>
      <c r="C3" s="455"/>
      <c r="D3" s="455"/>
      <c r="E3" s="546" t="s">
        <v>44</v>
      </c>
      <c r="F3" s="546"/>
      <c r="G3" s="546"/>
      <c r="H3" s="546"/>
      <c r="I3" s="546"/>
    </row>
    <row r="4" spans="1:9" ht="15.75" x14ac:dyDescent="0.25">
      <c r="A4" s="115" t="s">
        <v>45</v>
      </c>
      <c r="E4" s="555" t="s">
        <v>293</v>
      </c>
      <c r="F4" s="555"/>
      <c r="G4" s="555"/>
      <c r="H4" s="555"/>
      <c r="I4" s="555"/>
    </row>
    <row r="5" spans="1:9" ht="9" customHeight="1" x14ac:dyDescent="0.25">
      <c r="A5" s="115"/>
      <c r="E5" s="546" t="s">
        <v>44</v>
      </c>
      <c r="F5" s="546"/>
      <c r="G5" s="546"/>
      <c r="H5" s="546"/>
      <c r="I5" s="546"/>
    </row>
    <row r="6" spans="1:9" ht="19.5" x14ac:dyDescent="0.4">
      <c r="A6" s="113" t="s">
        <v>43</v>
      </c>
      <c r="E6" s="543" t="s">
        <v>294</v>
      </c>
      <c r="F6" s="543"/>
      <c r="G6" s="543"/>
      <c r="H6" s="113" t="s">
        <v>42</v>
      </c>
      <c r="I6" s="111" t="s">
        <v>291</v>
      </c>
    </row>
    <row r="7" spans="1:9" ht="9.75" customHeight="1" x14ac:dyDescent="0.4">
      <c r="A7" s="113"/>
      <c r="E7" s="546" t="s">
        <v>41</v>
      </c>
      <c r="F7" s="546"/>
      <c r="G7" s="546"/>
      <c r="H7" s="546"/>
      <c r="I7" s="546"/>
    </row>
    <row r="8" spans="1:9" ht="19.5" x14ac:dyDescent="0.4">
      <c r="A8" s="113"/>
      <c r="E8" s="111"/>
      <c r="F8" s="111"/>
      <c r="G8" s="111"/>
      <c r="H8" s="112"/>
      <c r="I8" s="111"/>
    </row>
    <row r="9" spans="1:9" ht="19.5" x14ac:dyDescent="0.4">
      <c r="A9" s="113"/>
      <c r="E9" s="111"/>
      <c r="F9" s="111"/>
      <c r="G9" s="111"/>
      <c r="H9" s="112"/>
      <c r="I9" s="111"/>
    </row>
    <row r="11" spans="1:9" ht="18.75" x14ac:dyDescent="0.4">
      <c r="A11" s="110"/>
      <c r="B11" s="94"/>
      <c r="C11" s="94"/>
      <c r="D11" s="94"/>
      <c r="E11" s="104" t="s">
        <v>40</v>
      </c>
      <c r="F11" s="104" t="s">
        <v>39</v>
      </c>
      <c r="G11" s="107" t="s">
        <v>20</v>
      </c>
      <c r="H11" s="109" t="s">
        <v>38</v>
      </c>
      <c r="I11" s="108"/>
    </row>
    <row r="12" spans="1:9" ht="18.75" x14ac:dyDescent="0.4">
      <c r="A12" s="66"/>
      <c r="B12" s="66"/>
      <c r="C12" s="66"/>
      <c r="D12" s="66"/>
      <c r="E12" s="104" t="s">
        <v>37</v>
      </c>
      <c r="F12" s="104" t="s">
        <v>37</v>
      </c>
      <c r="G12" s="107" t="s">
        <v>36</v>
      </c>
      <c r="H12" s="106" t="s">
        <v>35</v>
      </c>
      <c r="I12" s="105" t="s">
        <v>34</v>
      </c>
    </row>
    <row r="13" spans="1:9" ht="15" x14ac:dyDescent="0.2">
      <c r="A13" s="66"/>
      <c r="B13" s="66"/>
      <c r="C13" s="66"/>
      <c r="D13" s="66"/>
      <c r="E13" s="104" t="s">
        <v>0</v>
      </c>
      <c r="F13" s="104" t="s">
        <v>0</v>
      </c>
      <c r="G13" s="103"/>
      <c r="H13" s="547" t="s">
        <v>33</v>
      </c>
      <c r="I13" s="548"/>
    </row>
    <row r="14" spans="1:9" ht="15" x14ac:dyDescent="0.2">
      <c r="A14" s="66"/>
      <c r="B14" s="66"/>
      <c r="C14" s="66"/>
      <c r="D14" s="66"/>
      <c r="E14" s="104"/>
      <c r="F14" s="104"/>
      <c r="G14" s="103"/>
      <c r="H14" s="456"/>
      <c r="I14" s="457"/>
    </row>
    <row r="15" spans="1:9" ht="18.75" x14ac:dyDescent="0.4">
      <c r="A15" s="71" t="s">
        <v>32</v>
      </c>
      <c r="B15" s="71"/>
      <c r="C15" s="99"/>
      <c r="D15" s="98"/>
      <c r="E15" s="100"/>
      <c r="F15" s="100"/>
      <c r="G15" s="82"/>
      <c r="H15" s="66"/>
      <c r="I15" s="66"/>
    </row>
    <row r="16" spans="1:9" ht="19.5" x14ac:dyDescent="0.4">
      <c r="A16" s="85" t="s">
        <v>31</v>
      </c>
      <c r="B16" s="71"/>
      <c r="C16" s="99"/>
      <c r="D16" s="98"/>
      <c r="E16" s="78">
        <v>50070000</v>
      </c>
      <c r="F16" s="93">
        <v>51913332</v>
      </c>
      <c r="G16" s="90">
        <f>H16+I16</f>
        <v>51850198.659999989</v>
      </c>
      <c r="H16" s="78">
        <v>51850198.659999989</v>
      </c>
      <c r="I16" s="78">
        <v>0</v>
      </c>
    </row>
    <row r="17" spans="1:9" ht="14.25" x14ac:dyDescent="0.3">
      <c r="A17" s="97"/>
      <c r="B17" s="96"/>
      <c r="C17" s="96"/>
      <c r="D17" s="96"/>
      <c r="E17" s="95"/>
      <c r="F17" s="94"/>
    </row>
    <row r="18" spans="1:9" ht="19.5" x14ac:dyDescent="0.4">
      <c r="A18" s="85" t="s">
        <v>30</v>
      </c>
      <c r="B18" s="83"/>
      <c r="C18" s="83"/>
      <c r="D18" s="83"/>
      <c r="E18" s="78">
        <v>45109000</v>
      </c>
      <c r="F18" s="93">
        <v>51913332</v>
      </c>
      <c r="G18" s="90">
        <f>H18+I18</f>
        <v>51889812.819999993</v>
      </c>
      <c r="H18" s="78">
        <v>51889812.819999993</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39614.160000000003</v>
      </c>
      <c r="H24" s="75">
        <f>H18-H16</f>
        <v>39614.160000003874</v>
      </c>
      <c r="I24" s="75">
        <f>I18-I164</f>
        <v>0</v>
      </c>
    </row>
    <row r="26" spans="1:9" x14ac:dyDescent="0.2">
      <c r="H26" s="66"/>
    </row>
    <row r="28" spans="1:9" ht="19.5" x14ac:dyDescent="0.4">
      <c r="A28" s="43" t="s">
        <v>28</v>
      </c>
      <c r="B28" s="43" t="s">
        <v>27</v>
      </c>
      <c r="C28" s="43"/>
      <c r="D28" s="65"/>
      <c r="E28" s="65"/>
      <c r="F28" s="4"/>
      <c r="G28" s="460">
        <f>ROUND(G29+G30+G31,2)</f>
        <v>39614.160000000003</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39614.160000003874</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9" x14ac:dyDescent="0.2">
      <c r="A33" s="545"/>
      <c r="B33" s="545"/>
      <c r="C33" s="545"/>
      <c r="D33" s="545"/>
      <c r="E33" s="545"/>
      <c r="F33" s="545"/>
      <c r="G33" s="545"/>
      <c r="H33" s="545"/>
      <c r="I33" s="545"/>
    </row>
    <row r="34" spans="1:9" x14ac:dyDescent="0.2">
      <c r="A34" s="545"/>
      <c r="B34" s="545"/>
      <c r="C34" s="545"/>
      <c r="D34" s="545"/>
      <c r="E34" s="545"/>
      <c r="F34" s="545"/>
      <c r="G34" s="545"/>
      <c r="H34" s="545"/>
      <c r="I34" s="545"/>
    </row>
    <row r="35" spans="1:9" ht="19.5" x14ac:dyDescent="0.4">
      <c r="A35" s="43" t="s">
        <v>23</v>
      </c>
      <c r="B35" s="43" t="s">
        <v>22</v>
      </c>
      <c r="C35" s="43"/>
      <c r="D35" s="63"/>
      <c r="E35" s="5"/>
      <c r="F35" s="65"/>
      <c r="G35" s="64"/>
      <c r="H35" s="4"/>
      <c r="I35" s="4"/>
    </row>
    <row r="36" spans="1:9" ht="18.75" x14ac:dyDescent="0.4">
      <c r="A36" s="43"/>
      <c r="B36" s="43"/>
      <c r="C36" s="43"/>
      <c r="D36" s="63"/>
      <c r="F36" s="9" t="s">
        <v>21</v>
      </c>
      <c r="G36" s="62" t="s">
        <v>20</v>
      </c>
      <c r="H36" s="4"/>
      <c r="I36" s="61" t="s">
        <v>19</v>
      </c>
    </row>
    <row r="37" spans="1:9" ht="16.5" x14ac:dyDescent="0.35">
      <c r="A37" s="59" t="s">
        <v>18</v>
      </c>
      <c r="B37" s="58"/>
      <c r="C37" s="57"/>
      <c r="D37" s="58"/>
      <c r="E37" s="5"/>
      <c r="F37" s="56">
        <f>25642332-180000</f>
        <v>25462332</v>
      </c>
      <c r="G37" s="56">
        <f>25610247-225474</f>
        <v>25384773</v>
      </c>
      <c r="H37" s="55"/>
      <c r="I37" s="54">
        <f>IF(F37=0,"nerozp.",G37/F37)</f>
        <v>0.99695397106596517</v>
      </c>
    </row>
    <row r="38" spans="1:9" ht="16.5" x14ac:dyDescent="0.35">
      <c r="A38" s="59" t="s">
        <v>17</v>
      </c>
      <c r="B38" s="58"/>
      <c r="C38" s="57"/>
      <c r="D38" s="60"/>
      <c r="E38" s="60"/>
      <c r="F38" s="56">
        <v>2481000</v>
      </c>
      <c r="G38" s="56">
        <v>2483711</v>
      </c>
      <c r="H38" s="55"/>
      <c r="I38" s="54">
        <f>IF(F38=0,"nerozp.",G38/F38)</f>
        <v>1.001092704554615</v>
      </c>
    </row>
    <row r="39" spans="1:9" ht="16.5" x14ac:dyDescent="0.35">
      <c r="A39" s="59" t="s">
        <v>16</v>
      </c>
      <c r="B39" s="58"/>
      <c r="C39" s="57"/>
      <c r="D39" s="60"/>
      <c r="E39" s="60"/>
      <c r="F39" s="56">
        <v>0</v>
      </c>
      <c r="G39" s="56">
        <v>0</v>
      </c>
      <c r="H39" s="55"/>
      <c r="I39" s="54" t="str">
        <f>IF(F39=0,"nerozp.",G39/F39)</f>
        <v>nerozp.</v>
      </c>
    </row>
    <row r="40" spans="1:9" ht="16.5" x14ac:dyDescent="0.35">
      <c r="A40" s="59" t="s">
        <v>15</v>
      </c>
      <c r="B40" s="58"/>
      <c r="C40" s="57"/>
      <c r="D40" s="5"/>
      <c r="E40" s="5"/>
      <c r="F40" s="56">
        <v>2116000</v>
      </c>
      <c r="G40" s="56">
        <v>2116000</v>
      </c>
      <c r="H40" s="55"/>
      <c r="I40" s="54">
        <f>IF(F40=0,"nerozp.",G40/F40)</f>
        <v>1</v>
      </c>
    </row>
    <row r="41" spans="1:9" ht="16.5" x14ac:dyDescent="0.35">
      <c r="A41" s="59" t="s">
        <v>14</v>
      </c>
      <c r="B41" s="58"/>
      <c r="C41" s="57"/>
      <c r="D41" s="5"/>
      <c r="E41" s="5"/>
      <c r="F41" s="56">
        <v>0</v>
      </c>
      <c r="G41" s="56">
        <v>0</v>
      </c>
      <c r="H41" s="55"/>
      <c r="I41" s="54" t="str">
        <f>IF(F41=0,"nerozp.",G41/F41)</f>
        <v>nerozp.</v>
      </c>
    </row>
    <row r="42" spans="1:9" ht="14.25" x14ac:dyDescent="0.2">
      <c r="A42" s="53" t="s">
        <v>13</v>
      </c>
      <c r="B42" s="52" t="s">
        <v>339</v>
      </c>
      <c r="C42" s="51"/>
      <c r="D42" s="47"/>
      <c r="E42" s="47"/>
      <c r="F42" s="46"/>
      <c r="G42" s="46"/>
      <c r="H42" s="45"/>
      <c r="I42" s="44"/>
    </row>
    <row r="43" spans="1:9" ht="28.5" customHeight="1" x14ac:dyDescent="0.2">
      <c r="A43" s="50"/>
      <c r="B43" s="551" t="s">
        <v>340</v>
      </c>
      <c r="C43" s="552"/>
      <c r="D43" s="552"/>
      <c r="E43" s="552"/>
      <c r="F43" s="552"/>
      <c r="G43" s="552"/>
      <c r="H43" s="552"/>
      <c r="I43" s="552"/>
    </row>
    <row r="44" spans="1:9" ht="16.5" x14ac:dyDescent="0.35">
      <c r="A44" s="50"/>
      <c r="B44" s="49"/>
      <c r="C44" s="48"/>
      <c r="D44" s="47"/>
      <c r="E44" s="47"/>
      <c r="F44" s="46"/>
      <c r="G44" s="46"/>
      <c r="H44" s="45"/>
      <c r="I44" s="44"/>
    </row>
    <row r="45" spans="1:9" ht="19.5" thickBot="1" x14ac:dyDescent="0.45">
      <c r="A45" s="43" t="s">
        <v>12</v>
      </c>
      <c r="B45" s="43" t="s">
        <v>11</v>
      </c>
      <c r="C45" s="42"/>
      <c r="D45" s="5"/>
      <c r="E45" s="5"/>
      <c r="F45" s="4"/>
      <c r="G45" s="10"/>
      <c r="H45" s="549" t="s">
        <v>10</v>
      </c>
      <c r="I45" s="550"/>
    </row>
    <row r="46" spans="1:9" ht="18.75" thickTop="1" x14ac:dyDescent="0.35">
      <c r="A46" s="41"/>
      <c r="B46" s="39"/>
      <c r="C46" s="40"/>
      <c r="D46" s="39"/>
      <c r="E46" s="38" t="s">
        <v>9</v>
      </c>
      <c r="F46" s="37" t="s">
        <v>8</v>
      </c>
      <c r="G46" s="37" t="s">
        <v>7</v>
      </c>
      <c r="H46" s="36" t="s">
        <v>6</v>
      </c>
      <c r="I46" s="35" t="s">
        <v>5</v>
      </c>
    </row>
    <row r="47" spans="1:9" x14ac:dyDescent="0.2">
      <c r="A47" s="31"/>
      <c r="B47" s="4"/>
      <c r="C47" s="4"/>
      <c r="D47" s="4"/>
      <c r="E47" s="31"/>
      <c r="F47" s="542"/>
      <c r="G47" s="34"/>
      <c r="H47" s="33">
        <v>41274</v>
      </c>
      <c r="I47" s="32">
        <v>41274</v>
      </c>
    </row>
    <row r="48" spans="1:9"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39507</v>
      </c>
      <c r="F50" s="22">
        <v>0</v>
      </c>
      <c r="G50" s="21">
        <v>0</v>
      </c>
      <c r="H50" s="21">
        <f>E50+F50-G50</f>
        <v>39507</v>
      </c>
      <c r="I50" s="20">
        <v>39507</v>
      </c>
    </row>
    <row r="51" spans="1:9" x14ac:dyDescent="0.2">
      <c r="A51" s="19"/>
      <c r="B51" s="18"/>
      <c r="C51" s="18" t="s">
        <v>3</v>
      </c>
      <c r="D51" s="18"/>
      <c r="E51" s="464">
        <v>56560.74</v>
      </c>
      <c r="F51" s="17">
        <v>252466</v>
      </c>
      <c r="G51" s="16">
        <v>282554</v>
      </c>
      <c r="H51" s="16">
        <f>E51+F51-G51</f>
        <v>26472.739999999991</v>
      </c>
      <c r="I51" s="15">
        <v>43277.120000000003</v>
      </c>
    </row>
    <row r="52" spans="1:9" x14ac:dyDescent="0.2">
      <c r="A52" s="19"/>
      <c r="B52" s="18"/>
      <c r="C52" s="18" t="s">
        <v>2</v>
      </c>
      <c r="D52" s="18"/>
      <c r="E52" s="464">
        <v>432841.77</v>
      </c>
      <c r="F52" s="17">
        <v>49709.570000000058</v>
      </c>
      <c r="G52" s="16">
        <v>408268.47</v>
      </c>
      <c r="H52" s="16">
        <f>E52+F52-G52</f>
        <v>74282.870000000112</v>
      </c>
      <c r="I52" s="15">
        <v>74282.87</v>
      </c>
    </row>
    <row r="53" spans="1:9" x14ac:dyDescent="0.2">
      <c r="A53" s="19"/>
      <c r="B53" s="18"/>
      <c r="C53" s="18" t="s">
        <v>1</v>
      </c>
      <c r="D53" s="18"/>
      <c r="E53" s="464">
        <v>21821.21</v>
      </c>
      <c r="F53" s="17">
        <v>4550813</v>
      </c>
      <c r="G53" s="16">
        <v>4551566.7</v>
      </c>
      <c r="H53" s="16">
        <f>E53+F53-G53</f>
        <v>21067.509999999776</v>
      </c>
      <c r="I53" s="15">
        <v>21067.51</v>
      </c>
    </row>
    <row r="54" spans="1:9" ht="18.75" thickBot="1" x14ac:dyDescent="0.4">
      <c r="A54" s="14" t="s">
        <v>0</v>
      </c>
      <c r="B54" s="13"/>
      <c r="C54" s="13"/>
      <c r="D54" s="13"/>
      <c r="E54" s="465">
        <f>SUM(E50:E53)</f>
        <v>550730.72</v>
      </c>
      <c r="F54" s="12">
        <f>SUM(F50:F53)</f>
        <v>4852988.57</v>
      </c>
      <c r="G54" s="12">
        <f>SUM(G50:G53)</f>
        <v>5242389.17</v>
      </c>
      <c r="H54" s="12">
        <f>SUM(H50:H53)</f>
        <v>161330.11999999988</v>
      </c>
      <c r="I54" s="11">
        <f>SUM(I50:I53)</f>
        <v>178134.5</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F47:F48"/>
    <mergeCell ref="E6:G6"/>
    <mergeCell ref="A32:I34"/>
    <mergeCell ref="E7:I7"/>
    <mergeCell ref="H13:I13"/>
    <mergeCell ref="H45:I45"/>
    <mergeCell ref="B43:I43"/>
    <mergeCell ref="A2:D2"/>
    <mergeCell ref="E3:I3"/>
    <mergeCell ref="E2:I2"/>
    <mergeCell ref="E5:I5"/>
    <mergeCell ref="E4:I4"/>
  </mergeCells>
  <conditionalFormatting sqref="I42 I44">
    <cfRule type="cellIs" dxfId="38" priority="9" stopIfTrue="1" operator="greaterThan">
      <formula>1</formula>
    </cfRule>
  </conditionalFormatting>
  <conditionalFormatting sqref="H50:H53">
    <cfRule type="cellIs" dxfId="37" priority="13" stopIfTrue="1" operator="notEqual">
      <formula>E50+F50-G50</formula>
    </cfRule>
  </conditionalFormatting>
  <conditionalFormatting sqref="I54">
    <cfRule type="cellIs" dxfId="36" priority="14" stopIfTrue="1" operator="notEqual">
      <formula>$I$50+$I$51+$I$52+$I$53</formula>
    </cfRule>
  </conditionalFormatting>
  <conditionalFormatting sqref="H54">
    <cfRule type="cellIs" dxfId="35" priority="15" stopIfTrue="1" operator="notEqual">
      <formula>E54+F54-G54</formula>
    </cfRule>
    <cfRule type="cellIs" dxfId="34" priority="16" stopIfTrue="1" operator="notEqual">
      <formula>SUM($H$50:$H$53)</formula>
    </cfRule>
  </conditionalFormatting>
  <conditionalFormatting sqref="G18 G16">
    <cfRule type="cellIs" dxfId="33" priority="17" stopIfTrue="1" operator="notEqual">
      <formula>H16+I16</formula>
    </cfRule>
  </conditionalFormatting>
  <conditionalFormatting sqref="G24">
    <cfRule type="cellIs" dxfId="32" priority="18" stopIfTrue="1" operator="notEqual">
      <formula>ROUND(H24+I24,2)</formula>
    </cfRule>
  </conditionalFormatting>
  <conditionalFormatting sqref="H24">
    <cfRule type="cellIs" dxfId="31" priority="19" stopIfTrue="1" operator="notEqual">
      <formula>$H$18-$H$16</formula>
    </cfRule>
  </conditionalFormatting>
  <conditionalFormatting sqref="I24">
    <cfRule type="cellIs" dxfId="30" priority="20" stopIfTrue="1" operator="notEqual">
      <formula>I18-I16</formula>
    </cfRule>
  </conditionalFormatting>
  <conditionalFormatting sqref="G23">
    <cfRule type="cellIs" dxfId="29" priority="7" stopIfTrue="1" operator="notEqual">
      <formula>ROUND(H23+I23,2)</formula>
    </cfRule>
  </conditionalFormatting>
  <conditionalFormatting sqref="G28">
    <cfRule type="cellIs" dxfId="28" priority="5" operator="notEqual">
      <formula>ROUND($G$24,2)</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K58"/>
  <sheetViews>
    <sheetView topLeftCell="A25" zoomScaleNormal="100" workbookViewId="0">
      <selection activeCell="M24" sqref="M2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
  </cols>
  <sheetData>
    <row r="1" spans="1:11" ht="19.5" x14ac:dyDescent="0.4">
      <c r="A1" s="119" t="s">
        <v>47</v>
      </c>
      <c r="B1" s="118"/>
      <c r="C1" s="118"/>
      <c r="D1" s="118"/>
    </row>
    <row r="2" spans="1:11" ht="19.5" x14ac:dyDescent="0.4">
      <c r="A2" s="553" t="s">
        <v>46</v>
      </c>
      <c r="B2" s="553"/>
      <c r="C2" s="553"/>
      <c r="D2" s="553"/>
      <c r="E2" s="554" t="s">
        <v>58</v>
      </c>
      <c r="F2" s="585"/>
      <c r="G2" s="585"/>
      <c r="H2" s="585"/>
      <c r="I2" s="585"/>
      <c r="J2" s="116"/>
      <c r="K2" s="116"/>
    </row>
    <row r="3" spans="1:11" ht="12" customHeight="1" x14ac:dyDescent="0.4">
      <c r="A3" s="117"/>
      <c r="B3" s="117"/>
      <c r="C3" s="117"/>
      <c r="D3" s="117"/>
      <c r="E3" s="546" t="s">
        <v>44</v>
      </c>
      <c r="F3" s="546"/>
      <c r="G3" s="546"/>
      <c r="H3" s="546"/>
      <c r="I3" s="546"/>
    </row>
    <row r="4" spans="1:11" ht="15.75" x14ac:dyDescent="0.25">
      <c r="A4" s="115"/>
      <c r="E4" s="586"/>
      <c r="F4" s="586"/>
      <c r="G4" s="586"/>
      <c r="H4" s="586"/>
      <c r="I4" s="586"/>
    </row>
    <row r="5" spans="1:11" ht="9" customHeight="1" x14ac:dyDescent="0.25">
      <c r="A5" s="115"/>
      <c r="E5" s="546"/>
      <c r="F5" s="546"/>
      <c r="G5" s="546"/>
      <c r="H5" s="546"/>
      <c r="I5" s="546"/>
    </row>
    <row r="6" spans="1:11" ht="19.5" hidden="1" x14ac:dyDescent="0.4">
      <c r="A6" s="113"/>
      <c r="E6" s="585"/>
      <c r="F6" s="585"/>
      <c r="G6" s="585"/>
      <c r="H6" s="113"/>
      <c r="I6" s="114"/>
    </row>
    <row r="7" spans="1:11" ht="9.75" hidden="1" customHeight="1" x14ac:dyDescent="0.4">
      <c r="A7" s="113"/>
      <c r="E7" s="546"/>
      <c r="F7" s="546"/>
      <c r="G7" s="546"/>
      <c r="H7" s="546"/>
      <c r="I7" s="546"/>
    </row>
    <row r="8" spans="1:11" ht="19.5" hidden="1" x14ac:dyDescent="0.4">
      <c r="A8" s="113"/>
      <c r="E8" s="111"/>
      <c r="F8" s="111"/>
      <c r="G8" s="111"/>
      <c r="H8" s="112"/>
      <c r="I8" s="111"/>
    </row>
    <row r="9" spans="1:11" ht="19.5" hidden="1"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102"/>
      <c r="I14" s="101"/>
    </row>
    <row r="15" spans="1:11" ht="18.75" x14ac:dyDescent="0.4">
      <c r="A15" s="71" t="s">
        <v>32</v>
      </c>
      <c r="B15" s="71"/>
      <c r="C15" s="99"/>
      <c r="D15" s="98"/>
      <c r="E15" s="100"/>
      <c r="F15" s="100"/>
      <c r="G15" s="82"/>
      <c r="H15" s="66"/>
      <c r="I15" s="66"/>
    </row>
    <row r="16" spans="1:11" ht="19.5" x14ac:dyDescent="0.4">
      <c r="A16" s="85" t="s">
        <v>31</v>
      </c>
      <c r="B16" s="71"/>
      <c r="C16" s="99"/>
      <c r="D16" s="98"/>
      <c r="E16" s="404">
        <f>SUM('1. DD Javorník:32. Domov Na Zámečku Rokytnice'!E16)</f>
        <v>1122154000</v>
      </c>
      <c r="F16" s="404">
        <f>SUM('1. DD Javorník:32. Domov Na Zámečku Rokytnice'!F16)</f>
        <v>1117519189.05</v>
      </c>
      <c r="G16" s="437">
        <f>SUM('1. DD Javorník:32. Domov Na Zámečku Rokytnice'!G16)</f>
        <v>1120010480.8</v>
      </c>
      <c r="H16" s="438">
        <f>SUM('1. DD Javorník:32. Domov Na Zámečku Rokytnice'!H16)</f>
        <v>1120010480.8</v>
      </c>
      <c r="I16" s="438">
        <f>SUM('1. DD Javorník:32. Domov Na Zámečku Rokytnice'!I16)</f>
        <v>0</v>
      </c>
    </row>
    <row r="17" spans="1:9" ht="14.25" x14ac:dyDescent="0.3">
      <c r="A17" s="97"/>
      <c r="B17" s="96"/>
      <c r="C17" s="96"/>
      <c r="D17" s="96"/>
      <c r="E17" s="95"/>
      <c r="F17" s="404"/>
      <c r="G17" s="437"/>
      <c r="H17" s="438"/>
      <c r="I17" s="438"/>
    </row>
    <row r="18" spans="1:9" ht="19.5" x14ac:dyDescent="0.4">
      <c r="A18" s="85" t="s">
        <v>30</v>
      </c>
      <c r="B18" s="83"/>
      <c r="C18" s="83"/>
      <c r="D18" s="83"/>
      <c r="E18" s="404">
        <f>SUM('1. DD Javorník:32. Domov Na Zámečku Rokytnice'!E18)</f>
        <v>1020539000</v>
      </c>
      <c r="F18" s="404">
        <f>SUM('1. DD Javorník:32. Domov Na Zámečku Rokytnice'!F18)</f>
        <v>1114077520.9299998</v>
      </c>
      <c r="G18" s="437">
        <f>SUM('1. DD Javorník:32. Domov Na Zámečku Rokytnice'!G18)</f>
        <v>1122030783.27</v>
      </c>
      <c r="H18" s="438">
        <f>SUM('1. DD Javorník:32. Domov Na Zámečku Rokytnice'!H18)</f>
        <v>1122030783.27</v>
      </c>
      <c r="I18" s="438">
        <f>SUM('1. DD Javorník:32. Domov Na Zámečku Rokytnice'!I18)</f>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440">
        <f>SUM('1. DD Javorník:32. Domov Na Zámečku Rokytnice'!G22)</f>
        <v>0</v>
      </c>
      <c r="H22" s="438">
        <f>SUM('1. DD Javorník:32. Domov Na Zámečku Rokytnice'!H22)</f>
        <v>0</v>
      </c>
      <c r="I22" s="438">
        <f>SUM('1. DD Javorník:32. Domov Na Zámečku Rokytnice'!I22)</f>
        <v>0</v>
      </c>
    </row>
    <row r="23" spans="1:9" ht="18" x14ac:dyDescent="0.25">
      <c r="A23" s="82"/>
      <c r="B23" s="80"/>
      <c r="C23" s="81"/>
      <c r="D23" s="80"/>
      <c r="E23" s="80"/>
      <c r="F23" s="80"/>
      <c r="G23" s="440"/>
      <c r="H23" s="438"/>
      <c r="I23" s="438"/>
    </row>
    <row r="24" spans="1:9" ht="22.5" x14ac:dyDescent="0.45">
      <c r="A24" s="76" t="s">
        <v>29</v>
      </c>
      <c r="B24" s="76"/>
      <c r="C24" s="77"/>
      <c r="D24" s="76"/>
      <c r="E24" s="76"/>
      <c r="F24" s="76"/>
      <c r="G24" s="439">
        <f>SUM('1. DD Javorník:32. Domov Na Zámečku Rokytnice'!G24)</f>
        <v>2020302.4699999995</v>
      </c>
      <c r="H24" s="439">
        <f>SUM('1. DD Javorník:32. Domov Na Zámečku Rokytnice'!H24)</f>
        <v>2020302.4699999751</v>
      </c>
      <c r="I24" s="439">
        <f>SUM('1. DD Javorník:32. Domov Na Zámečku Rokytnice'!I24)</f>
        <v>0</v>
      </c>
    </row>
    <row r="26" spans="1:9" x14ac:dyDescent="0.2">
      <c r="H26" s="66"/>
    </row>
    <row r="28" spans="1:9" ht="18.75" x14ac:dyDescent="0.4">
      <c r="A28" s="43" t="s">
        <v>28</v>
      </c>
      <c r="B28" s="43" t="s">
        <v>27</v>
      </c>
      <c r="C28" s="43"/>
      <c r="D28" s="65"/>
      <c r="E28" s="65"/>
      <c r="F28" s="4"/>
      <c r="G28" s="439">
        <f>SUM('1. DD Javorník:32. Domov Na Zámečku Rokytnice'!G28)</f>
        <v>2020302.4699999995</v>
      </c>
      <c r="H28" s="405">
        <f>G29+G30+G31</f>
        <v>2020302.4700000035</v>
      </c>
      <c r="I28" s="4"/>
    </row>
    <row r="29" spans="1:9" ht="18.75" x14ac:dyDescent="0.4">
      <c r="A29" s="71"/>
      <c r="B29" s="71"/>
      <c r="C29" s="70" t="s">
        <v>26</v>
      </c>
      <c r="D29" s="69"/>
      <c r="E29" s="68"/>
      <c r="F29" s="66" t="s">
        <v>4</v>
      </c>
      <c r="G29" s="78">
        <f>SUM('1. DD Javorník:32. Domov Na Zámečku Rokytnice'!G29)</f>
        <v>0</v>
      </c>
      <c r="H29" s="55"/>
      <c r="I29" s="66"/>
    </row>
    <row r="30" spans="1:9" ht="18.75" x14ac:dyDescent="0.4">
      <c r="A30" s="71"/>
      <c r="B30" s="71"/>
      <c r="C30" s="70"/>
      <c r="D30" s="69"/>
      <c r="E30" s="68"/>
      <c r="F30" s="73" t="s">
        <v>2</v>
      </c>
      <c r="G30" s="78">
        <f>SUM('1. DD Javorník:32. Domov Na Zámečku Rokytnice'!G30)</f>
        <v>1958605.5100000035</v>
      </c>
      <c r="H30" s="55"/>
      <c r="I30" s="66"/>
    </row>
    <row r="31" spans="1:9" ht="18.75" x14ac:dyDescent="0.4">
      <c r="A31" s="71"/>
      <c r="B31" s="71"/>
      <c r="C31" s="70" t="s">
        <v>25</v>
      </c>
      <c r="D31" s="69"/>
      <c r="E31" s="68"/>
      <c r="F31" s="66" t="s">
        <v>24</v>
      </c>
      <c r="G31" s="78">
        <f>SUM('1. DD Javorník:32. Domov Na Zámečku Rokytnice'!G31)</f>
        <v>61696.959999999999</v>
      </c>
      <c r="H31" s="55"/>
      <c r="I31" s="66"/>
    </row>
    <row r="32" spans="1:9" x14ac:dyDescent="0.2">
      <c r="A32" s="583" t="s">
        <v>300</v>
      </c>
      <c r="B32" s="584"/>
      <c r="C32" s="584"/>
      <c r="D32" s="584"/>
      <c r="E32" s="584"/>
      <c r="F32" s="584"/>
      <c r="G32" s="584"/>
      <c r="H32" s="584"/>
      <c r="I32" s="584"/>
    </row>
    <row r="33" spans="1:11" x14ac:dyDescent="0.2">
      <c r="A33" s="584"/>
      <c r="B33" s="584"/>
      <c r="C33" s="584"/>
      <c r="D33" s="584"/>
      <c r="E33" s="584"/>
      <c r="F33" s="584"/>
      <c r="G33" s="584"/>
      <c r="H33" s="584"/>
      <c r="I33" s="584"/>
    </row>
    <row r="34" spans="1:11" x14ac:dyDescent="0.2">
      <c r="A34" s="584"/>
      <c r="B34" s="584"/>
      <c r="C34" s="584"/>
      <c r="D34" s="584"/>
      <c r="E34" s="584"/>
      <c r="F34" s="584"/>
      <c r="G34" s="584"/>
      <c r="H34" s="584"/>
      <c r="I34" s="584"/>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448">
        <f>SUM('1. DD Javorník:32. Domov Na Zámečku Rokytnice'!F37)</f>
        <v>565047285</v>
      </c>
      <c r="G37" s="448">
        <f>SUM('1. DD Javorník:32. Domov Na Zámečku Rokytnice'!G37)</f>
        <v>564485567</v>
      </c>
      <c r="H37" s="55"/>
      <c r="I37" s="54">
        <f>IF(F37=0,"nerozp.",G37/F37)</f>
        <v>0.99900589204671608</v>
      </c>
      <c r="J37" s="446">
        <f>G37-F37</f>
        <v>-561718</v>
      </c>
      <c r="K37" s="206" t="str">
        <f>IF(J37&gt;0,"překročen limit",IF(J37=0," ","nedočerpáno"))</f>
        <v>nedočerpáno</v>
      </c>
    </row>
    <row r="38" spans="1:11" ht="16.5" x14ac:dyDescent="0.35">
      <c r="A38" s="59" t="s">
        <v>17</v>
      </c>
      <c r="B38" s="58"/>
      <c r="C38" s="57"/>
      <c r="D38" s="60"/>
      <c r="E38" s="60"/>
      <c r="F38" s="448">
        <f>SUM('1. DD Javorník:32. Domov Na Zámečku Rokytnice'!F38)</f>
        <v>30676000</v>
      </c>
      <c r="G38" s="448">
        <f>SUM('1. DD Javorník:32. Domov Na Zámečku Rokytnice'!G38)</f>
        <v>30843058.41</v>
      </c>
      <c r="H38" s="55"/>
      <c r="I38" s="54">
        <f>IF(F38=0,"nerozp.",G38/F38)</f>
        <v>1.0054458994001825</v>
      </c>
      <c r="J38" s="447">
        <f>G38-F38</f>
        <v>167058.41000000015</v>
      </c>
      <c r="K38" s="206" t="str">
        <f>IF(J38&gt;0," vlast. prostř.",IF(J38=0," ","NEDOČERPÁNO"))</f>
        <v xml:space="preserve"> vlast. prostř.</v>
      </c>
    </row>
    <row r="39" spans="1:11" ht="16.5" x14ac:dyDescent="0.35">
      <c r="A39" s="59" t="s">
        <v>16</v>
      </c>
      <c r="B39" s="58"/>
      <c r="C39" s="57"/>
      <c r="D39" s="60"/>
      <c r="E39" s="60"/>
      <c r="F39" s="78">
        <f>SUM('1. DD Javorník:32. Domov Na Zámečku Rokytnice'!F39)</f>
        <v>0</v>
      </c>
      <c r="G39" s="78">
        <f>SUM('1. DD Javorník:32. Domov Na Zámečku Rokytnice'!G39)</f>
        <v>0</v>
      </c>
      <c r="H39" s="55"/>
      <c r="I39" s="54" t="str">
        <f>IF(F39=0,"nerozp.",G39/F39)</f>
        <v>nerozp.</v>
      </c>
    </row>
    <row r="40" spans="1:11" ht="16.5" x14ac:dyDescent="0.35">
      <c r="A40" s="59" t="s">
        <v>15</v>
      </c>
      <c r="B40" s="58"/>
      <c r="C40" s="57"/>
      <c r="D40" s="5"/>
      <c r="E40" s="5"/>
      <c r="F40" s="448">
        <f>SUM('1. DD Javorník:32. Domov Na Zámečku Rokytnice'!F40)</f>
        <v>23853000</v>
      </c>
      <c r="G40" s="448">
        <f>SUM('1. DD Javorník:32. Domov Na Zámečku Rokytnice'!G40)</f>
        <v>23853000</v>
      </c>
      <c r="H40" s="55"/>
      <c r="I40" s="54">
        <f>IF(F40=0,"nerozp.",G40/F40)</f>
        <v>1</v>
      </c>
    </row>
    <row r="41" spans="1:11" ht="16.5" x14ac:dyDescent="0.35">
      <c r="A41" s="59" t="s">
        <v>14</v>
      </c>
      <c r="B41" s="58"/>
      <c r="C41" s="57"/>
      <c r="D41" s="5"/>
      <c r="E41" s="5"/>
      <c r="F41" s="78">
        <f>SUM('1. DD Javorník:32. Domov Na Zámečku Rokytnice'!F41)</f>
        <v>0</v>
      </c>
      <c r="G41" s="78">
        <f>SUM('1. DD Javorník:32. Domov Na Zámečku Rokytnice'!G41)</f>
        <v>0</v>
      </c>
      <c r="H41" s="55"/>
      <c r="I41" s="54" t="str">
        <f>IF(F41=0,"nerozp.",G41/F41)</f>
        <v>nerozp.</v>
      </c>
    </row>
    <row r="42" spans="1:11" ht="14.25" x14ac:dyDescent="0.2">
      <c r="A42" s="53"/>
      <c r="B42" s="52"/>
      <c r="C42" s="51"/>
      <c r="D42" s="47"/>
      <c r="E42" s="47"/>
      <c r="F42" s="46"/>
      <c r="G42" s="46"/>
      <c r="H42" s="45"/>
      <c r="I42" s="44"/>
    </row>
    <row r="43" spans="1:11" ht="16.5" x14ac:dyDescent="0.35">
      <c r="A43" s="50"/>
      <c r="B43" s="49"/>
      <c r="C43" s="48"/>
      <c r="D43" s="47"/>
      <c r="E43" s="47"/>
      <c r="F43" s="46"/>
      <c r="G43" s="46"/>
      <c r="H43" s="45"/>
      <c r="I43" s="44"/>
    </row>
    <row r="44" spans="1:11" ht="16.5"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41">
        <f>SUM('1. DD Javorník:32. Domov Na Zámečku Rokytnice'!E50)</f>
        <v>1342092.55</v>
      </c>
      <c r="F50" s="406">
        <f>SUM('1. DD Javorník:32. Domov Na Zámečku Rokytnice'!F50)</f>
        <v>0</v>
      </c>
      <c r="G50" s="406">
        <f>SUM('1. DD Javorník:32. Domov Na Zámečku Rokytnice'!G50)</f>
        <v>2153</v>
      </c>
      <c r="H50" s="442">
        <f>SUM('1. DD Javorník:32. Domov Na Zámečku Rokytnice'!H50)</f>
        <v>1339939.55</v>
      </c>
      <c r="I50" s="407">
        <f>SUM('1. DD Javorník:32. Domov Na Zámečku Rokytnice'!I50)</f>
        <v>1339939.55</v>
      </c>
    </row>
    <row r="51" spans="1:9" x14ac:dyDescent="0.2">
      <c r="A51" s="19"/>
      <c r="B51" s="18"/>
      <c r="C51" s="18" t="s">
        <v>3</v>
      </c>
      <c r="D51" s="18"/>
      <c r="E51" s="443">
        <f>SUM('1. DD Javorník:32. Domov Na Zámečku Rokytnice'!E51)</f>
        <v>5960195.9400000013</v>
      </c>
      <c r="F51" s="408">
        <f>SUM('1. DD Javorník:32. Domov Na Zámečku Rokytnice'!F51)</f>
        <v>5825581.3300000001</v>
      </c>
      <c r="G51" s="408">
        <f>SUM('1. DD Javorník:32. Domov Na Zámečku Rokytnice'!G51)</f>
        <v>7054932.3500000006</v>
      </c>
      <c r="H51" s="444">
        <f>SUM('1. DD Javorník:32. Domov Na Zámečku Rokytnice'!H51)</f>
        <v>4730844.92</v>
      </c>
      <c r="I51" s="452">
        <f>SUM('1. DD Javorník:32. Domov Na Zámečku Rokytnice'!I51)</f>
        <v>3834933.2600000002</v>
      </c>
    </row>
    <row r="52" spans="1:9" x14ac:dyDescent="0.2">
      <c r="A52" s="19"/>
      <c r="B52" s="18"/>
      <c r="C52" s="18" t="s">
        <v>2</v>
      </c>
      <c r="D52" s="18"/>
      <c r="E52" s="443">
        <f>SUM('1. DD Javorník:32. Domov Na Zámečku Rokytnice'!E52)</f>
        <v>6936979.709999999</v>
      </c>
      <c r="F52" s="408">
        <f>SUM('1. DD Javorník:32. Domov Na Zámečku Rokytnice'!F52)</f>
        <v>2787026.5800000005</v>
      </c>
      <c r="G52" s="408">
        <f>SUM('1. DD Javorník:32. Domov Na Zámečku Rokytnice'!G52)</f>
        <v>2505940.2000000002</v>
      </c>
      <c r="H52" s="444">
        <f>SUM('1. DD Javorník:32. Domov Na Zámečku Rokytnice'!H52)</f>
        <v>7218066.0899999999</v>
      </c>
      <c r="I52" s="409">
        <f>SUM('1. DD Javorník:32. Domov Na Zámečku Rokytnice'!I52)</f>
        <v>7218907.0899999999</v>
      </c>
    </row>
    <row r="53" spans="1:9" x14ac:dyDescent="0.2">
      <c r="A53" s="19"/>
      <c r="B53" s="18"/>
      <c r="C53" s="18" t="s">
        <v>1</v>
      </c>
      <c r="D53" s="18"/>
      <c r="E53" s="443">
        <f>SUM('1. DD Javorník:32. Domov Na Zámečku Rokytnice'!E53)</f>
        <v>6727014.3699999982</v>
      </c>
      <c r="F53" s="408">
        <f>SUM('1. DD Javorník:32. Domov Na Zámečku Rokytnice'!F53)</f>
        <v>48213814.410000004</v>
      </c>
      <c r="G53" s="408">
        <f>SUM('1. DD Javorník:32. Domov Na Zámečku Rokytnice'!G53)</f>
        <v>46414839</v>
      </c>
      <c r="H53" s="444">
        <f>SUM('1. DD Javorník:32. Domov Na Zámečku Rokytnice'!H53)</f>
        <v>8525989.7799999993</v>
      </c>
      <c r="I53" s="409">
        <f>SUM('1. DD Javorník:32. Domov Na Zámečku Rokytnice'!I53)</f>
        <v>8151389.7799999984</v>
      </c>
    </row>
    <row r="54" spans="1:9" ht="18.75" thickBot="1" x14ac:dyDescent="0.4">
      <c r="A54" s="14" t="s">
        <v>0</v>
      </c>
      <c r="B54" s="13"/>
      <c r="C54" s="13"/>
      <c r="D54" s="13"/>
      <c r="E54" s="410">
        <f>SUM('1. DD Javorník:32. Domov Na Zámečku Rokytnice'!E54)</f>
        <v>20966282.570000011</v>
      </c>
      <c r="F54" s="411">
        <f>SUM('1. DD Javorník:32. Domov Na Zámečku Rokytnice'!F54)</f>
        <v>56826422.32</v>
      </c>
      <c r="G54" s="411">
        <f>SUM('1. DD Javorník:32. Domov Na Zámečku Rokytnice'!G54)</f>
        <v>55977864.549999997</v>
      </c>
      <c r="H54" s="453">
        <f>SUM('1. DD Javorník:32. Domov Na Zámečku Rokytnice'!H54)</f>
        <v>21814840.34</v>
      </c>
      <c r="I54" s="412">
        <f>SUM('1. DD Javorník:32. Domov Na Zámečku Rokytnice'!I54)</f>
        <v>20545169.68</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1">
    <mergeCell ref="E6:G6"/>
    <mergeCell ref="A2:D2"/>
    <mergeCell ref="E2:I2"/>
    <mergeCell ref="E3:I3"/>
    <mergeCell ref="E4:I4"/>
    <mergeCell ref="E5:I5"/>
    <mergeCell ref="E7:I7"/>
    <mergeCell ref="H13:I13"/>
    <mergeCell ref="A32:I34"/>
    <mergeCell ref="H45:I45"/>
    <mergeCell ref="F47:F48"/>
  </mergeCells>
  <conditionalFormatting sqref="I37">
    <cfRule type="cellIs" dxfId="27" priority="28" stopIfTrue="1" operator="greaterThan">
      <formula>1</formula>
    </cfRule>
  </conditionalFormatting>
  <conditionalFormatting sqref="I41:I44">
    <cfRule type="cellIs" dxfId="26" priority="29" stopIfTrue="1" operator="greaterThan">
      <formula>1</formula>
    </cfRule>
  </conditionalFormatting>
  <conditionalFormatting sqref="I40 I38">
    <cfRule type="cellIs" dxfId="25" priority="30" stopIfTrue="1" operator="greaterThan">
      <formula>1</formula>
    </cfRule>
    <cfRule type="cellIs" dxfId="24" priority="31" stopIfTrue="1" operator="lessThan">
      <formula>1</formula>
    </cfRule>
  </conditionalFormatting>
  <conditionalFormatting sqref="G16">
    <cfRule type="cellIs" dxfId="23" priority="24" operator="notEqual">
      <formula>1120010480.8</formula>
    </cfRule>
  </conditionalFormatting>
  <conditionalFormatting sqref="G18">
    <cfRule type="cellIs" dxfId="22" priority="23" operator="notEqual">
      <formula>1122030783.27</formula>
    </cfRule>
  </conditionalFormatting>
  <conditionalFormatting sqref="G24">
    <cfRule type="cellIs" dxfId="21" priority="22" operator="notEqual">
      <formula>2020302.47</formula>
    </cfRule>
  </conditionalFormatting>
  <conditionalFormatting sqref="G28">
    <cfRule type="cellIs" dxfId="20" priority="21" operator="notEqual">
      <formula>2020302.47</formula>
    </cfRule>
  </conditionalFormatting>
  <conditionalFormatting sqref="E50">
    <cfRule type="cellIs" dxfId="19" priority="20" operator="notEqual">
      <formula>1342092.55</formula>
    </cfRule>
  </conditionalFormatting>
  <conditionalFormatting sqref="H50">
    <cfRule type="cellIs" dxfId="18" priority="19" operator="notEqual">
      <formula>1339939.55</formula>
    </cfRule>
  </conditionalFormatting>
  <conditionalFormatting sqref="E51">
    <cfRule type="cellIs" dxfId="17" priority="18" operator="notEqual">
      <formula>5960195.94</formula>
    </cfRule>
  </conditionalFormatting>
  <conditionalFormatting sqref="H51">
    <cfRule type="cellIs" dxfId="16" priority="17" operator="notEqual">
      <formula>4730844.92</formula>
    </cfRule>
  </conditionalFormatting>
  <conditionalFormatting sqref="E52">
    <cfRule type="cellIs" dxfId="15" priority="16" operator="notEqual">
      <formula>4375850.05+2561129.66</formula>
    </cfRule>
  </conditionalFormatting>
  <conditionalFormatting sqref="H52">
    <cfRule type="cellIs" dxfId="14" priority="15" operator="notEqual">
      <formula>4580423.21+2637642.88</formula>
    </cfRule>
  </conditionalFormatting>
  <conditionalFormatting sqref="E53">
    <cfRule type="cellIs" dxfId="13" priority="14" operator="notEqual">
      <formula>6727014.37</formula>
    </cfRule>
  </conditionalFormatting>
  <conditionalFormatting sqref="H53">
    <cfRule type="cellIs" dxfId="12" priority="13" operator="notEqual">
      <formula>8525989.78</formula>
    </cfRule>
  </conditionalFormatting>
  <conditionalFormatting sqref="J37">
    <cfRule type="cellIs" dxfId="11" priority="11" operator="greaterThan">
      <formula>0</formula>
    </cfRule>
    <cfRule type="cellIs" dxfId="10" priority="12" operator="lessThan">
      <formula>0</formula>
    </cfRule>
  </conditionalFormatting>
  <conditionalFormatting sqref="J38">
    <cfRule type="cellIs" dxfId="9" priority="9" operator="greaterThan">
      <formula>0</formula>
    </cfRule>
    <cfRule type="cellIs" dxfId="8" priority="10" operator="lessThan">
      <formula>0</formula>
    </cfRule>
  </conditionalFormatting>
  <conditionalFormatting sqref="F37">
    <cfRule type="cellIs" dxfId="7" priority="8" operator="notEqual">
      <formula>565047285</formula>
    </cfRule>
  </conditionalFormatting>
  <conditionalFormatting sqref="G37">
    <cfRule type="cellIs" dxfId="6" priority="7" operator="notEqual">
      <formula>564485567</formula>
    </cfRule>
  </conditionalFormatting>
  <conditionalFormatting sqref="G38">
    <cfRule type="cellIs" dxfId="5" priority="6" operator="notEqual">
      <formula>30843058.41</formula>
    </cfRule>
  </conditionalFormatting>
  <conditionalFormatting sqref="F38">
    <cfRule type="cellIs" dxfId="4" priority="5" operator="notEqual">
      <formula>30676000</formula>
    </cfRule>
  </conditionalFormatting>
  <conditionalFormatting sqref="F40">
    <cfRule type="cellIs" dxfId="3" priority="4" operator="notEqual">
      <formula>23853000</formula>
    </cfRule>
  </conditionalFormatting>
  <conditionalFormatting sqref="G40">
    <cfRule type="cellIs" dxfId="2" priority="3" operator="notEqual">
      <formula>23853000</formula>
    </cfRule>
  </conditionalFormatting>
  <conditionalFormatting sqref="I51">
    <cfRule type="cellIs" dxfId="1" priority="2" operator="notEqual">
      <formula>3834933.26</formula>
    </cfRule>
  </conditionalFormatting>
  <conditionalFormatting sqref="H54">
    <cfRule type="cellIs" dxfId="0" priority="1" operator="notEqual">
      <formula>21834326.34-19486</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&amp;L&amp;"Arial,Kurzíva"Rada Olomouckého kraje x.x.2013x.- Rozpočet Olomouckého kraje 2012-závěrečný účet Příloha č.x: Financování hospodaření příspěvkových organizací Olomouckého kraje&amp;R&amp;"Arial,Kurzíva"Strana &amp;P (celkem xxx)</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11" ht="19.5" x14ac:dyDescent="0.4">
      <c r="A1" s="119" t="s">
        <v>47</v>
      </c>
      <c r="B1" s="118"/>
      <c r="C1" s="118"/>
      <c r="D1" s="118"/>
    </row>
    <row r="2" spans="1:11" ht="19.5" x14ac:dyDescent="0.4">
      <c r="A2" s="553" t="s">
        <v>46</v>
      </c>
      <c r="B2" s="553"/>
      <c r="C2" s="553"/>
      <c r="D2" s="553"/>
      <c r="E2" s="554" t="s">
        <v>181</v>
      </c>
      <c r="F2" s="543"/>
      <c r="G2" s="543"/>
      <c r="H2" s="543"/>
      <c r="I2" s="543"/>
      <c r="J2" s="458"/>
      <c r="K2" s="458"/>
    </row>
    <row r="3" spans="1:11" ht="12" customHeight="1" x14ac:dyDescent="0.4">
      <c r="A3" s="455"/>
      <c r="B3" s="455"/>
      <c r="C3" s="455"/>
      <c r="D3" s="455"/>
      <c r="E3" s="546" t="s">
        <v>44</v>
      </c>
      <c r="F3" s="546"/>
      <c r="G3" s="546"/>
      <c r="H3" s="546"/>
      <c r="I3" s="546"/>
    </row>
    <row r="4" spans="1:11" ht="15.75" x14ac:dyDescent="0.25">
      <c r="A4" s="115" t="s">
        <v>45</v>
      </c>
      <c r="E4" s="555" t="s">
        <v>182</v>
      </c>
      <c r="F4" s="555"/>
      <c r="G4" s="555"/>
      <c r="H4" s="555"/>
      <c r="I4" s="555"/>
    </row>
    <row r="5" spans="1:11" ht="9" customHeight="1" x14ac:dyDescent="0.25">
      <c r="A5" s="115"/>
      <c r="E5" s="546" t="s">
        <v>44</v>
      </c>
      <c r="F5" s="546"/>
      <c r="G5" s="546"/>
      <c r="H5" s="546"/>
      <c r="I5" s="546"/>
    </row>
    <row r="6" spans="1:11" ht="19.5" x14ac:dyDescent="0.4">
      <c r="A6" s="113" t="s">
        <v>43</v>
      </c>
      <c r="E6" s="543" t="s">
        <v>183</v>
      </c>
      <c r="F6" s="543"/>
      <c r="G6" s="543"/>
      <c r="H6" s="113" t="s">
        <v>42</v>
      </c>
      <c r="I6" s="111" t="s">
        <v>184</v>
      </c>
    </row>
    <row r="7" spans="1:11" ht="9.75" customHeight="1" x14ac:dyDescent="0.4">
      <c r="A7" s="113"/>
      <c r="E7" s="546" t="s">
        <v>41</v>
      </c>
      <c r="F7" s="546"/>
      <c r="G7" s="546"/>
      <c r="H7" s="546"/>
      <c r="I7" s="546"/>
    </row>
    <row r="8" spans="1:11" ht="19.5" x14ac:dyDescent="0.4">
      <c r="A8" s="113"/>
      <c r="E8" s="111"/>
      <c r="F8" s="111"/>
      <c r="G8" s="111"/>
      <c r="H8" s="112"/>
      <c r="I8" s="111"/>
    </row>
    <row r="9" spans="1:11" ht="19.5"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456"/>
      <c r="I14" s="457"/>
    </row>
    <row r="15" spans="1:11" ht="18.75" x14ac:dyDescent="0.4">
      <c r="A15" s="71" t="s">
        <v>32</v>
      </c>
      <c r="B15" s="71"/>
      <c r="C15" s="99"/>
      <c r="D15" s="98"/>
      <c r="E15" s="100"/>
      <c r="F15" s="100"/>
      <c r="G15" s="82"/>
      <c r="H15" s="66"/>
      <c r="I15" s="66"/>
    </row>
    <row r="16" spans="1:11" ht="19.5" x14ac:dyDescent="0.4">
      <c r="A16" s="85" t="s">
        <v>31</v>
      </c>
      <c r="B16" s="71"/>
      <c r="C16" s="99"/>
      <c r="D16" s="98"/>
      <c r="E16" s="78">
        <v>29330000</v>
      </c>
      <c r="F16" s="93">
        <v>29373000</v>
      </c>
      <c r="G16" s="90">
        <f>H16+I16</f>
        <v>29674324.459999997</v>
      </c>
      <c r="H16" s="78">
        <v>29674324.459999997</v>
      </c>
      <c r="I16" s="78">
        <v>0</v>
      </c>
    </row>
    <row r="17" spans="1:9" ht="14.25" x14ac:dyDescent="0.3">
      <c r="A17" s="97"/>
      <c r="B17" s="96"/>
      <c r="C17" s="96"/>
      <c r="D17" s="96"/>
      <c r="E17" s="95"/>
      <c r="F17" s="94"/>
    </row>
    <row r="18" spans="1:9" ht="19.5" x14ac:dyDescent="0.4">
      <c r="A18" s="85" t="s">
        <v>30</v>
      </c>
      <c r="B18" s="83"/>
      <c r="C18" s="83"/>
      <c r="D18" s="83"/>
      <c r="E18" s="78">
        <v>26503000</v>
      </c>
      <c r="F18" s="93">
        <v>29373000</v>
      </c>
      <c r="G18" s="90">
        <f>H18+I18</f>
        <v>29710175.68</v>
      </c>
      <c r="H18" s="78">
        <v>29710175.68</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35851.22</v>
      </c>
      <c r="H24" s="75">
        <f>H18-H16</f>
        <v>35851.220000002533</v>
      </c>
      <c r="I24" s="75">
        <f>I18-I164</f>
        <v>0</v>
      </c>
    </row>
    <row r="26" spans="1:9" x14ac:dyDescent="0.2">
      <c r="H26" s="66"/>
    </row>
    <row r="28" spans="1:9" ht="19.5" x14ac:dyDescent="0.4">
      <c r="A28" s="43" t="s">
        <v>28</v>
      </c>
      <c r="B28" s="43" t="s">
        <v>27</v>
      </c>
      <c r="C28" s="43"/>
      <c r="D28" s="65"/>
      <c r="E28" s="65"/>
      <c r="F28" s="4"/>
      <c r="G28" s="460">
        <f>ROUND(G29+G30+G31,2)</f>
        <v>35851.22</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35851.220000002533</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11" x14ac:dyDescent="0.2">
      <c r="A33" s="545"/>
      <c r="B33" s="545"/>
      <c r="C33" s="545"/>
      <c r="D33" s="545"/>
      <c r="E33" s="545"/>
      <c r="F33" s="545"/>
      <c r="G33" s="545"/>
      <c r="H33" s="545"/>
      <c r="I33" s="545"/>
    </row>
    <row r="34" spans="1:11" x14ac:dyDescent="0.2">
      <c r="A34" s="545"/>
      <c r="B34" s="545"/>
      <c r="C34" s="545"/>
      <c r="D34" s="545"/>
      <c r="E34" s="545"/>
      <c r="F34" s="545"/>
      <c r="G34" s="545"/>
      <c r="H34" s="545"/>
      <c r="I34" s="545"/>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56">
        <v>15160000</v>
      </c>
      <c r="G37" s="56">
        <v>15210200</v>
      </c>
      <c r="H37" s="55"/>
      <c r="I37" s="54">
        <f>IF(F37=0,"nerozp.",G37/F37)</f>
        <v>1.003311345646438</v>
      </c>
      <c r="J37" s="446"/>
      <c r="K37" s="461"/>
    </row>
    <row r="38" spans="1:11" ht="16.5" x14ac:dyDescent="0.35">
      <c r="A38" s="59" t="s">
        <v>17</v>
      </c>
      <c r="B38" s="58"/>
      <c r="C38" s="57"/>
      <c r="D38" s="60"/>
      <c r="E38" s="60"/>
      <c r="F38" s="56">
        <v>1029000</v>
      </c>
      <c r="G38" s="56">
        <v>1029240</v>
      </c>
      <c r="H38" s="55"/>
      <c r="I38" s="54">
        <f>IF(F38=0,"nerozp.",G38/F38)</f>
        <v>1.0002332361516035</v>
      </c>
      <c r="J38" s="447"/>
      <c r="K38" s="461"/>
    </row>
    <row r="39" spans="1:11" ht="16.5" x14ac:dyDescent="0.35">
      <c r="A39" s="59" t="s">
        <v>16</v>
      </c>
      <c r="B39" s="58"/>
      <c r="C39" s="57"/>
      <c r="D39" s="60"/>
      <c r="E39" s="60"/>
      <c r="F39" s="56">
        <v>0</v>
      </c>
      <c r="G39" s="56">
        <v>0</v>
      </c>
      <c r="H39" s="55"/>
      <c r="I39" s="54" t="str">
        <f>IF(F39=0,"nerozp.",G39/F39)</f>
        <v>nerozp.</v>
      </c>
    </row>
    <row r="40" spans="1:11" ht="16.5" x14ac:dyDescent="0.35">
      <c r="A40" s="59" t="s">
        <v>15</v>
      </c>
      <c r="B40" s="58"/>
      <c r="C40" s="57"/>
      <c r="D40" s="5"/>
      <c r="E40" s="5"/>
      <c r="F40" s="56">
        <v>791000</v>
      </c>
      <c r="G40" s="56">
        <v>791000</v>
      </c>
      <c r="H40" s="55"/>
      <c r="I40" s="54">
        <f>IF(F40=0,"nerozp.",G40/F40)</f>
        <v>1</v>
      </c>
    </row>
    <row r="41" spans="1:11" ht="16.5" x14ac:dyDescent="0.35">
      <c r="A41" s="59" t="s">
        <v>14</v>
      </c>
      <c r="B41" s="58"/>
      <c r="C41" s="57"/>
      <c r="D41" s="5"/>
      <c r="E41" s="5"/>
      <c r="F41" s="56">
        <v>0</v>
      </c>
      <c r="G41" s="56">
        <v>0</v>
      </c>
      <c r="H41" s="55"/>
      <c r="I41" s="54" t="str">
        <f>IF(F41=0,"nerozp.",G41/F41)</f>
        <v>nerozp.</v>
      </c>
    </row>
    <row r="42" spans="1:11" ht="14.25" x14ac:dyDescent="0.2">
      <c r="A42" s="53" t="s">
        <v>13</v>
      </c>
      <c r="B42" s="52" t="s">
        <v>305</v>
      </c>
      <c r="C42" s="51"/>
      <c r="D42" s="47"/>
      <c r="E42" s="47"/>
      <c r="F42" s="46"/>
      <c r="G42" s="46"/>
      <c r="H42" s="45"/>
      <c r="I42" s="44"/>
    </row>
    <row r="43" spans="1:11" ht="28.5" customHeight="1" x14ac:dyDescent="0.2">
      <c r="A43" s="50"/>
      <c r="B43" s="558" t="s">
        <v>302</v>
      </c>
      <c r="C43" s="559"/>
      <c r="D43" s="559"/>
      <c r="E43" s="559"/>
      <c r="F43" s="559"/>
      <c r="G43" s="559"/>
      <c r="H43" s="559"/>
      <c r="I43" s="559"/>
    </row>
    <row r="44" spans="1:11" ht="16.5"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2000.95</v>
      </c>
      <c r="F50" s="22">
        <v>0</v>
      </c>
      <c r="G50" s="21">
        <v>0</v>
      </c>
      <c r="H50" s="21">
        <f>E50+F50-G50</f>
        <v>2000.95</v>
      </c>
      <c r="I50" s="20">
        <v>2000.95</v>
      </c>
    </row>
    <row r="51" spans="1:9" x14ac:dyDescent="0.2">
      <c r="A51" s="19"/>
      <c r="B51" s="18"/>
      <c r="C51" s="18" t="s">
        <v>3</v>
      </c>
      <c r="D51" s="18"/>
      <c r="E51" s="464">
        <v>43352.09</v>
      </c>
      <c r="F51" s="17">
        <v>152800</v>
      </c>
      <c r="G51" s="16">
        <v>173621.78</v>
      </c>
      <c r="H51" s="16">
        <f>E51+F51-G51</f>
        <v>22530.309999999998</v>
      </c>
      <c r="I51" s="15">
        <v>22530.31</v>
      </c>
    </row>
    <row r="52" spans="1:9" x14ac:dyDescent="0.2">
      <c r="A52" s="19"/>
      <c r="B52" s="18"/>
      <c r="C52" s="18" t="s">
        <v>2</v>
      </c>
      <c r="D52" s="18"/>
      <c r="E52" s="464">
        <v>133686.05000000002</v>
      </c>
      <c r="F52" s="17">
        <v>35127.46</v>
      </c>
      <c r="G52" s="16">
        <v>18371</v>
      </c>
      <c r="H52" s="16">
        <f>E52+F52-G52</f>
        <v>150442.51</v>
      </c>
      <c r="I52" s="15">
        <v>150442.51</v>
      </c>
    </row>
    <row r="53" spans="1:9" x14ac:dyDescent="0.2">
      <c r="A53" s="19"/>
      <c r="B53" s="18"/>
      <c r="C53" s="18" t="s">
        <v>1</v>
      </c>
      <c r="D53" s="18"/>
      <c r="E53" s="464">
        <v>15320.6</v>
      </c>
      <c r="F53" s="17">
        <v>1953101</v>
      </c>
      <c r="G53" s="16">
        <v>1762451</v>
      </c>
      <c r="H53" s="16">
        <f>E53+F53-G53</f>
        <v>205970.60000000009</v>
      </c>
      <c r="I53" s="15">
        <v>205970.6</v>
      </c>
    </row>
    <row r="54" spans="1:9" ht="18.75" thickBot="1" x14ac:dyDescent="0.4">
      <c r="A54" s="14" t="s">
        <v>0</v>
      </c>
      <c r="B54" s="13"/>
      <c r="C54" s="13"/>
      <c r="D54" s="13"/>
      <c r="E54" s="465">
        <f>SUM(E50:E53)</f>
        <v>194359.69000000003</v>
      </c>
      <c r="F54" s="12">
        <f>SUM(F50:F53)</f>
        <v>2141028.46</v>
      </c>
      <c r="G54" s="12">
        <f>SUM(G50:G53)</f>
        <v>1954443.78</v>
      </c>
      <c r="H54" s="12">
        <f>SUM(H50:H53)</f>
        <v>380944.37000000011</v>
      </c>
      <c r="I54" s="11">
        <f>SUM(I50:I53)</f>
        <v>380944.37</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A2:D2"/>
    <mergeCell ref="E3:I3"/>
    <mergeCell ref="E2:I2"/>
    <mergeCell ref="E5:I5"/>
    <mergeCell ref="E4:I4"/>
    <mergeCell ref="F47:F48"/>
    <mergeCell ref="E6:G6"/>
    <mergeCell ref="A32:I34"/>
    <mergeCell ref="E7:I7"/>
    <mergeCell ref="H13:I13"/>
    <mergeCell ref="H45:I45"/>
    <mergeCell ref="B43:I43"/>
  </mergeCells>
  <conditionalFormatting sqref="I42 I44">
    <cfRule type="cellIs" dxfId="414" priority="9" stopIfTrue="1" operator="greaterThan">
      <formula>1</formula>
    </cfRule>
  </conditionalFormatting>
  <conditionalFormatting sqref="H50:H53">
    <cfRule type="cellIs" dxfId="413" priority="13" stopIfTrue="1" operator="notEqual">
      <formula>E50+F50-G50</formula>
    </cfRule>
  </conditionalFormatting>
  <conditionalFormatting sqref="I54">
    <cfRule type="cellIs" dxfId="412" priority="14" stopIfTrue="1" operator="notEqual">
      <formula>$I$50+$I$51+$I$52+$I$53</formula>
    </cfRule>
  </conditionalFormatting>
  <conditionalFormatting sqref="H54">
    <cfRule type="cellIs" dxfId="411" priority="15" stopIfTrue="1" operator="notEqual">
      <formula>E54+F54-G54</formula>
    </cfRule>
    <cfRule type="cellIs" dxfId="410" priority="16" stopIfTrue="1" operator="notEqual">
      <formula>SUM($H$50:$H$53)</formula>
    </cfRule>
  </conditionalFormatting>
  <conditionalFormatting sqref="G18 G16">
    <cfRule type="cellIs" dxfId="409" priority="17" stopIfTrue="1" operator="notEqual">
      <formula>H16+I16</formula>
    </cfRule>
  </conditionalFormatting>
  <conditionalFormatting sqref="G24">
    <cfRule type="cellIs" dxfId="408" priority="18" stopIfTrue="1" operator="notEqual">
      <formula>ROUND(H24+I24,2)</formula>
    </cfRule>
  </conditionalFormatting>
  <conditionalFormatting sqref="H24">
    <cfRule type="cellIs" dxfId="407" priority="19" stopIfTrue="1" operator="notEqual">
      <formula>$H$18-$H$16</formula>
    </cfRule>
  </conditionalFormatting>
  <conditionalFormatting sqref="I24">
    <cfRule type="cellIs" dxfId="406" priority="20" stopIfTrue="1" operator="notEqual">
      <formula>I18-I16</formula>
    </cfRule>
  </conditionalFormatting>
  <conditionalFormatting sqref="G23">
    <cfRule type="cellIs" dxfId="405" priority="7" stopIfTrue="1" operator="notEqual">
      <formula>ROUND(H23+I23,2)</formula>
    </cfRule>
  </conditionalFormatting>
  <conditionalFormatting sqref="G28">
    <cfRule type="cellIs" dxfId="404" priority="5" operator="notEqual">
      <formula>ROUND($G$24,2)</formula>
    </cfRule>
  </conditionalFormatting>
  <conditionalFormatting sqref="J37">
    <cfRule type="cellIs" dxfId="403" priority="3" operator="greaterThan">
      <formula>0</formula>
    </cfRule>
    <cfRule type="cellIs" dxfId="402" priority="4" operator="lessThan">
      <formula>0</formula>
    </cfRule>
  </conditionalFormatting>
  <conditionalFormatting sqref="J38">
    <cfRule type="cellIs" dxfId="401" priority="1" operator="greaterThan">
      <formula>0</formula>
    </cfRule>
    <cfRule type="cellIs" dxfId="400" priority="2" operator="lessThan">
      <formula>0</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0" width="10.7109375" style="180" bestFit="1" customWidth="1"/>
    <col min="11" max="16384" width="9.140625" style="180"/>
  </cols>
  <sheetData>
    <row r="1" spans="1:11" ht="19.5" x14ac:dyDescent="0.4">
      <c r="A1" s="119" t="s">
        <v>47</v>
      </c>
      <c r="B1" s="118"/>
      <c r="C1" s="118"/>
      <c r="D1" s="118"/>
    </row>
    <row r="2" spans="1:11" ht="19.5" x14ac:dyDescent="0.4">
      <c r="A2" s="553" t="s">
        <v>46</v>
      </c>
      <c r="B2" s="553"/>
      <c r="C2" s="553"/>
      <c r="D2" s="553"/>
      <c r="E2" s="554" t="s">
        <v>185</v>
      </c>
      <c r="F2" s="543"/>
      <c r="G2" s="543"/>
      <c r="H2" s="543"/>
      <c r="I2" s="543"/>
      <c r="J2" s="458"/>
      <c r="K2" s="458"/>
    </row>
    <row r="3" spans="1:11" ht="12" customHeight="1" x14ac:dyDescent="0.4">
      <c r="A3" s="455"/>
      <c r="B3" s="455"/>
      <c r="C3" s="455"/>
      <c r="D3" s="455"/>
      <c r="E3" s="546" t="s">
        <v>44</v>
      </c>
      <c r="F3" s="546"/>
      <c r="G3" s="546"/>
      <c r="H3" s="546"/>
      <c r="I3" s="546"/>
    </row>
    <row r="4" spans="1:11" ht="15.75" x14ac:dyDescent="0.25">
      <c r="A4" s="115" t="s">
        <v>45</v>
      </c>
      <c r="E4" s="555" t="s">
        <v>186</v>
      </c>
      <c r="F4" s="555"/>
      <c r="G4" s="555"/>
      <c r="H4" s="555"/>
      <c r="I4" s="555"/>
    </row>
    <row r="5" spans="1:11" ht="9" customHeight="1" x14ac:dyDescent="0.25">
      <c r="A5" s="115"/>
      <c r="E5" s="546" t="s">
        <v>44</v>
      </c>
      <c r="F5" s="546"/>
      <c r="G5" s="546"/>
      <c r="H5" s="546"/>
      <c r="I5" s="546"/>
    </row>
    <row r="6" spans="1:11" ht="19.5" x14ac:dyDescent="0.4">
      <c r="A6" s="113" t="s">
        <v>43</v>
      </c>
      <c r="E6" s="543" t="s">
        <v>187</v>
      </c>
      <c r="F6" s="543"/>
      <c r="G6" s="543"/>
      <c r="H6" s="113" t="s">
        <v>42</v>
      </c>
      <c r="I6" s="111" t="s">
        <v>188</v>
      </c>
    </row>
    <row r="7" spans="1:11" ht="9.75" customHeight="1" x14ac:dyDescent="0.4">
      <c r="A7" s="113"/>
      <c r="E7" s="546" t="s">
        <v>41</v>
      </c>
      <c r="F7" s="546"/>
      <c r="G7" s="546"/>
      <c r="H7" s="546"/>
      <c r="I7" s="546"/>
    </row>
    <row r="8" spans="1:11" ht="19.5" x14ac:dyDescent="0.4">
      <c r="A8" s="113"/>
      <c r="E8" s="111"/>
      <c r="F8" s="111"/>
      <c r="G8" s="111"/>
      <c r="H8" s="112"/>
      <c r="I8" s="111"/>
    </row>
    <row r="9" spans="1:11" ht="19.5"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456"/>
      <c r="I14" s="457"/>
    </row>
    <row r="15" spans="1:11" ht="18.75" x14ac:dyDescent="0.4">
      <c r="A15" s="71" t="s">
        <v>32</v>
      </c>
      <c r="B15" s="71"/>
      <c r="C15" s="99"/>
      <c r="D15" s="98"/>
      <c r="E15" s="100"/>
      <c r="F15" s="100"/>
      <c r="G15" s="82"/>
      <c r="H15" s="66"/>
      <c r="I15" s="66"/>
    </row>
    <row r="16" spans="1:11" ht="19.5" x14ac:dyDescent="0.4">
      <c r="A16" s="85" t="s">
        <v>31</v>
      </c>
      <c r="B16" s="71"/>
      <c r="C16" s="99"/>
      <c r="D16" s="98"/>
      <c r="E16" s="78">
        <v>4206000</v>
      </c>
      <c r="F16" s="93">
        <v>4056000</v>
      </c>
      <c r="G16" s="90">
        <f>H16+I16</f>
        <v>3905800.77</v>
      </c>
      <c r="H16" s="78">
        <v>3905800.77</v>
      </c>
      <c r="I16" s="78">
        <v>0</v>
      </c>
    </row>
    <row r="17" spans="1:9" ht="14.25" x14ac:dyDescent="0.3">
      <c r="A17" s="97"/>
      <c r="B17" s="96"/>
      <c r="C17" s="96"/>
      <c r="D17" s="96"/>
      <c r="E17" s="95"/>
      <c r="F17" s="94"/>
    </row>
    <row r="18" spans="1:9" ht="19.5" x14ac:dyDescent="0.4">
      <c r="A18" s="85" t="s">
        <v>30</v>
      </c>
      <c r="B18" s="83"/>
      <c r="C18" s="83"/>
      <c r="D18" s="83"/>
      <c r="E18" s="78">
        <v>4206000</v>
      </c>
      <c r="F18" s="93">
        <v>4056000</v>
      </c>
      <c r="G18" s="90">
        <f>H18+I18</f>
        <v>4062928.6300000008</v>
      </c>
      <c r="H18" s="78">
        <v>4062928.6300000008</v>
      </c>
      <c r="I18" s="78">
        <v>0</v>
      </c>
    </row>
    <row r="19" spans="1:9" ht="12.75" customHeight="1"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157127.85999999999</v>
      </c>
      <c r="H24" s="75">
        <f>H18-H16</f>
        <v>157127.8600000008</v>
      </c>
      <c r="I24" s="75">
        <f>I18-I164</f>
        <v>0</v>
      </c>
    </row>
    <row r="26" spans="1:9" x14ac:dyDescent="0.2">
      <c r="H26" s="66"/>
    </row>
    <row r="28" spans="1:9" ht="19.5" x14ac:dyDescent="0.4">
      <c r="A28" s="43" t="s">
        <v>28</v>
      </c>
      <c r="B28" s="43" t="s">
        <v>27</v>
      </c>
      <c r="C28" s="43"/>
      <c r="D28" s="65"/>
      <c r="E28" s="65"/>
      <c r="F28" s="4"/>
      <c r="G28" s="460">
        <f>ROUND(G29+G30+G31,2)</f>
        <v>157127.85999999999</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157127.8600000008</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11" x14ac:dyDescent="0.2">
      <c r="A33" s="545"/>
      <c r="B33" s="545"/>
      <c r="C33" s="545"/>
      <c r="D33" s="545"/>
      <c r="E33" s="545"/>
      <c r="F33" s="545"/>
      <c r="G33" s="545"/>
      <c r="H33" s="545"/>
      <c r="I33" s="545"/>
    </row>
    <row r="34" spans="1:11" x14ac:dyDescent="0.2">
      <c r="A34" s="545"/>
      <c r="B34" s="545"/>
      <c r="C34" s="545"/>
      <c r="D34" s="545"/>
      <c r="E34" s="545"/>
      <c r="F34" s="545"/>
      <c r="G34" s="545"/>
      <c r="H34" s="545"/>
      <c r="I34" s="545"/>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56">
        <f>2444000-30000</f>
        <v>2414000</v>
      </c>
      <c r="G37" s="56">
        <f>2335486-15325</f>
        <v>2320161</v>
      </c>
      <c r="H37" s="55"/>
      <c r="I37" s="54">
        <f>IF(F37=0,"nerozp.",G37/F37)</f>
        <v>0.96112717481358745</v>
      </c>
      <c r="J37" s="446"/>
      <c r="K37" s="461"/>
    </row>
    <row r="38" spans="1:11" ht="16.5" x14ac:dyDescent="0.35">
      <c r="A38" s="59" t="s">
        <v>17</v>
      </c>
      <c r="B38" s="58"/>
      <c r="C38" s="57"/>
      <c r="D38" s="60"/>
      <c r="E38" s="60"/>
      <c r="F38" s="56">
        <v>59000</v>
      </c>
      <c r="G38" s="56">
        <v>61977.9</v>
      </c>
      <c r="H38" s="55"/>
      <c r="I38" s="54">
        <f>IF(F38=0,"nerozp.",G38/F38)</f>
        <v>1.0504728813559323</v>
      </c>
      <c r="J38" s="447"/>
      <c r="K38" s="461"/>
    </row>
    <row r="39" spans="1:11" ht="16.5" x14ac:dyDescent="0.35">
      <c r="A39" s="59" t="s">
        <v>16</v>
      </c>
      <c r="B39" s="58"/>
      <c r="C39" s="57"/>
      <c r="D39" s="60"/>
      <c r="E39" s="60"/>
      <c r="F39" s="56">
        <v>0</v>
      </c>
      <c r="G39" s="56">
        <v>0</v>
      </c>
      <c r="H39" s="55"/>
      <c r="I39" s="54" t="str">
        <f>IF(F39=0,"nerozp.",G39/F39)</f>
        <v>nerozp.</v>
      </c>
    </row>
    <row r="40" spans="1:11" ht="16.5" x14ac:dyDescent="0.35">
      <c r="A40" s="59" t="s">
        <v>15</v>
      </c>
      <c r="B40" s="58"/>
      <c r="C40" s="57"/>
      <c r="D40" s="5"/>
      <c r="E40" s="5"/>
      <c r="F40" s="56">
        <v>44000</v>
      </c>
      <c r="G40" s="56">
        <v>44000</v>
      </c>
      <c r="H40" s="55"/>
      <c r="I40" s="54">
        <f>IF(F40=0,"nerozp.",G40/F40)</f>
        <v>1</v>
      </c>
    </row>
    <row r="41" spans="1:11" ht="16.5" x14ac:dyDescent="0.35">
      <c r="A41" s="59" t="s">
        <v>14</v>
      </c>
      <c r="B41" s="58"/>
      <c r="C41" s="57"/>
      <c r="D41" s="5"/>
      <c r="E41" s="5"/>
      <c r="F41" s="56">
        <v>0</v>
      </c>
      <c r="G41" s="56">
        <v>0</v>
      </c>
      <c r="H41" s="55"/>
      <c r="I41" s="54" t="str">
        <f>IF(F41=0,"nerozp.",G41/F41)</f>
        <v>nerozp.</v>
      </c>
    </row>
    <row r="42" spans="1:11" ht="14.25" x14ac:dyDescent="0.2">
      <c r="A42" s="53" t="s">
        <v>13</v>
      </c>
      <c r="B42" s="52" t="s">
        <v>303</v>
      </c>
      <c r="C42" s="51"/>
      <c r="D42" s="47"/>
      <c r="E42" s="47"/>
      <c r="F42" s="46"/>
      <c r="G42" s="46"/>
      <c r="H42" s="45"/>
      <c r="I42" s="44"/>
      <c r="J42" s="197"/>
    </row>
    <row r="43" spans="1:11" ht="39.75" customHeight="1" x14ac:dyDescent="0.2">
      <c r="A43" s="50"/>
      <c r="B43" s="551" t="s">
        <v>304</v>
      </c>
      <c r="C43" s="552"/>
      <c r="D43" s="552"/>
      <c r="E43" s="552"/>
      <c r="F43" s="552"/>
      <c r="G43" s="552"/>
      <c r="H43" s="552"/>
      <c r="I43" s="552"/>
    </row>
    <row r="44" spans="1:11" ht="16.5"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59279</v>
      </c>
      <c r="F50" s="22">
        <v>0</v>
      </c>
      <c r="G50" s="21">
        <v>0</v>
      </c>
      <c r="H50" s="21">
        <f>E50+F50-G50</f>
        <v>59279</v>
      </c>
      <c r="I50" s="20">
        <v>59279</v>
      </c>
    </row>
    <row r="51" spans="1:9" x14ac:dyDescent="0.2">
      <c r="A51" s="19"/>
      <c r="B51" s="18"/>
      <c r="C51" s="18" t="s">
        <v>3</v>
      </c>
      <c r="D51" s="18"/>
      <c r="E51" s="464">
        <v>9972.4</v>
      </c>
      <c r="F51" s="17">
        <v>22935</v>
      </c>
      <c r="G51" s="16">
        <v>25825</v>
      </c>
      <c r="H51" s="16">
        <f>E51+F51-G51</f>
        <v>7082.4000000000015</v>
      </c>
      <c r="I51" s="15">
        <v>5443.44</v>
      </c>
    </row>
    <row r="52" spans="1:9" x14ac:dyDescent="0.2">
      <c r="A52" s="19"/>
      <c r="B52" s="18"/>
      <c r="C52" s="18" t="s">
        <v>2</v>
      </c>
      <c r="D52" s="18"/>
      <c r="E52" s="464">
        <v>197552.77</v>
      </c>
      <c r="F52" s="17">
        <v>272000.01</v>
      </c>
      <c r="G52" s="16">
        <v>1467</v>
      </c>
      <c r="H52" s="16">
        <f>E52+F52-G52</f>
        <v>468085.78</v>
      </c>
      <c r="I52" s="15">
        <v>468926.78</v>
      </c>
    </row>
    <row r="53" spans="1:9" x14ac:dyDescent="0.2">
      <c r="A53" s="19"/>
      <c r="B53" s="18"/>
      <c r="C53" s="18" t="s">
        <v>1</v>
      </c>
      <c r="D53" s="18"/>
      <c r="E53" s="464">
        <v>66447.600000000006</v>
      </c>
      <c r="F53" s="17">
        <v>61977.899999999994</v>
      </c>
      <c r="G53" s="16">
        <v>44000</v>
      </c>
      <c r="H53" s="16">
        <f>E53+F53-G53</f>
        <v>84425.5</v>
      </c>
      <c r="I53" s="15">
        <v>84425.5</v>
      </c>
    </row>
    <row r="54" spans="1:9" ht="18.75" thickBot="1" x14ac:dyDescent="0.4">
      <c r="A54" s="14" t="s">
        <v>0</v>
      </c>
      <c r="B54" s="13"/>
      <c r="C54" s="13"/>
      <c r="D54" s="13"/>
      <c r="E54" s="465">
        <f>SUM(E50:E53)</f>
        <v>333251.77</v>
      </c>
      <c r="F54" s="12">
        <f>SUM(F50:F53)</f>
        <v>356912.91000000003</v>
      </c>
      <c r="G54" s="12">
        <f>SUM(G50:G53)</f>
        <v>71292</v>
      </c>
      <c r="H54" s="12">
        <f>SUM(H50:H53)</f>
        <v>618872.68000000005</v>
      </c>
      <c r="I54" s="11">
        <f>SUM(I50:I53)</f>
        <v>618074.72</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A2:D2"/>
    <mergeCell ref="E3:I3"/>
    <mergeCell ref="E2:I2"/>
    <mergeCell ref="E5:I5"/>
    <mergeCell ref="E4:I4"/>
    <mergeCell ref="F47:F48"/>
    <mergeCell ref="E6:G6"/>
    <mergeCell ref="A32:I34"/>
    <mergeCell ref="E7:I7"/>
    <mergeCell ref="H13:I13"/>
    <mergeCell ref="H45:I45"/>
    <mergeCell ref="B43:I43"/>
  </mergeCells>
  <conditionalFormatting sqref="I42 I44">
    <cfRule type="cellIs" dxfId="399" priority="9" stopIfTrue="1" operator="greaterThan">
      <formula>1</formula>
    </cfRule>
  </conditionalFormatting>
  <conditionalFormatting sqref="H50:H53">
    <cfRule type="cellIs" dxfId="398" priority="13" stopIfTrue="1" operator="notEqual">
      <formula>E50+F50-G50</formula>
    </cfRule>
  </conditionalFormatting>
  <conditionalFormatting sqref="I54">
    <cfRule type="cellIs" dxfId="397" priority="14" stopIfTrue="1" operator="notEqual">
      <formula>$I$50+$I$51+$I$52+$I$53</formula>
    </cfRule>
  </conditionalFormatting>
  <conditionalFormatting sqref="H54">
    <cfRule type="cellIs" dxfId="396" priority="15" stopIfTrue="1" operator="notEqual">
      <formula>E54+F54-G54</formula>
    </cfRule>
    <cfRule type="cellIs" dxfId="395" priority="16" stopIfTrue="1" operator="notEqual">
      <formula>SUM($H$50:$H$53)</formula>
    </cfRule>
  </conditionalFormatting>
  <conditionalFormatting sqref="G18 G16">
    <cfRule type="cellIs" dxfId="394" priority="17" stopIfTrue="1" operator="notEqual">
      <formula>H16+I16</formula>
    </cfRule>
  </conditionalFormatting>
  <conditionalFormatting sqref="G24">
    <cfRule type="cellIs" dxfId="393" priority="18" stopIfTrue="1" operator="notEqual">
      <formula>ROUND(H24+I24,2)</formula>
    </cfRule>
  </conditionalFormatting>
  <conditionalFormatting sqref="H24">
    <cfRule type="cellIs" dxfId="392" priority="19" stopIfTrue="1" operator="notEqual">
      <formula>$H$18-$H$16</formula>
    </cfRule>
  </conditionalFormatting>
  <conditionalFormatting sqref="I24">
    <cfRule type="cellIs" dxfId="391" priority="20" stopIfTrue="1" operator="notEqual">
      <formula>I18-I16</formula>
    </cfRule>
  </conditionalFormatting>
  <conditionalFormatting sqref="G23">
    <cfRule type="cellIs" dxfId="390" priority="7" stopIfTrue="1" operator="notEqual">
      <formula>ROUND(H23+I23,2)</formula>
    </cfRule>
  </conditionalFormatting>
  <conditionalFormatting sqref="G28">
    <cfRule type="cellIs" dxfId="389" priority="5" operator="notEqual">
      <formula>ROUND($G$24,2)</formula>
    </cfRule>
  </conditionalFormatting>
  <conditionalFormatting sqref="J37">
    <cfRule type="cellIs" dxfId="388" priority="3" operator="greaterThan">
      <formula>0</formula>
    </cfRule>
    <cfRule type="cellIs" dxfId="387" priority="4" operator="lessThan">
      <formula>0</formula>
    </cfRule>
  </conditionalFormatting>
  <conditionalFormatting sqref="J38">
    <cfRule type="cellIs" dxfId="386" priority="1" operator="greaterThan">
      <formula>0</formula>
    </cfRule>
    <cfRule type="cellIs" dxfId="385" priority="2" operator="lessThan">
      <formula>0</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11" ht="19.5" x14ac:dyDescent="0.4">
      <c r="A1" s="119" t="s">
        <v>47</v>
      </c>
      <c r="B1" s="118"/>
      <c r="C1" s="118"/>
      <c r="D1" s="118"/>
    </row>
    <row r="2" spans="1:11" ht="19.5" x14ac:dyDescent="0.4">
      <c r="A2" s="553" t="s">
        <v>46</v>
      </c>
      <c r="B2" s="553"/>
      <c r="C2" s="553"/>
      <c r="D2" s="553"/>
      <c r="E2" s="554" t="s">
        <v>189</v>
      </c>
      <c r="F2" s="543"/>
      <c r="G2" s="543"/>
      <c r="H2" s="543"/>
      <c r="I2" s="543"/>
      <c r="J2" s="458"/>
      <c r="K2" s="458"/>
    </row>
    <row r="3" spans="1:11" ht="12" customHeight="1" x14ac:dyDescent="0.4">
      <c r="A3" s="455"/>
      <c r="B3" s="455"/>
      <c r="C3" s="455"/>
      <c r="D3" s="455"/>
      <c r="E3" s="546" t="s">
        <v>44</v>
      </c>
      <c r="F3" s="546"/>
      <c r="G3" s="546"/>
      <c r="H3" s="546"/>
      <c r="I3" s="546"/>
    </row>
    <row r="4" spans="1:11" ht="15.75" x14ac:dyDescent="0.25">
      <c r="A4" s="115" t="s">
        <v>45</v>
      </c>
      <c r="E4" s="555" t="s">
        <v>141</v>
      </c>
      <c r="F4" s="555"/>
      <c r="G4" s="555"/>
      <c r="H4" s="555"/>
      <c r="I4" s="555"/>
    </row>
    <row r="5" spans="1:11" ht="9" customHeight="1" x14ac:dyDescent="0.25">
      <c r="A5" s="115"/>
      <c r="E5" s="546" t="s">
        <v>44</v>
      </c>
      <c r="F5" s="546"/>
      <c r="G5" s="546"/>
      <c r="H5" s="546"/>
      <c r="I5" s="546"/>
    </row>
    <row r="6" spans="1:11" ht="19.5" x14ac:dyDescent="0.4">
      <c r="A6" s="113" t="s">
        <v>43</v>
      </c>
      <c r="E6" s="543" t="s">
        <v>190</v>
      </c>
      <c r="F6" s="543"/>
      <c r="G6" s="543"/>
      <c r="H6" s="113" t="s">
        <v>42</v>
      </c>
      <c r="I6" s="111" t="s">
        <v>191</v>
      </c>
    </row>
    <row r="7" spans="1:11" ht="9.75" customHeight="1" x14ac:dyDescent="0.4">
      <c r="A7" s="113"/>
      <c r="E7" s="546" t="s">
        <v>41</v>
      </c>
      <c r="F7" s="546"/>
      <c r="G7" s="546"/>
      <c r="H7" s="546"/>
      <c r="I7" s="546"/>
    </row>
    <row r="8" spans="1:11" ht="19.5" x14ac:dyDescent="0.4">
      <c r="A8" s="113"/>
      <c r="E8" s="111"/>
      <c r="F8" s="111"/>
      <c r="G8" s="111"/>
      <c r="H8" s="112"/>
      <c r="I8" s="111"/>
    </row>
    <row r="9" spans="1:11" ht="19.5"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456"/>
      <c r="I14" s="457"/>
    </row>
    <row r="15" spans="1:11" ht="18.75" x14ac:dyDescent="0.4">
      <c r="A15" s="71" t="s">
        <v>32</v>
      </c>
      <c r="B15" s="71"/>
      <c r="C15" s="99"/>
      <c r="D15" s="98"/>
      <c r="E15" s="100"/>
      <c r="F15" s="100"/>
      <c r="G15" s="82"/>
      <c r="H15" s="66"/>
      <c r="I15" s="66"/>
    </row>
    <row r="16" spans="1:11" ht="19.5" x14ac:dyDescent="0.4">
      <c r="A16" s="85" t="s">
        <v>31</v>
      </c>
      <c r="B16" s="71"/>
      <c r="C16" s="99"/>
      <c r="D16" s="98"/>
      <c r="E16" s="78">
        <v>48773000</v>
      </c>
      <c r="F16" s="93">
        <v>49339013.309999995</v>
      </c>
      <c r="G16" s="90">
        <f>H16+I16</f>
        <v>49554518.309999995</v>
      </c>
      <c r="H16" s="78">
        <v>49554518.309999995</v>
      </c>
      <c r="I16" s="78">
        <v>0</v>
      </c>
    </row>
    <row r="17" spans="1:9" ht="14.25" x14ac:dyDescent="0.3">
      <c r="A17" s="97"/>
      <c r="B17" s="96"/>
      <c r="C17" s="96"/>
      <c r="D17" s="96"/>
      <c r="E17" s="95"/>
      <c r="F17" s="94"/>
    </row>
    <row r="18" spans="1:9" ht="19.5" x14ac:dyDescent="0.4">
      <c r="A18" s="85" t="s">
        <v>30</v>
      </c>
      <c r="B18" s="83"/>
      <c r="C18" s="83"/>
      <c r="D18" s="83"/>
      <c r="E18" s="78">
        <v>43864000</v>
      </c>
      <c r="F18" s="93">
        <v>49393627.310000002</v>
      </c>
      <c r="G18" s="90">
        <f>H18+I18</f>
        <v>49554518.310000002</v>
      </c>
      <c r="H18" s="78">
        <v>49554518.310000002</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0</v>
      </c>
      <c r="H24" s="75">
        <f>H18-H16</f>
        <v>0</v>
      </c>
      <c r="I24" s="75">
        <f>I18-I164</f>
        <v>0</v>
      </c>
    </row>
    <row r="26" spans="1:9" x14ac:dyDescent="0.2">
      <c r="H26" s="66"/>
    </row>
    <row r="28" spans="1:9" ht="19.5" x14ac:dyDescent="0.4">
      <c r="A28" s="43" t="s">
        <v>28</v>
      </c>
      <c r="B28" s="43" t="s">
        <v>27</v>
      </c>
      <c r="C28" s="43"/>
      <c r="D28" s="65"/>
      <c r="E28" s="65"/>
      <c r="F28" s="4"/>
      <c r="G28" s="460">
        <f>ROUND(G29+G30+G31,2)</f>
        <v>0</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0</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11" x14ac:dyDescent="0.2">
      <c r="A33" s="545"/>
      <c r="B33" s="545"/>
      <c r="C33" s="545"/>
      <c r="D33" s="545"/>
      <c r="E33" s="545"/>
      <c r="F33" s="545"/>
      <c r="G33" s="545"/>
      <c r="H33" s="545"/>
      <c r="I33" s="545"/>
    </row>
    <row r="34" spans="1:11" x14ac:dyDescent="0.2">
      <c r="A34" s="545"/>
      <c r="B34" s="545"/>
      <c r="C34" s="545"/>
      <c r="D34" s="545"/>
      <c r="E34" s="545"/>
      <c r="F34" s="545"/>
      <c r="G34" s="545"/>
      <c r="H34" s="545"/>
      <c r="I34" s="545"/>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56">
        <f>22520000-200000</f>
        <v>22320000</v>
      </c>
      <c r="G37" s="56">
        <f>22619396-166206</f>
        <v>22453190</v>
      </c>
      <c r="H37" s="55"/>
      <c r="I37" s="54">
        <f>IF(F37=0,"nerozp.",G37/F37)</f>
        <v>1.0059672939068101</v>
      </c>
      <c r="J37" s="446"/>
      <c r="K37" s="461"/>
    </row>
    <row r="38" spans="1:11" ht="16.5" x14ac:dyDescent="0.35">
      <c r="A38" s="59" t="s">
        <v>17</v>
      </c>
      <c r="B38" s="58"/>
      <c r="C38" s="57"/>
      <c r="D38" s="60"/>
      <c r="E38" s="60"/>
      <c r="F38" s="56">
        <v>862000</v>
      </c>
      <c r="G38" s="56">
        <v>861941</v>
      </c>
      <c r="H38" s="55"/>
      <c r="I38" s="54">
        <f>IF(F38=0,"nerozp.",G38/F38)</f>
        <v>0.999931554524362</v>
      </c>
      <c r="J38" s="447"/>
      <c r="K38" s="461"/>
    </row>
    <row r="39" spans="1:11" ht="16.5" x14ac:dyDescent="0.35">
      <c r="A39" s="59" t="s">
        <v>16</v>
      </c>
      <c r="B39" s="58"/>
      <c r="C39" s="57"/>
      <c r="D39" s="60"/>
      <c r="E39" s="60"/>
      <c r="F39" s="56">
        <v>0</v>
      </c>
      <c r="G39" s="56">
        <v>0</v>
      </c>
      <c r="H39" s="55"/>
      <c r="I39" s="54" t="str">
        <f>IF(F39=0,"nerozp.",G39/F39)</f>
        <v>nerozp.</v>
      </c>
    </row>
    <row r="40" spans="1:11" ht="16.5" x14ac:dyDescent="0.35">
      <c r="A40" s="59" t="s">
        <v>15</v>
      </c>
      <c r="B40" s="58"/>
      <c r="C40" s="57"/>
      <c r="D40" s="5"/>
      <c r="E40" s="5"/>
      <c r="F40" s="56">
        <v>662000</v>
      </c>
      <c r="G40" s="56">
        <v>662000</v>
      </c>
      <c r="H40" s="55"/>
      <c r="I40" s="54">
        <f>IF(F40=0,"nerozp.",G40/F40)</f>
        <v>1</v>
      </c>
    </row>
    <row r="41" spans="1:11" ht="16.5" x14ac:dyDescent="0.35">
      <c r="A41" s="59" t="s">
        <v>14</v>
      </c>
      <c r="B41" s="58"/>
      <c r="C41" s="57"/>
      <c r="D41" s="5"/>
      <c r="E41" s="5"/>
      <c r="F41" s="56">
        <v>0</v>
      </c>
      <c r="G41" s="56">
        <v>0</v>
      </c>
      <c r="H41" s="55"/>
      <c r="I41" s="54" t="str">
        <f>IF(F41=0,"nerozp.",G41/F41)</f>
        <v>nerozp.</v>
      </c>
    </row>
    <row r="42" spans="1:11" ht="14.25" x14ac:dyDescent="0.2">
      <c r="A42" s="53" t="s">
        <v>13</v>
      </c>
      <c r="B42" s="52" t="s">
        <v>306</v>
      </c>
      <c r="C42" s="51"/>
      <c r="D42" s="47"/>
      <c r="E42" s="47"/>
      <c r="F42" s="46"/>
      <c r="G42" s="46"/>
      <c r="H42" s="45"/>
      <c r="I42" s="44"/>
    </row>
    <row r="43" spans="1:11" ht="26.25" customHeight="1" x14ac:dyDescent="0.2">
      <c r="A43" s="50"/>
      <c r="B43" s="558" t="s">
        <v>344</v>
      </c>
      <c r="C43" s="559"/>
      <c r="D43" s="559"/>
      <c r="E43" s="559"/>
      <c r="F43" s="559"/>
      <c r="G43" s="559"/>
      <c r="H43" s="559"/>
      <c r="I43" s="559"/>
    </row>
    <row r="44" spans="1:11" ht="16.5"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1420</v>
      </c>
      <c r="F50" s="22">
        <v>0</v>
      </c>
      <c r="G50" s="21">
        <v>0</v>
      </c>
      <c r="H50" s="21">
        <f>E50+F50-G50</f>
        <v>1420</v>
      </c>
      <c r="I50" s="20">
        <v>1420</v>
      </c>
    </row>
    <row r="51" spans="1:9" x14ac:dyDescent="0.2">
      <c r="A51" s="19"/>
      <c r="B51" s="18"/>
      <c r="C51" s="18" t="s">
        <v>3</v>
      </c>
      <c r="D51" s="18"/>
      <c r="E51" s="464">
        <v>310171.32</v>
      </c>
      <c r="F51" s="17">
        <v>226194.00000000006</v>
      </c>
      <c r="G51" s="16">
        <v>259436</v>
      </c>
      <c r="H51" s="16">
        <f>E51+F51-G51</f>
        <v>276929.32000000007</v>
      </c>
      <c r="I51" s="15">
        <v>269702.59000000003</v>
      </c>
    </row>
    <row r="52" spans="1:9" x14ac:dyDescent="0.2">
      <c r="A52" s="19"/>
      <c r="B52" s="18"/>
      <c r="C52" s="18" t="s">
        <v>2</v>
      </c>
      <c r="D52" s="18"/>
      <c r="E52" s="464">
        <v>10294.5</v>
      </c>
      <c r="F52" s="17">
        <v>2750</v>
      </c>
      <c r="G52" s="16">
        <v>11615</v>
      </c>
      <c r="H52" s="16">
        <f>E52+F52-G52</f>
        <v>1429.5</v>
      </c>
      <c r="I52" s="15">
        <v>1429.5</v>
      </c>
    </row>
    <row r="53" spans="1:9" x14ac:dyDescent="0.2">
      <c r="A53" s="19"/>
      <c r="B53" s="18"/>
      <c r="C53" s="18" t="s">
        <v>1</v>
      </c>
      <c r="D53" s="18"/>
      <c r="E53" s="464">
        <v>307.24</v>
      </c>
      <c r="F53" s="17">
        <v>1474950.0000000002</v>
      </c>
      <c r="G53" s="16">
        <v>1425009</v>
      </c>
      <c r="H53" s="16">
        <f>E53+F53-G53</f>
        <v>50248.240000000224</v>
      </c>
      <c r="I53" s="15">
        <v>50248.24</v>
      </c>
    </row>
    <row r="54" spans="1:9" ht="18.75" thickBot="1" x14ac:dyDescent="0.4">
      <c r="A54" s="14" t="s">
        <v>0</v>
      </c>
      <c r="B54" s="13"/>
      <c r="C54" s="13"/>
      <c r="D54" s="13"/>
      <c r="E54" s="465">
        <f>SUM(E50:E53)</f>
        <v>322193.06</v>
      </c>
      <c r="F54" s="12">
        <f>SUM(F50:F53)</f>
        <v>1703894.0000000002</v>
      </c>
      <c r="G54" s="12">
        <f>SUM(G50:G53)</f>
        <v>1696060</v>
      </c>
      <c r="H54" s="12">
        <f>SUM(H50:H53)</f>
        <v>330027.06000000029</v>
      </c>
      <c r="I54" s="11">
        <f>SUM(I50:I53)</f>
        <v>322800.33</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A2:D2"/>
    <mergeCell ref="E3:I3"/>
    <mergeCell ref="E2:I2"/>
    <mergeCell ref="E5:I5"/>
    <mergeCell ref="E4:I4"/>
    <mergeCell ref="F47:F48"/>
    <mergeCell ref="E6:G6"/>
    <mergeCell ref="A32:I34"/>
    <mergeCell ref="E7:I7"/>
    <mergeCell ref="H13:I13"/>
    <mergeCell ref="H45:I45"/>
    <mergeCell ref="B43:I43"/>
  </mergeCells>
  <conditionalFormatting sqref="I42 I44">
    <cfRule type="cellIs" dxfId="384" priority="9" stopIfTrue="1" operator="greaterThan">
      <formula>1</formula>
    </cfRule>
  </conditionalFormatting>
  <conditionalFormatting sqref="H50:H53">
    <cfRule type="cellIs" dxfId="383" priority="13" stopIfTrue="1" operator="notEqual">
      <formula>E50+F50-G50</formula>
    </cfRule>
  </conditionalFormatting>
  <conditionalFormatting sqref="I54">
    <cfRule type="cellIs" dxfId="382" priority="14" stopIfTrue="1" operator="notEqual">
      <formula>$I$50+$I$51+$I$52+$I$53</formula>
    </cfRule>
  </conditionalFormatting>
  <conditionalFormatting sqref="H54">
    <cfRule type="cellIs" dxfId="381" priority="15" stopIfTrue="1" operator="notEqual">
      <formula>E54+F54-G54</formula>
    </cfRule>
    <cfRule type="cellIs" dxfId="380" priority="16" stopIfTrue="1" operator="notEqual">
      <formula>SUM($H$50:$H$53)</formula>
    </cfRule>
  </conditionalFormatting>
  <conditionalFormatting sqref="G18 G16">
    <cfRule type="cellIs" dxfId="379" priority="17" stopIfTrue="1" operator="notEqual">
      <formula>H16+I16</formula>
    </cfRule>
  </conditionalFormatting>
  <conditionalFormatting sqref="G24">
    <cfRule type="cellIs" dxfId="378" priority="18" stopIfTrue="1" operator="notEqual">
      <formula>ROUND(H24+I24,2)</formula>
    </cfRule>
  </conditionalFormatting>
  <conditionalFormatting sqref="H24">
    <cfRule type="cellIs" dxfId="377" priority="19" stopIfTrue="1" operator="notEqual">
      <formula>$H$18-$H$16</formula>
    </cfRule>
  </conditionalFormatting>
  <conditionalFormatting sqref="I24">
    <cfRule type="cellIs" dxfId="376" priority="20" stopIfTrue="1" operator="notEqual">
      <formula>I18-I16</formula>
    </cfRule>
  </conditionalFormatting>
  <conditionalFormatting sqref="G23">
    <cfRule type="cellIs" dxfId="375" priority="7" stopIfTrue="1" operator="notEqual">
      <formula>ROUND(H23+I23,2)</formula>
    </cfRule>
  </conditionalFormatting>
  <conditionalFormatting sqref="G28">
    <cfRule type="cellIs" dxfId="374" priority="5" operator="notEqual">
      <formula>ROUND($G$24,2)</formula>
    </cfRule>
  </conditionalFormatting>
  <conditionalFormatting sqref="J37">
    <cfRule type="cellIs" dxfId="373" priority="3" operator="greaterThan">
      <formula>0</formula>
    </cfRule>
    <cfRule type="cellIs" dxfId="372" priority="4" operator="lessThan">
      <formula>0</formula>
    </cfRule>
  </conditionalFormatting>
  <conditionalFormatting sqref="J38">
    <cfRule type="cellIs" dxfId="371" priority="1" operator="greaterThan">
      <formula>0</formula>
    </cfRule>
    <cfRule type="cellIs" dxfId="370" priority="2" operator="lessThan">
      <formula>0</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11" ht="19.5" x14ac:dyDescent="0.4">
      <c r="A1" s="119" t="s">
        <v>47</v>
      </c>
      <c r="B1" s="118"/>
      <c r="C1" s="118"/>
      <c r="D1" s="118"/>
    </row>
    <row r="2" spans="1:11" ht="19.5" x14ac:dyDescent="0.4">
      <c r="A2" s="553" t="s">
        <v>46</v>
      </c>
      <c r="B2" s="553"/>
      <c r="C2" s="553"/>
      <c r="D2" s="553"/>
      <c r="E2" s="554" t="s">
        <v>193</v>
      </c>
      <c r="F2" s="543"/>
      <c r="G2" s="543"/>
      <c r="H2" s="543"/>
      <c r="I2" s="543"/>
      <c r="J2" s="458"/>
      <c r="K2" s="458"/>
    </row>
    <row r="3" spans="1:11" ht="12" customHeight="1" x14ac:dyDescent="0.4">
      <c r="A3" s="455"/>
      <c r="B3" s="455"/>
      <c r="C3" s="455"/>
      <c r="D3" s="455"/>
      <c r="E3" s="546" t="s">
        <v>44</v>
      </c>
      <c r="F3" s="546"/>
      <c r="G3" s="546"/>
      <c r="H3" s="546"/>
      <c r="I3" s="546"/>
    </row>
    <row r="4" spans="1:11" ht="15.75" x14ac:dyDescent="0.25">
      <c r="A4" s="115" t="s">
        <v>45</v>
      </c>
      <c r="E4" s="555" t="s">
        <v>194</v>
      </c>
      <c r="F4" s="555"/>
      <c r="G4" s="555"/>
      <c r="H4" s="555"/>
      <c r="I4" s="555"/>
    </row>
    <row r="5" spans="1:11" ht="9" customHeight="1" x14ac:dyDescent="0.25">
      <c r="A5" s="115"/>
      <c r="E5" s="546" t="s">
        <v>44</v>
      </c>
      <c r="F5" s="546"/>
      <c r="G5" s="546"/>
      <c r="H5" s="546"/>
      <c r="I5" s="546"/>
    </row>
    <row r="6" spans="1:11" ht="19.5" x14ac:dyDescent="0.4">
      <c r="A6" s="113" t="s">
        <v>43</v>
      </c>
      <c r="E6" s="543" t="s">
        <v>195</v>
      </c>
      <c r="F6" s="543"/>
      <c r="G6" s="543"/>
      <c r="H6" s="113" t="s">
        <v>42</v>
      </c>
      <c r="I6" s="111" t="s">
        <v>192</v>
      </c>
    </row>
    <row r="7" spans="1:11" ht="9.75" customHeight="1" x14ac:dyDescent="0.4">
      <c r="A7" s="113"/>
      <c r="E7" s="546" t="s">
        <v>41</v>
      </c>
      <c r="F7" s="546"/>
      <c r="G7" s="546"/>
      <c r="H7" s="546"/>
      <c r="I7" s="546"/>
    </row>
    <row r="8" spans="1:11" ht="19.5" x14ac:dyDescent="0.4">
      <c r="A8" s="113"/>
      <c r="E8" s="111"/>
      <c r="F8" s="111"/>
      <c r="G8" s="111"/>
      <c r="H8" s="112"/>
      <c r="I8" s="111"/>
    </row>
    <row r="9" spans="1:11" ht="19.5"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456"/>
      <c r="I14" s="457"/>
    </row>
    <row r="15" spans="1:11" ht="18.75" x14ac:dyDescent="0.4">
      <c r="A15" s="71" t="s">
        <v>32</v>
      </c>
      <c r="B15" s="71"/>
      <c r="C15" s="99"/>
      <c r="D15" s="98"/>
      <c r="E15" s="100"/>
      <c r="F15" s="100"/>
      <c r="G15" s="82"/>
      <c r="H15" s="66"/>
      <c r="I15" s="66"/>
    </row>
    <row r="16" spans="1:11" ht="19.5" x14ac:dyDescent="0.4">
      <c r="A16" s="85" t="s">
        <v>31</v>
      </c>
      <c r="B16" s="71"/>
      <c r="C16" s="99"/>
      <c r="D16" s="98"/>
      <c r="E16" s="78">
        <v>10745000</v>
      </c>
      <c r="F16" s="93">
        <v>11046609.560000001</v>
      </c>
      <c r="G16" s="90">
        <f>H16+I16</f>
        <v>11047119.560000001</v>
      </c>
      <c r="H16" s="78">
        <v>11047119.560000001</v>
      </c>
      <c r="I16" s="78">
        <v>0</v>
      </c>
    </row>
    <row r="17" spans="1:9" ht="14.25" x14ac:dyDescent="0.3">
      <c r="A17" s="97"/>
      <c r="B17" s="96"/>
      <c r="C17" s="96"/>
      <c r="D17" s="96"/>
      <c r="E17" s="95"/>
      <c r="F17" s="94"/>
    </row>
    <row r="18" spans="1:9" ht="19.5" x14ac:dyDescent="0.4">
      <c r="A18" s="85" t="s">
        <v>30</v>
      </c>
      <c r="B18" s="83"/>
      <c r="C18" s="83"/>
      <c r="D18" s="83"/>
      <c r="E18" s="78">
        <v>10195000</v>
      </c>
      <c r="F18" s="93">
        <v>11049970.210000001</v>
      </c>
      <c r="G18" s="90">
        <f>H18+I18</f>
        <v>11049970.210000001</v>
      </c>
      <c r="H18" s="78">
        <v>11049970.210000001</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2850.65</v>
      </c>
      <c r="H24" s="75">
        <f>H18-H16</f>
        <v>2850.6500000003725</v>
      </c>
      <c r="I24" s="75">
        <f>I18-I164</f>
        <v>0</v>
      </c>
    </row>
    <row r="26" spans="1:9" x14ac:dyDescent="0.2">
      <c r="H26" s="66"/>
    </row>
    <row r="28" spans="1:9" ht="19.5" x14ac:dyDescent="0.4">
      <c r="A28" s="43" t="s">
        <v>28</v>
      </c>
      <c r="B28" s="43" t="s">
        <v>27</v>
      </c>
      <c r="C28" s="43"/>
      <c r="D28" s="65"/>
      <c r="E28" s="65"/>
      <c r="F28" s="4"/>
      <c r="G28" s="460">
        <f>ROUND(G29+G30+G31,2)</f>
        <v>2850.65</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2850.6500000003725</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11" x14ac:dyDescent="0.2">
      <c r="A33" s="545"/>
      <c r="B33" s="545"/>
      <c r="C33" s="545"/>
      <c r="D33" s="545"/>
      <c r="E33" s="545"/>
      <c r="F33" s="545"/>
      <c r="G33" s="545"/>
      <c r="H33" s="545"/>
      <c r="I33" s="545"/>
    </row>
    <row r="34" spans="1:11" x14ac:dyDescent="0.2">
      <c r="A34" s="545"/>
      <c r="B34" s="545"/>
      <c r="C34" s="545"/>
      <c r="D34" s="545"/>
      <c r="E34" s="545"/>
      <c r="F34" s="545"/>
      <c r="G34" s="545"/>
      <c r="H34" s="545"/>
      <c r="I34" s="545"/>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56">
        <v>5705000</v>
      </c>
      <c r="G37" s="56">
        <f>5719673-14673</f>
        <v>5705000</v>
      </c>
      <c r="H37" s="55"/>
      <c r="I37" s="54">
        <f>IF(F37=0,"nerozp.",G37/F37)</f>
        <v>1</v>
      </c>
      <c r="J37" s="446"/>
      <c r="K37" s="461"/>
    </row>
    <row r="38" spans="1:11" ht="16.5" x14ac:dyDescent="0.35">
      <c r="A38" s="59" t="s">
        <v>17</v>
      </c>
      <c r="B38" s="58"/>
      <c r="C38" s="57"/>
      <c r="D38" s="60"/>
      <c r="E38" s="60"/>
      <c r="F38" s="56">
        <v>162000</v>
      </c>
      <c r="G38" s="56">
        <v>162510</v>
      </c>
      <c r="H38" s="55"/>
      <c r="I38" s="54">
        <f>IF(F38=0,"nerozp.",G38/F38)</f>
        <v>1.0031481481481481</v>
      </c>
      <c r="J38" s="447"/>
      <c r="K38" s="461"/>
    </row>
    <row r="39" spans="1:11" ht="16.5" x14ac:dyDescent="0.35">
      <c r="A39" s="59" t="s">
        <v>16</v>
      </c>
      <c r="B39" s="58"/>
      <c r="C39" s="57"/>
      <c r="D39" s="60"/>
      <c r="E39" s="60"/>
      <c r="F39" s="56">
        <v>0</v>
      </c>
      <c r="G39" s="56">
        <v>0</v>
      </c>
      <c r="H39" s="55"/>
      <c r="I39" s="54" t="str">
        <f>IF(F39=0,"nerozp.",G39/F39)</f>
        <v>nerozp.</v>
      </c>
    </row>
    <row r="40" spans="1:11" ht="16.5" x14ac:dyDescent="0.35">
      <c r="A40" s="59" t="s">
        <v>15</v>
      </c>
      <c r="B40" s="58"/>
      <c r="C40" s="57"/>
      <c r="D40" s="5"/>
      <c r="E40" s="5"/>
      <c r="F40" s="56">
        <v>129000</v>
      </c>
      <c r="G40" s="56">
        <v>129000</v>
      </c>
      <c r="H40" s="55"/>
      <c r="I40" s="54">
        <f>IF(F40=0,"nerozp.",G40/F40)</f>
        <v>1</v>
      </c>
    </row>
    <row r="41" spans="1:11" ht="16.5" x14ac:dyDescent="0.35">
      <c r="A41" s="59" t="s">
        <v>14</v>
      </c>
      <c r="B41" s="58"/>
      <c r="C41" s="57"/>
      <c r="D41" s="5"/>
      <c r="E41" s="5"/>
      <c r="F41" s="56">
        <v>0</v>
      </c>
      <c r="G41" s="56">
        <v>0</v>
      </c>
      <c r="H41" s="55"/>
      <c r="I41" s="54" t="str">
        <f>IF(F41=0,"nerozp.",G41/F41)</f>
        <v>nerozp.</v>
      </c>
    </row>
    <row r="42" spans="1:11" ht="14.25" x14ac:dyDescent="0.2">
      <c r="A42" s="53" t="s">
        <v>13</v>
      </c>
      <c r="B42" s="52" t="s">
        <v>307</v>
      </c>
      <c r="C42" s="51"/>
      <c r="D42" s="47"/>
      <c r="E42" s="47"/>
      <c r="F42" s="46"/>
      <c r="G42" s="46"/>
      <c r="H42" s="45"/>
      <c r="I42" s="44"/>
    </row>
    <row r="43" spans="1:11" ht="16.5" x14ac:dyDescent="0.35">
      <c r="A43" s="50"/>
      <c r="B43" s="49"/>
      <c r="C43" s="48"/>
      <c r="D43" s="47"/>
      <c r="E43" s="47"/>
      <c r="F43" s="46"/>
      <c r="G43" s="46"/>
      <c r="H43" s="45"/>
      <c r="I43" s="44"/>
    </row>
    <row r="44" spans="1:11" ht="16.5"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1556</v>
      </c>
      <c r="F50" s="22">
        <v>0</v>
      </c>
      <c r="G50" s="21">
        <v>0</v>
      </c>
      <c r="H50" s="21">
        <f>E50+F50-G50</f>
        <v>1556</v>
      </c>
      <c r="I50" s="20">
        <v>1556</v>
      </c>
    </row>
    <row r="51" spans="1:9" x14ac:dyDescent="0.2">
      <c r="A51" s="19"/>
      <c r="B51" s="18"/>
      <c r="C51" s="18" t="s">
        <v>3</v>
      </c>
      <c r="D51" s="18"/>
      <c r="E51" s="464">
        <v>37278.769999999997</v>
      </c>
      <c r="F51" s="17">
        <v>57181.999999999993</v>
      </c>
      <c r="G51" s="16">
        <v>70474</v>
      </c>
      <c r="H51" s="16">
        <f>E51+F51-G51</f>
        <v>23986.76999999999</v>
      </c>
      <c r="I51" s="15">
        <v>28214</v>
      </c>
    </row>
    <row r="52" spans="1:9" x14ac:dyDescent="0.2">
      <c r="A52" s="19"/>
      <c r="B52" s="18"/>
      <c r="C52" s="18" t="s">
        <v>2</v>
      </c>
      <c r="D52" s="18"/>
      <c r="E52" s="464">
        <v>32197.89</v>
      </c>
      <c r="F52" s="17">
        <v>50926.34</v>
      </c>
      <c r="G52" s="16">
        <v>15069</v>
      </c>
      <c r="H52" s="16">
        <f>E52+F52-G52</f>
        <v>68055.23</v>
      </c>
      <c r="I52" s="15">
        <v>68055.23000000001</v>
      </c>
    </row>
    <row r="53" spans="1:9" x14ac:dyDescent="0.2">
      <c r="A53" s="19"/>
      <c r="B53" s="18"/>
      <c r="C53" s="18" t="s">
        <v>1</v>
      </c>
      <c r="D53" s="18"/>
      <c r="E53" s="464">
        <v>169688.7</v>
      </c>
      <c r="F53" s="17">
        <v>383669.99999999994</v>
      </c>
      <c r="G53" s="16">
        <v>460170</v>
      </c>
      <c r="H53" s="16">
        <f>E53+F53-G53</f>
        <v>93188.699999999953</v>
      </c>
      <c r="I53" s="15">
        <v>93188.7</v>
      </c>
    </row>
    <row r="54" spans="1:9" ht="18.75" thickBot="1" x14ac:dyDescent="0.4">
      <c r="A54" s="14" t="s">
        <v>0</v>
      </c>
      <c r="B54" s="13"/>
      <c r="C54" s="13"/>
      <c r="D54" s="13"/>
      <c r="E54" s="465">
        <f>SUM(E50:E53)</f>
        <v>240721.36000000002</v>
      </c>
      <c r="F54" s="12">
        <f>SUM(F50:F53)</f>
        <v>491778.33999999997</v>
      </c>
      <c r="G54" s="12">
        <f>SUM(G50:G53)</f>
        <v>545713</v>
      </c>
      <c r="H54" s="12">
        <f>SUM(H50:H53)</f>
        <v>186786.69999999995</v>
      </c>
      <c r="I54" s="11">
        <f>SUM(I50:I53)</f>
        <v>191013.93</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1">
    <mergeCell ref="F47:F48"/>
    <mergeCell ref="E6:G6"/>
    <mergeCell ref="A32:I34"/>
    <mergeCell ref="E7:I7"/>
    <mergeCell ref="H13:I13"/>
    <mergeCell ref="H45:I45"/>
    <mergeCell ref="A2:D2"/>
    <mergeCell ref="E3:I3"/>
    <mergeCell ref="E2:I2"/>
    <mergeCell ref="E5:I5"/>
    <mergeCell ref="E4:I4"/>
  </mergeCells>
  <conditionalFormatting sqref="I42:I44">
    <cfRule type="cellIs" dxfId="369" priority="9" stopIfTrue="1" operator="greaterThan">
      <formula>1</formula>
    </cfRule>
  </conditionalFormatting>
  <conditionalFormatting sqref="H50:H53">
    <cfRule type="cellIs" dxfId="368" priority="13" stopIfTrue="1" operator="notEqual">
      <formula>E50+F50-G50</formula>
    </cfRule>
  </conditionalFormatting>
  <conditionalFormatting sqref="I54">
    <cfRule type="cellIs" dxfId="367" priority="14" stopIfTrue="1" operator="notEqual">
      <formula>$I$50+$I$51+$I$52+$I$53</formula>
    </cfRule>
  </conditionalFormatting>
  <conditionalFormatting sqref="H54">
    <cfRule type="cellIs" dxfId="366" priority="15" stopIfTrue="1" operator="notEqual">
      <formula>E54+F54-G54</formula>
    </cfRule>
    <cfRule type="cellIs" dxfId="365" priority="16" stopIfTrue="1" operator="notEqual">
      <formula>SUM($H$50:$H$53)</formula>
    </cfRule>
  </conditionalFormatting>
  <conditionalFormatting sqref="G18 G16">
    <cfRule type="cellIs" dxfId="364" priority="17" stopIfTrue="1" operator="notEqual">
      <formula>H16+I16</formula>
    </cfRule>
  </conditionalFormatting>
  <conditionalFormatting sqref="G24">
    <cfRule type="cellIs" dxfId="363" priority="18" stopIfTrue="1" operator="notEqual">
      <formula>ROUND(H24+I24,2)</formula>
    </cfRule>
  </conditionalFormatting>
  <conditionalFormatting sqref="H24">
    <cfRule type="cellIs" dxfId="362" priority="19" stopIfTrue="1" operator="notEqual">
      <formula>$H$18-$H$16</formula>
    </cfRule>
  </conditionalFormatting>
  <conditionalFormatting sqref="I24">
    <cfRule type="cellIs" dxfId="361" priority="20" stopIfTrue="1" operator="notEqual">
      <formula>I18-I16</formula>
    </cfRule>
  </conditionalFormatting>
  <conditionalFormatting sqref="G23">
    <cfRule type="cellIs" dxfId="360" priority="7" stopIfTrue="1" operator="notEqual">
      <formula>ROUND(H23+I23,2)</formula>
    </cfRule>
  </conditionalFormatting>
  <conditionalFormatting sqref="G28">
    <cfRule type="cellIs" dxfId="359" priority="5" operator="notEqual">
      <formula>ROUND($G$24,2)</formula>
    </cfRule>
  </conditionalFormatting>
  <conditionalFormatting sqref="J37">
    <cfRule type="cellIs" dxfId="358" priority="3" operator="greaterThan">
      <formula>0</formula>
    </cfRule>
    <cfRule type="cellIs" dxfId="357" priority="4" operator="lessThan">
      <formula>0</formula>
    </cfRule>
  </conditionalFormatting>
  <conditionalFormatting sqref="J38">
    <cfRule type="cellIs" dxfId="356" priority="1" operator="greaterThan">
      <formula>0</formula>
    </cfRule>
    <cfRule type="cellIs" dxfId="355" priority="2" operator="lessThan">
      <formula>0</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11" ht="19.5" x14ac:dyDescent="0.4">
      <c r="A1" s="119" t="s">
        <v>47</v>
      </c>
      <c r="B1" s="118"/>
      <c r="C1" s="118"/>
      <c r="D1" s="118"/>
    </row>
    <row r="2" spans="1:11" ht="19.5" x14ac:dyDescent="0.4">
      <c r="A2" s="553" t="s">
        <v>46</v>
      </c>
      <c r="B2" s="553"/>
      <c r="C2" s="553"/>
      <c r="D2" s="553"/>
      <c r="E2" s="554" t="s">
        <v>196</v>
      </c>
      <c r="F2" s="543"/>
      <c r="G2" s="543"/>
      <c r="H2" s="543"/>
      <c r="I2" s="543"/>
      <c r="J2" s="458"/>
      <c r="K2" s="458"/>
    </row>
    <row r="3" spans="1:11" ht="12" customHeight="1" x14ac:dyDescent="0.4">
      <c r="A3" s="455"/>
      <c r="B3" s="455"/>
      <c r="C3" s="455"/>
      <c r="D3" s="455"/>
      <c r="E3" s="546" t="s">
        <v>44</v>
      </c>
      <c r="F3" s="546"/>
      <c r="G3" s="546"/>
      <c r="H3" s="546"/>
      <c r="I3" s="546"/>
    </row>
    <row r="4" spans="1:11" ht="15.75" x14ac:dyDescent="0.25">
      <c r="A4" s="115" t="s">
        <v>45</v>
      </c>
      <c r="E4" s="555" t="s">
        <v>197</v>
      </c>
      <c r="F4" s="555"/>
      <c r="G4" s="555"/>
      <c r="H4" s="555"/>
      <c r="I4" s="555"/>
    </row>
    <row r="5" spans="1:11" ht="9" customHeight="1" x14ac:dyDescent="0.25">
      <c r="A5" s="115"/>
      <c r="E5" s="546" t="s">
        <v>44</v>
      </c>
      <c r="F5" s="546"/>
      <c r="G5" s="546"/>
      <c r="H5" s="546"/>
      <c r="I5" s="546"/>
    </row>
    <row r="6" spans="1:11" ht="19.5" x14ac:dyDescent="0.4">
      <c r="A6" s="113" t="s">
        <v>43</v>
      </c>
      <c r="E6" s="543" t="s">
        <v>198</v>
      </c>
      <c r="F6" s="543"/>
      <c r="G6" s="543"/>
      <c r="H6" s="113" t="s">
        <v>42</v>
      </c>
      <c r="I6" s="111" t="s">
        <v>199</v>
      </c>
    </row>
    <row r="7" spans="1:11" ht="9.75" customHeight="1" x14ac:dyDescent="0.4">
      <c r="A7" s="113"/>
      <c r="E7" s="546" t="s">
        <v>41</v>
      </c>
      <c r="F7" s="546"/>
      <c r="G7" s="546"/>
      <c r="H7" s="546"/>
      <c r="I7" s="546"/>
    </row>
    <row r="8" spans="1:11" ht="19.5" x14ac:dyDescent="0.4">
      <c r="A8" s="113"/>
      <c r="E8" s="111"/>
      <c r="F8" s="111"/>
      <c r="G8" s="111"/>
      <c r="H8" s="112"/>
      <c r="I8" s="111"/>
    </row>
    <row r="9" spans="1:11" ht="19.5"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456"/>
      <c r="I14" s="457"/>
    </row>
    <row r="15" spans="1:11" ht="18.75" x14ac:dyDescent="0.4">
      <c r="A15" s="71" t="s">
        <v>32</v>
      </c>
      <c r="B15" s="71"/>
      <c r="C15" s="99"/>
      <c r="D15" s="98"/>
      <c r="E15" s="100"/>
      <c r="F15" s="100"/>
      <c r="G15" s="82"/>
      <c r="H15" s="66"/>
      <c r="I15" s="66"/>
    </row>
    <row r="16" spans="1:11" ht="19.5" x14ac:dyDescent="0.4">
      <c r="A16" s="85" t="s">
        <v>31</v>
      </c>
      <c r="B16" s="71"/>
      <c r="C16" s="99"/>
      <c r="D16" s="98"/>
      <c r="E16" s="78">
        <f>24450000-122000</f>
        <v>24328000</v>
      </c>
      <c r="F16" s="93">
        <v>24661000</v>
      </c>
      <c r="G16" s="90">
        <f>H16+I16</f>
        <v>25912613.779999997</v>
      </c>
      <c r="H16" s="78">
        <v>25912613.779999997</v>
      </c>
      <c r="I16" s="78">
        <v>0</v>
      </c>
    </row>
    <row r="17" spans="1:9" ht="14.25" x14ac:dyDescent="0.3">
      <c r="A17" s="97"/>
      <c r="B17" s="96"/>
      <c r="C17" s="96"/>
      <c r="D17" s="96"/>
      <c r="E17" s="95"/>
      <c r="F17" s="94"/>
    </row>
    <row r="18" spans="1:9" ht="19.5" x14ac:dyDescent="0.4">
      <c r="A18" s="85" t="s">
        <v>30</v>
      </c>
      <c r="B18" s="83"/>
      <c r="C18" s="83"/>
      <c r="D18" s="83"/>
      <c r="E18" s="78">
        <v>22036000</v>
      </c>
      <c r="F18" s="93">
        <v>24424000</v>
      </c>
      <c r="G18" s="90">
        <f>H18+I18</f>
        <v>25917369.189999998</v>
      </c>
      <c r="H18" s="78">
        <v>25917369.189999998</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4755.41</v>
      </c>
      <c r="H24" s="75">
        <f>H18-H16</f>
        <v>4755.410000000149</v>
      </c>
      <c r="I24" s="75">
        <f>I18-I164</f>
        <v>0</v>
      </c>
    </row>
    <row r="26" spans="1:9" x14ac:dyDescent="0.2">
      <c r="H26" s="66"/>
    </row>
    <row r="28" spans="1:9" ht="19.5" x14ac:dyDescent="0.4">
      <c r="A28" s="43" t="s">
        <v>28</v>
      </c>
      <c r="B28" s="43" t="s">
        <v>27</v>
      </c>
      <c r="C28" s="43"/>
      <c r="D28" s="65"/>
      <c r="E28" s="65"/>
      <c r="F28" s="4"/>
      <c r="G28" s="460">
        <f>ROUND(G29+G30+G31,2)</f>
        <v>4755.41</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4755.410000000149</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11" x14ac:dyDescent="0.2">
      <c r="A33" s="545"/>
      <c r="B33" s="545"/>
      <c r="C33" s="545"/>
      <c r="D33" s="545"/>
      <c r="E33" s="545"/>
      <c r="F33" s="545"/>
      <c r="G33" s="545"/>
      <c r="H33" s="545"/>
      <c r="I33" s="545"/>
    </row>
    <row r="34" spans="1:11" x14ac:dyDescent="0.2">
      <c r="A34" s="545"/>
      <c r="B34" s="545"/>
      <c r="C34" s="545"/>
      <c r="D34" s="545"/>
      <c r="E34" s="545"/>
      <c r="F34" s="545"/>
      <c r="G34" s="545"/>
      <c r="H34" s="545"/>
      <c r="I34" s="545"/>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56">
        <v>12272000</v>
      </c>
      <c r="G37" s="56">
        <f>12487167-65234</f>
        <v>12421933</v>
      </c>
      <c r="H37" s="55"/>
      <c r="I37" s="54">
        <f>IF(F37=0,"nerozp.",G37/F37)</f>
        <v>1.0122174869621903</v>
      </c>
      <c r="J37" s="446"/>
      <c r="K37" s="461"/>
    </row>
    <row r="38" spans="1:11" ht="16.5" x14ac:dyDescent="0.35">
      <c r="A38" s="59" t="s">
        <v>17</v>
      </c>
      <c r="B38" s="58"/>
      <c r="C38" s="57"/>
      <c r="D38" s="60"/>
      <c r="E38" s="60"/>
      <c r="F38" s="56">
        <v>1100000</v>
      </c>
      <c r="G38" s="56">
        <v>1104138</v>
      </c>
      <c r="H38" s="55"/>
      <c r="I38" s="54">
        <f>IF(F38=0,"nerozp.",G38/F38)</f>
        <v>1.0037618181818182</v>
      </c>
      <c r="J38" s="447"/>
      <c r="K38" s="461"/>
    </row>
    <row r="39" spans="1:11" ht="16.5" x14ac:dyDescent="0.35">
      <c r="A39" s="59" t="s">
        <v>16</v>
      </c>
      <c r="B39" s="58"/>
      <c r="C39" s="57"/>
      <c r="D39" s="60"/>
      <c r="E39" s="60"/>
      <c r="F39" s="56">
        <v>0</v>
      </c>
      <c r="G39" s="56">
        <v>0</v>
      </c>
      <c r="H39" s="55"/>
      <c r="I39" s="54" t="str">
        <f>IF(F39=0,"nerozp.",G39/F39)</f>
        <v>nerozp.</v>
      </c>
    </row>
    <row r="40" spans="1:11" ht="16.5" x14ac:dyDescent="0.35">
      <c r="A40" s="59" t="s">
        <v>15</v>
      </c>
      <c r="B40" s="58"/>
      <c r="C40" s="57"/>
      <c r="D40" s="5"/>
      <c r="E40" s="5"/>
      <c r="F40" s="56">
        <v>887000</v>
      </c>
      <c r="G40" s="56">
        <v>887000</v>
      </c>
      <c r="H40" s="55"/>
      <c r="I40" s="54">
        <f>IF(F40=0,"nerozp.",G40/F40)</f>
        <v>1</v>
      </c>
    </row>
    <row r="41" spans="1:11" ht="16.5" x14ac:dyDescent="0.35">
      <c r="A41" s="59" t="s">
        <v>14</v>
      </c>
      <c r="B41" s="58"/>
      <c r="C41" s="57"/>
      <c r="D41" s="5"/>
      <c r="E41" s="5"/>
      <c r="F41" s="56">
        <v>0</v>
      </c>
      <c r="G41" s="56">
        <v>0</v>
      </c>
      <c r="H41" s="55"/>
      <c r="I41" s="54" t="str">
        <f>IF(F41=0,"nerozp.",G41/F41)</f>
        <v>nerozp.</v>
      </c>
    </row>
    <row r="42" spans="1:11" ht="14.25" x14ac:dyDescent="0.2">
      <c r="A42" s="53" t="s">
        <v>13</v>
      </c>
      <c r="B42" s="52" t="s">
        <v>309</v>
      </c>
      <c r="C42" s="51"/>
      <c r="D42" s="47"/>
      <c r="E42" s="47"/>
      <c r="F42" s="46"/>
      <c r="G42" s="46"/>
      <c r="H42" s="45"/>
      <c r="I42" s="44"/>
    </row>
    <row r="43" spans="1:11" ht="28.5" customHeight="1" x14ac:dyDescent="0.2">
      <c r="A43" s="50"/>
      <c r="B43" s="558" t="s">
        <v>308</v>
      </c>
      <c r="C43" s="559"/>
      <c r="D43" s="559"/>
      <c r="E43" s="559"/>
      <c r="F43" s="559"/>
      <c r="G43" s="559"/>
      <c r="H43" s="559"/>
      <c r="I43" s="559"/>
    </row>
    <row r="44" spans="1:11" ht="16.5"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9960</v>
      </c>
      <c r="F50" s="22">
        <v>0</v>
      </c>
      <c r="G50" s="21">
        <v>0</v>
      </c>
      <c r="H50" s="21">
        <f>E50+F50-G50</f>
        <v>9960</v>
      </c>
      <c r="I50" s="20">
        <v>9960</v>
      </c>
    </row>
    <row r="51" spans="1:9" x14ac:dyDescent="0.2">
      <c r="A51" s="19"/>
      <c r="B51" s="18"/>
      <c r="C51" s="18" t="s">
        <v>3</v>
      </c>
      <c r="D51" s="18"/>
      <c r="E51" s="464">
        <v>550685.29</v>
      </c>
      <c r="F51" s="17">
        <v>324155.09999999998</v>
      </c>
      <c r="G51" s="16">
        <v>433082</v>
      </c>
      <c r="H51" s="16">
        <f>E51+F51-G51</f>
        <v>441758.39</v>
      </c>
      <c r="I51" s="15">
        <v>126725.57</v>
      </c>
    </row>
    <row r="52" spans="1:9" x14ac:dyDescent="0.2">
      <c r="A52" s="19"/>
      <c r="B52" s="18"/>
      <c r="C52" s="18" t="s">
        <v>2</v>
      </c>
      <c r="D52" s="18"/>
      <c r="E52" s="464">
        <v>174390.84999999998</v>
      </c>
      <c r="F52" s="17">
        <v>85074.520000000019</v>
      </c>
      <c r="G52" s="16">
        <v>103512</v>
      </c>
      <c r="H52" s="16">
        <f>E52+F52-G52</f>
        <v>155953.37</v>
      </c>
      <c r="I52" s="15">
        <v>155953.37</v>
      </c>
    </row>
    <row r="53" spans="1:9" x14ac:dyDescent="0.2">
      <c r="A53" s="19"/>
      <c r="B53" s="18"/>
      <c r="C53" s="18" t="s">
        <v>1</v>
      </c>
      <c r="D53" s="18"/>
      <c r="E53" s="464">
        <v>320906.7</v>
      </c>
      <c r="F53" s="17">
        <v>1592538.0000000002</v>
      </c>
      <c r="G53" s="16">
        <v>1552960</v>
      </c>
      <c r="H53" s="16">
        <f>E53+F53-G53</f>
        <v>360484.70000000019</v>
      </c>
      <c r="I53" s="15">
        <v>360484.7</v>
      </c>
    </row>
    <row r="54" spans="1:9" ht="18.75" thickBot="1" x14ac:dyDescent="0.4">
      <c r="A54" s="14" t="s">
        <v>0</v>
      </c>
      <c r="B54" s="13"/>
      <c r="C54" s="13"/>
      <c r="D54" s="13"/>
      <c r="E54" s="465">
        <f>SUM(E50:E53)</f>
        <v>1055942.8400000001</v>
      </c>
      <c r="F54" s="12">
        <f>SUM(F50:F53)</f>
        <v>2001767.62</v>
      </c>
      <c r="G54" s="12">
        <f>SUM(G50:G53)</f>
        <v>2089554</v>
      </c>
      <c r="H54" s="12">
        <f>SUM(H50:H53)</f>
        <v>968156.4600000002</v>
      </c>
      <c r="I54" s="11">
        <f>SUM(I50:I53)</f>
        <v>653123.64</v>
      </c>
    </row>
    <row r="55" spans="1:9" ht="18.75" thickTop="1" x14ac:dyDescent="0.35">
      <c r="A55" s="7"/>
      <c r="B55" s="6"/>
      <c r="C55" s="6"/>
      <c r="D55" s="5"/>
      <c r="E55" s="5"/>
      <c r="F55" s="4"/>
      <c r="G55" s="10"/>
      <c r="H55" s="9"/>
      <c r="I55" s="9"/>
    </row>
    <row r="56" spans="1:9" ht="18" x14ac:dyDescent="0.35">
      <c r="A56" s="7"/>
      <c r="B56" s="6"/>
      <c r="C56" s="6"/>
      <c r="D56" s="5"/>
      <c r="E56" s="5"/>
      <c r="F56" s="4"/>
      <c r="G56" s="8"/>
      <c r="H56" s="4"/>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2">
    <mergeCell ref="A2:D2"/>
    <mergeCell ref="E3:I3"/>
    <mergeCell ref="E2:I2"/>
    <mergeCell ref="E5:I5"/>
    <mergeCell ref="E4:I4"/>
    <mergeCell ref="F47:F48"/>
    <mergeCell ref="E6:G6"/>
    <mergeCell ref="A32:I34"/>
    <mergeCell ref="E7:I7"/>
    <mergeCell ref="H13:I13"/>
    <mergeCell ref="H45:I45"/>
    <mergeCell ref="B43:I43"/>
  </mergeCells>
  <conditionalFormatting sqref="I42 I44">
    <cfRule type="cellIs" dxfId="354" priority="9" stopIfTrue="1" operator="greaterThan">
      <formula>1</formula>
    </cfRule>
  </conditionalFormatting>
  <conditionalFormatting sqref="H50:H53">
    <cfRule type="cellIs" dxfId="353" priority="13" stopIfTrue="1" operator="notEqual">
      <formula>E50+F50-G50</formula>
    </cfRule>
  </conditionalFormatting>
  <conditionalFormatting sqref="I54">
    <cfRule type="cellIs" dxfId="352" priority="14" stopIfTrue="1" operator="notEqual">
      <formula>$I$50+$I$51+$I$52+$I$53</formula>
    </cfRule>
  </conditionalFormatting>
  <conditionalFormatting sqref="H54">
    <cfRule type="cellIs" dxfId="351" priority="15" stopIfTrue="1" operator="notEqual">
      <formula>E54+F54-G54</formula>
    </cfRule>
    <cfRule type="cellIs" dxfId="350" priority="16" stopIfTrue="1" operator="notEqual">
      <formula>SUM($H$50:$H$53)</formula>
    </cfRule>
  </conditionalFormatting>
  <conditionalFormatting sqref="G18 G16">
    <cfRule type="cellIs" dxfId="349" priority="17" stopIfTrue="1" operator="notEqual">
      <formula>H16+I16</formula>
    </cfRule>
  </conditionalFormatting>
  <conditionalFormatting sqref="G24">
    <cfRule type="cellIs" dxfId="348" priority="18" stopIfTrue="1" operator="notEqual">
      <formula>ROUND(H24+I24,2)</formula>
    </cfRule>
  </conditionalFormatting>
  <conditionalFormatting sqref="H24">
    <cfRule type="cellIs" dxfId="347" priority="19" stopIfTrue="1" operator="notEqual">
      <formula>$H$18-$H$16</formula>
    </cfRule>
  </conditionalFormatting>
  <conditionalFormatting sqref="I24">
    <cfRule type="cellIs" dxfId="346" priority="20" stopIfTrue="1" operator="notEqual">
      <formula>I18-I16</formula>
    </cfRule>
  </conditionalFormatting>
  <conditionalFormatting sqref="G23">
    <cfRule type="cellIs" dxfId="345" priority="7" stopIfTrue="1" operator="notEqual">
      <formula>ROUND(H23+I23,2)</formula>
    </cfRule>
  </conditionalFormatting>
  <conditionalFormatting sqref="G28">
    <cfRule type="cellIs" dxfId="344" priority="5" operator="notEqual">
      <formula>ROUND($G$24,2)</formula>
    </cfRule>
  </conditionalFormatting>
  <conditionalFormatting sqref="J37">
    <cfRule type="cellIs" dxfId="343" priority="3" operator="greaterThan">
      <formula>0</formula>
    </cfRule>
    <cfRule type="cellIs" dxfId="342" priority="4" operator="lessThan">
      <formula>0</formula>
    </cfRule>
  </conditionalFormatting>
  <conditionalFormatting sqref="J38">
    <cfRule type="cellIs" dxfId="341" priority="1" operator="greaterThan">
      <formula>0</formula>
    </cfRule>
    <cfRule type="cellIs" dxfId="340" priority="2" operator="lessThan">
      <formula>0</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zoomScaleNormal="100" workbookViewId="0">
      <selection activeCell="L34" sqref="L34"/>
    </sheetView>
  </sheetViews>
  <sheetFormatPr defaultRowHeight="12.75" x14ac:dyDescent="0.2"/>
  <cols>
    <col min="1" max="1" width="7.5703125" style="2" customWidth="1"/>
    <col min="2" max="2" width="2.5703125" style="2" customWidth="1"/>
    <col min="3" max="3" width="8.42578125" style="2" customWidth="1"/>
    <col min="4" max="4" width="8.28515625" style="2" customWidth="1"/>
    <col min="5" max="5" width="14.7109375" style="2" customWidth="1"/>
    <col min="6" max="6" width="15.5703125" style="2" customWidth="1"/>
    <col min="7" max="9" width="14.7109375" style="2" customWidth="1"/>
    <col min="10" max="16384" width="9.140625" style="180"/>
  </cols>
  <sheetData>
    <row r="1" spans="1:11" ht="19.5" x14ac:dyDescent="0.4">
      <c r="A1" s="119" t="s">
        <v>47</v>
      </c>
      <c r="B1" s="118"/>
      <c r="C1" s="118"/>
      <c r="D1" s="118"/>
    </row>
    <row r="2" spans="1:11" ht="19.5" x14ac:dyDescent="0.4">
      <c r="A2" s="553" t="s">
        <v>46</v>
      </c>
      <c r="B2" s="553"/>
      <c r="C2" s="553"/>
      <c r="D2" s="553"/>
      <c r="E2" s="554" t="s">
        <v>200</v>
      </c>
      <c r="F2" s="543"/>
      <c r="G2" s="543"/>
      <c r="H2" s="543"/>
      <c r="I2" s="543"/>
      <c r="J2" s="458"/>
      <c r="K2" s="458"/>
    </row>
    <row r="3" spans="1:11" ht="12" customHeight="1" x14ac:dyDescent="0.4">
      <c r="A3" s="455"/>
      <c r="B3" s="455"/>
      <c r="C3" s="455"/>
      <c r="D3" s="455"/>
      <c r="E3" s="546" t="s">
        <v>44</v>
      </c>
      <c r="F3" s="546"/>
      <c r="G3" s="546"/>
      <c r="H3" s="546"/>
      <c r="I3" s="546"/>
    </row>
    <row r="4" spans="1:11" ht="15.75" x14ac:dyDescent="0.25">
      <c r="A4" s="115" t="s">
        <v>45</v>
      </c>
      <c r="E4" s="555" t="s">
        <v>201</v>
      </c>
      <c r="F4" s="555"/>
      <c r="G4" s="555"/>
      <c r="H4" s="555"/>
      <c r="I4" s="555"/>
    </row>
    <row r="5" spans="1:11" ht="9" customHeight="1" x14ac:dyDescent="0.25">
      <c r="A5" s="115"/>
      <c r="E5" s="546" t="s">
        <v>44</v>
      </c>
      <c r="F5" s="546"/>
      <c r="G5" s="546"/>
      <c r="H5" s="546"/>
      <c r="I5" s="546"/>
    </row>
    <row r="6" spans="1:11" ht="19.5" x14ac:dyDescent="0.4">
      <c r="A6" s="113" t="s">
        <v>43</v>
      </c>
      <c r="E6" s="543" t="s">
        <v>202</v>
      </c>
      <c r="F6" s="543"/>
      <c r="G6" s="543"/>
      <c r="H6" s="113" t="s">
        <v>42</v>
      </c>
      <c r="I6" s="111" t="s">
        <v>203</v>
      </c>
    </row>
    <row r="7" spans="1:11" ht="9.75" customHeight="1" x14ac:dyDescent="0.4">
      <c r="A7" s="113"/>
      <c r="E7" s="546" t="s">
        <v>41</v>
      </c>
      <c r="F7" s="546"/>
      <c r="G7" s="546"/>
      <c r="H7" s="546"/>
      <c r="I7" s="546"/>
    </row>
    <row r="8" spans="1:11" ht="19.5" x14ac:dyDescent="0.4">
      <c r="A8" s="113"/>
      <c r="E8" s="111"/>
      <c r="F8" s="111"/>
      <c r="G8" s="111"/>
      <c r="H8" s="112"/>
      <c r="I8" s="111"/>
    </row>
    <row r="9" spans="1:11" ht="19.5" x14ac:dyDescent="0.4">
      <c r="A9" s="113"/>
      <c r="E9" s="111"/>
      <c r="F9" s="111"/>
      <c r="G9" s="111"/>
      <c r="H9" s="112"/>
      <c r="I9" s="111"/>
    </row>
    <row r="11" spans="1:11" ht="18.75" x14ac:dyDescent="0.4">
      <c r="A11" s="110"/>
      <c r="B11" s="94"/>
      <c r="C11" s="94"/>
      <c r="D11" s="94"/>
      <c r="E11" s="104" t="s">
        <v>40</v>
      </c>
      <c r="F11" s="104" t="s">
        <v>39</v>
      </c>
      <c r="G11" s="107" t="s">
        <v>20</v>
      </c>
      <c r="H11" s="109" t="s">
        <v>38</v>
      </c>
      <c r="I11" s="108"/>
    </row>
    <row r="12" spans="1:11" ht="18.75" x14ac:dyDescent="0.4">
      <c r="A12" s="66"/>
      <c r="B12" s="66"/>
      <c r="C12" s="66"/>
      <c r="D12" s="66"/>
      <c r="E12" s="104" t="s">
        <v>37</v>
      </c>
      <c r="F12" s="104" t="s">
        <v>37</v>
      </c>
      <c r="G12" s="107" t="s">
        <v>36</v>
      </c>
      <c r="H12" s="106" t="s">
        <v>35</v>
      </c>
      <c r="I12" s="105" t="s">
        <v>34</v>
      </c>
    </row>
    <row r="13" spans="1:11" ht="15" x14ac:dyDescent="0.2">
      <c r="A13" s="66"/>
      <c r="B13" s="66"/>
      <c r="C13" s="66"/>
      <c r="D13" s="66"/>
      <c r="E13" s="104" t="s">
        <v>0</v>
      </c>
      <c r="F13" s="104" t="s">
        <v>0</v>
      </c>
      <c r="G13" s="103"/>
      <c r="H13" s="547" t="s">
        <v>33</v>
      </c>
      <c r="I13" s="548"/>
    </row>
    <row r="14" spans="1:11" ht="15" x14ac:dyDescent="0.2">
      <c r="A14" s="66"/>
      <c r="B14" s="66"/>
      <c r="C14" s="66"/>
      <c r="D14" s="66"/>
      <c r="E14" s="104"/>
      <c r="F14" s="104"/>
      <c r="G14" s="103"/>
      <c r="H14" s="456"/>
      <c r="I14" s="457"/>
    </row>
    <row r="15" spans="1:11" ht="18.75" x14ac:dyDescent="0.4">
      <c r="A15" s="71" t="s">
        <v>32</v>
      </c>
      <c r="B15" s="71"/>
      <c r="C15" s="99"/>
      <c r="D15" s="98"/>
      <c r="E15" s="100"/>
      <c r="F15" s="100"/>
      <c r="G15" s="82"/>
      <c r="H15" s="66"/>
      <c r="I15" s="66"/>
    </row>
    <row r="16" spans="1:11" ht="19.5" x14ac:dyDescent="0.4">
      <c r="A16" s="85" t="s">
        <v>31</v>
      </c>
      <c r="B16" s="71"/>
      <c r="C16" s="99"/>
      <c r="D16" s="98"/>
      <c r="E16" s="78">
        <v>84519000</v>
      </c>
      <c r="F16" s="93">
        <v>83671000</v>
      </c>
      <c r="G16" s="90">
        <f>H16+I16</f>
        <v>85050198.729999989</v>
      </c>
      <c r="H16" s="78">
        <v>85050198.729999989</v>
      </c>
      <c r="I16" s="78">
        <v>0</v>
      </c>
    </row>
    <row r="17" spans="1:9" ht="14.25" x14ac:dyDescent="0.3">
      <c r="A17" s="97"/>
      <c r="B17" s="96"/>
      <c r="C17" s="96"/>
      <c r="D17" s="96"/>
      <c r="E17" s="95"/>
      <c r="F17" s="94"/>
    </row>
    <row r="18" spans="1:9" ht="19.5" x14ac:dyDescent="0.4">
      <c r="A18" s="85" t="s">
        <v>30</v>
      </c>
      <c r="B18" s="83"/>
      <c r="C18" s="83"/>
      <c r="D18" s="83"/>
      <c r="E18" s="78">
        <v>77395000</v>
      </c>
      <c r="F18" s="93">
        <v>83671000</v>
      </c>
      <c r="G18" s="90">
        <f>H18+I18</f>
        <v>85063287.00999999</v>
      </c>
      <c r="H18" s="78">
        <v>85063287.00999999</v>
      </c>
      <c r="I18" s="78">
        <v>0</v>
      </c>
    </row>
    <row r="19" spans="1:9" ht="18" x14ac:dyDescent="0.35">
      <c r="A19" s="92"/>
      <c r="B19" s="83"/>
      <c r="C19" s="83"/>
      <c r="D19" s="83"/>
      <c r="E19" s="90"/>
      <c r="F19" s="91"/>
      <c r="G19" s="90"/>
      <c r="H19" s="89"/>
      <c r="I19" s="89"/>
    </row>
    <row r="20" spans="1:9" ht="18" hidden="1" x14ac:dyDescent="0.35">
      <c r="A20" s="88"/>
      <c r="B20" s="87"/>
      <c r="C20" s="87"/>
      <c r="D20" s="87"/>
      <c r="E20" s="83"/>
      <c r="F20" s="83"/>
      <c r="G20" s="83"/>
      <c r="H20" s="86"/>
      <c r="I20" s="86"/>
    </row>
    <row r="21" spans="1:9" ht="19.5" x14ac:dyDescent="0.4">
      <c r="A21" s="517" t="s">
        <v>348</v>
      </c>
      <c r="B21" s="518"/>
      <c r="C21" s="518"/>
      <c r="D21" s="518"/>
      <c r="E21" s="518"/>
      <c r="F21" s="518"/>
      <c r="G21" s="84"/>
      <c r="H21" s="83"/>
      <c r="I21" s="83"/>
    </row>
    <row r="22" spans="1:9" ht="18" x14ac:dyDescent="0.35">
      <c r="A22" s="518"/>
      <c r="B22" s="518"/>
      <c r="C22" s="519" t="s">
        <v>349</v>
      </c>
      <c r="D22" s="518"/>
      <c r="E22" s="518"/>
      <c r="F22" s="518"/>
      <c r="G22" s="78">
        <f>H22+I22</f>
        <v>0</v>
      </c>
      <c r="H22" s="78">
        <v>0</v>
      </c>
      <c r="I22" s="78">
        <v>0</v>
      </c>
    </row>
    <row r="23" spans="1:9" ht="18" x14ac:dyDescent="0.25">
      <c r="A23" s="82"/>
      <c r="B23" s="80"/>
      <c r="C23" s="81"/>
      <c r="D23" s="80"/>
      <c r="E23" s="80"/>
      <c r="F23" s="80"/>
      <c r="G23" s="79"/>
      <c r="H23" s="78"/>
      <c r="I23" s="78"/>
    </row>
    <row r="24" spans="1:9" ht="22.5" x14ac:dyDescent="0.45">
      <c r="A24" s="76" t="s">
        <v>29</v>
      </c>
      <c r="B24" s="76"/>
      <c r="C24" s="77"/>
      <c r="D24" s="76"/>
      <c r="E24" s="76"/>
      <c r="F24" s="76"/>
      <c r="G24" s="459">
        <f>ROUND(G18-G16-G22,2)</f>
        <v>13088.28</v>
      </c>
      <c r="H24" s="75">
        <f>H18-H16</f>
        <v>13088.280000001192</v>
      </c>
      <c r="I24" s="75">
        <f>I18-I164</f>
        <v>0</v>
      </c>
    </row>
    <row r="26" spans="1:9" x14ac:dyDescent="0.2">
      <c r="H26" s="66"/>
    </row>
    <row r="28" spans="1:9" ht="19.5" x14ac:dyDescent="0.4">
      <c r="A28" s="43" t="s">
        <v>28</v>
      </c>
      <c r="B28" s="43" t="s">
        <v>27</v>
      </c>
      <c r="C28" s="43"/>
      <c r="D28" s="65"/>
      <c r="E28" s="65"/>
      <c r="F28" s="4"/>
      <c r="G28" s="460">
        <f>ROUND(G29+G30+G31,2)</f>
        <v>13088.28</v>
      </c>
      <c r="H28" s="55"/>
      <c r="I28" s="4"/>
    </row>
    <row r="29" spans="1:9" ht="18.75" x14ac:dyDescent="0.4">
      <c r="A29" s="71"/>
      <c r="B29" s="71"/>
      <c r="C29" s="70" t="s">
        <v>26</v>
      </c>
      <c r="D29" s="69"/>
      <c r="E29" s="68"/>
      <c r="F29" s="66" t="s">
        <v>4</v>
      </c>
      <c r="G29" s="74">
        <v>0</v>
      </c>
      <c r="H29" s="55"/>
      <c r="I29" s="66"/>
    </row>
    <row r="30" spans="1:9" ht="18.75" x14ac:dyDescent="0.4">
      <c r="A30" s="71"/>
      <c r="B30" s="71"/>
      <c r="C30" s="70"/>
      <c r="D30" s="69"/>
      <c r="E30" s="68"/>
      <c r="F30" s="73" t="s">
        <v>2</v>
      </c>
      <c r="G30" s="72">
        <v>13088.280000001192</v>
      </c>
      <c r="H30" s="55"/>
      <c r="I30" s="66"/>
    </row>
    <row r="31" spans="1:9" ht="18.75" x14ac:dyDescent="0.4">
      <c r="A31" s="71"/>
      <c r="B31" s="71"/>
      <c r="C31" s="70" t="s">
        <v>25</v>
      </c>
      <c r="D31" s="69"/>
      <c r="E31" s="68"/>
      <c r="F31" s="66" t="s">
        <v>24</v>
      </c>
      <c r="G31" s="67">
        <v>0</v>
      </c>
      <c r="H31" s="55"/>
      <c r="I31" s="66"/>
    </row>
    <row r="32" spans="1:9" x14ac:dyDescent="0.2">
      <c r="A32" s="544"/>
      <c r="B32" s="545"/>
      <c r="C32" s="545"/>
      <c r="D32" s="545"/>
      <c r="E32" s="545"/>
      <c r="F32" s="545"/>
      <c r="G32" s="545"/>
      <c r="H32" s="545"/>
      <c r="I32" s="545"/>
    </row>
    <row r="33" spans="1:11" x14ac:dyDescent="0.2">
      <c r="A33" s="545"/>
      <c r="B33" s="545"/>
      <c r="C33" s="545"/>
      <c r="D33" s="545"/>
      <c r="E33" s="545"/>
      <c r="F33" s="545"/>
      <c r="G33" s="545"/>
      <c r="H33" s="545"/>
      <c r="I33" s="545"/>
    </row>
    <row r="34" spans="1:11" x14ac:dyDescent="0.2">
      <c r="A34" s="545"/>
      <c r="B34" s="545"/>
      <c r="C34" s="545"/>
      <c r="D34" s="545"/>
      <c r="E34" s="545"/>
      <c r="F34" s="545"/>
      <c r="G34" s="545"/>
      <c r="H34" s="545"/>
      <c r="I34" s="545"/>
    </row>
    <row r="35" spans="1:11" ht="19.5" x14ac:dyDescent="0.4">
      <c r="A35" s="43" t="s">
        <v>23</v>
      </c>
      <c r="B35" s="43" t="s">
        <v>22</v>
      </c>
      <c r="C35" s="43"/>
      <c r="D35" s="63"/>
      <c r="E35" s="5"/>
      <c r="F35" s="65"/>
      <c r="G35" s="64"/>
      <c r="H35" s="4"/>
      <c r="I35" s="4"/>
    </row>
    <row r="36" spans="1:11" ht="18.75" x14ac:dyDescent="0.4">
      <c r="A36" s="43"/>
      <c r="B36" s="43"/>
      <c r="C36" s="43"/>
      <c r="D36" s="63"/>
      <c r="F36" s="9" t="s">
        <v>21</v>
      </c>
      <c r="G36" s="62" t="s">
        <v>20</v>
      </c>
      <c r="H36" s="4"/>
      <c r="I36" s="61" t="s">
        <v>19</v>
      </c>
    </row>
    <row r="37" spans="1:11" ht="16.5" x14ac:dyDescent="0.35">
      <c r="A37" s="59" t="s">
        <v>18</v>
      </c>
      <c r="B37" s="58"/>
      <c r="C37" s="57"/>
      <c r="D37" s="58"/>
      <c r="E37" s="5"/>
      <c r="F37" s="56">
        <f>41603000-400000</f>
        <v>41203000</v>
      </c>
      <c r="G37" s="56">
        <f>41461810-258810</f>
        <v>41203000</v>
      </c>
      <c r="H37" s="55"/>
      <c r="I37" s="54">
        <f>IF(F37=0,"nerozp.",G37/F37)</f>
        <v>1</v>
      </c>
      <c r="J37" s="446"/>
      <c r="K37" s="461"/>
    </row>
    <row r="38" spans="1:11" ht="16.5" x14ac:dyDescent="0.35">
      <c r="A38" s="59" t="s">
        <v>17</v>
      </c>
      <c r="B38" s="58"/>
      <c r="C38" s="57"/>
      <c r="D38" s="60"/>
      <c r="E38" s="60"/>
      <c r="F38" s="56">
        <v>1931000</v>
      </c>
      <c r="G38" s="56">
        <v>1957866</v>
      </c>
      <c r="H38" s="55"/>
      <c r="I38" s="54">
        <f>IF(F38=0,"nerozp.",G38/F38)</f>
        <v>1.0139129984464008</v>
      </c>
      <c r="J38" s="447"/>
      <c r="K38" s="461"/>
    </row>
    <row r="39" spans="1:11" ht="16.5" x14ac:dyDescent="0.35">
      <c r="A39" s="59" t="s">
        <v>16</v>
      </c>
      <c r="B39" s="58"/>
      <c r="C39" s="57"/>
      <c r="D39" s="60"/>
      <c r="E39" s="60"/>
      <c r="F39" s="56">
        <v>0</v>
      </c>
      <c r="G39" s="56">
        <v>0</v>
      </c>
      <c r="H39" s="55"/>
      <c r="I39" s="54" t="str">
        <f>IF(F39=0,"nerozp.",G39/F39)</f>
        <v>nerozp.</v>
      </c>
    </row>
    <row r="40" spans="1:11" ht="16.5" x14ac:dyDescent="0.35">
      <c r="A40" s="59" t="s">
        <v>15</v>
      </c>
      <c r="B40" s="58"/>
      <c r="C40" s="57"/>
      <c r="D40" s="5"/>
      <c r="E40" s="5"/>
      <c r="F40" s="56">
        <v>1606000</v>
      </c>
      <c r="G40" s="56">
        <v>1606000</v>
      </c>
      <c r="H40" s="55"/>
      <c r="I40" s="54">
        <f>IF(F40=0,"nerozp.",G40/F40)</f>
        <v>1</v>
      </c>
    </row>
    <row r="41" spans="1:11" ht="16.5" x14ac:dyDescent="0.35">
      <c r="A41" s="59" t="s">
        <v>14</v>
      </c>
      <c r="B41" s="58"/>
      <c r="C41" s="57"/>
      <c r="D41" s="5"/>
      <c r="E41" s="5"/>
      <c r="F41" s="56">
        <v>0</v>
      </c>
      <c r="G41" s="56">
        <v>0</v>
      </c>
      <c r="H41" s="55"/>
      <c r="I41" s="54" t="str">
        <f>IF(F41=0,"nerozp.",G41/F41)</f>
        <v>nerozp.</v>
      </c>
    </row>
    <row r="42" spans="1:11" ht="14.25" x14ac:dyDescent="0.2">
      <c r="A42" s="53" t="s">
        <v>13</v>
      </c>
      <c r="B42" s="52" t="s">
        <v>310</v>
      </c>
      <c r="C42" s="51"/>
      <c r="D42" s="47"/>
      <c r="E42" s="47"/>
      <c r="F42" s="46"/>
      <c r="G42" s="46"/>
      <c r="H42" s="45"/>
      <c r="I42" s="44"/>
    </row>
    <row r="43" spans="1:11" ht="16.5" x14ac:dyDescent="0.35">
      <c r="A43" s="50"/>
      <c r="B43" s="49"/>
      <c r="C43" s="48"/>
      <c r="D43" s="47"/>
      <c r="E43" s="47"/>
      <c r="F43" s="46"/>
      <c r="G43" s="46"/>
      <c r="H43" s="45"/>
      <c r="I43" s="44"/>
    </row>
    <row r="44" spans="1:11" ht="16.5" x14ac:dyDescent="0.35">
      <c r="A44" s="50"/>
      <c r="B44" s="49"/>
      <c r="C44" s="48"/>
      <c r="D44" s="47"/>
      <c r="E44" s="47"/>
      <c r="F44" s="46"/>
      <c r="G44" s="46"/>
      <c r="H44" s="45"/>
      <c r="I44" s="44"/>
    </row>
    <row r="45" spans="1:11" ht="19.5" thickBot="1" x14ac:dyDescent="0.45">
      <c r="A45" s="43" t="s">
        <v>12</v>
      </c>
      <c r="B45" s="43" t="s">
        <v>11</v>
      </c>
      <c r="C45" s="42"/>
      <c r="D45" s="5"/>
      <c r="E45" s="5"/>
      <c r="F45" s="4"/>
      <c r="G45" s="10"/>
      <c r="H45" s="549" t="s">
        <v>10</v>
      </c>
      <c r="I45" s="550"/>
    </row>
    <row r="46" spans="1:11" ht="18.75" thickTop="1" x14ac:dyDescent="0.35">
      <c r="A46" s="41"/>
      <c r="B46" s="39"/>
      <c r="C46" s="40"/>
      <c r="D46" s="39"/>
      <c r="E46" s="38" t="s">
        <v>9</v>
      </c>
      <c r="F46" s="37" t="s">
        <v>8</v>
      </c>
      <c r="G46" s="37" t="s">
        <v>7</v>
      </c>
      <c r="H46" s="36" t="s">
        <v>6</v>
      </c>
      <c r="I46" s="35" t="s">
        <v>5</v>
      </c>
    </row>
    <row r="47" spans="1:11" x14ac:dyDescent="0.2">
      <c r="A47" s="31"/>
      <c r="B47" s="4"/>
      <c r="C47" s="4"/>
      <c r="D47" s="4"/>
      <c r="E47" s="31"/>
      <c r="F47" s="542"/>
      <c r="G47" s="34"/>
      <c r="H47" s="33">
        <v>41274</v>
      </c>
      <c r="I47" s="32">
        <v>41274</v>
      </c>
    </row>
    <row r="48" spans="1:11" x14ac:dyDescent="0.2">
      <c r="A48" s="31"/>
      <c r="B48" s="4"/>
      <c r="C48" s="4"/>
      <c r="D48" s="4"/>
      <c r="E48" s="31"/>
      <c r="F48" s="542"/>
      <c r="G48" s="30"/>
      <c r="H48" s="30"/>
      <c r="I48" s="29"/>
    </row>
    <row r="49" spans="1:9" ht="13.5" thickBot="1" x14ac:dyDescent="0.25">
      <c r="A49" s="27"/>
      <c r="B49" s="28"/>
      <c r="C49" s="28"/>
      <c r="D49" s="28"/>
      <c r="E49" s="27"/>
      <c r="F49" s="26"/>
      <c r="G49" s="26"/>
      <c r="H49" s="26"/>
      <c r="I49" s="25"/>
    </row>
    <row r="50" spans="1:9" ht="13.5" thickTop="1" x14ac:dyDescent="0.2">
      <c r="A50" s="24"/>
      <c r="B50" s="23"/>
      <c r="C50" s="23" t="s">
        <v>4</v>
      </c>
      <c r="D50" s="23"/>
      <c r="E50" s="463">
        <v>29950</v>
      </c>
      <c r="F50" s="22">
        <v>0</v>
      </c>
      <c r="G50" s="21">
        <v>0</v>
      </c>
      <c r="H50" s="21">
        <f>E50+F50-G50</f>
        <v>29950</v>
      </c>
      <c r="I50" s="20">
        <v>29950</v>
      </c>
    </row>
    <row r="51" spans="1:9" x14ac:dyDescent="0.2">
      <c r="A51" s="19"/>
      <c r="B51" s="18"/>
      <c r="C51" s="18" t="s">
        <v>3</v>
      </c>
      <c r="D51" s="18"/>
      <c r="E51" s="464">
        <v>75996.789999999994</v>
      </c>
      <c r="F51" s="17">
        <v>412514</v>
      </c>
      <c r="G51" s="16">
        <v>437812</v>
      </c>
      <c r="H51" s="16">
        <f>E51+F51-G51</f>
        <v>50698.789999999979</v>
      </c>
      <c r="I51" s="15">
        <v>34052.720000000001</v>
      </c>
    </row>
    <row r="52" spans="1:9" x14ac:dyDescent="0.2">
      <c r="A52" s="19"/>
      <c r="B52" s="18"/>
      <c r="C52" s="18" t="s">
        <v>2</v>
      </c>
      <c r="D52" s="18"/>
      <c r="E52" s="464">
        <v>53499.79</v>
      </c>
      <c r="F52" s="17">
        <v>59585.85</v>
      </c>
      <c r="G52" s="16">
        <v>0</v>
      </c>
      <c r="H52" s="16">
        <f>E52+F52-G52</f>
        <v>113085.64</v>
      </c>
      <c r="I52" s="15">
        <v>113085.64</v>
      </c>
    </row>
    <row r="53" spans="1:9" x14ac:dyDescent="0.2">
      <c r="A53" s="19"/>
      <c r="B53" s="18"/>
      <c r="C53" s="18" t="s">
        <v>1</v>
      </c>
      <c r="D53" s="18"/>
      <c r="E53" s="464">
        <v>496249.1</v>
      </c>
      <c r="F53" s="17">
        <v>3537633.9999999995</v>
      </c>
      <c r="G53" s="16">
        <v>3511959</v>
      </c>
      <c r="H53" s="16">
        <f>E53+F53-G53</f>
        <v>521924.09999999963</v>
      </c>
      <c r="I53" s="15">
        <v>201924.1</v>
      </c>
    </row>
    <row r="54" spans="1:9" ht="18.75" thickBot="1" x14ac:dyDescent="0.4">
      <c r="A54" s="14" t="s">
        <v>0</v>
      </c>
      <c r="B54" s="13"/>
      <c r="C54" s="13"/>
      <c r="D54" s="13"/>
      <c r="E54" s="465">
        <f>SUM(E50:E53)</f>
        <v>655695.67999999993</v>
      </c>
      <c r="F54" s="12">
        <f>SUM(F50:F53)</f>
        <v>4009733.8499999996</v>
      </c>
      <c r="G54" s="12">
        <f>SUM(G50:G53)</f>
        <v>3949771</v>
      </c>
      <c r="H54" s="12">
        <f>ROUND(SUM(H50:H53),2)</f>
        <v>715658.53</v>
      </c>
      <c r="I54" s="11">
        <f>SUM(I50:I53)</f>
        <v>379012.45999999996</v>
      </c>
    </row>
    <row r="55" spans="1:9" ht="18.75" thickTop="1" x14ac:dyDescent="0.35">
      <c r="A55" s="7"/>
      <c r="B55" s="6"/>
      <c r="C55" s="6"/>
      <c r="D55" s="5"/>
      <c r="E55" s="5"/>
      <c r="F55" s="4"/>
      <c r="G55" s="10"/>
      <c r="H55" s="9"/>
      <c r="I55" s="9"/>
    </row>
    <row r="56" spans="1:9" ht="18" x14ac:dyDescent="0.35">
      <c r="A56" s="7"/>
      <c r="B56" s="6"/>
      <c r="C56" s="6"/>
      <c r="D56" s="5"/>
      <c r="E56" s="5"/>
      <c r="F56" s="4"/>
      <c r="G56" s="8"/>
      <c r="H56" s="449"/>
      <c r="I56" s="4"/>
    </row>
    <row r="57" spans="1:9" ht="18" x14ac:dyDescent="0.35">
      <c r="A57" s="7"/>
      <c r="B57" s="6"/>
      <c r="C57" s="6"/>
      <c r="D57" s="5"/>
      <c r="E57" s="5"/>
      <c r="F57" s="4"/>
      <c r="G57" s="4"/>
      <c r="H57" s="4"/>
      <c r="I57" s="4"/>
    </row>
    <row r="58" spans="1:9" x14ac:dyDescent="0.2">
      <c r="A58" s="3"/>
      <c r="B58" s="3"/>
      <c r="C58" s="3"/>
      <c r="D58" s="3"/>
      <c r="E58" s="3"/>
      <c r="F58" s="3"/>
      <c r="G58" s="3"/>
      <c r="H58" s="3"/>
      <c r="I58" s="3"/>
    </row>
  </sheetData>
  <sheetProtection selectLockedCells="1"/>
  <mergeCells count="11">
    <mergeCell ref="A2:D2"/>
    <mergeCell ref="E3:I3"/>
    <mergeCell ref="E2:I2"/>
    <mergeCell ref="E5:I5"/>
    <mergeCell ref="E4:I4"/>
    <mergeCell ref="F47:F48"/>
    <mergeCell ref="E6:G6"/>
    <mergeCell ref="A32:I34"/>
    <mergeCell ref="E7:I7"/>
    <mergeCell ref="H13:I13"/>
    <mergeCell ref="H45:I45"/>
  </mergeCells>
  <conditionalFormatting sqref="I42:I44">
    <cfRule type="cellIs" dxfId="339" priority="9" stopIfTrue="1" operator="greaterThan">
      <formula>1</formula>
    </cfRule>
  </conditionalFormatting>
  <conditionalFormatting sqref="H50:H53">
    <cfRule type="cellIs" dxfId="338" priority="13" stopIfTrue="1" operator="notEqual">
      <formula>E50+F50-G50</formula>
    </cfRule>
  </conditionalFormatting>
  <conditionalFormatting sqref="I54">
    <cfRule type="cellIs" dxfId="337" priority="14" stopIfTrue="1" operator="notEqual">
      <formula>$I$50+$I$51+$I$52+$I$53</formula>
    </cfRule>
  </conditionalFormatting>
  <conditionalFormatting sqref="H54">
    <cfRule type="cellIs" dxfId="336" priority="15" stopIfTrue="1" operator="notEqual">
      <formula>ROUND(E54+F54-G54,2)</formula>
    </cfRule>
    <cfRule type="cellIs" dxfId="335" priority="16" stopIfTrue="1" operator="notEqual">
      <formula>SUM($H$50:$H$53)</formula>
    </cfRule>
  </conditionalFormatting>
  <conditionalFormatting sqref="G18 G16">
    <cfRule type="cellIs" dxfId="334" priority="17" stopIfTrue="1" operator="notEqual">
      <formula>H16+I16</formula>
    </cfRule>
  </conditionalFormatting>
  <conditionalFormatting sqref="G24">
    <cfRule type="cellIs" dxfId="333" priority="18" stopIfTrue="1" operator="notEqual">
      <formula>ROUND(H24+I24,2)</formula>
    </cfRule>
  </conditionalFormatting>
  <conditionalFormatting sqref="H24">
    <cfRule type="cellIs" dxfId="332" priority="19" stopIfTrue="1" operator="notEqual">
      <formula>$H$18-$H$16</formula>
    </cfRule>
  </conditionalFormatting>
  <conditionalFormatting sqref="I24">
    <cfRule type="cellIs" dxfId="331" priority="20" stopIfTrue="1" operator="notEqual">
      <formula>I18-I16</formula>
    </cfRule>
  </conditionalFormatting>
  <conditionalFormatting sqref="G23">
    <cfRule type="cellIs" dxfId="330" priority="7" stopIfTrue="1" operator="notEqual">
      <formula>ROUND(H23+I23,2)</formula>
    </cfRule>
  </conditionalFormatting>
  <conditionalFormatting sqref="G28">
    <cfRule type="cellIs" dxfId="329" priority="5" operator="notEqual">
      <formula>ROUND($G$24,2)</formula>
    </cfRule>
  </conditionalFormatting>
  <conditionalFormatting sqref="J37">
    <cfRule type="cellIs" dxfId="328" priority="3" operator="greaterThan">
      <formula>0</formula>
    </cfRule>
    <cfRule type="cellIs" dxfId="327" priority="4" operator="lessThan">
      <formula>0</formula>
    </cfRule>
  </conditionalFormatting>
  <conditionalFormatting sqref="J38">
    <cfRule type="cellIs" dxfId="326" priority="1" operator="greaterThan">
      <formula>0</formula>
    </cfRule>
    <cfRule type="cellIs" dxfId="325" priority="2" operator="lessThan">
      <formula>0</formula>
    </cfRule>
  </conditionalFormatting>
  <pageMargins left="0.78740157480314965" right="0.39370078740157483" top="0.59055118110236227" bottom="0.59055118110236227" header="0.51181102362204722" footer="0.51181102362204722"/>
  <pageSetup paperSize="9" scale="85" orientation="portrait" r:id="rId1"/>
  <headerFooter alignWithMargins="0">
    <oddFooter>&amp;L&amp;"Arial,Kurzíva"Zastupitelstvo Olomouckého kraje 28.6.2013
6.- Závěrečný účet Olomouckého kraje za rok 2012
Příloha č.14: Financování hospodaření příspěvkových organizací Olomouckého kraje&amp;R&amp;"Arial,Kurzíva"Strana &amp;P (celkem 484)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34</vt:i4>
      </vt:variant>
      <vt:variant>
        <vt:lpstr>Pojmenované oblasti</vt:lpstr>
      </vt:variant>
      <vt:variant>
        <vt:i4>36</vt:i4>
      </vt:variant>
    </vt:vector>
  </HeadingPairs>
  <TitlesOfParts>
    <vt:vector size="70" baseType="lpstr">
      <vt:lpstr>Rekapitulace</vt:lpstr>
      <vt:lpstr>1. DD Javorník</vt:lpstr>
      <vt:lpstr>2. DD Kobylá</vt:lpstr>
      <vt:lpstr>3. Domov Sněženka</vt:lpstr>
      <vt:lpstr>4. Středisko PS Jeseník</vt:lpstr>
      <vt:lpstr>5. DD Červenka</vt:lpstr>
      <vt:lpstr>6. Námešt na Hané</vt:lpstr>
      <vt:lpstr>7.DD Hrubá Voda</vt:lpstr>
      <vt:lpstr>8. DD Chválkovice</vt:lpstr>
      <vt:lpstr>9.Sociál. služby Olomouc</vt:lpstr>
      <vt:lpstr>10. Vincentinum</vt:lpstr>
      <vt:lpstr>11. Klíč</vt:lpstr>
      <vt:lpstr>12. Nové Zámky</vt:lpstr>
      <vt:lpstr>13. Středisko soc. prevence</vt:lpstr>
      <vt:lpstr>14.DD Šumperk</vt:lpstr>
      <vt:lpstr>15. DD Libina</vt:lpstr>
      <vt:lpstr>16. DD Štíty</vt:lpstr>
      <vt:lpstr>17. Soc. služby Šumperk</vt:lpstr>
      <vt:lpstr>18. Penzion Loštice</vt:lpstr>
      <vt:lpstr>19. Domov Paprsek Olšany</vt:lpstr>
      <vt:lpstr>20. Duha Centrum Vikýřovice</vt:lpstr>
      <vt:lpstr>21. DD Prostějov</vt:lpstr>
      <vt:lpstr>22. DD Jesenec</vt:lpstr>
      <vt:lpstr>23. Domov Nezamyslice</vt:lpstr>
      <vt:lpstr>24. Soc. služby Prostějov</vt:lpstr>
      <vt:lpstr>25. Centrum soc. sl.</vt:lpstr>
      <vt:lpstr>26. Domov Radkova Lhota</vt:lpstr>
      <vt:lpstr>27. Domov Alfreda Pavlovice</vt:lpstr>
      <vt:lpstr>28. Domov Tovačov</vt:lpstr>
      <vt:lpstr>29. Domov Skalička</vt:lpstr>
      <vt:lpstr>30. Centrum Kokory</vt:lpstr>
      <vt:lpstr>31. Domov Adam Dřev.</vt:lpstr>
      <vt:lpstr>32. Domov Na Zámečku Rokytnice</vt:lpstr>
      <vt:lpstr>CELKEM</vt:lpstr>
      <vt:lpstr>__xlnm.Print_Area_14</vt:lpstr>
      <vt:lpstr>Rekapitulace!Názvy_tisku</vt:lpstr>
      <vt:lpstr>'1. DD Javorník'!Oblast_tisku</vt:lpstr>
      <vt:lpstr>'10. Vincentinum'!Oblast_tisku</vt:lpstr>
      <vt:lpstr>'11. Klíč'!Oblast_tisku</vt:lpstr>
      <vt:lpstr>'12. Nové Zámky'!Oblast_tisku</vt:lpstr>
      <vt:lpstr>'13. Středisko soc. prevence'!Oblast_tisku</vt:lpstr>
      <vt:lpstr>'14.DD Šumperk'!Oblast_tisku</vt:lpstr>
      <vt:lpstr>'15. DD Libina'!Oblast_tisku</vt:lpstr>
      <vt:lpstr>'16. DD Štíty'!Oblast_tisku</vt:lpstr>
      <vt:lpstr>'17. Soc. služby Šumperk'!Oblast_tisku</vt:lpstr>
      <vt:lpstr>'18. Penzion Loštice'!Oblast_tisku</vt:lpstr>
      <vt:lpstr>'19. Domov Paprsek Olšany'!Oblast_tisku</vt:lpstr>
      <vt:lpstr>'2. DD Kobylá'!Oblast_tisku</vt:lpstr>
      <vt:lpstr>'20. Duha Centrum Vikýřovice'!Oblast_tisku</vt:lpstr>
      <vt:lpstr>'21. DD Prostějov'!Oblast_tisku</vt:lpstr>
      <vt:lpstr>'22. DD Jesenec'!Oblast_tisku</vt:lpstr>
      <vt:lpstr>'23. Domov Nezamyslice'!Oblast_tisku</vt:lpstr>
      <vt:lpstr>'24. Soc. služby Prostějov'!Oblast_tisku</vt:lpstr>
      <vt:lpstr>'25. Centrum soc. sl.'!Oblast_tisku</vt:lpstr>
      <vt:lpstr>'26. Domov Radkova Lhota'!Oblast_tisku</vt:lpstr>
      <vt:lpstr>'27. Domov Alfreda Pavlovice'!Oblast_tisku</vt:lpstr>
      <vt:lpstr>'28. Domov Tovačov'!Oblast_tisku</vt:lpstr>
      <vt:lpstr>'29. Domov Skalička'!Oblast_tisku</vt:lpstr>
      <vt:lpstr>'3. Domov Sněženka'!Oblast_tisku</vt:lpstr>
      <vt:lpstr>'30. Centrum Kokory'!Oblast_tisku</vt:lpstr>
      <vt:lpstr>'31. Domov Adam Dřev.'!Oblast_tisku</vt:lpstr>
      <vt:lpstr>'32. Domov Na Zámečku Rokytnice'!Oblast_tisku</vt:lpstr>
      <vt:lpstr>'4. Středisko PS Jeseník'!Oblast_tisku</vt:lpstr>
      <vt:lpstr>'5. DD Červenka'!Oblast_tisku</vt:lpstr>
      <vt:lpstr>'6. Námešt na Hané'!Oblast_tisku</vt:lpstr>
      <vt:lpstr>'7.DD Hrubá Voda'!Oblast_tisku</vt:lpstr>
      <vt:lpstr>'8. DD Chválkovice'!Oblast_tisku</vt:lpstr>
      <vt:lpstr>'9.Sociál. služby Olomouc'!Oblast_tisku</vt:lpstr>
      <vt:lpstr>CELKEM!Oblast_tisku</vt:lpstr>
      <vt:lpstr>Rekapitulace!Oblast_tisku</vt:lpstr>
    </vt:vector>
  </TitlesOfParts>
  <Company>KUOK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Dostálová Anna</dc:creator>
  <cp:lastModifiedBy>Dresslerová Veronika</cp:lastModifiedBy>
  <cp:lastPrinted>2013-05-30T12:16:42Z</cp:lastPrinted>
  <dcterms:created xsi:type="dcterms:W3CDTF">2013-02-25T14:38:09Z</dcterms:created>
  <dcterms:modified xsi:type="dcterms:W3CDTF">2013-06-10T10:19:44Z</dcterms:modified>
</cp:coreProperties>
</file>